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2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comments5.xml" ContentType="application/vnd.openxmlformats-officedocument.spreadsheetml.comments+xml"/>
  <Override PartName="/xl/tables/table45.xml" ContentType="application/vnd.openxmlformats-officedocument.spreadsheetml.table+xml"/>
  <Override PartName="/xl/pivotTables/pivotTable2.xml" ContentType="application/vnd.openxmlformats-officedocument.spreadsheetml.pivotTable+xml"/>
  <Override PartName="/xl/tables/table4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corporativo\sgt\PASTA TEMPORÁRIA\REAJUSTE\PERMISSIONÁRIAS DE DISTRIBUIÇÃO\2022\09- SETEMBRO\8  CEDRI - Érika\"/>
    </mc:Choice>
  </mc:AlternateContent>
  <xr:revisionPtr revIDLastSave="0" documentId="8_{D699971B-5069-43E0-A712-637744580765}" xr6:coauthVersionLast="47" xr6:coauthVersionMax="47" xr10:uidLastSave="{00000000-0000-0000-0000-000000000000}"/>
  <bookViews>
    <workbookView xWindow="-120" yWindow="-120" windowWidth="24240" windowHeight="13140" tabRatio="725" firstSheet="4" activeTab="7" xr2:uid="{00000000-000D-0000-FFFF-FFFF00000000}"/>
  </bookViews>
  <sheets>
    <sheet name="Subsidio" sheetId="136" state="hidden" r:id="rId1"/>
    <sheet name="BD" sheetId="71" r:id="rId2"/>
    <sheet name="RBBD" sheetId="90" r:id="rId3"/>
    <sheet name="FaturasT" sheetId="141" r:id="rId4"/>
    <sheet name="Faturas" sheetId="130" r:id="rId5"/>
    <sheet name="Informações Gerais" sheetId="122" r:id="rId6"/>
    <sheet name="CAPA" sheetId="39" r:id="rId7"/>
    <sheet name="Resultado" sheetId="64" r:id="rId8"/>
    <sheet name="Calc_Mercado" sheetId="78" r:id="rId9"/>
    <sheet name="BD MERCADO" sheetId="79" r:id="rId10"/>
    <sheet name="Energia" sheetId="58" r:id="rId11"/>
    <sheet name="Perdas de Energia" sheetId="142" r:id="rId12"/>
    <sheet name="CUSD" sheetId="61" r:id="rId13"/>
    <sheet name="Rede Básica + Ajuste" sheetId="82" r:id="rId14"/>
    <sheet name="Conexão " sheetId="87" r:id="rId15"/>
    <sheet name="Encargos" sheetId="51" r:id="rId16"/>
    <sheet name="Tabelas e Gráficos" sheetId="89" r:id="rId17"/>
    <sheet name="Financeiros" sheetId="50" r:id="rId18"/>
    <sheet name="Tributos suprimento" sheetId="137" r:id="rId19"/>
    <sheet name="PIS_COFINS" sheetId="140" r:id="rId20"/>
    <sheet name="Financeiros Mitigação" sheetId="139" r:id="rId21"/>
    <sheet name="CVE" sheetId="135" r:id="rId22"/>
    <sheet name="Aj.Subsídio" sheetId="123" r:id="rId23"/>
    <sheet name="Indexador" sheetId="25" r:id="rId24"/>
    <sheet name="BD SUPRIMENTO" sheetId="84" state="hidden" r:id="rId25"/>
    <sheet name="RA0BD" sheetId="57" state="hidden" r:id="rId26"/>
    <sheet name="SimuBD" sheetId="62" state="hidden" r:id="rId27"/>
    <sheet name="Índices" sheetId="7" r:id="rId28"/>
    <sheet name="Custos-PCAT" sheetId="143" r:id="rId29"/>
    <sheet name="BD-NET" sheetId="49" r:id="rId30"/>
    <sheet name="Sharepoint" sheetId="121" state="hidden" r:id="rId31"/>
    <sheet name="COEFICIENTES" sheetId="102" state="hidden" r:id="rId32"/>
    <sheet name="REN 473" sheetId="95" state="hidden" r:id="rId33"/>
    <sheet name="ERD" sheetId="94" state="hidden" r:id="rId34"/>
    <sheet name="Glossário Vínculos" sheetId="85" state="hidden" r:id="rId35"/>
  </sheets>
  <externalReferences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\zx\zx\zx\" localSheetId="19" hidden="1">{#N/A,#N/A,FALSE,"CONTROLE";#N/A,#N/A,FALSE,"CONTROLE"}</definedName>
    <definedName name="\zx\zx\zx\" hidden="1">{#N/A,#N/A,FALSE,"CONTROLE";#N/A,#N/A,FALSE,"CONTROLE"}</definedName>
    <definedName name="__________ep1" localSheetId="19" hidden="1">{#N/A,#N/A,FALSE,"CONTROLE"}</definedName>
    <definedName name="__________ep1" hidden="1">{#N/A,#N/A,FALSE,"CONTROLE"}</definedName>
    <definedName name="__________r" localSheetId="19" hidden="1">{#N/A,#N/A,FALSE,"CONTROLE"}</definedName>
    <definedName name="__________r" hidden="1">{#N/A,#N/A,FALSE,"CONTROLE"}</definedName>
    <definedName name="__________yh7" localSheetId="19" hidden="1">{#N/A,#N/A,FALSE,"CONTROLE";#N/A,#N/A,FALSE,"CONTROLE"}</definedName>
    <definedName name="__________yh7" hidden="1">{#N/A,#N/A,FALSE,"CONTROLE";#N/A,#N/A,FALSE,"CONTROLE"}</definedName>
    <definedName name="________ep1" localSheetId="19" hidden="1">{#N/A,#N/A,FALSE,"CONTROLE"}</definedName>
    <definedName name="________ep1" hidden="1">{#N/A,#N/A,FALSE,"CONTROLE"}</definedName>
    <definedName name="________r" localSheetId="19" hidden="1">{#N/A,#N/A,FALSE,"CONTROLE"}</definedName>
    <definedName name="________r" hidden="1">{#N/A,#N/A,FALSE,"CONTROLE"}</definedName>
    <definedName name="________yh7" localSheetId="19" hidden="1">{#N/A,#N/A,FALSE,"CONTROLE";#N/A,#N/A,FALSE,"CONTROLE"}</definedName>
    <definedName name="________yh7" hidden="1">{#N/A,#N/A,FALSE,"CONTROLE";#N/A,#N/A,FALSE,"CONTROLE"}</definedName>
    <definedName name="______ep1" localSheetId="19" hidden="1">{#N/A,#N/A,FALSE,"CONTROLE"}</definedName>
    <definedName name="______ep1" hidden="1">{#N/A,#N/A,FALSE,"CONTROLE"}</definedName>
    <definedName name="______r" localSheetId="19" hidden="1">{#N/A,#N/A,FALSE,"CONTROLE"}</definedName>
    <definedName name="______r" hidden="1">{#N/A,#N/A,FALSE,"CONTROLE"}</definedName>
    <definedName name="______yh7" localSheetId="19" hidden="1">{#N/A,#N/A,FALSE,"CONTROLE";#N/A,#N/A,FALSE,"CONTROLE"}</definedName>
    <definedName name="______yh7" hidden="1">{#N/A,#N/A,FALSE,"CONTROLE";#N/A,#N/A,FALSE,"CONTROLE"}</definedName>
    <definedName name="_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localSheetId="19" hidden="1">{#N/A,#N/A,FALSE,"ENERGIA";#N/A,#N/A,FALSE,"PERDIDAS";#N/A,#N/A,FALSE,"CLIENTES";#N/A,#N/A,FALSE,"ESTADO";#N/A,#N/A,FALSE,"TECNICA"}</definedName>
    <definedName name="_____bb1" hidden="1">{#N/A,#N/A,FALSE,"ENERGIA";#N/A,#N/A,FALSE,"PERDIDAS";#N/A,#N/A,FALSE,"CLIENTES";#N/A,#N/A,FALSE,"ESTADO";#N/A,#N/A,FALSE,"TECNICA"}</definedName>
    <definedName name="_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localSheetId="19" hidden="1">{#N/A,#N/A,FALSE,"ENERGIA";#N/A,#N/A,FALSE,"PERDIDAS";#N/A,#N/A,FALSE,"CLIENTES";#N/A,#N/A,FALSE,"ESTADO";#N/A,#N/A,FALSE,"TECNICA"}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localSheetId="19" hidden="1">{#N/A,#N/A,FALSE,"CONTROLE"}</definedName>
    <definedName name="_____r" hidden="1">{#N/A,#N/A,FALSE,"CONTROLE"}</definedName>
    <definedName name="_____yh7" localSheetId="19" hidden="1">{#N/A,#N/A,FALSE,"CONTROLE";#N/A,#N/A,FALSE,"CONTROLE"}</definedName>
    <definedName name="_____yh7" hidden="1">{#N/A,#N/A,FALSE,"CONTROLE";#N/A,#N/A,FALSE,"CONTROLE"}</definedName>
    <definedName name="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localSheetId="19" hidden="1">{#N/A,#N/A,FALSE,"ENERGIA";#N/A,#N/A,FALSE,"PERDIDAS";#N/A,#N/A,FALSE,"CLIENTES";#N/A,#N/A,FALSE,"ESTADO";#N/A,#N/A,FALSE,"TECNICA"}</definedName>
    <definedName name="____bb1" hidden="1">{#N/A,#N/A,FALSE,"ENERGIA";#N/A,#N/A,FALSE,"PERDIDAS";#N/A,#N/A,FALSE,"CLIENTES";#N/A,#N/A,FALSE,"ESTADO";#N/A,#N/A,FALSE,"TECNICA"}</definedName>
    <definedName name="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localSheetId="19" hidden="1">{#N/A,#N/A,FALSE,"ENERGIA";#N/A,#N/A,FALSE,"PERDIDAS";#N/A,#N/A,FALSE,"CLIENTES";#N/A,#N/A,FALSE,"ESTADO";#N/A,#N/A,FALSE,"TECNICA"}</definedName>
    <definedName name="____e1" hidden="1">{#N/A,#N/A,FALSE,"ENERGIA";#N/A,#N/A,FALSE,"PERDIDAS";#N/A,#N/A,FALSE,"CLIENTES";#N/A,#N/A,FALSE,"ESTADO";#N/A,#N/A,FALSE,"TECNICA"}</definedName>
    <definedName name="____ep1" localSheetId="19" hidden="1">{#N/A,#N/A,FALSE,"CONTROLE"}</definedName>
    <definedName name="____ep1" hidden="1">{#N/A,#N/A,FALSE,"CONTROLE"}</definedName>
    <definedName name="____FT08" hidden="1">"3OYHDJRF05V1IN1D1R6C32J5E"</definedName>
    <definedName name="____r" localSheetId="19" hidden="1">{#N/A,#N/A,FALSE,"CONTROLE"}</definedName>
    <definedName name="____r" hidden="1">{#N/A,#N/A,FALSE,"CONTROLE"}</definedName>
    <definedName name="____yh7" localSheetId="19" hidden="1">{#N/A,#N/A,FALSE,"CONTROLE";#N/A,#N/A,FALSE,"CONTROLE"}</definedName>
    <definedName name="____yh7" hidden="1">{#N/A,#N/A,FALSE,"CONTROLE";#N/A,#N/A,FALSE,"CONTROLE"}</definedName>
    <definedName name="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localSheetId="19" hidden="1">{#N/A,#N/A,FALSE,"ENERGIA";#N/A,#N/A,FALSE,"PERDIDAS";#N/A,#N/A,FALSE,"CLIENTES";#N/A,#N/A,FALSE,"ESTADO";#N/A,#N/A,FALSE,"TECNICA"}</definedName>
    <definedName name="___bb1" hidden="1">{#N/A,#N/A,FALSE,"ENERGIA";#N/A,#N/A,FALSE,"PERDIDAS";#N/A,#N/A,FALSE,"CLIENTES";#N/A,#N/A,FALSE,"ESTADO";#N/A,#N/A,FALSE,"TECNICA"}</definedName>
    <definedName name="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localSheetId="19" hidden="1">{#N/A,#N/A,FALSE,"ENERGIA";#N/A,#N/A,FALSE,"PERDIDAS";#N/A,#N/A,FALSE,"CLIENTES";#N/A,#N/A,FALSE,"ESTADO";#N/A,#N/A,FALSE,"TECNICA"}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localSheetId="19" hidden="1">{#N/A,#N/A,FALSE,"CONTROLE";#N/A,#N/A,FALSE,"CONTROLE"}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19" hidden="1">[2]Mercado!#REF!</definedName>
    <definedName name="__123Graph_A" localSheetId="16" hidden="1">[2]Mercado!#REF!</definedName>
    <definedName name="__123Graph_A" hidden="1">[2]Mercado!#REF!</definedName>
    <definedName name="__123Graph_ACOMPARA" localSheetId="19" hidden="1">[2]Mercado!#REF!</definedName>
    <definedName name="__123Graph_ACOMPARA" localSheetId="16" hidden="1">[2]Mercado!#REF!</definedName>
    <definedName name="__123Graph_ACOMPARA" hidden="1">[2]Mercado!#REF!</definedName>
    <definedName name="__123Graph_ACONSMED" localSheetId="16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16" hidden="1">[5]MENSAL!#REF!</definedName>
    <definedName name="__123Graph_AGERAL" hidden="1">[5]MENSAL!#REF!</definedName>
    <definedName name="__123Graph_AIGPM" localSheetId="16" hidden="1">[5]MENSAL!#REF!</definedName>
    <definedName name="__123Graph_AIGPM" hidden="1">[5]MENSAL!#REF!</definedName>
    <definedName name="__123Graph_AIND" localSheetId="16" hidden="1">[5]MENSAL!#REF!</definedName>
    <definedName name="__123Graph_AIND" hidden="1">[5]MENSAL!#REF!</definedName>
    <definedName name="__123Graph_AINDICES" localSheetId="16" hidden="1">[5]MENSAL!#REF!</definedName>
    <definedName name="__123Graph_AINDICES" hidden="1">[5]MENSAL!#REF!</definedName>
    <definedName name="__123Graph_AINFLACAO" localSheetId="16" hidden="1">[5]MENSAL!#REF!</definedName>
    <definedName name="__123Graph_AINFLACAO" hidden="1">[5]MENSAL!#REF!</definedName>
    <definedName name="__123Graph_APREVRCOM" localSheetId="21" hidden="1">#REF!</definedName>
    <definedName name="__123Graph_APREVRCOM" localSheetId="19" hidden="1">#REF!</definedName>
    <definedName name="__123Graph_APREVRCOM" localSheetId="16" hidden="1">#REF!</definedName>
    <definedName name="__123Graph_APREVRCOM" hidden="1">#REF!</definedName>
    <definedName name="__123Graph_APREVREALI" localSheetId="21" hidden="1">#REF!</definedName>
    <definedName name="__123Graph_APREVREALI" localSheetId="16" hidden="1">#REF!</definedName>
    <definedName name="__123Graph_APREVREALI" hidden="1">#REF!</definedName>
    <definedName name="__123Graph_APREVRIND" localSheetId="21" hidden="1">#REF!</definedName>
    <definedName name="__123Graph_APREVRIND" localSheetId="16" hidden="1">#REF!</definedName>
    <definedName name="__123Graph_APREVRIND" hidden="1">#REF!</definedName>
    <definedName name="__123Graph_APREVROUT" localSheetId="21" hidden="1">[2]Mercado!#REF!</definedName>
    <definedName name="__123Graph_APREVROUT" localSheetId="19" hidden="1">[2]Mercado!#REF!</definedName>
    <definedName name="__123Graph_APREVROUT" localSheetId="16" hidden="1">[2]Mercado!#REF!</definedName>
    <definedName name="__123Graph_APREVROUT" hidden="1">[2]Mercado!#REF!</definedName>
    <definedName name="__123Graph_APREVRRES" localSheetId="21" hidden="1">#REF!</definedName>
    <definedName name="__123Graph_APREVRRES" localSheetId="19" hidden="1">#REF!</definedName>
    <definedName name="__123Graph_APREVRRES" localSheetId="16" hidden="1">#REF!</definedName>
    <definedName name="__123Graph_APREVRRES" hidden="1">#REF!</definedName>
    <definedName name="__123Graph_APREVRTOT" localSheetId="21" hidden="1">#REF!</definedName>
    <definedName name="__123Graph_APREVRTOT" localSheetId="16" hidden="1">#REF!</definedName>
    <definedName name="__123Graph_APREVRTOT" hidden="1">#REF!</definedName>
    <definedName name="__123Graph_B" localSheetId="21" hidden="1">#REF!</definedName>
    <definedName name="__123Graph_B" localSheetId="16" hidden="1">#REF!</definedName>
    <definedName name="__123Graph_B" hidden="1">#REF!</definedName>
    <definedName name="__123Graph_BCOMPARA" localSheetId="21" hidden="1">#REF!</definedName>
    <definedName name="__123Graph_BCOMPARA" localSheetId="16" hidden="1">#REF!</definedName>
    <definedName name="__123Graph_BCOMPARA" hidden="1">#REF!</definedName>
    <definedName name="__123Graph_BGAS" localSheetId="19" hidden="1">[6]Detail!#REF!</definedName>
    <definedName name="__123Graph_BGAS" hidden="1">[6]Detail!#REF!</definedName>
    <definedName name="__123Graph_BGERAL" localSheetId="21" hidden="1">[5]MENSAL!#REF!</definedName>
    <definedName name="__123Graph_BGERAL" localSheetId="19" hidden="1">[5]MENSAL!#REF!</definedName>
    <definedName name="__123Graph_BGERAL" localSheetId="16" hidden="1">[5]MENSAL!#REF!</definedName>
    <definedName name="__123Graph_BGERAL" hidden="1">[5]MENSAL!#REF!</definedName>
    <definedName name="__123Graph_BIGPDI" localSheetId="21" hidden="1">[5]MENSAL!#REF!</definedName>
    <definedName name="__123Graph_BIGPDI" localSheetId="16" hidden="1">[5]MENSAL!#REF!</definedName>
    <definedName name="__123Graph_BIGPDI" hidden="1">[5]MENSAL!#REF!</definedName>
    <definedName name="__123Graph_BIND" localSheetId="16" hidden="1">[5]MENSAL!#REF!</definedName>
    <definedName name="__123Graph_BIND" hidden="1">[5]MENSAL!#REF!</definedName>
    <definedName name="__123Graph_BINDICES" localSheetId="16" hidden="1">[5]MENSAL!#REF!</definedName>
    <definedName name="__123Graph_BINDICES" hidden="1">[5]MENSAL!#REF!</definedName>
    <definedName name="__123Graph_BINFLACAO" localSheetId="16" hidden="1">[5]MENSAL!#REF!</definedName>
    <definedName name="__123Graph_BINFLACAO" hidden="1">[5]MENSAL!#REF!</definedName>
    <definedName name="__123Graph_BPREVREALI" localSheetId="21" hidden="1">#REF!</definedName>
    <definedName name="__123Graph_BPREVREALI" localSheetId="19" hidden="1">#REF!</definedName>
    <definedName name="__123Graph_BPREVREALI" localSheetId="16" hidden="1">#REF!</definedName>
    <definedName name="__123Graph_BPREVREALI" hidden="1">#REF!</definedName>
    <definedName name="__123Graph_C" localSheetId="21" hidden="1">[5]MENSAL!#REF!</definedName>
    <definedName name="__123Graph_C" localSheetId="19" hidden="1">[5]MENSAL!#REF!</definedName>
    <definedName name="__123Graph_C" localSheetId="16" hidden="1">[5]MENSAL!#REF!</definedName>
    <definedName name="__123Graph_C" hidden="1">[5]MENSAL!#REF!</definedName>
    <definedName name="__123Graph_CGERAL" localSheetId="16" hidden="1">[5]MENSAL!#REF!</definedName>
    <definedName name="__123Graph_CGERAL" hidden="1">[5]MENSAL!#REF!</definedName>
    <definedName name="__123Graph_CIND" localSheetId="16" hidden="1">[5]MENSAL!#REF!</definedName>
    <definedName name="__123Graph_CIND" hidden="1">[5]MENSAL!#REF!</definedName>
    <definedName name="__123Graph_CINDICES" localSheetId="16" hidden="1">[5]MENSAL!#REF!</definedName>
    <definedName name="__123Graph_CINDICES" hidden="1">[5]MENSAL!#REF!</definedName>
    <definedName name="__123Graph_CINFLACAO" localSheetId="16" hidden="1">[5]MENSAL!#REF!</definedName>
    <definedName name="__123Graph_CINFLACAO" hidden="1">[5]MENSAL!#REF!</definedName>
    <definedName name="__123Graph_CINPC" localSheetId="16" hidden="1">[5]MENSAL!#REF!</definedName>
    <definedName name="__123Graph_CINPC" hidden="1">[5]MENSAL!#REF!</definedName>
    <definedName name="__123Graph_CPREVREALI" localSheetId="21" hidden="1">#REF!</definedName>
    <definedName name="__123Graph_CPREVREALI" localSheetId="19" hidden="1">#REF!</definedName>
    <definedName name="__123Graph_CPREVREALI" localSheetId="16" hidden="1">#REF!</definedName>
    <definedName name="__123Graph_CPREVREALI" hidden="1">#REF!</definedName>
    <definedName name="__123Graph_D" localSheetId="21" hidden="1">#REF!</definedName>
    <definedName name="__123Graph_D" localSheetId="16" hidden="1">#REF!</definedName>
    <definedName name="__123Graph_D" hidden="1">#REF!</definedName>
    <definedName name="__123Graph_DCDI" localSheetId="21" hidden="1">[5]MENSAL!#REF!</definedName>
    <definedName name="__123Graph_DCDI" localSheetId="19" hidden="1">[5]MENSAL!#REF!</definedName>
    <definedName name="__123Graph_DCDI" localSheetId="16" hidden="1">[5]MENSAL!#REF!</definedName>
    <definedName name="__123Graph_DCDI" hidden="1">[5]MENSAL!#REF!</definedName>
    <definedName name="__123Graph_DCOMPARA" localSheetId="21" hidden="1">#REF!</definedName>
    <definedName name="__123Graph_DCOMPARA" localSheetId="19" hidden="1">#REF!</definedName>
    <definedName name="__123Graph_DCOMPARA" localSheetId="16" hidden="1">#REF!</definedName>
    <definedName name="__123Graph_DCOMPARA" hidden="1">#REF!</definedName>
    <definedName name="__123Graph_DGERAL" localSheetId="21" hidden="1">[5]MENSAL!#REF!</definedName>
    <definedName name="__123Graph_DGERAL" localSheetId="19" hidden="1">[5]MENSAL!#REF!</definedName>
    <definedName name="__123Graph_DGERAL" localSheetId="16" hidden="1">[5]MENSAL!#REF!</definedName>
    <definedName name="__123Graph_DGERAL" hidden="1">[5]MENSAL!#REF!</definedName>
    <definedName name="__123Graph_DIND" localSheetId="21" hidden="1">[5]MENSAL!#REF!</definedName>
    <definedName name="__123Graph_DIND" localSheetId="16" hidden="1">[5]MENSAL!#REF!</definedName>
    <definedName name="__123Graph_DIND" hidden="1">[5]MENSAL!#REF!</definedName>
    <definedName name="__123Graph_DINDICES" localSheetId="16" hidden="1">[5]MENSAL!#REF!</definedName>
    <definedName name="__123Graph_DINDICES" hidden="1">[5]MENSAL!#REF!</definedName>
    <definedName name="__123Graph_DINFLACAO" localSheetId="16" hidden="1">[5]MENSAL!#REF!</definedName>
    <definedName name="__123Graph_DINFLACAO" hidden="1">[5]MENSAL!#REF!</definedName>
    <definedName name="__123Graph_DIPA" localSheetId="16" hidden="1">[5]MENSAL!#REF!</definedName>
    <definedName name="__123Graph_DIPA" hidden="1">[5]MENSAL!#REF!</definedName>
    <definedName name="__123Graph_DPREVREALI" localSheetId="16" hidden="1">[2]Mercado!#REF!</definedName>
    <definedName name="__123Graph_DPREVREALI" hidden="1">[2]Mercado!#REF!</definedName>
    <definedName name="__123Graph_E" localSheetId="16" hidden="1">[5]MENSAL!#REF!</definedName>
    <definedName name="__123Graph_E" hidden="1">[5]MENSAL!#REF!</definedName>
    <definedName name="__123Graph_EGERAL" localSheetId="16" hidden="1">[5]MENSAL!#REF!</definedName>
    <definedName name="__123Graph_EGERAL" hidden="1">[5]MENSAL!#REF!</definedName>
    <definedName name="__123Graph_EIND" localSheetId="16" hidden="1">[5]MENSAL!#REF!</definedName>
    <definedName name="__123Graph_EIND" hidden="1">[5]MENSAL!#REF!</definedName>
    <definedName name="__123Graph_EINDICES" localSheetId="16" hidden="1">[5]MENSAL!#REF!</definedName>
    <definedName name="__123Graph_EINDICES" hidden="1">[5]MENSAL!#REF!</definedName>
    <definedName name="__123Graph_EINFLACAO" localSheetId="16" hidden="1">[5]MENSAL!#REF!</definedName>
    <definedName name="__123Graph_EINFLACAO" hidden="1">[5]MENSAL!#REF!</definedName>
    <definedName name="__123Graph_ELFT" localSheetId="16" hidden="1">[5]MENSAL!#REF!</definedName>
    <definedName name="__123Graph_ELFT" hidden="1">[5]MENSAL!#REF!</definedName>
    <definedName name="__123Graph_EPREVREALI" localSheetId="21" hidden="1">#REF!</definedName>
    <definedName name="__123Graph_EPREVREALI" localSheetId="19" hidden="1">#REF!</definedName>
    <definedName name="__123Graph_EPREVREALI" localSheetId="16" hidden="1">#REF!</definedName>
    <definedName name="__123Graph_EPREVREALI" hidden="1">#REF!</definedName>
    <definedName name="__123Graph_F" localSheetId="21" hidden="1">#REF!</definedName>
    <definedName name="__123Graph_F" localSheetId="16" hidden="1">#REF!</definedName>
    <definedName name="__123Graph_F" hidden="1">#REF!</definedName>
    <definedName name="__123Graph_FCDI" localSheetId="21" hidden="1">[5]MENSAL!#REF!</definedName>
    <definedName name="__123Graph_FCDI" localSheetId="19" hidden="1">[5]MENSAL!#REF!</definedName>
    <definedName name="__123Graph_FCDI" localSheetId="16" hidden="1">[5]MENSAL!#REF!</definedName>
    <definedName name="__123Graph_FCDI" hidden="1">[5]MENSAL!#REF!</definedName>
    <definedName name="__123Graph_FCOMPARA" localSheetId="21" hidden="1">#REF!</definedName>
    <definedName name="__123Graph_FCOMPARA" localSheetId="19" hidden="1">#REF!</definedName>
    <definedName name="__123Graph_FCOMPARA" localSheetId="16" hidden="1">#REF!</definedName>
    <definedName name="__123Graph_FCOMPARA" hidden="1">#REF!</definedName>
    <definedName name="__123Graph_FGERAL" localSheetId="21" hidden="1">[5]MENSAL!#REF!</definedName>
    <definedName name="__123Graph_FGERAL" localSheetId="19" hidden="1">[5]MENSAL!#REF!</definedName>
    <definedName name="__123Graph_FGERAL" localSheetId="16" hidden="1">[5]MENSAL!#REF!</definedName>
    <definedName name="__123Graph_FGERAL" hidden="1">[5]MENSAL!#REF!</definedName>
    <definedName name="__123Graph_FIGPDI" localSheetId="21" hidden="1">[5]MENSAL!#REF!</definedName>
    <definedName name="__123Graph_FIGPDI" localSheetId="16" hidden="1">[5]MENSAL!#REF!</definedName>
    <definedName name="__123Graph_FIGPDI" hidden="1">[5]MENSAL!#REF!</definedName>
    <definedName name="__123Graph_FIGPM" localSheetId="16" hidden="1">[5]MENSAL!#REF!</definedName>
    <definedName name="__123Graph_FIGPM" hidden="1">[5]MENSAL!#REF!</definedName>
    <definedName name="__123Graph_FIND" localSheetId="16" hidden="1">[5]MENSAL!#REF!</definedName>
    <definedName name="__123Graph_FIND" hidden="1">[5]MENSAL!#REF!</definedName>
    <definedName name="__123Graph_FINFLACAO" localSheetId="16" hidden="1">[5]MENSAL!#REF!</definedName>
    <definedName name="__123Graph_FINFLACAO" hidden="1">[5]MENSAL!#REF!</definedName>
    <definedName name="__123Graph_FINPC" localSheetId="16" hidden="1">[5]MENSAL!#REF!</definedName>
    <definedName name="__123Graph_FINPC" hidden="1">[5]MENSAL!#REF!</definedName>
    <definedName name="__123Graph_FIPA" localSheetId="16" hidden="1">[5]MENSAL!#REF!</definedName>
    <definedName name="__123Graph_FIPA" hidden="1">[5]MENSAL!#REF!</definedName>
    <definedName name="__123Graph_FLFT" localSheetId="16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16" hidden="1">[5]MENSAL!#REF!</definedName>
    <definedName name="__123Graph_X" hidden="1">[5]MENSAL!#REF!</definedName>
    <definedName name="__123Graph_XCDI" localSheetId="16" hidden="1">[5]MENSAL!#REF!</definedName>
    <definedName name="__123Graph_XCDI" hidden="1">[5]MENSAL!#REF!</definedName>
    <definedName name="__123Graph_XCONSMED" localSheetId="16" hidden="1">[2]Mercado!#REF!</definedName>
    <definedName name="__123Graph_XCONSMED" hidden="1">[2]Mercado!#REF!</definedName>
    <definedName name="__123Graph_XELASTIC" localSheetId="16" hidden="1">[2]Mercado!#REF!</definedName>
    <definedName name="__123Graph_XELASTIC" hidden="1">[2]Mercado!#REF!</definedName>
    <definedName name="__123Graph_XESTRUT" hidden="1">[4]Q2_4!#REF!</definedName>
    <definedName name="__123Graph_XGERAL" localSheetId="16" hidden="1">[5]MENSAL!#REF!</definedName>
    <definedName name="__123Graph_XGERAL" hidden="1">[5]MENSAL!#REF!</definedName>
    <definedName name="__123Graph_XIGPDI" localSheetId="16" hidden="1">[5]MENSAL!#REF!</definedName>
    <definedName name="__123Graph_XIGPDI" hidden="1">[5]MENSAL!#REF!</definedName>
    <definedName name="__123Graph_XIGPM" localSheetId="16" hidden="1">[5]MENSAL!#REF!</definedName>
    <definedName name="__123Graph_XIGPM" hidden="1">[5]MENSAL!#REF!</definedName>
    <definedName name="__123Graph_XIND" localSheetId="16" hidden="1">[5]MENSAL!#REF!</definedName>
    <definedName name="__123Graph_XIND" hidden="1">[5]MENSAL!#REF!</definedName>
    <definedName name="__123Graph_XINDICES" localSheetId="16" hidden="1">[5]MENSAL!#REF!</definedName>
    <definedName name="__123Graph_XINDICES" hidden="1">[5]MENSAL!#REF!</definedName>
    <definedName name="__123Graph_XINFLACAO" localSheetId="16" hidden="1">[5]MENSAL!#REF!</definedName>
    <definedName name="__123Graph_XINFLACAO" hidden="1">[5]MENSAL!#REF!</definedName>
    <definedName name="__123Graph_XINPC" localSheetId="16" hidden="1">[5]MENSAL!#REF!</definedName>
    <definedName name="__123Graph_XINPC" hidden="1">[5]MENSAL!#REF!</definedName>
    <definedName name="__123Graph_XIPA" localSheetId="16" hidden="1">[5]MENSAL!#REF!</definedName>
    <definedName name="__123Graph_XIPA" hidden="1">[5]MENSAL!#REF!</definedName>
    <definedName name="__123Graph_XLFT" localSheetId="16" hidden="1">[5]MENSAL!#REF!</definedName>
    <definedName name="__123Graph_XLFT" hidden="1">[5]MENSAL!#REF!</definedName>
    <definedName name="__123Graph_XPREVRCOM" localSheetId="16" hidden="1">[2]Mercado!#REF!</definedName>
    <definedName name="__123Graph_XPREVRCOM" hidden="1">[2]Mercado!#REF!</definedName>
    <definedName name="__123Graph_XPREVREALI" localSheetId="16" hidden="1">[2]Mercado!#REF!</definedName>
    <definedName name="__123Graph_XPREVREALI" hidden="1">[2]Mercado!#REF!</definedName>
    <definedName name="__123Graph_XPREVRIND" localSheetId="16" hidden="1">[2]Mercado!#REF!</definedName>
    <definedName name="__123Graph_XPREVRIND" hidden="1">[2]Mercado!#REF!</definedName>
    <definedName name="__123Graph_XPREVROUT" localSheetId="16" hidden="1">[2]Mercado!#REF!</definedName>
    <definedName name="__123Graph_XPREVROUT" hidden="1">[2]Mercado!#REF!</definedName>
    <definedName name="__123Graph_XPREVRRES" localSheetId="16" hidden="1">[2]Mercado!#REF!</definedName>
    <definedName name="__123Graph_XPREVRRES" hidden="1">[2]Mercado!#REF!</definedName>
    <definedName name="__123Graph_XPREVRTOT" localSheetId="16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localSheetId="19" hidden="1">{#N/A,#N/A,FALSE,"ENERGIA";#N/A,#N/A,FALSE,"PERDIDAS";#N/A,#N/A,FALSE,"CLIENTES";#N/A,#N/A,FALSE,"ESTADO";#N/A,#N/A,FALSE,"TECNICA"}</definedName>
    <definedName name="__bb1" hidden="1">{#N/A,#N/A,FALSE,"ENERGIA";#N/A,#N/A,FALSE,"PERDIDAS";#N/A,#N/A,FALSE,"CLIENTES";#N/A,#N/A,FALSE,"ESTADO";#N/A,#N/A,FALSE,"TECNICA"}</definedName>
    <definedName name="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localSheetId="19" hidden="1">{#N/A,#N/A,FALSE,"ENERGIA";#N/A,#N/A,FALSE,"PERDIDAS";#N/A,#N/A,FALSE,"CLIENTES";#N/A,#N/A,FALSE,"ESTADO";#N/A,#N/A,FALSE,"TECNICA"}</definedName>
    <definedName name="__e1" hidden="1">{#N/A,#N/A,FALSE,"ENERGIA";#N/A,#N/A,FALSE,"PERDIDAS";#N/A,#N/A,FALSE,"CLIENTES";#N/A,#N/A,FALSE,"ESTADO";#N/A,#N/A,FALSE,"TECNICA"}</definedName>
    <definedName name="__ep1" localSheetId="19" hidden="1">{#N/A,#N/A,FALSE,"CONTROLE"}</definedName>
    <definedName name="__ep1" hidden="1">{#N/A,#N/A,FALSE,"CONTROLE"}</definedName>
    <definedName name="__FT08" hidden="1">"3OYHDJRF05V1IN1D1R6C32J5E"</definedName>
    <definedName name="__r" localSheetId="19" hidden="1">{#N/A,#N/A,FALSE,"CONTROLE"}</definedName>
    <definedName name="__r" hidden="1">{#N/A,#N/A,FALSE,"CONTROLE"}</definedName>
    <definedName name="__yh7" localSheetId="19" hidden="1">{#N/A,#N/A,FALSE,"CONTROLE";#N/A,#N/A,FALSE,"CONTROLE"}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localSheetId="19" hidden="1">[4]Q2_2!#REF!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localSheetId="19" hidden="1">[4]Q2_2!#REF!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localSheetId="19" hidden="1">[4]Q2_2!#REF!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localSheetId="19" hidden="1">[4]Q2_2!#REF!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localSheetId="19" hidden="1">'[7]Dados Base'!#REF!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localSheetId="19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localSheetId="19" hidden="1">'[8]Dados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localSheetId="19" hidden="1">#REF!</definedName>
    <definedName name="_AMO_SingleObject_630089467_ROM_F0.SEC2.Print_1.SEC1.BDY.Data_Set_WORK_PARCELABBADNET" hidden="1">#REF!</definedName>
    <definedName name="_AMO_SingleObject_630089467_ROM_F0.SEC2.Print_1.SEC1.HDR.TXT1" localSheetId="19" hidden="1">#REF!</definedName>
    <definedName name="_AMO_SingleObject_630089467_ROM_F0.SEC2.Print_1.SEC1.HDR.TXT1" hidden="1">#REF!</definedName>
    <definedName name="_AMO_SingleObject_630089467_ROM_F0.SEC2.Tabulate_1.SEC1.BDY.Cross_tabular_summary_report_Table_1" localSheetId="19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localSheetId="19" hidden="1">'[8]Dados Base'!#REF!</definedName>
    <definedName name="_AMO_SingleObject_703996623_ROM_F0.SEC2.Print_4.SEC1.HDR.TXT1" hidden="1">'[8]Dados Base'!#REF!</definedName>
    <definedName name="_AMO_SingleObject_718052594_ROM_F0.SEC2.Print_4.SEC1.HDR.TXT1" localSheetId="19" hidden="1">'[8]Dados Base'!#REF!</definedName>
    <definedName name="_AMO_SingleObject_718052594_ROM_F0.SEC2.Print_4.SEC1.HDR.TXT1" hidden="1">'[8]Dados Base'!#REF!</definedName>
    <definedName name="_AMO_SingleObject_907815323_ROM_F0.SEC2.Print_1.SEC1.HDR.TXT1" localSheetId="19" hidden="1">'[7]Dados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localSheetId="19" hidden="1">'[8]Dados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localSheetId="19" hidden="1">'[8]Dados Base'!#REF!</definedName>
    <definedName name="_AMO_SingleObject_907815323_ROM_F0.SEC2.Tabulate_1.SEC1.HDR.TXT1" hidden="1">'[8]Dados Base'!#REF!</definedName>
    <definedName name="_AMO_XmlVersion">"'1'"</definedName>
    <definedName name="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localSheetId="19" hidden="1">{#N/A,#N/A,FALSE,"ENERGIA";#N/A,#N/A,FALSE,"PERDIDAS";#N/A,#N/A,FALSE,"CLIENTES";#N/A,#N/A,FALSE,"ESTADO";#N/A,#N/A,FALSE,"TECNICA"}</definedName>
    <definedName name="_bb1" hidden="1">{#N/A,#N/A,FALSE,"ENERGIA";#N/A,#N/A,FALSE,"PERDIDAS";#N/A,#N/A,FALSE,"CLIENTES";#N/A,#N/A,FALSE,"ESTADO";#N/A,#N/A,FALSE,"TECNICA"}</definedName>
    <definedName name="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localSheetId="19" hidden="1">{#N/A,#N/A,FALSE,"ENERGIA";#N/A,#N/A,FALSE,"PERDIDAS";#N/A,#N/A,FALSE,"CLIENTES";#N/A,#N/A,FALSE,"ESTADO";#N/A,#N/A,FALSE,"TECNICA"}</definedName>
    <definedName name="_e1" hidden="1">{#N/A,#N/A,FALSE,"ENERGIA";#N/A,#N/A,FALSE,"PERDIDAS";#N/A,#N/A,FALSE,"CLIENTES";#N/A,#N/A,FALSE,"ESTADO";#N/A,#N/A,FALSE,"TECNICA"}</definedName>
    <definedName name="_Fill" localSheetId="21" hidden="1">#REF!</definedName>
    <definedName name="_Fill" localSheetId="19" hidden="1">#REF!</definedName>
    <definedName name="_Fill" localSheetId="16" hidden="1">#REF!</definedName>
    <definedName name="_Fill" hidden="1">#REF!</definedName>
    <definedName name="_xlnm._FilterDatabase" localSheetId="1" hidden="1">BD!$H$5:$W$30</definedName>
    <definedName name="_xlnm._FilterDatabase" localSheetId="24" hidden="1">'BD SUPRIMENTO'!$B$1:$R$165</definedName>
    <definedName name="_xlnm._FilterDatabase" localSheetId="29" hidden="1">'BD-NET'!$A$1:$P$104</definedName>
    <definedName name="_xlnm._FilterDatabase" localSheetId="6" hidden="1">CAPA!$A:$H</definedName>
    <definedName name="_xlnm._FilterDatabase" localSheetId="31" hidden="1">COEFICIENTES!$D$20:$M$124</definedName>
    <definedName name="_xlnm._FilterDatabase" localSheetId="12" hidden="1">CUSD!$A:$H</definedName>
    <definedName name="_xlnm._FilterDatabase" localSheetId="21" hidden="1">#REF!</definedName>
    <definedName name="_xlnm._FilterDatabase" localSheetId="10" hidden="1">Energia!$A:$H</definedName>
    <definedName name="_xlnm._FilterDatabase" localSheetId="4" hidden="1">Faturas!$AB$1:$AE$1124</definedName>
    <definedName name="_xlnm._FilterDatabase" localSheetId="27" hidden="1">Índices!$B$6:$F$500</definedName>
    <definedName name="_xlnm._FilterDatabase" localSheetId="19" hidden="1">#REF!</definedName>
    <definedName name="_xlnm._FilterDatabase" localSheetId="25" hidden="1">RA0BD!$A$1:$U$205</definedName>
    <definedName name="_xlnm._FilterDatabase" localSheetId="13" hidden="1">'Rede Básica + Ajuste'!$AA$17:$AA$60</definedName>
    <definedName name="_xlnm._FilterDatabase" localSheetId="26" hidden="1">SimuBD!$A$1:$N$27</definedName>
    <definedName name="_xlnm._FilterDatabase" localSheetId="0" hidden="1">Subsidio!$A$1:$J$52</definedName>
    <definedName name="_xlnm._FilterDatabase" localSheetId="16" hidden="1">'Tabelas e Gráficos'!$BJ$290:$BJ$308</definedName>
    <definedName name="_xlnm._FilterDatabase" hidden="1">#REF!</definedName>
    <definedName name="_FT08" hidden="1">"3OYHDJRF05V1IN1D1R6C32J5E"</definedName>
    <definedName name="_Key1" localSheetId="21" hidden="1">#REF!</definedName>
    <definedName name="_Key1" localSheetId="19" hidden="1">#REF!</definedName>
    <definedName name="_Key1" localSheetId="16" hidden="1">#REF!</definedName>
    <definedName name="_Key1" hidden="1">#REF!</definedName>
    <definedName name="_Key2" hidden="1">#REF!</definedName>
    <definedName name="_MEN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localSheetId="19" hidden="1">#REF!</definedName>
    <definedName name="_p55" hidden="1">#REF!</definedName>
    <definedName name="_PP12" localSheetId="19" hidden="1">{#N/A,#N/A,FALSE,"ENERGIA";#N/A,#N/A,FALSE,"PERDIDAS";#N/A,#N/A,FALSE,"CLIENTES";#N/A,#N/A,FALSE,"ESTADO";#N/A,#N/A,FALSE,"TECNICA"}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21" hidden="1">'[9] PIB Brasil ( R$ de 1996 )'!#REF!</definedName>
    <definedName name="_Regression_Out" localSheetId="16" hidden="1">'[9] PIB Brasil ( R$ de 1996 )'!#REF!</definedName>
    <definedName name="_Regression_Out" hidden="1">'[9] PIB Brasil ( R$ de 1996 )'!#REF!</definedName>
    <definedName name="_Regression_X" localSheetId="21" hidden="1">'[9] PIB Brasil ( R$ de 1996 )'!#REF!</definedName>
    <definedName name="_Regression_X" localSheetId="16" hidden="1">'[9] PIB Brasil ( R$ de 1996 )'!#REF!</definedName>
    <definedName name="_Regression_X" hidden="1">'[9] PIB Brasil ( R$ de 1996 )'!#REF!</definedName>
    <definedName name="_Regression_Y" localSheetId="19" hidden="1">#REF!</definedName>
    <definedName name="_Regression_Y" hidden="1">#REF!</definedName>
    <definedName name="_s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21" hidden="1">#REF!</definedName>
    <definedName name="_Sort" localSheetId="19" hidden="1">#REF!</definedName>
    <definedName name="_Sort" localSheetId="16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localSheetId="19" hidden="1">{#N/A,#N/A,FALSE,"CONTROLE";#N/A,#N/A,FALSE,"CONTROLE"}</definedName>
    <definedName name="_yh7" hidden="1">{#N/A,#N/A,FALSE,"CONTROLE";#N/A,#N/A,FALSE,"CONTROLE"}</definedName>
    <definedName name="A" localSheetId="21" hidden="1">{#N/A,#N/A,FALSE,"ENERGIA";#N/A,#N/A,FALSE,"PERDIDAS";#N/A,#N/A,FALSE,"CLIENTES";#N/A,#N/A,FALSE,"ESTADO";#N/A,#N/A,FALSE,"TECNICA"}</definedName>
    <definedName name="A" localSheetId="19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localSheetId="19" hidden="1">{#N/A,#N/A,FALSE,"CONTROLE";#N/A,#N/A,FALSE,"CONTROLE"}</definedName>
    <definedName name="a_" hidden="1">{#N/A,#N/A,FALSE,"CONTROLE";#N/A,#N/A,FALSE,"CONTROLE"}</definedName>
    <definedName name="a4e4" localSheetId="19" hidden="1">{#N/A,#N/A,FALSE,"CONTROLE"}</definedName>
    <definedName name="a4e4" hidden="1">{#N/A,#N/A,FALSE,"CONTROLE"}</definedName>
    <definedName name="abc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localSheetId="19" hidden="1">{#N/A,#N/A,FALSE,"CONTROLE";#N/A,#N/A,FALSE,"CONTROLE"}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>CAPA!$C$13</definedName>
    <definedName name="anscount" hidden="1">3</definedName>
    <definedName name="aplicação" localSheetId="19" hidden="1">{#N/A,#N/A,FALSE,"CONTROLE"}</definedName>
    <definedName name="aplicação" hidden="1">{#N/A,#N/A,FALSE,"CONTROLE"}</definedName>
    <definedName name="aplicação_" localSheetId="19" hidden="1">{#N/A,#N/A,FALSE,"CONTROLE"}</definedName>
    <definedName name="aplicação_" hidden="1">{#N/A,#N/A,FALSE,"CONTROLE"}</definedName>
    <definedName name="_xlnm.Extract" localSheetId="4">Faturas!$O:$V</definedName>
    <definedName name="aretret" localSheetId="19" hidden="1">{#N/A,#N/A,FALSE,"CONTROLE"}</definedName>
    <definedName name="aretret" hidden="1">{#N/A,#N/A,FALSE,"CONTROLE"}</definedName>
    <definedName name="artret" localSheetId="19" hidden="1">{#N/A,#N/A,FALSE,"CONTROLE";#N/A,#N/A,FALSE,"CONTROLE"}</definedName>
    <definedName name="artret" hidden="1">{#N/A,#N/A,FALSE,"CONTROLE";#N/A,#N/A,FALSE,"CONTROLE"}</definedName>
    <definedName name="as" localSheetId="19" hidden="1">{#N/A,#N/A,FALSE,"ENERGIA";#N/A,#N/A,FALSE,"PERDIDAS";#N/A,#N/A,FALSE,"CLIENTES";#N/A,#N/A,FALSE,"ESTADO";#N/A,#N/A,FALSE,"TECNICA"}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localSheetId="19" hidden="1">{#N/A,#N/A,FALSE,"CONTROLE";#N/A,#N/A,FALSE,"CONTROLE"}</definedName>
    <definedName name="asadsasd" hidden="1">{#N/A,#N/A,FALSE,"CONTROLE";#N/A,#N/A,FALSE,"CONTROLE"}</definedName>
    <definedName name="asas" hidden="1">[1]Calc!$AL$8:$AL$21</definedName>
    <definedName name="asdadsada" localSheetId="19" hidden="1">{#N/A,#N/A,FALSE,"CONTROLE"}</definedName>
    <definedName name="asdadsada" hidden="1">{#N/A,#N/A,FALSE,"CONTROLE"}</definedName>
    <definedName name="asdf" localSheetId="19" hidden="1">{#N/A,#N/A,FALSE,"CONTROLE"}</definedName>
    <definedName name="asdf" hidden="1">{#N/A,#N/A,FALSE,"CONTROLE"}</definedName>
    <definedName name="asfaf" localSheetId="19" hidden="1">{#N/A,#N/A,FALSE,"ENERGIA";#N/A,#N/A,FALSE,"PERDIDAS";#N/A,#N/A,FALSE,"CLIENTES";#N/A,#N/A,FALSE,"ESTADO";#N/A,#N/A,FALSE,"TECNICA"}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21" hidden="1">[2]Mercado!#REF!</definedName>
    <definedName name="B" localSheetId="19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21" hidden="1">#REF!</definedName>
    <definedName name="BANCO1" localSheetId="19" hidden="1">#REF!</definedName>
    <definedName name="BANCO1" localSheetId="16" hidden="1">#REF!</definedName>
    <definedName name="BANCO1" hidden="1">#REF!</definedName>
    <definedName name="bb" localSheetId="21" hidden="1">{#N/A,#N/A,FALSE,"ENERGIA";#N/A,#N/A,FALSE,"PERDIDAS";#N/A,#N/A,FALSE,"CLIENTES";#N/A,#N/A,FALSE,"ESTADO";#N/A,#N/A,FALSE,"TECNICA"}</definedName>
    <definedName name="bb" localSheetId="19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localSheetId="19" hidden="1">{#N/A,#N/A,FALSE,"ENERGIA";#N/A,#N/A,FALSE,"PERDIDAS";#N/A,#N/A,FALSE,"CLIENTES";#N/A,#N/A,FALSE,"ESTADO";#N/A,#N/A,FALSE,"TECNICA"}</definedName>
    <definedName name="bbosta" hidden="1">{#N/A,#N/A,FALSE,"ENERGIA";#N/A,#N/A,FALSE,"PERDIDAS";#N/A,#N/A,FALSE,"CLIENTES";#N/A,#N/A,FALSE,"ESTADO";#N/A,#N/A,FALSE,"TECNICA"}</definedName>
    <definedName name="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localSheetId="19" hidden="1">{#N/A,#N/A,FALSE,"ENERGIA";#N/A,#N/A,FALSE,"PERDIDAS";#N/A,#N/A,FALSE,"CLIENTES";#N/A,#N/A,FALSE,"ESTADO";#N/A,#N/A,FALSE,"TECNICA"}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localSheetId="19" hidden="1">{#N/A,#N/A,FALSE,"ENERGIA";#N/A,#N/A,FALSE,"PERDIDAS";#N/A,#N/A,FALSE,"CLIENTES";#N/A,#N/A,FALSE,"ESTADO";#N/A,#N/A,FALSE,"TECNICA"}</definedName>
    <definedName name="CEMIG" hidden="1">{#N/A,#N/A,FALSE,"ENERGIA";#N/A,#N/A,FALSE,"PERDIDAS";#N/A,#N/A,FALSE,"CLIENTES";#N/A,#N/A,FALSE,"ESTADO";#N/A,#N/A,FALSE,"TECNICA"}</definedName>
    <definedName name="CENF_ANT" localSheetId="19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localSheetId="19" hidden="1">{#N/A,#N/A,FALSE,"CONTROLE"}</definedName>
    <definedName name="cgico" hidden="1">{#N/A,#N/A,FALSE,"CONTROLE"}</definedName>
    <definedName name="Chico" localSheetId="19" hidden="1">{#N/A,#N/A,FALSE,"CONTROLE"}</definedName>
    <definedName name="Chico" hidden="1">{#N/A,#N/A,FALSE,"CONTROLE"}</definedName>
    <definedName name="Chico_" localSheetId="19" hidden="1">{#N/A,#N/A,FALSE,"CONTROLE"}</definedName>
    <definedName name="Chico_" hidden="1">{#N/A,#N/A,FALSE,"CONTROLE"}</definedName>
    <definedName name="Chico__" localSheetId="19" hidden="1">{#N/A,#N/A,FALSE,"CONTROLE"}</definedName>
    <definedName name="Chico__" hidden="1">{#N/A,#N/A,FALSE,"CONTROLE"}</definedName>
    <definedName name="Chico___" localSheetId="19" hidden="1">{#N/A,#N/A,FALSE,"CONTROLE";#N/A,#N/A,FALSE,"CONTROLE"}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localSheetId="19" hidden="1">{#N/A,#N/A,FALSE,"CONTROLE";#N/A,#N/A,FALSE,"CONTROLE"}</definedName>
    <definedName name="comp.SP.pag.4.PIRA" hidden="1">{#N/A,#N/A,FALSE,"CONTROLE";#N/A,#N/A,FALSE,"CONTROLE"}</definedName>
    <definedName name="conferencia" localSheetId="19" hidden="1">{#N/A,#N/A,FALSE,"ENERGIA";#N/A,#N/A,FALSE,"PERDIDAS";#N/A,#N/A,FALSE,"CLIENTES";#N/A,#N/A,FALSE,"ESTADO";#N/A,#N/A,FALSE,"TECNICA"}</definedName>
    <definedName name="conferencia" hidden="1">{#N/A,#N/A,FALSE,"ENERGIA";#N/A,#N/A,FALSE,"PERDIDAS";#N/A,#N/A,FALSE,"CLIENTES";#N/A,#N/A,FALSE,"ESTADO";#N/A,#N/A,FALSE,"TECNICA"}</definedName>
    <definedName name="COPIA" localSheetId="19" hidden="1">{#N/A,#N/A,FALSE,"CONTROLE"}</definedName>
    <definedName name="COPIA" hidden="1">{#N/A,#N/A,FALSE,"CONTROLE"}</definedName>
    <definedName name="COPIA1" localSheetId="19" hidden="1">{#N/A,#N/A,FALSE,"CONTROLE"}</definedName>
    <definedName name="COPIA1" hidden="1">{#N/A,#N/A,FALSE,"CONTROLE"}</definedName>
    <definedName name="_xlnm.Criteria" localSheetId="4">Faturas!$J$1:$M$5</definedName>
    <definedName name="cust" localSheetId="19" hidden="1">{#N/A,#N/A,FALSE,"CONTROLE"}</definedName>
    <definedName name="cust" hidden="1">{#N/A,#N/A,FALSE,"CONTROLE"}</definedName>
    <definedName name="cv" localSheetId="19" hidden="1">{#N/A,#N/A,FALSE,"CONTROLE"}</definedName>
    <definedName name="cv" hidden="1">{#N/A,#N/A,FALSE,"CONTROLE"}</definedName>
    <definedName name="cvcvxvxcvxcvxcv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localSheetId="19" hidden="1">{#N/A,#N/A,FALSE,"CONTROLE"}</definedName>
    <definedName name="DASDA" hidden="1">{#N/A,#N/A,FALSE,"CONTROLE"}</definedName>
    <definedName name="DataRevRea">CAPA!$C$15</definedName>
    <definedName name="DCC" localSheetId="19" hidden="1">{#N/A,#N/A,FALSE,"CONTROLE"}</definedName>
    <definedName name="DCC" hidden="1">{#N/A,#N/A,FALSE,"CONTROLE"}</definedName>
    <definedName name="dddd" localSheetId="19" hidden="1">{#N/A,#N/A,FALSE,"CONTROLE";#N/A,#N/A,FALSE,"CONTROLE"}</definedName>
    <definedName name="dddd" hidden="1">{#N/A,#N/A,FALSE,"CONTROLE";#N/A,#N/A,FALSE,"CONTROLE"}</definedName>
    <definedName name="ddddddddddddddddddd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localSheetId="19" hidden="1">{#N/A,#N/A,FALSE,"CONTROLE"}</definedName>
    <definedName name="ddsds" hidden="1">{#N/A,#N/A,FALSE,"CONTROLE"}</definedName>
    <definedName name="defw" localSheetId="19" hidden="1">{#N/A,#N/A,FALSE,"CONTROLE";#N/A,#N/A,FALSE,"CONTROLE"}</definedName>
    <definedName name="defw" hidden="1">{#N/A,#N/A,FALSE,"CONTROLE";#N/A,#N/A,FALSE,"CONTROLE"}</definedName>
    <definedName name="departamentos" localSheetId="19" hidden="1">{#N/A,#N/A,FALSE,"CONTROLE";#N/A,#N/A,FALSE,"CONTROLE"}</definedName>
    <definedName name="departamentos" hidden="1">{#N/A,#N/A,FALSE,"CONTROLE";#N/A,#N/A,FALSE,"CONTROLE"}</definedName>
    <definedName name="df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df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localSheetId="19" hidden="1">{#N/A,#N/A,FALSE,"ENERGIA";#N/A,#N/A,FALSE,"PERDIDAS";#N/A,#N/A,FALSE,"CLIENTES";#N/A,#N/A,FALSE,"ESTADO";#N/A,#N/A,FALSE,"TECNICA"}</definedName>
    <definedName name="dfsagasgdfagadfgdaf" hidden="1">{#N/A,#N/A,FALSE,"ENERGIA";#N/A,#N/A,FALSE,"PERDIDAS";#N/A,#N/A,FALSE,"CLIENTES";#N/A,#N/A,FALSE,"ESTADO";#N/A,#N/A,FALSE,"TECNICA"}</definedName>
    <definedName name="ds" localSheetId="19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21" hidden="1">[2]Mercado!#REF!</definedName>
    <definedName name="E" localSheetId="19" hidden="1">[2]Mercado!#REF!</definedName>
    <definedName name="e" hidden="1">{#N/A,#N/A,FALSE,"ENERGIA";#N/A,#N/A,FALSE,"PERDIDAS";#N/A,#N/A,FALSE,"CLIENTES";#N/A,#N/A,FALSE,"ESTADO";#N/A,#N/A,FALSE,"TECNICA"}</definedName>
    <definedName name="EAEEE" localSheetId="19" hidden="1">{#N/A,#N/A,FALSE,"CONTROLE";#N/A,#N/A,FALSE,"CONTROLE"}</definedName>
    <definedName name="EAEEE" hidden="1">{#N/A,#N/A,FALSE,"CONTROLE";#N/A,#N/A,FALSE,"CONTROLE"}</definedName>
    <definedName name="ee" localSheetId="19" hidden="1">{#N/A,#N/A,FALSE,"CONTROLE"}</definedName>
    <definedName name="ee" hidden="1">{#N/A,#N/A,FALSE,"CONTROLE"}</definedName>
    <definedName name="efi" localSheetId="19" hidden="1">{#N/A,#N/A,FALSE,"CONTROLE"}</definedName>
    <definedName name="efi" hidden="1">{#N/A,#N/A,FALSE,"CONTROLE"}</definedName>
    <definedName name="eficiencia" localSheetId="19" hidden="1">{#N/A,#N/A,FALSE,"CONTROLE"}</definedName>
    <definedName name="eficiencia" hidden="1">{#N/A,#N/A,FALSE,"CONTROLE"}</definedName>
    <definedName name="ENERTRA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16" hidden="1">[2]Mercado!#REF!</definedName>
    <definedName name="F" localSheetId="21" hidden="1">#REF!</definedName>
    <definedName name="F" localSheetId="19" hidden="1">#REF!</definedName>
    <definedName name="F" hidden="1">{#N/A,#N/A,FALSE,"ENERGIA";#N/A,#N/A,FALSE,"PERDIDAS";#N/A,#N/A,FALSE,"CLIENTES";#N/A,#N/A,FALSE,"ESTADO";#N/A,#N/A,FALSE,"TECNICA"}</definedName>
    <definedName name="fa" localSheetId="19" hidden="1">{#N/A,#N/A,FALSE,"CONTROLE"}</definedName>
    <definedName name="fa" hidden="1">{#N/A,#N/A,FALSE,"CONTROLE"}</definedName>
    <definedName name="fdfd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localSheetId="19" hidden="1">{#N/A,#N/A,FALSE,"CONTROLE";#N/A,#N/A,FALSE,"CONTROLE"}</definedName>
    <definedName name="fevcpflr" hidden="1">{#N/A,#N/A,FALSE,"CONTROLE";#N/A,#N/A,FALSE,"CONTROLE"}</definedName>
    <definedName name="ff" localSheetId="21" hidden="1">{#N/A,#N/A,FALSE,"ENERGIA";#N/A,#N/A,FALSE,"PERDIDAS";#N/A,#N/A,FALSE,"CLIENTES";#N/A,#N/A,FALSE,"ESTADO";#N/A,#N/A,FALSE,"TECNICA"}</definedName>
    <definedName name="ff" localSheetId="19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localSheetId="19" hidden="1">{#N/A,#N/A,FALSE,"CONTROLE"}</definedName>
    <definedName name="fgfghtfhjgh" hidden="1">{#N/A,#N/A,FALSE,"CONTROLE"}</definedName>
    <definedName name="fornecimento" localSheetId="19" hidden="1">{#N/A,#N/A,FALSE,"CONTROLE"}</definedName>
    <definedName name="fornecimento" hidden="1">{#N/A,#N/A,FALSE,"CONTROLE"}</definedName>
    <definedName name="FornecimentoE">Calc_Mercado!$C$8</definedName>
    <definedName name="FornecimentoE_A1">Calc_Mercado!$C$9</definedName>
    <definedName name="FornecimentoE_BT">Calc_Mercado!$C$15</definedName>
    <definedName name="frr" localSheetId="19" hidden="1">{#N/A,#N/A,FALSE,"CONTROLE"}</definedName>
    <definedName name="frr" hidden="1">{#N/A,#N/A,FALSE,"CONTROLE"}</definedName>
    <definedName name="fx" localSheetId="21" hidden="1">{#N/A,#N/A,FALSE,"ENERGIA";#N/A,#N/A,FALSE,"PERDIDAS";#N/A,#N/A,FALSE,"CLIENTES";#N/A,#N/A,FALSE,"ESTADO";#N/A,#N/A,FALSE,"TECNICA"}</definedName>
    <definedName name="fx" localSheetId="19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localSheetId="19" hidden="1">#REF!</definedName>
    <definedName name="G" hidden="1">#REF!</definedName>
    <definedName name="gbvergtrgfv" localSheetId="19" hidden="1">{#N/A,#N/A,FALSE,"CONTROLE";#N/A,#N/A,FALSE,"CONTROLE"}</definedName>
    <definedName name="gbvergtrgfv" hidden="1">{#N/A,#N/A,FALSE,"CONTROLE";#N/A,#N/A,FALSE,"CONTROLE"}</definedName>
    <definedName name="ger" localSheetId="19" hidden="1">{#N/A,#N/A,FALSE,"CONTROLE"}</definedName>
    <definedName name="ger" hidden="1">{#N/A,#N/A,FALSE,"CONTROLE"}</definedName>
    <definedName name="gerencial" localSheetId="19" hidden="1">{#N/A,#N/A,FALSE,"CONTROLE"}</definedName>
    <definedName name="gerencial" hidden="1">{#N/A,#N/A,FALSE,"CONTROLE"}</definedName>
    <definedName name="gfgsdfrytwcfrycRV" localSheetId="19" hidden="1">{#N/A,#N/A,FALSE,"CONTROLE";#N/A,#N/A,FALSE,"CONTROLE"}</definedName>
    <definedName name="gfgsdfrytwcfrycRV" hidden="1">{#N/A,#N/A,FALSE,"CONTROLE";#N/A,#N/A,FALSE,"CONTROLE"}</definedName>
    <definedName name="gjhyd" localSheetId="19" hidden="1">{#N/A,#N/A,FALSE,"CONTROLE"}</definedName>
    <definedName name="gjhyd" hidden="1">{#N/A,#N/A,FALSE,"CONTROLE"}</definedName>
    <definedName name="gkjf" localSheetId="19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localSheetId="19" hidden="1">{#N/A,#N/A,FALSE,"CONTROLE"}</definedName>
    <definedName name="Grafico" hidden="1">{#N/A,#N/A,FALSE,"CONTROLE"}</definedName>
    <definedName name="GraphRepasse">'Tabelas e Gráficos'!$BA$290:$BI$297</definedName>
    <definedName name="GT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CVA">CVE!$C$9:$E$17,CVE!$I$9:$I$9,CVE!$D$24:$D$32,CVE!$C$42,CVE!$C$46,CVE!$I$11:$I$14</definedName>
    <definedName name="Guapore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localSheetId="19" hidden="1">#REF!</definedName>
    <definedName name="H" hidden="1">#REF!</definedName>
    <definedName name="hghjhhgj" localSheetId="19" hidden="1">{#N/A,#N/A,FALSE,"CONTROLE";#N/A,#N/A,FALSE,"CONTROLE"}</definedName>
    <definedName name="hghjhhgj" hidden="1">{#N/A,#N/A,FALSE,"CONTROLE";#N/A,#N/A,FALSE,"CONTROLE"}</definedName>
    <definedName name="hjawt" localSheetId="19" hidden="1">{#N/A,#N/A,FALSE,"CONTROLE"}</definedName>
    <definedName name="hjawt" hidden="1">{#N/A,#N/A,FALSE,"CONTROLE"}</definedName>
    <definedName name="ht" localSheetId="19" hidden="1">{#N/A,#N/A,FALSE,"CONTROLE"}</definedName>
    <definedName name="ht" hidden="1">{#N/A,#N/A,FALSE,"CONTROLE"}</definedName>
    <definedName name="HTML_CodePage" hidden="1">1252</definedName>
    <definedName name="HTML_Control" localSheetId="19" hidden="1">{"'1998'!$B$2:$O$16"}</definedName>
    <definedName name="HTML_Control" hidden="1">{"'1998'!$B$2:$O$16"}</definedName>
    <definedName name="HTML_Control2" localSheetId="19" hidden="1">{"'DEC ou FEC'!$A$1:$O$132"}</definedName>
    <definedName name="HTML_Control2" hidden="1">{"'DEC ou FEC'!$A$1:$O$132"}</definedName>
    <definedName name="HTML_Control3" localSheetId="19" hidden="1">{"'DEC ou FEC'!$A$1:$O$132"}</definedName>
    <definedName name="HTML_Control3" hidden="1">{"'DEC ou FEC'!$A$1:$O$132"}</definedName>
    <definedName name="HTML_Control4" localSheetId="19" hidden="1">{"'DEC ou FEC'!$A$1:$O$132"}</definedName>
    <definedName name="HTML_Control4" hidden="1">{"'DEC ou FEC'!$A$1:$O$132"}</definedName>
    <definedName name="HTML_Control5" localSheetId="19" hidden="1">{"'DEC ou FEC'!$A$1:$O$132"}</definedName>
    <definedName name="HTML_Control5" hidden="1">{"'DEC ou FEC'!$A$1:$O$132"}</definedName>
    <definedName name="HTML_Control6" localSheetId="19" hidden="1">{"'DEC ou FEC'!$A$1:$O$132"}</definedName>
    <definedName name="HTML_Control6" hidden="1">{"'DEC ou FEC'!$A$1:$O$132"}</definedName>
    <definedName name="HTML_Control7" localSheetId="19" hidden="1">{"'DEC ou FEC'!$A$1:$O$132"}</definedName>
    <definedName name="HTML_Control7" hidden="1">{"'DEC ou FEC'!$A$1:$O$132"}</definedName>
    <definedName name="HTML_Control8" localSheetId="19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localSheetId="19" hidden="1">[2]Mercado!#REF!</definedName>
    <definedName name="I" hidden="1">[2]Mercado!#REF!</definedName>
    <definedName name="idagente">CAPA!$K$11</definedName>
    <definedName name="idsreag">CAPA!$K$10</definedName>
    <definedName name="im" localSheetId="21" hidden="1">{#N/A,#N/A,FALSE,"ENERGIA";#N/A,#N/A,FALSE,"PERDIDAS";#N/A,#N/A,FALSE,"CLIENTES";#N/A,#N/A,FALSE,"ESTADO";#N/A,#N/A,FALSE,"TECNICA"}</definedName>
    <definedName name="im" localSheetId="19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im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[10]Detail!#REF!</definedName>
    <definedName name="iukiikii" localSheetId="19" hidden="1">{#N/A,#N/A,FALSE,"CONTROLE"}</definedName>
    <definedName name="iukiikii" hidden="1">{#N/A,#N/A,FALSE,"CONTROLE"}</definedName>
    <definedName name="J" localSheetId="19" hidden="1">#REF!</definedName>
    <definedName name="J" hidden="1">#REF!</definedName>
    <definedName name="jd" localSheetId="19" hidden="1">{#N/A,#N/A,FALSE,"CONTROLE"}</definedName>
    <definedName name="jd" hidden="1">{#N/A,#N/A,FALSE,"CONTROLE"}</definedName>
    <definedName name="jhhgj" localSheetId="19" hidden="1">{#N/A,#N/A,FALSE,"CONTROLE"}</definedName>
    <definedName name="jhhgj" hidden="1">{#N/A,#N/A,FALSE,"CONTROLE"}</definedName>
    <definedName name="juu" localSheetId="19" hidden="1">{#N/A,#N/A,FALSE,"CONTROLE"}</definedName>
    <definedName name="juu" hidden="1">{#N/A,#N/A,FALSE,"CONTROLE"}</definedName>
    <definedName name="jyd" localSheetId="19" hidden="1">{#N/A,#N/A,FALSE,"CONTROLE"}</definedName>
    <definedName name="jyd" hidden="1">{#N/A,#N/A,FALSE,"CONTROLE"}</definedName>
    <definedName name="kico" localSheetId="19" hidden="1">{#N/A,#N/A,FALSE,"CONTROLE";#N/A,#N/A,FALSE,"CONTROLE"}</definedName>
    <definedName name="kico" hidden="1">{#N/A,#N/A,FALSE,"CONTROLE";#N/A,#N/A,FALSE,"CONTROLE"}</definedName>
    <definedName name="kiko" localSheetId="19" hidden="1">{#N/A,#N/A,FALSE,"CONTROLE";#N/A,#N/A,FALSE,"CONTROLE"}</definedName>
    <definedName name="kiko" hidden="1">{#N/A,#N/A,FALSE,"CONTROLE";#N/A,#N/A,FALSE,"CONTROLE"}</definedName>
    <definedName name="kiy" localSheetId="19" hidden="1">{#N/A,#N/A,FALSE,"CONTROLE"}</definedName>
    <definedName name="kiy" hidden="1">{#N/A,#N/A,FALSE,"CONTROLE"}</definedName>
    <definedName name="kjfhgjfj" localSheetId="19" hidden="1">{#N/A,#N/A,FALSE,"CONTROLE";#N/A,#N/A,FALSE,"CONTROLE"}</definedName>
    <definedName name="kjfhgjfj" hidden="1">{#N/A,#N/A,FALSE,"CONTROLE";#N/A,#N/A,FALSE,"CONTROLE"}</definedName>
    <definedName name="LEILA" localSheetId="19" hidden="1">{#N/A,#N/A,FALSE,"ENERGIA";#N/A,#N/A,FALSE,"PERDIDAS";#N/A,#N/A,FALSE,"CLIENTES";#N/A,#N/A,FALSE,"ESTADO";#N/A,#N/A,FALSE,"TECNICA"}</definedName>
    <definedName name="LEILA" hidden="1">{#N/A,#N/A,FALSE,"ENERGIA";#N/A,#N/A,FALSE,"PERDIDAS";#N/A,#N/A,FALSE,"CLIENTES";#N/A,#N/A,FALSE,"ESTADO";#N/A,#N/A,FALSE,"TECNICA"}</definedName>
    <definedName name="LIGHT" localSheetId="19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Gráficos'!$AW$284</definedName>
    <definedName name="LivreE">Calc_Mercado!$C$18</definedName>
    <definedName name="LivreE_A1">Calc_Mercado!$C$19</definedName>
    <definedName name="Livres" localSheetId="19" hidden="1">{#N/A,#N/A,FALSE,"CONTROLE"}</definedName>
    <definedName name="Livres" hidden="1">{#N/A,#N/A,FALSE,"CONTROLE"}</definedName>
    <definedName name="LL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TAjusteCUST">Financeiros!#REF!</definedName>
    <definedName name="LnkTXTAumfin">'Tabelas e Gráficos'!$AC$5</definedName>
    <definedName name="LnkTxtBand">Financeiros!$E$27</definedName>
    <definedName name="LnkTXTBandeira">Financeiros!$D$27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exao">CAPA!$C$105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Financeiros!$D$25</definedName>
    <definedName name="LnkTxtDirRel">CAPA!$H$2</definedName>
    <definedName name="LnkTXTDNT">CAPA!$H$4</definedName>
    <definedName name="LnkTXTDreh">CAPA!$C$84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FinU">CAPA!$C$87</definedName>
    <definedName name="LnkTXTEfMeU">CAPA!$C$85</definedName>
    <definedName name="LnkTXTEM">'Tabelas e Gráficos'!$AQ$215</definedName>
    <definedName name="LnkTXTEnergia">CAPA!$C$102</definedName>
    <definedName name="LnkTXTER">Energia!$D$5</definedName>
    <definedName name="LnkTXTERFIN">'Tabelas e Gráficos'!$AW$286</definedName>
    <definedName name="LnkTXTEV">Energia!$D$6</definedName>
    <definedName name="LnkTXTF">Energia!$D$7</definedName>
    <definedName name="LnkTXTFatorX">CAPA!$C$100</definedName>
    <definedName name="LnkTXTfora">'Tabelas e Gráficos'!$X$10</definedName>
    <definedName name="LnkTXTGPCU">Energia!$M$32</definedName>
    <definedName name="LnkTXTGPM">Energia!$C$19</definedName>
    <definedName name="LnkTXTICMS">Calc_Mercado!$J$8</definedName>
    <definedName name="LnkTXTIGPM">'Tabelas e Gráficos'!$W$41</definedName>
    <definedName name="LnkTXTIParcelaBcomSub">Resultado!$D$39</definedName>
    <definedName name="LnkTXTIParcelaBsemSub">Resultado!$D$40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Gráficos'!$AW$236</definedName>
    <definedName name="LnkTXTIRTEC">'Tabelas e Gráficos'!$AW$230</definedName>
    <definedName name="LnkTXTIRTEco">Resultado!$C$7</definedName>
    <definedName name="LnkTXTIRTES">'Tabelas e Gráficos'!$AW$219</definedName>
    <definedName name="LnkTXTIRTParcelaA">'Tabelas e Gráficos'!$AW$238</definedName>
    <definedName name="LnkTXTIRTParcelaB">'Tabelas e Gráficos'!$AW$239</definedName>
    <definedName name="LnkTXTIRTTE">'Tabelas e Gráficos'!$AW$232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Gráficos'!$AN$168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CDEuso">'Tabelas e Gráficos'!$AW$223</definedName>
    <definedName name="LnkTXTPartParcelaA">'Tabelas e Gráficos'!$AX$238</definedName>
    <definedName name="LnkTXTPartParcelaB">'Tabelas e Gráficos'!$AX$239</definedName>
    <definedName name="LnkTXTPBeLimite">"CAPA!$K$24"</definedName>
    <definedName name="LnkTXTPBReq">CAPA!$K$31</definedName>
    <definedName name="LnkTXTPD">'Tabelas e Gráficos'!$Q$116</definedName>
    <definedName name="LNKTXTPercperdas">Energia!$N$14</definedName>
    <definedName name="LNKTXTPercPISCOFINS">Calc_Mercado!$J$9</definedName>
    <definedName name="LnkTXTPerdas">Energia!$D$9</definedName>
    <definedName name="LnkTXTPerdasDist">CAPA!$C$99</definedName>
    <definedName name="LnkTXTPerdasDist.">CAPA!$C$99</definedName>
    <definedName name="LnkTXTPIS_COFINS">'Tabelas e Gráficos'!$AN$167</definedName>
    <definedName name="LnkTXTPISCOFINS">Financeiros!#REF!</definedName>
    <definedName name="LnkTXTPISCOFINSPer">Financeiros!#REF!</definedName>
    <definedName name="LnkTXTProinfa">Energia!$C$20</definedName>
    <definedName name="LnkTXTRA0">Resultado!$C$6</definedName>
    <definedName name="LnKTxTRA1">Resultado!$C$5</definedName>
    <definedName name="LnKTXTReaRev">CAPA!$C$111</definedName>
    <definedName name="LnkTXTRecalculo">'Tabelas e Gráficos'!$AN$171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Sub">CAPA!$C$95</definedName>
    <definedName name="LnkTXTSaldo">Indexador!$F$16</definedName>
    <definedName name="LnkTXTSaldoA">Indexador!$F$17</definedName>
    <definedName name="LnkTXTSigla">CAPA!$C$91</definedName>
    <definedName name="LnkTXTSubdesc">Aj.Subsídio!$N$11</definedName>
    <definedName name="LnkTxTSubvencaoCDE">Financeiros!$D$26</definedName>
    <definedName name="LnkTXTSupri1">Calc_Mercado!$G$101</definedName>
    <definedName name="LnkTXTSupri2">Calc_Mercado!$G$102</definedName>
    <definedName name="LnkTXTSuprid1">CAPA!$C$108</definedName>
    <definedName name="LnkTXTSuprid2">CAPA!$C$109</definedName>
    <definedName name="lnktxttotalfin">Financeiros!$E$7</definedName>
    <definedName name="lnktxttotsubsid">'Tabelas e Gráficos'!$BH$297</definedName>
    <definedName name="LnkTXTTransporte">CAPA!$C$103</definedName>
    <definedName name="LnkTXTUNConsu">CAPA!$C$106</definedName>
    <definedName name="LnkTxtVarCDE">Resultado!$F$18</definedName>
    <definedName name="LnkTXTVarEC">'Tabelas e Gráficos'!$AV$230</definedName>
    <definedName name="LnkTXTVarES">'Tabelas e Gráficos'!$AV$219</definedName>
    <definedName name="LnkTXTVarTE">'Tabelas e Gráficos'!$AV$232</definedName>
    <definedName name="LnkTxtVarTFSEE">Resultado!$F$17</definedName>
    <definedName name="M" localSheetId="19" hidden="1">#REF!</definedName>
    <definedName name="M" hidden="1">#REF!</definedName>
    <definedName name="MANU" localSheetId="19" hidden="1">{#N/A,#N/A,FALSE,"ENERGIA";#N/A,#N/A,FALSE,"PERDIDAS";#N/A,#N/A,FALSE,"CLIENTES";#N/A,#N/A,FALSE,"ESTADO";#N/A,#N/A,FALSE,"TECNICA"}</definedName>
    <definedName name="MANU" hidden="1">{#N/A,#N/A,FALSE,"ENERGIA";#N/A,#N/A,FALSE,"PERDIDAS";#N/A,#N/A,FALSE,"CLIENTES";#N/A,#N/A,FALSE,"ESTADO";#N/A,#N/A,FALSE,"TECNICA"}</definedName>
    <definedName name="MANUWHEH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16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>Calc_Mercado!$H$75</definedName>
    <definedName name="Mercado_Faturado_Encargo_CFURH">Calc_Mercado!$J$76</definedName>
    <definedName name="Mercado_Faturado_Encargo_CFURH_BRUTO">Calc_Mercado!$J$75</definedName>
    <definedName name="Mercado_Faturado_Encargo_ESSERR">Calc_Mercado!$F$76</definedName>
    <definedName name="Mercado_Faturado_Encargo_ESSERR_BRUTO">Calc_Mercado!$F$75</definedName>
    <definedName name="Mercado_Faturado_Encargo_ONS">Calc_Mercado!$E$76</definedName>
    <definedName name="Mercado_Faturado_Encargo_ONS_BRUTO">Calc_Mercado!$E$75</definedName>
    <definedName name="Mercado_Faturado_Encargo_PeD">Calc_Mercado!$D$76</definedName>
    <definedName name="Mercado_Faturado_Encargo_PeD_BRUTO">Calc_Mercado!$D$75</definedName>
    <definedName name="Mercado_Faturado_Encargo_PROINFA">Calc_Mercado!$G$76</definedName>
    <definedName name="Mercado_Faturado_Encargo_PROINFA_BRUTO">Calc_Mercado!$G$75</definedName>
    <definedName name="Mercado_Faturado_Encargo_TFSEE">Calc_Mercado!$I$76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>Calc_Mercado!$C$25</definedName>
    <definedName name="Mercado_RA0_Reais">Calc_Mercado!$D$25</definedName>
    <definedName name="MercadoBase">'BD MERCADO'!$A$2:$FC$3999</definedName>
    <definedName name="MercadoBase1">dados_MercadoBase[#All]</definedName>
    <definedName name="mov_ac" localSheetId="19" hidden="1">[11]Mercado!#REF!</definedName>
    <definedName name="mov_ac" hidden="1">[11]Mercado!#REF!</definedName>
    <definedName name="mso" localSheetId="19" hidden="1">{#N/A,#N/A,FALSE,"CONTROLE"}</definedName>
    <definedName name="mso" hidden="1">{#N/A,#N/A,FALSE,"CONTROLE"}</definedName>
    <definedName name="N" localSheetId="19" hidden="1">#REF!</definedName>
    <definedName name="N" hidden="1">#REF!</definedName>
    <definedName name="oiio" localSheetId="19" hidden="1">{#N/A,#N/A,FALSE,"CONTROLE"}</definedName>
    <definedName name="oiio" hidden="1">{#N/A,#N/A,FALSE,"CONTROLE"}</definedName>
    <definedName name="old" localSheetId="21" hidden="1">[2]Mercado!#REF!</definedName>
    <definedName name="old" localSheetId="16" hidden="1">[2]Mercado!#REF!</definedName>
    <definedName name="old" hidden="1">[2]Mercado!#REF!</definedName>
    <definedName name="operação" localSheetId="19" hidden="1">{#N/A,#N/A,FALSE,"CONTROLE"}</definedName>
    <definedName name="operação" hidden="1">{#N/A,#N/A,FALSE,"CONTROLE"}</definedName>
    <definedName name="oy" localSheetId="19" hidden="1">{#N/A,#N/A,FALSE,"CONTROLE";#N/A,#N/A,FALSE,"CONTROLE"}</definedName>
    <definedName name="oy" hidden="1">{#N/A,#N/A,FALSE,"CONTROLE";#N/A,#N/A,FALSE,"CONTROLE"}</definedName>
    <definedName name="PEDRO" localSheetId="19" hidden="1">{#N/A,#N/A,FALSE,"CONTROLE"}</definedName>
    <definedName name="PEDRO" hidden="1">{#N/A,#N/A,FALSE,"CONTROLE"}</definedName>
    <definedName name="Piratininga" localSheetId="19" hidden="1">{#N/A,#N/A,FALSE,"CONTROLE"}</definedName>
    <definedName name="Piratininga" hidden="1">{#N/A,#N/A,FALSE,"CONTROLE"}</definedName>
    <definedName name="PIRATININGAV2" localSheetId="19" hidden="1">{#N/A,#N/A,FALSE,"CONTROLE"}</definedName>
    <definedName name="PIRATININGAV2" hidden="1">{#N/A,#N/A,FALSE,"CONTROLE"}</definedName>
    <definedName name="PisCofins" localSheetId="21" hidden="1">{#N/A,#N/A,FALSE,"ENERGIA";#N/A,#N/A,FALSE,"PERDIDAS";#N/A,#N/A,FALSE,"CLIENTES";#N/A,#N/A,FALSE,"ESTADO";#N/A,#N/A,FALSE,"TECNICA"}</definedName>
    <definedName name="PisCofins" localSheetId="19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21" hidden="1">{#N/A,#N/A,FALSE,"ENERGIA";#N/A,#N/A,FALSE,"PERDIDAS";#N/A,#N/A,FALSE,"CLIENTES";#N/A,#N/A,FALSE,"ESTADO";#N/A,#N/A,FALSE,"TECNICA"}</definedName>
    <definedName name="planilha" localSheetId="19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localSheetId="19" hidden="1">{#N/A,#N/A,FALSE,"CONTROLE";#N/A,#N/A,FALSE,"CONTROLE"}</definedName>
    <definedName name="poiu" hidden="1">{#N/A,#N/A,FALSE,"CONTROLE";#N/A,#N/A,FALSE,"CONTROLE"}</definedName>
    <definedName name="pp" localSheetId="21" hidden="1">{#N/A,#N/A,FALSE,"ENERGIA";#N/A,#N/A,FALSE,"PERDIDAS";#N/A,#N/A,FALSE,"CLIENTES";#N/A,#N/A,FALSE,"ESTADO";#N/A,#N/A,FALSE,"TECNICA"}</definedName>
    <definedName name="pp" localSheetId="19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localSheetId="19" hidden="1">{#N/A,#N/A,FALSE,"CONTROLE";#N/A,#N/A,FALSE,"CONTROLE"}</definedName>
    <definedName name="q" hidden="1">{#N/A,#N/A,FALSE,"CONTROLE";#N/A,#N/A,FALSE,"CONTROLE"}</definedName>
    <definedName name="qq" localSheetId="19" hidden="1">{#N/A,#N/A,FALSE,"CONTROLE";#N/A,#N/A,FALSE,"CONTROLE"}</definedName>
    <definedName name="qq" hidden="1">{#N/A,#N/A,FALSE,"CONTROLE";#N/A,#N/A,FALSE,"CONTROLE"}</definedName>
    <definedName name="qqq" localSheetId="19" hidden="1">{#N/A,#N/A,FALSE,"CONTROLE"}</definedName>
    <definedName name="qqq" hidden="1">{#N/A,#N/A,FALSE,"CONTROLE"}</definedName>
    <definedName name="qqqq" localSheetId="19" hidden="1">{#N/A,#N/A,FALSE,"CONTROLE"}</definedName>
    <definedName name="qqqq" hidden="1">{#N/A,#N/A,FALSE,"CONTROLE"}</definedName>
    <definedName name="qtret" localSheetId="19" hidden="1">{#N/A,#N/A,FALSE,"CONTROLE"}</definedName>
    <definedName name="qtret" hidden="1">{#N/A,#N/A,FALSE,"CONTROLE"}</definedName>
    <definedName name="qtyyuu" localSheetId="19" hidden="1">{#N/A,#N/A,FALSE,"CONTROLE"}</definedName>
    <definedName name="qtyyuu" hidden="1">{#N/A,#N/A,FALSE,"CONTROLE"}</definedName>
    <definedName name="QuadroMercado">Calc_Mercado!$B$7:$D$25</definedName>
    <definedName name="qwe" localSheetId="19" hidden="1">{#N/A,#N/A,FALSE,"CONTROLE"}</definedName>
    <definedName name="qwe" hidden="1">{#N/A,#N/A,FALSE,"CONTROLE"}</definedName>
    <definedName name="qweer" localSheetId="19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localSheetId="19" hidden="1">{#N/A,#N/A,FALSE,"CONTROLE";#N/A,#N/A,FALSE,"CONTROLE"}</definedName>
    <definedName name="raf" hidden="1">{#N/A,#N/A,FALSE,"CONTROLE";#N/A,#N/A,FALSE,"CONTROLE"}</definedName>
    <definedName name="R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21" hidden="1">{#N/A,#N/A,FALSE,"ENERGIA";#N/A,#N/A,FALSE,"PERDIDAS";#N/A,#N/A,FALSE,"CLIENTES";#N/A,#N/A,FALSE,"ESTADO";#N/A,#N/A,FALSE,"TECNICA"}</definedName>
    <definedName name="RBTESTE" localSheetId="19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localSheetId="19" hidden="1">{#N/A,#N/A,FALSE,"CONTROLE"}</definedName>
    <definedName name="REAIS" hidden="1">{#N/A,#N/A,FALSE,"CONTROLE"}</definedName>
    <definedName name="REAISPREV" localSheetId="19" hidden="1">{#N/A,#N/A,FALSE,"CONTROLE"}</definedName>
    <definedName name="REAISPREV" hidden="1">{#N/A,#N/A,FALSE,"CONTROLE"}</definedName>
    <definedName name="RE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localSheetId="19" hidden="1">{#N/A,#N/A,FALSE,"CONTROLE";#N/A,#N/A,FALSE,"CONTROLE"}</definedName>
    <definedName name="Relat" hidden="1">{#N/A,#N/A,FALSE,"CONTROLE";#N/A,#N/A,FALSE,"CONTROLE"}</definedName>
    <definedName name="Renato" localSheetId="19" hidden="1">{#N/A,#N/A,FALSE,"CONTROLE"}</definedName>
    <definedName name="Renato" hidden="1">{#N/A,#N/A,FALSE,"CONTROLE"}</definedName>
    <definedName name="RESUMO3" localSheetId="19" hidden="1">{#N/A,#N/A,FALSE,"CONTROLE"}</definedName>
    <definedName name="RESUMO3" hidden="1">{#N/A,#N/A,FALSE,"CONTROLE"}</definedName>
    <definedName name="rey" localSheetId="19" hidden="1">{#N/A,#N/A,FALSE,"CONTROLE"}</definedName>
    <definedName name="rey" hidden="1">{#N/A,#N/A,FALSE,"CONTROLE"}</definedName>
    <definedName name="rg" localSheetId="19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localSheetId="19" hidden="1">{#N/A,#N/A,FALSE,"CONTROLE"}</definedName>
    <definedName name="rr" hidden="1">{#N/A,#N/A,FALSE,"CONTROLE"}</definedName>
    <definedName name="rtet" localSheetId="19" hidden="1">{#N/A,#N/A,FALSE,"CONTROLE";#N/A,#N/A,FALSE,"CONTROLE"}</definedName>
    <definedName name="rtet" hidden="1">{#N/A,#N/A,FALSE,"CONTROLE";#N/A,#N/A,FALSE,"CONTROLE"}</definedName>
    <definedName name="rtre" localSheetId="19" hidden="1">{#N/A,#N/A,FALSE,"CONTROLE";#N/A,#N/A,FALSE,"CONTROLE"}</definedName>
    <definedName name="rtre" hidden="1">{#N/A,#N/A,FALSE,"CONTROLE";#N/A,#N/A,FALSE,"CONTROLE"}</definedName>
    <definedName name="rtt" localSheetId="19" hidden="1">{#N/A,#N/A,FALSE,"CONTROLE"}</definedName>
    <definedName name="rtt" hidden="1">{#N/A,#N/A,FALSE,"CONTROLE"}</definedName>
    <definedName name="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localSheetId="19" hidden="1">{#N/A,#N/A,FALSE,"CONTROLE";#N/A,#N/A,FALSE,"CONTROLE"}</definedName>
    <definedName name="SADSSA" hidden="1">{#N/A,#N/A,FALSE,"CONTROLE";#N/A,#N/A,FALSE,"CONTROLE"}</definedName>
    <definedName name="SAPBEXrevision" hidden="1">1</definedName>
    <definedName name="SAPBEXsysID" hidden="1">"BP0"</definedName>
    <definedName name="SAPBEXwbID" hidden="1">"3NOKGUUFBSCX0A1U3U2IO4KFM"</definedName>
    <definedName name="SAS_RA0_DataFim">CAPA!$C$17</definedName>
    <definedName name="SAS_RA0_DataInicio">CAPA!$C$16</definedName>
    <definedName name="s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localSheetId="19" hidden="1">{#N/A,#N/A,FALSE,"CONTROLE";#N/A,#N/A,FALSE,"CONTROLE"}</definedName>
    <definedName name="SOBRA" hidden="1">{#N/A,#N/A,FALSE,"CONTROLE";#N/A,#N/A,FALSE,"CONTROLE"}</definedName>
    <definedName name="solver_adj" localSheetId="6" hidden="1">CAPA!#REF!</definedName>
    <definedName name="solver_adj" localSheetId="12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2" hidden="1">CUSD!$M$13</definedName>
    <definedName name="solver_lhs10" localSheetId="12" hidden="1">CUSD!$M$13</definedName>
    <definedName name="solver_lhs11" localSheetId="12" hidden="1">CUSD!$M$15</definedName>
    <definedName name="solver_lhs12" localSheetId="12" hidden="1">CUSD!$M$13</definedName>
    <definedName name="solver_lhs13" localSheetId="12" hidden="1">CUSD!$M$13</definedName>
    <definedName name="solver_lhs14" localSheetId="12" hidden="1">CUSD!$M$15</definedName>
    <definedName name="solver_lhs15" localSheetId="12" hidden="1">CUSD!$M$13</definedName>
    <definedName name="solver_lhs2" localSheetId="12" hidden="1">CUSD!$M$15</definedName>
    <definedName name="solver_lhs3" localSheetId="12" hidden="1">CUSD!$M$13</definedName>
    <definedName name="solver_lhs4" localSheetId="12" hidden="1">CUSD!$M$13</definedName>
    <definedName name="solver_lhs5" localSheetId="12" hidden="1">CUSD!$M$15</definedName>
    <definedName name="solver_lhs6" localSheetId="12" hidden="1">CUSD!$M$13</definedName>
    <definedName name="solver_lhs7" localSheetId="12" hidden="1">CUSD!$M$13</definedName>
    <definedName name="solver_lhs8" localSheetId="12" hidden="1">CUSD!$M$15</definedName>
    <definedName name="solver_lhs9" localSheetId="12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2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localSheetId="19" hidden="1">{#N/A,#N/A,FALSE,"ENERGIA";#N/A,#N/A,FALSE,"PERDIDAS";#N/A,#N/A,FALSE,"CLIENTES";#N/A,#N/A,FALSE,"ESTADO";#N/A,#N/A,FALSE,"TECNICA"}</definedName>
    <definedName name="ss" hidden="1">{#N/A,#N/A,FALSE,"ENERGIA";#N/A,#N/A,FALSE,"PERDIDAS";#N/A,#N/A,FALSE,"CLIENTES";#N/A,#N/A,FALSE,"ESTADO";#N/A,#N/A,FALSE,"TECNICA"}</definedName>
    <definedName name="s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localSheetId="19" hidden="1">{#N/A,#N/A,FALSE,"CONTROLE"}</definedName>
    <definedName name="ssss" hidden="1">{#N/A,#N/A,FALSE,"CONTROLE"}</definedName>
    <definedName name="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localSheetId="19" hidden="1">{#N/A,#N/A,FALSE,"ENERGIA";#N/A,#N/A,FALSE,"PERDIDAS";#N/A,#N/A,FALSE,"CLIENTES";#N/A,#N/A,FALSE,"ESTADO";#N/A,#N/A,FALSE,"TECNICA"}</definedName>
    <definedName name="ssssssssssssss" hidden="1">{#N/A,#N/A,FALSE,"ENERGIA";#N/A,#N/A,FALSE,"PERDIDAS";#N/A,#N/A,FALSE,"CLIENTES";#N/A,#N/A,FALSE,"ESTADO";#N/A,#N/A,FALSE,"TECNICA"}</definedName>
    <definedName name="SuprimentoE">Calc_Mercado!$C$17</definedName>
    <definedName name="TabCF">'Tabelas e Gráficos'!$AM$166:$AN$208</definedName>
    <definedName name="TabCUSD">'Tabelas e Gráficos'!$AE$147:$AK$163</definedName>
    <definedName name="TabCustoEnergia">'Tabelas e Gráficos'!$Z$139:$AC$144</definedName>
    <definedName name="TabDRA">'Tabelas e Gráficos'!$I$73:$K$98</definedName>
    <definedName name="Tabela4">Resultado!$B$5:$D$51</definedName>
    <definedName name="TabEM">'Tabelas e Gráficos'!$AP$212:$AQ$215</definedName>
    <definedName name="TabEncargos">'Tabelas e Gráficos'!$M$100:$N$111</definedName>
    <definedName name="TabEnSup">'Tabelas e Gráficos'!$V$130:$X$135</definedName>
    <definedName name="TabER">'Tabelas e Gráficos'!$S$120:$T$127</definedName>
    <definedName name="TabES">'Tabelas e Gráficos'!$V$130:$X$132</definedName>
    <definedName name="tabESup">'Tabelas e Gráficos'!$V$130:$X$135</definedName>
    <definedName name="TabFatorX">'Tabelas e Gráficos'!$BZ$327:$CA$329</definedName>
    <definedName name="TabPerdas">'Tabelas e Gráficos'!$P$113:$Q$116</definedName>
    <definedName name="TabPorcDesc">'Tabelas e Gráficos'!$BT$319:$BW$326</definedName>
    <definedName name="TabRA0">'Tabelas e Gráficos'!$E$59:$G$70</definedName>
    <definedName name="TabRB">'Tabelas e Gráficos'!$BK$299:$BM$308</definedName>
    <definedName name="TabResPB">'Tabelas e Gráficos'!$AH$74:$AK$88</definedName>
    <definedName name="TabResultados">'Tabelas e Gráficos'!$AS$218:$AX$288</definedName>
    <definedName name="TabResultadosNT">'Tabelas e Gráficos'!$AS$218:$AX$285</definedName>
    <definedName name="TabResumo">Resultado!$B$5:$D$40</definedName>
    <definedName name="Tabresumo2">Resultado!$B$41:$C$51</definedName>
    <definedName name="Tabresumo3">Resultado!$B$5:$E$52</definedName>
    <definedName name="TabResumoIRT">'Tabelas e Gráficos'!$B$51:$C$56</definedName>
    <definedName name="TABSUB">'Tabelas e Gráficos'!$BA$290:$BH$297</definedName>
    <definedName name="TabSubsidios">'Tabelas e Gráficos'!$BO$310:$BR$317</definedName>
    <definedName name="tarifas_2003" localSheetId="21" hidden="1">{#N/A,#N/A,FALSE,"ENERGIA";#N/A,#N/A,FALSE,"PERDIDAS";#N/A,#N/A,FALSE,"CLIENTES";#N/A,#N/A,FALSE,"ESTADO";#N/A,#N/A,FALSE,"TECNICA"}</definedName>
    <definedName name="tarifas_2003" localSheetId="19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[12]Mercado!#REF!</definedName>
    <definedName name="teste2" localSheetId="16" hidden="1">[12]Mercado!#REF!</definedName>
    <definedName name="teste2" hidden="1">[12]Mercado!#REF!</definedName>
    <definedName name="tg" localSheetId="19" hidden="1">{#N/A,#N/A,FALSE,"CONTROLE";#N/A,#N/A,FALSE,"CONTROLE"}</definedName>
    <definedName name="tg" hidden="1">{#N/A,#N/A,FALSE,"CONTROLE";#N/A,#N/A,FALSE,"CONTROLE"}</definedName>
    <definedName name="tiuliul" localSheetId="19" hidden="1">{#N/A,#N/A,FALSE,"CONTROLE"}</definedName>
    <definedName name="tiuliul" hidden="1">{#N/A,#N/A,FALSE,"CONTROLE"}</definedName>
    <definedName name="tr" localSheetId="19" hidden="1">{#N/A,#N/A,FALSE,"CONTROLE"}</definedName>
    <definedName name="tr" hidden="1">{#N/A,#N/A,FALSE,"CONTROLE"}</definedName>
    <definedName name="try" localSheetId="19" hidden="1">{#N/A,#N/A,FALSE,"CONTROLE"}</definedName>
    <definedName name="try" hidden="1">{#N/A,#N/A,FALSE,"CONTROLE"}</definedName>
    <definedName name="trye" localSheetId="19" hidden="1">{#N/A,#N/A,FALSE,"CONTROLE"}</definedName>
    <definedName name="trye" hidden="1">{#N/A,#N/A,FALSE,"CONTROLE"}</definedName>
    <definedName name="tttt" localSheetId="19" hidden="1">{#N/A,#N/A,FALSE,"CONTROLE"}</definedName>
    <definedName name="tttt" hidden="1">{#N/A,#N/A,FALSE,"CONTROLE"}</definedName>
    <definedName name="ttttt" localSheetId="19" hidden="1">{#N/A,#N/A,FALSE,"CONTROLE";#N/A,#N/A,FALSE,"CONTROLE"}</definedName>
    <definedName name="ttttt" hidden="1">{#N/A,#N/A,FALSE,"CONTROLE";#N/A,#N/A,FALSE,"CONTROLE"}</definedName>
    <definedName name="tttttt" localSheetId="19" hidden="1">{#N/A,#N/A,FALSE,"CONTROLE"}</definedName>
    <definedName name="tttttt" hidden="1">{#N/A,#N/A,FALSE,"CONTROLE"}</definedName>
    <definedName name="tyt" localSheetId="19" hidden="1">{#N/A,#N/A,FALSE,"CONTROLE"}</definedName>
    <definedName name="tyt" hidden="1">{#N/A,#N/A,FALSE,"CONTROLE"}</definedName>
    <definedName name="tyuttry" localSheetId="19" hidden="1">{#N/A,#N/A,FALSE,"CONTROLE";#N/A,#N/A,FALSE,"CONTROLE"}</definedName>
    <definedName name="tyuttry" hidden="1">{#N/A,#N/A,FALSE,"CONTROLE";#N/A,#N/A,FALSE,"CONTROLE"}</definedName>
    <definedName name="uiliul" localSheetId="19" hidden="1">{#N/A,#N/A,FALSE,"CONTROLE"}</definedName>
    <definedName name="uiliul" hidden="1">{#N/A,#N/A,FALSE,"CONTROLE"}</definedName>
    <definedName name="uj" localSheetId="19" hidden="1">{#N/A,#N/A,FALSE,"CONTROLE"}</definedName>
    <definedName name="uj" hidden="1">{#N/A,#N/A,FALSE,"CONTROLE"}</definedName>
    <definedName name="ujuju" localSheetId="19" hidden="1">{#N/A,#N/A,FALSE,"CONTROLE";#N/A,#N/A,FALSE,"CONTROLE"}</definedName>
    <definedName name="ujuju" hidden="1">{#N/A,#N/A,FALSE,"CONTROLE";#N/A,#N/A,FALSE,"CONTROLE"}</definedName>
    <definedName name="utkiukuy" localSheetId="19" hidden="1">{#N/A,#N/A,FALSE,"CONTROLE"}</definedName>
    <definedName name="utkiukuy" hidden="1">{#N/A,#N/A,FALSE,"CONTROLE"}</definedName>
    <definedName name="uuy" localSheetId="19" hidden="1">{#N/A,#N/A,FALSE,"CONTROLE"}</definedName>
    <definedName name="uuy" hidden="1">{#N/A,#N/A,FALSE,"CONTROLE"}</definedName>
    <definedName name="uytuytu" localSheetId="19" hidden="1">{#N/A,#N/A,FALSE,"CONTROLE"}</definedName>
    <definedName name="uytuytu" hidden="1">{#N/A,#N/A,FALSE,"CONTROLE"}</definedName>
    <definedName name="vcxbstg" localSheetId="19" hidden="1">{#N/A,#N/A,FALSE,"CONTROLE"}</definedName>
    <definedName name="vcxbstg" hidden="1">{#N/A,#N/A,FALSE,"CONTROLE"}</definedName>
    <definedName name="vfr" localSheetId="19" hidden="1">{#N/A,#N/A,FALSE,"CONTROLE"}</definedName>
    <definedName name="vfr" hidden="1">{#N/A,#N/A,FALSE,"CONTROLE"}</definedName>
    <definedName name="wdwd" localSheetId="19" hidden="1">{#N/A,#N/A,FALSE,"CONTROLE";#N/A,#N/A,FALSE,"CONTROLE"}</definedName>
    <definedName name="wdwd" hidden="1">{#N/A,#N/A,FALSE,"CONTROLE";#N/A,#N/A,FALSE,"CONTROLE"}</definedName>
    <definedName name="werrt" localSheetId="19" hidden="1">{#N/A,#N/A,FALSE,"CONTROLE";#N/A,#N/A,FALSE,"CONTROLE"}</definedName>
    <definedName name="werrt" hidden="1">{#N/A,#N/A,FALSE,"CONTROLE";#N/A,#N/A,FALSE,"CONTROLE"}</definedName>
    <definedName name="WQWQRWERW" localSheetId="19" hidden="1">{#N/A,#N/A,FALSE,"CONTROLE";#N/A,#N/A,FALSE,"CONTROLE"}</definedName>
    <definedName name="WQWQRWERW" hidden="1">{#N/A,#N/A,FALSE,"CONTROLE";#N/A,#N/A,FALSE,"CONTROLE"}</definedName>
    <definedName name="wrn.APLICAÇÃO." localSheetId="19" hidden="1">{#N/A,#N/A,FALSE,"CONTROLE"}</definedName>
    <definedName name="wrn.APLICAÇÃO." hidden="1">{#N/A,#N/A,FALSE,"CONTROLE"}</definedName>
    <definedName name="wrn.ESTADOS._.FINANCIEROS.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localSheetId="19" hidden="1">{#N/A,#N/A,FALSE,"CONTROLE";#N/A,#N/A,FALSE,"CONTROLE"}</definedName>
    <definedName name="wrn.forneci" hidden="1">{#N/A,#N/A,FALSE,"CONTROLE";#N/A,#N/A,FALSE,"CONTROLE"}</definedName>
    <definedName name="WRN.INFMES" localSheetId="19" hidden="1">{#N/A,#N/A,FALSE,"ENERGIA";#N/A,#N/A,FALSE,"PERDIDAS";#N/A,#N/A,FALSE,"CLIENTES";#N/A,#N/A,FALSE,"ESTADO";#N/A,#N/A,FALSE,"TECNICA"}</definedName>
    <definedName name="WRN.INFMES" hidden="1">{#N/A,#N/A,FALSE,"ENERGIA";#N/A,#N/A,FALSE,"PERDIDAS";#N/A,#N/A,FALSE,"CLIENTES";#N/A,#N/A,FALSE,"ESTADO";#N/A,#N/A,FALSE,"TECNICA"}</definedName>
    <definedName name="wrn.INFMES." localSheetId="21" hidden="1">{#N/A,#N/A,FALSE,"ENERGIA";#N/A,#N/A,FALSE,"PERDIDAS";#N/A,#N/A,FALSE,"CLIENTES";#N/A,#N/A,FALSE,"ESTADO";#N/A,#N/A,FALSE,"TECNICA"}</definedName>
    <definedName name="wrn.INFMES." localSheetId="19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localSheetId="19" hidden="1">{#N/A,#N/A,FALSE,"CONTROLE";#N/A,#N/A,FALSE,"CONTROLE"}</definedName>
    <definedName name="wrn.RELATORIO." hidden="1">{#N/A,#N/A,FALSE,"CONTROLE";#N/A,#N/A,FALSE,"CONTROLE"}</definedName>
    <definedName name="ws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localSheetId="19" hidden="1">{#N/A,#N/A,FALSE,"CONTROLE";#N/A,#N/A,FALSE,"CONTROLE"}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21" hidden="1">{#N/A,#N/A,FALSE,"ENERGIA";#N/A,#N/A,FALSE,"PERDIDAS";#N/A,#N/A,FALSE,"CLIENTES";#N/A,#N/A,FALSE,"ESTADO";#N/A,#N/A,FALSE,"TECNICA"}</definedName>
    <definedName name="xs" localSheetId="19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x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localSheetId="19" hidden="1">{#N/A,#N/A,FALSE,"CONTROLE"}</definedName>
    <definedName name="Xuxu" hidden="1">{#N/A,#N/A,FALSE,"CONTROLE"}</definedName>
    <definedName name="xxx" localSheetId="21" hidden="1">{#N/A,#N/A,FALSE,"ENERGIA";#N/A,#N/A,FALSE,"PERDIDAS";#N/A,#N/A,FALSE,"CLIENTES";#N/A,#N/A,FALSE,"ESTADO";#N/A,#N/A,FALSE,"TECNICA"}</definedName>
    <definedName name="xxx" localSheetId="19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localSheetId="19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localSheetId="19" hidden="1">{#N/A,#N/A,FALSE,"CONTROLE"}</definedName>
    <definedName name="yeuyu" hidden="1">{#N/A,#N/A,FALSE,"CONTROLE"}</definedName>
    <definedName name="yru6" localSheetId="19" hidden="1">{#N/A,#N/A,FALSE,"CONTROLE";#N/A,#N/A,FALSE,"CONTROLE"}</definedName>
    <definedName name="yru6" hidden="1">{#N/A,#N/A,FALSE,"CONTROLE";#N/A,#N/A,FALSE,"CONTROLE"}</definedName>
    <definedName name="ytuytuyt" localSheetId="19" hidden="1">{#N/A,#N/A,FALSE,"CONTROLE";#N/A,#N/A,FALSE,"CONTROLE"}</definedName>
    <definedName name="ytuytuyt" hidden="1">{#N/A,#N/A,FALSE,"CONTROLE";#N/A,#N/A,FALSE,"CONTROLE"}</definedName>
    <definedName name="ytytry" localSheetId="19" hidden="1">{#N/A,#N/A,FALSE,"CONTROLE"}</definedName>
    <definedName name="ytytry" hidden="1">{#N/A,#N/A,FALSE,"CONTROLE"}</definedName>
    <definedName name="yuii" localSheetId="19" hidden="1">{#N/A,#N/A,FALSE,"CONTROLE";#N/A,#N/A,FALSE,"CONTROLE"}</definedName>
    <definedName name="yuii" hidden="1">{#N/A,#N/A,FALSE,"CONTROLE";#N/A,#N/A,FALSE,"CONTROLE"}</definedName>
    <definedName name="yyy" localSheetId="19" hidden="1">{#N/A,#N/A,FALSE,"CONTROLE"}</definedName>
    <definedName name="yyy" hidden="1">{#N/A,#N/A,FALSE,"CONTROLE"}</definedName>
    <definedName name="Z_A46625B5_2B64_4741_9BD6_64D33D3699F2_.wvu.Cols" hidden="1">'[13]22.  Despesa Uso Sistema Distr '!#REF!</definedName>
    <definedName name="zx\" hidden="1">[1]Calc!$AJ$8:$AJ$19</definedName>
    <definedName name="zxcz" localSheetId="19" hidden="1">{#N/A,#N/A,FALSE,"CONTROLE"}</definedName>
    <definedName name="zxcz" hidden="1">{#N/A,#N/A,FALSE,"CONTROLE"}</definedName>
    <definedName name="zz" localSheetId="19" hidden="1">{#N/A,#N/A,FALSE,"CONTROLE"}</definedName>
    <definedName name="zz" hidden="1">{#N/A,#N/A,FALSE,"CONTROLE"}</definedName>
    <definedName name="zzzzz" localSheetId="19" hidden="1">#REF!</definedName>
    <definedName name="zzzzz" hidden="1">#REF!</definedName>
    <definedName name="zzzzzzzzzzzzzzzzzz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20" r:id="rId49"/>
    <pivotCache cacheId="21" r:id="rId5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0" i="50" l="1"/>
  <c r="I30" i="50"/>
  <c r="AN195" i="89"/>
  <c r="AN188" i="89" l="1"/>
  <c r="C66" i="64" s="1"/>
  <c r="D33" i="39"/>
  <c r="K44" i="50"/>
  <c r="AU248" i="89"/>
  <c r="AU249" i="89"/>
  <c r="AU281" i="89"/>
  <c r="AU282" i="89"/>
  <c r="AU283" i="89"/>
  <c r="C50" i="64"/>
  <c r="C51" i="64"/>
  <c r="C83" i="64"/>
  <c r="C84" i="64"/>
  <c r="C85" i="64"/>
  <c r="B83" i="64"/>
  <c r="B84" i="64"/>
  <c r="B85" i="64"/>
  <c r="B46" i="64"/>
  <c r="B47" i="64"/>
  <c r="B48" i="64"/>
  <c r="B49" i="64"/>
  <c r="B50" i="64"/>
  <c r="B51" i="64"/>
  <c r="B54" i="64"/>
  <c r="B75" i="64"/>
  <c r="B76" i="64"/>
  <c r="B77" i="64"/>
  <c r="B78" i="64"/>
  <c r="B79" i="64"/>
  <c r="B80" i="64"/>
  <c r="B81" i="64"/>
  <c r="B82" i="64"/>
  <c r="B45" i="64"/>
  <c r="AS282" i="89"/>
  <c r="AS283" i="89"/>
  <c r="AS277" i="89"/>
  <c r="AS278" i="89"/>
  <c r="AS279" i="89"/>
  <c r="AS280" i="89"/>
  <c r="AS281" i="89"/>
  <c r="AS273" i="89"/>
  <c r="AS274" i="89"/>
  <c r="AS275" i="89"/>
  <c r="AS276" i="89"/>
  <c r="AS244" i="89"/>
  <c r="AS245" i="89"/>
  <c r="AS246" i="89"/>
  <c r="AS247" i="89"/>
  <c r="AS248" i="89"/>
  <c r="AS249" i="89"/>
  <c r="AS252" i="89"/>
  <c r="AS243" i="89"/>
  <c r="AS272" i="89"/>
  <c r="AO196" i="89"/>
  <c r="AO205" i="89"/>
  <c r="AO206" i="89"/>
  <c r="AM186" i="89"/>
  <c r="AS262" i="89" s="1"/>
  <c r="AN186" i="89"/>
  <c r="C64" i="64" s="1"/>
  <c r="AM187" i="89"/>
  <c r="AS263" i="89" s="1"/>
  <c r="AS264" i="89"/>
  <c r="AS265" i="89"/>
  <c r="AN189" i="89"/>
  <c r="C67" i="64" s="1"/>
  <c r="AM190" i="89"/>
  <c r="AS266" i="89" s="1"/>
  <c r="AM191" i="89"/>
  <c r="AS267" i="89" s="1"/>
  <c r="AN191" i="89"/>
  <c r="C69" i="64" s="1"/>
  <c r="AM192" i="89"/>
  <c r="AS268" i="89" s="1"/>
  <c r="AM193" i="89"/>
  <c r="AS269" i="89" s="1"/>
  <c r="AM194" i="89"/>
  <c r="AS270" i="89" s="1"/>
  <c r="AN194" i="89"/>
  <c r="C72" i="64" s="1"/>
  <c r="AS271" i="89"/>
  <c r="C73" i="64"/>
  <c r="AM178" i="89"/>
  <c r="AS254" i="89" s="1"/>
  <c r="AM179" i="89"/>
  <c r="AS255" i="89" s="1"/>
  <c r="AM180" i="89"/>
  <c r="AS256" i="89" s="1"/>
  <c r="AN180" i="89"/>
  <c r="C58" i="64" s="1"/>
  <c r="AS257" i="89"/>
  <c r="AS258" i="89"/>
  <c r="AM183" i="89"/>
  <c r="AS259" i="89" s="1"/>
  <c r="AN183" i="89"/>
  <c r="C61" i="64" s="1"/>
  <c r="AM184" i="89"/>
  <c r="AS260" i="89" s="1"/>
  <c r="AN184" i="89"/>
  <c r="C62" i="64" s="1"/>
  <c r="AM185" i="89"/>
  <c r="AS261" i="89" s="1"/>
  <c r="AN185" i="89"/>
  <c r="C63" i="64" s="1"/>
  <c r="AM177" i="89"/>
  <c r="AS253" i="89" s="1"/>
  <c r="AN176" i="89"/>
  <c r="C54" i="64" s="1"/>
  <c r="AN175" i="89"/>
  <c r="C53" i="64" s="1"/>
  <c r="AN174" i="89"/>
  <c r="C52" i="64" s="1"/>
  <c r="AU267" i="89" l="1"/>
  <c r="AU262" i="89"/>
  <c r="AU260" i="89"/>
  <c r="AU259" i="89"/>
  <c r="AU251" i="89"/>
  <c r="AU250" i="89"/>
  <c r="AU270" i="89"/>
  <c r="AU271" i="89"/>
  <c r="AU261" i="89"/>
  <c r="AU252" i="89"/>
  <c r="AU265" i="89"/>
  <c r="AU272" i="89"/>
  <c r="AU264" i="89"/>
  <c r="AU256" i="89"/>
  <c r="B62" i="64"/>
  <c r="B73" i="64"/>
  <c r="B61" i="64"/>
  <c r="B70" i="64"/>
  <c r="B58" i="64"/>
  <c r="B69" i="64"/>
  <c r="C74" i="64"/>
  <c r="B72" i="64"/>
  <c r="B68" i="64"/>
  <c r="B64" i="64"/>
  <c r="B60" i="64"/>
  <c r="B56" i="64"/>
  <c r="B74" i="64"/>
  <c r="B66" i="64"/>
  <c r="B65" i="64"/>
  <c r="B57" i="64"/>
  <c r="B71" i="64"/>
  <c r="B67" i="64"/>
  <c r="B63" i="64"/>
  <c r="B59" i="64"/>
  <c r="B55" i="64"/>
  <c r="H11" i="50"/>
  <c r="I11" i="50"/>
  <c r="J11" i="50"/>
  <c r="K11" i="50"/>
  <c r="L11" i="50"/>
  <c r="M11" i="50"/>
  <c r="H12" i="50"/>
  <c r="I12" i="50"/>
  <c r="J12" i="50"/>
  <c r="K12" i="50"/>
  <c r="L12" i="50"/>
  <c r="M12" i="50"/>
  <c r="H13" i="50"/>
  <c r="I13" i="50"/>
  <c r="J13" i="50"/>
  <c r="K13" i="50"/>
  <c r="L13" i="50"/>
  <c r="M13" i="50"/>
  <c r="H14" i="50"/>
  <c r="I14" i="50"/>
  <c r="J14" i="50"/>
  <c r="K14" i="50"/>
  <c r="L14" i="50"/>
  <c r="M14" i="50"/>
  <c r="C16" i="50"/>
  <c r="C17" i="50"/>
  <c r="C18" i="50"/>
  <c r="C19" i="50"/>
  <c r="C20" i="50"/>
  <c r="C21" i="50"/>
  <c r="C15" i="50"/>
  <c r="L80" i="89"/>
  <c r="C114" i="39"/>
  <c r="C113" i="39"/>
  <c r="A2" i="137" l="1"/>
  <c r="B2" i="142"/>
  <c r="L18" i="39" a="1"/>
  <c r="L18" i="39" s="1"/>
  <c r="M32" i="39" a="1"/>
  <c r="M32" i="39" s="1"/>
  <c r="L32" i="39" a="1"/>
  <c r="L32" i="39" s="1"/>
  <c r="I30" i="58"/>
  <c r="I31" i="58"/>
  <c r="I32" i="58"/>
  <c r="I33" i="58"/>
  <c r="I34" i="58"/>
  <c r="I29" i="58"/>
  <c r="I28" i="58"/>
  <c r="I3" i="61"/>
  <c r="D65" i="50"/>
  <c r="AN198" i="89" s="1"/>
  <c r="D64" i="50"/>
  <c r="D63" i="50"/>
  <c r="D57" i="50"/>
  <c r="D51" i="50"/>
  <c r="D50" i="50"/>
  <c r="D49" i="50"/>
  <c r="D42" i="50"/>
  <c r="AN190" i="89" s="1"/>
  <c r="H15" i="50"/>
  <c r="I15" i="50"/>
  <c r="J15" i="50"/>
  <c r="K15" i="50"/>
  <c r="L15" i="50"/>
  <c r="M15" i="50"/>
  <c r="H16" i="50"/>
  <c r="I16" i="50"/>
  <c r="J16" i="50"/>
  <c r="K16" i="50"/>
  <c r="L16" i="50"/>
  <c r="M16" i="50"/>
  <c r="H17" i="50"/>
  <c r="I17" i="50"/>
  <c r="J17" i="50"/>
  <c r="K17" i="50"/>
  <c r="L17" i="50"/>
  <c r="M17" i="50"/>
  <c r="H18" i="50"/>
  <c r="I18" i="50"/>
  <c r="J18" i="50"/>
  <c r="K18" i="50"/>
  <c r="L18" i="50"/>
  <c r="M18" i="50"/>
  <c r="H19" i="50"/>
  <c r="I19" i="50"/>
  <c r="J19" i="50"/>
  <c r="K19" i="50"/>
  <c r="L19" i="50"/>
  <c r="M19" i="50"/>
  <c r="H20" i="50"/>
  <c r="I20" i="50"/>
  <c r="J20" i="50"/>
  <c r="K20" i="50"/>
  <c r="L20" i="50"/>
  <c r="M20" i="50"/>
  <c r="H21" i="50"/>
  <c r="I21" i="50"/>
  <c r="J21" i="50"/>
  <c r="K21" i="50"/>
  <c r="L21" i="50"/>
  <c r="M21" i="50"/>
  <c r="H22" i="50"/>
  <c r="I22" i="50"/>
  <c r="J22" i="50"/>
  <c r="K22" i="50"/>
  <c r="L22" i="50"/>
  <c r="M22" i="50"/>
  <c r="H23" i="50"/>
  <c r="I23" i="50"/>
  <c r="J23" i="50"/>
  <c r="K23" i="50"/>
  <c r="L23" i="50"/>
  <c r="M23" i="50"/>
  <c r="H24" i="50"/>
  <c r="I24" i="50"/>
  <c r="J24" i="50"/>
  <c r="K24" i="50"/>
  <c r="L24" i="50"/>
  <c r="M24" i="50"/>
  <c r="H25" i="50"/>
  <c r="I25" i="50"/>
  <c r="J25" i="50"/>
  <c r="K25" i="50"/>
  <c r="L25" i="50"/>
  <c r="M25" i="50"/>
  <c r="H26" i="50"/>
  <c r="I26" i="50"/>
  <c r="J26" i="50"/>
  <c r="K26" i="50"/>
  <c r="L26" i="50"/>
  <c r="M26" i="50"/>
  <c r="H27" i="50"/>
  <c r="I27" i="50"/>
  <c r="J27" i="50"/>
  <c r="K27" i="50"/>
  <c r="L27" i="50"/>
  <c r="M27" i="50"/>
  <c r="H28" i="50"/>
  <c r="I28" i="50"/>
  <c r="J28" i="50"/>
  <c r="K28" i="50"/>
  <c r="L28" i="50"/>
  <c r="M28" i="50"/>
  <c r="H29" i="50"/>
  <c r="I29" i="50"/>
  <c r="J29" i="50"/>
  <c r="K29" i="50"/>
  <c r="L29" i="50"/>
  <c r="M29" i="50"/>
  <c r="J30" i="50"/>
  <c r="K30" i="50"/>
  <c r="L30" i="50"/>
  <c r="M30" i="50"/>
  <c r="H31" i="50"/>
  <c r="I31" i="50"/>
  <c r="J31" i="50"/>
  <c r="K31" i="50"/>
  <c r="L31" i="50"/>
  <c r="M31" i="50"/>
  <c r="H32" i="50"/>
  <c r="I32" i="50"/>
  <c r="J32" i="50"/>
  <c r="K32" i="50"/>
  <c r="L32" i="50"/>
  <c r="M32" i="50"/>
  <c r="H33" i="50"/>
  <c r="I33" i="50"/>
  <c r="J33" i="50"/>
  <c r="K33" i="50"/>
  <c r="L33" i="50"/>
  <c r="M33" i="50"/>
  <c r="H34" i="50"/>
  <c r="I34" i="50"/>
  <c r="J34" i="50"/>
  <c r="K34" i="50"/>
  <c r="L34" i="50"/>
  <c r="M34" i="50"/>
  <c r="H35" i="50"/>
  <c r="I35" i="50"/>
  <c r="J35" i="50"/>
  <c r="K35" i="50"/>
  <c r="L35" i="50"/>
  <c r="M35" i="50"/>
  <c r="H36" i="50"/>
  <c r="I36" i="50"/>
  <c r="J36" i="50"/>
  <c r="K36" i="50"/>
  <c r="L36" i="50"/>
  <c r="M36" i="50"/>
  <c r="H38" i="50"/>
  <c r="I38" i="50"/>
  <c r="J38" i="50"/>
  <c r="K38" i="50"/>
  <c r="L38" i="50"/>
  <c r="M38" i="50"/>
  <c r="H39" i="50"/>
  <c r="I39" i="50"/>
  <c r="J39" i="50"/>
  <c r="K39" i="50"/>
  <c r="L39" i="50"/>
  <c r="M39" i="50"/>
  <c r="H40" i="50"/>
  <c r="I40" i="50"/>
  <c r="J40" i="50"/>
  <c r="K40" i="50"/>
  <c r="L40" i="50"/>
  <c r="M40" i="50"/>
  <c r="H41" i="50"/>
  <c r="I41" i="50"/>
  <c r="J41" i="50"/>
  <c r="K41" i="50"/>
  <c r="L41" i="50"/>
  <c r="M41" i="50"/>
  <c r="H42" i="50"/>
  <c r="I42" i="50"/>
  <c r="J42" i="50"/>
  <c r="K42" i="50"/>
  <c r="L42" i="50"/>
  <c r="M42" i="50"/>
  <c r="H43" i="50"/>
  <c r="I43" i="50"/>
  <c r="J43" i="50"/>
  <c r="K43" i="50"/>
  <c r="L43" i="50"/>
  <c r="M43" i="50"/>
  <c r="H44" i="50"/>
  <c r="I44" i="50"/>
  <c r="J44" i="50"/>
  <c r="L44" i="50"/>
  <c r="M44" i="50"/>
  <c r="H45" i="50"/>
  <c r="F183" i="49" s="1"/>
  <c r="I45" i="50"/>
  <c r="G183" i="49" s="1"/>
  <c r="J45" i="50"/>
  <c r="H183" i="49" s="1"/>
  <c r="K45" i="50"/>
  <c r="I183" i="49" s="1"/>
  <c r="L45" i="50"/>
  <c r="J183" i="49" s="1"/>
  <c r="M45" i="50"/>
  <c r="K183" i="49" s="1"/>
  <c r="H46" i="50"/>
  <c r="I46" i="50"/>
  <c r="J46" i="50"/>
  <c r="K46" i="50"/>
  <c r="L46" i="50"/>
  <c r="M46" i="50"/>
  <c r="H47" i="50"/>
  <c r="I47" i="50"/>
  <c r="J47" i="50"/>
  <c r="K47" i="50"/>
  <c r="L47" i="50"/>
  <c r="M47" i="50"/>
  <c r="H48" i="50"/>
  <c r="I48" i="50"/>
  <c r="J48" i="50"/>
  <c r="K48" i="50"/>
  <c r="L48" i="50"/>
  <c r="M48" i="50"/>
  <c r="H49" i="50"/>
  <c r="I49" i="50"/>
  <c r="J49" i="50"/>
  <c r="K49" i="50"/>
  <c r="L49" i="50"/>
  <c r="M49" i="50"/>
  <c r="H50" i="50"/>
  <c r="I50" i="50"/>
  <c r="J50" i="50"/>
  <c r="K50" i="50"/>
  <c r="L50" i="50"/>
  <c r="M50" i="50"/>
  <c r="H51" i="50"/>
  <c r="I51" i="50"/>
  <c r="J51" i="50"/>
  <c r="K51" i="50"/>
  <c r="L51" i="50"/>
  <c r="M51" i="50"/>
  <c r="H52" i="50"/>
  <c r="I52" i="50"/>
  <c r="J52" i="50"/>
  <c r="K52" i="50"/>
  <c r="L52" i="50"/>
  <c r="M52" i="50"/>
  <c r="H53" i="50"/>
  <c r="I53" i="50"/>
  <c r="J53" i="50"/>
  <c r="K53" i="50"/>
  <c r="L53" i="50"/>
  <c r="M53" i="50"/>
  <c r="H54" i="50"/>
  <c r="I54" i="50"/>
  <c r="J54" i="50"/>
  <c r="K54" i="50"/>
  <c r="L54" i="50"/>
  <c r="M54" i="50"/>
  <c r="H55" i="50"/>
  <c r="I55" i="50"/>
  <c r="J55" i="50"/>
  <c r="K55" i="50"/>
  <c r="L55" i="50"/>
  <c r="M55" i="50"/>
  <c r="H56" i="50"/>
  <c r="I56" i="50"/>
  <c r="J56" i="50"/>
  <c r="K56" i="50"/>
  <c r="L56" i="50"/>
  <c r="M56" i="50"/>
  <c r="H57" i="50"/>
  <c r="I57" i="50"/>
  <c r="J57" i="50"/>
  <c r="K57" i="50"/>
  <c r="L57" i="50"/>
  <c r="M57" i="50"/>
  <c r="H58" i="50"/>
  <c r="I58" i="50"/>
  <c r="J58" i="50"/>
  <c r="K58" i="50"/>
  <c r="L58" i="50"/>
  <c r="M58" i="50"/>
  <c r="H59" i="50"/>
  <c r="I59" i="50"/>
  <c r="J59" i="50"/>
  <c r="K59" i="50"/>
  <c r="L59" i="50"/>
  <c r="M59" i="50"/>
  <c r="H60" i="50"/>
  <c r="I60" i="50"/>
  <c r="J60" i="50"/>
  <c r="K60" i="50"/>
  <c r="L60" i="50"/>
  <c r="M60" i="50"/>
  <c r="H61" i="50"/>
  <c r="I61" i="50"/>
  <c r="J61" i="50"/>
  <c r="K61" i="50"/>
  <c r="L61" i="50"/>
  <c r="M61" i="50"/>
  <c r="H62" i="50"/>
  <c r="I62" i="50"/>
  <c r="J62" i="50"/>
  <c r="K62" i="50"/>
  <c r="L62" i="50"/>
  <c r="M62" i="50"/>
  <c r="H63" i="50"/>
  <c r="I63" i="50"/>
  <c r="J63" i="50"/>
  <c r="K63" i="50"/>
  <c r="L63" i="50"/>
  <c r="M63" i="50"/>
  <c r="H64" i="50"/>
  <c r="I64" i="50"/>
  <c r="J64" i="50"/>
  <c r="K64" i="50"/>
  <c r="L64" i="50"/>
  <c r="M64" i="50"/>
  <c r="H65" i="50"/>
  <c r="I65" i="50"/>
  <c r="J65" i="50"/>
  <c r="K65" i="50"/>
  <c r="L65" i="50"/>
  <c r="M65" i="50"/>
  <c r="H66" i="50"/>
  <c r="I66" i="50"/>
  <c r="J66" i="50"/>
  <c r="K66" i="50"/>
  <c r="L66" i="50"/>
  <c r="M66" i="50"/>
  <c r="H67" i="50"/>
  <c r="I67" i="50"/>
  <c r="J67" i="50"/>
  <c r="K67" i="50"/>
  <c r="L67" i="50"/>
  <c r="M67" i="50"/>
  <c r="H68" i="50"/>
  <c r="I68" i="50"/>
  <c r="J68" i="50"/>
  <c r="K68" i="50"/>
  <c r="L68" i="50"/>
  <c r="M68" i="50"/>
  <c r="H69" i="50"/>
  <c r="I69" i="50"/>
  <c r="J69" i="50"/>
  <c r="K69" i="50"/>
  <c r="L69" i="50"/>
  <c r="M69" i="50"/>
  <c r="H70" i="50"/>
  <c r="I70" i="50"/>
  <c r="J70" i="50"/>
  <c r="K70" i="50"/>
  <c r="L70" i="50"/>
  <c r="M70" i="50"/>
  <c r="H71" i="50"/>
  <c r="I71" i="50"/>
  <c r="J71" i="50"/>
  <c r="K71" i="50"/>
  <c r="L71" i="50"/>
  <c r="M71" i="50"/>
  <c r="H72" i="50"/>
  <c r="I72" i="50"/>
  <c r="J72" i="50"/>
  <c r="K72" i="50"/>
  <c r="L72" i="50"/>
  <c r="M72" i="50"/>
  <c r="H73" i="50"/>
  <c r="I73" i="50"/>
  <c r="J73" i="50"/>
  <c r="K73" i="50"/>
  <c r="L73" i="50"/>
  <c r="M73" i="50"/>
  <c r="H74" i="50"/>
  <c r="I74" i="50"/>
  <c r="J74" i="50"/>
  <c r="K74" i="50"/>
  <c r="L74" i="50"/>
  <c r="M74" i="50"/>
  <c r="H75" i="50"/>
  <c r="I75" i="50"/>
  <c r="J75" i="50"/>
  <c r="K75" i="50"/>
  <c r="L75" i="50"/>
  <c r="M75" i="50"/>
  <c r="H76" i="50"/>
  <c r="I76" i="50"/>
  <c r="J76" i="50"/>
  <c r="K76" i="50"/>
  <c r="L76" i="50"/>
  <c r="M76" i="50"/>
  <c r="H77" i="50"/>
  <c r="I77" i="50"/>
  <c r="J77" i="50"/>
  <c r="K77" i="50"/>
  <c r="L77" i="50"/>
  <c r="M77" i="50"/>
  <c r="H78" i="50"/>
  <c r="I78" i="50"/>
  <c r="J78" i="50"/>
  <c r="K78" i="50"/>
  <c r="L78" i="50"/>
  <c r="M78" i="50"/>
  <c r="H79" i="50"/>
  <c r="I79" i="50"/>
  <c r="J79" i="50"/>
  <c r="K79" i="50"/>
  <c r="L79" i="50"/>
  <c r="M79" i="50"/>
  <c r="H80" i="50"/>
  <c r="I80" i="50"/>
  <c r="J80" i="50"/>
  <c r="K80" i="50"/>
  <c r="L80" i="50"/>
  <c r="M80" i="50"/>
  <c r="H81" i="50"/>
  <c r="I81" i="50"/>
  <c r="J81" i="50"/>
  <c r="K81" i="50"/>
  <c r="L81" i="50"/>
  <c r="M81" i="50"/>
  <c r="H82" i="50"/>
  <c r="I82" i="50"/>
  <c r="J82" i="50"/>
  <c r="K82" i="50"/>
  <c r="L82" i="50"/>
  <c r="M82" i="50"/>
  <c r="H83" i="50"/>
  <c r="I83" i="50"/>
  <c r="J83" i="50"/>
  <c r="K83" i="50"/>
  <c r="L83" i="50"/>
  <c r="M83" i="50"/>
  <c r="H84" i="50"/>
  <c r="I84" i="50"/>
  <c r="J84" i="50"/>
  <c r="K84" i="50"/>
  <c r="L84" i="50"/>
  <c r="M84" i="50"/>
  <c r="H85" i="50"/>
  <c r="I85" i="50"/>
  <c r="J85" i="50"/>
  <c r="K85" i="50"/>
  <c r="L85" i="50"/>
  <c r="M85" i="50"/>
  <c r="H86" i="50"/>
  <c r="I86" i="50"/>
  <c r="J86" i="50"/>
  <c r="K86" i="50"/>
  <c r="L86" i="50"/>
  <c r="M86" i="50"/>
  <c r="H87" i="50"/>
  <c r="I87" i="50"/>
  <c r="J87" i="50"/>
  <c r="K87" i="50"/>
  <c r="L87" i="50"/>
  <c r="M87" i="50"/>
  <c r="H88" i="50"/>
  <c r="I88" i="50"/>
  <c r="J88" i="50"/>
  <c r="K88" i="50"/>
  <c r="L88" i="50"/>
  <c r="M88" i="50"/>
  <c r="H89" i="50"/>
  <c r="I89" i="50"/>
  <c r="J89" i="50"/>
  <c r="K89" i="50"/>
  <c r="L89" i="50"/>
  <c r="M89" i="50"/>
  <c r="H90" i="50"/>
  <c r="I90" i="50"/>
  <c r="J90" i="50"/>
  <c r="K90" i="50"/>
  <c r="L90" i="50"/>
  <c r="M90" i="50"/>
  <c r="H91" i="50"/>
  <c r="I91" i="50"/>
  <c r="J91" i="50"/>
  <c r="K91" i="50"/>
  <c r="L91" i="50"/>
  <c r="M91" i="50"/>
  <c r="C76" i="64" l="1"/>
  <c r="AU274" i="89"/>
  <c r="C68" i="64"/>
  <c r="AU266" i="89"/>
  <c r="P240" i="49"/>
  <c r="C238" i="49"/>
  <c r="Q238" i="49"/>
  <c r="P238" i="49" s="1"/>
  <c r="C148" i="49"/>
  <c r="C149" i="49"/>
  <c r="C150" i="49"/>
  <c r="C151" i="49"/>
  <c r="C152" i="49"/>
  <c r="C153" i="49"/>
  <c r="C154" i="49"/>
  <c r="C155" i="49"/>
  <c r="C157" i="49"/>
  <c r="C158" i="49"/>
  <c r="C159" i="49"/>
  <c r="C162" i="49"/>
  <c r="C163" i="49"/>
  <c r="C164" i="49"/>
  <c r="C165" i="49"/>
  <c r="Q165" i="49"/>
  <c r="P165" i="49" s="1"/>
  <c r="C166" i="49"/>
  <c r="Q166" i="49"/>
  <c r="P166" i="49" s="1"/>
  <c r="C167" i="49"/>
  <c r="C168" i="49"/>
  <c r="C169" i="49"/>
  <c r="C170" i="49"/>
  <c r="Q170" i="49"/>
  <c r="P170" i="49" s="1"/>
  <c r="C171" i="49"/>
  <c r="F171" i="49"/>
  <c r="G171" i="49"/>
  <c r="H171" i="49"/>
  <c r="I171" i="49"/>
  <c r="J171" i="49"/>
  <c r="K171" i="49"/>
  <c r="C172" i="49"/>
  <c r="C173" i="49"/>
  <c r="Q173" i="49"/>
  <c r="P173" i="49" s="1"/>
  <c r="C174" i="49"/>
  <c r="Q174" i="49"/>
  <c r="P174" i="49" s="1"/>
  <c r="C175" i="49"/>
  <c r="Q175" i="49"/>
  <c r="P175" i="49" s="1"/>
  <c r="C176" i="49"/>
  <c r="Q176" i="49"/>
  <c r="P176" i="49" s="1"/>
  <c r="C177" i="49"/>
  <c r="C178" i="49"/>
  <c r="Q178" i="49"/>
  <c r="P178" i="49" s="1"/>
  <c r="C179" i="49"/>
  <c r="Q179" i="49"/>
  <c r="P179" i="49" s="1"/>
  <c r="C180" i="49"/>
  <c r="Q180" i="49"/>
  <c r="P180" i="49" s="1"/>
  <c r="C181" i="49"/>
  <c r="Q181" i="49"/>
  <c r="P181" i="49" s="1"/>
  <c r="C182" i="49"/>
  <c r="C183" i="49"/>
  <c r="C184" i="49"/>
  <c r="Q184" i="49"/>
  <c r="P184" i="49" s="1"/>
  <c r="C185" i="49"/>
  <c r="Q185" i="49"/>
  <c r="P185" i="49" s="1"/>
  <c r="C186" i="49"/>
  <c r="Q186" i="49"/>
  <c r="P186" i="49" s="1"/>
  <c r="C187" i="49"/>
  <c r="Q187" i="49"/>
  <c r="P187" i="49" s="1"/>
  <c r="C188" i="49"/>
  <c r="Q188" i="49"/>
  <c r="P188" i="49" s="1"/>
  <c r="C189" i="49"/>
  <c r="Q189" i="49"/>
  <c r="P189" i="49" s="1"/>
  <c r="C190" i="49"/>
  <c r="C191" i="49"/>
  <c r="C192" i="49"/>
  <c r="C193" i="49"/>
  <c r="C194" i="49"/>
  <c r="C195" i="49"/>
  <c r="C196" i="49"/>
  <c r="C197" i="49"/>
  <c r="C198" i="49"/>
  <c r="C199" i="49"/>
  <c r="C200" i="49"/>
  <c r="C201" i="49"/>
  <c r="C202" i="49"/>
  <c r="C203" i="49"/>
  <c r="C204" i="49"/>
  <c r="C205" i="49"/>
  <c r="C206" i="49"/>
  <c r="C207" i="49"/>
  <c r="C208" i="49"/>
  <c r="C209" i="49"/>
  <c r="C210" i="49"/>
  <c r="C211" i="49"/>
  <c r="C212" i="49"/>
  <c r="C213" i="49"/>
  <c r="C214" i="49"/>
  <c r="C215" i="49"/>
  <c r="C216" i="49"/>
  <c r="C217" i="49"/>
  <c r="C218" i="49"/>
  <c r="C219" i="49"/>
  <c r="C220" i="49"/>
  <c r="C221" i="49"/>
  <c r="C222" i="49"/>
  <c r="C223" i="49"/>
  <c r="C224" i="49"/>
  <c r="C225" i="49"/>
  <c r="C226" i="49"/>
  <c r="C227" i="49"/>
  <c r="C228" i="49"/>
  <c r="C229" i="49"/>
  <c r="C230" i="49"/>
  <c r="Q230" i="49"/>
  <c r="P230" i="49" s="1"/>
  <c r="C231" i="49"/>
  <c r="Q231" i="49"/>
  <c r="P231" i="49" s="1"/>
  <c r="C232" i="49"/>
  <c r="Q232" i="49"/>
  <c r="P232" i="49" s="1"/>
  <c r="C233" i="49"/>
  <c r="Q233" i="49"/>
  <c r="P233" i="49" s="1"/>
  <c r="C234" i="49"/>
  <c r="Q234" i="49"/>
  <c r="P234" i="49" s="1"/>
  <c r="C235" i="49"/>
  <c r="Q235" i="49"/>
  <c r="P235" i="49" s="1"/>
  <c r="C236" i="49"/>
  <c r="Q236" i="49"/>
  <c r="P236" i="49" s="1"/>
  <c r="C237" i="49"/>
  <c r="Q237" i="49"/>
  <c r="P237" i="49" s="1"/>
  <c r="H99" i="50"/>
  <c r="I99" i="50"/>
  <c r="J99" i="50"/>
  <c r="K99" i="50"/>
  <c r="L99" i="50"/>
  <c r="M99" i="50"/>
  <c r="H100" i="50"/>
  <c r="I100" i="50"/>
  <c r="J100" i="50"/>
  <c r="K100" i="50"/>
  <c r="L100" i="50"/>
  <c r="M100" i="50"/>
  <c r="H97" i="50"/>
  <c r="I97" i="50"/>
  <c r="J97" i="50"/>
  <c r="K97" i="50"/>
  <c r="L97" i="50"/>
  <c r="M97" i="50"/>
  <c r="H98" i="50"/>
  <c r="I98" i="50"/>
  <c r="J98" i="50"/>
  <c r="K98" i="50"/>
  <c r="L98" i="50"/>
  <c r="M98" i="50"/>
  <c r="E47" i="143"/>
  <c r="E46" i="143"/>
  <c r="E40" i="143"/>
  <c r="E25" i="143"/>
  <c r="E24" i="143"/>
  <c r="E14" i="143"/>
  <c r="E51" i="143"/>
  <c r="E48" i="143"/>
  <c r="E31" i="143"/>
  <c r="E22" i="143"/>
  <c r="H94" i="50"/>
  <c r="I94" i="50"/>
  <c r="J94" i="50"/>
  <c r="K94" i="50"/>
  <c r="L94" i="50"/>
  <c r="M94" i="50"/>
  <c r="H95" i="50"/>
  <c r="I95" i="50"/>
  <c r="J95" i="50"/>
  <c r="K95" i="50"/>
  <c r="L95" i="50"/>
  <c r="M95" i="50"/>
  <c r="H96" i="50"/>
  <c r="I96" i="50"/>
  <c r="J96" i="50"/>
  <c r="K96" i="50"/>
  <c r="L96" i="50"/>
  <c r="M96" i="50"/>
  <c r="F229" i="49"/>
  <c r="G229" i="49"/>
  <c r="H229" i="49"/>
  <c r="I229" i="49"/>
  <c r="H92" i="50"/>
  <c r="I92" i="50"/>
  <c r="J92" i="50"/>
  <c r="K92" i="50"/>
  <c r="L92" i="50"/>
  <c r="M92" i="50"/>
  <c r="H93" i="50"/>
  <c r="I93" i="50"/>
  <c r="J93" i="50"/>
  <c r="K93" i="50"/>
  <c r="L93" i="50"/>
  <c r="M93" i="50"/>
  <c r="I228" i="49"/>
  <c r="H228" i="49"/>
  <c r="G228" i="49"/>
  <c r="F228" i="49"/>
  <c r="K227" i="49"/>
  <c r="I227" i="49"/>
  <c r="H227" i="49"/>
  <c r="G227" i="49"/>
  <c r="F227" i="49"/>
  <c r="I226" i="49"/>
  <c r="H226" i="49"/>
  <c r="G226" i="49"/>
  <c r="F226" i="49"/>
  <c r="P239" i="49"/>
  <c r="C147" i="49"/>
  <c r="K225" i="49"/>
  <c r="J225" i="49"/>
  <c r="I225" i="49"/>
  <c r="H225" i="49"/>
  <c r="G225" i="49"/>
  <c r="F225" i="49"/>
  <c r="K224" i="49"/>
  <c r="J224" i="49"/>
  <c r="I224" i="49"/>
  <c r="H224" i="49"/>
  <c r="G224" i="49"/>
  <c r="F224" i="49"/>
  <c r="K223" i="49"/>
  <c r="I223" i="49"/>
  <c r="H223" i="49"/>
  <c r="G223" i="49"/>
  <c r="F223" i="49"/>
  <c r="K222" i="49"/>
  <c r="J222" i="49"/>
  <c r="I222" i="49"/>
  <c r="H222" i="49"/>
  <c r="G222" i="49"/>
  <c r="F222" i="49"/>
  <c r="J221" i="49"/>
  <c r="I221" i="49"/>
  <c r="H221" i="49"/>
  <c r="G221" i="49"/>
  <c r="F221" i="49"/>
  <c r="F217" i="49"/>
  <c r="F218" i="49"/>
  <c r="F219" i="49"/>
  <c r="F220" i="49"/>
  <c r="G217" i="49"/>
  <c r="G218" i="49"/>
  <c r="G219" i="49"/>
  <c r="G220" i="49"/>
  <c r="H217" i="49"/>
  <c r="H218" i="49"/>
  <c r="H219" i="49"/>
  <c r="H220" i="49"/>
  <c r="I217" i="49"/>
  <c r="I218" i="49"/>
  <c r="I219" i="49"/>
  <c r="I220" i="49"/>
  <c r="J217" i="49"/>
  <c r="J218" i="49"/>
  <c r="J219" i="49"/>
  <c r="J220" i="49"/>
  <c r="K217" i="49"/>
  <c r="K218" i="49"/>
  <c r="K220" i="49"/>
  <c r="E49" i="143" l="1"/>
  <c r="K219" i="49"/>
  <c r="J227" i="49"/>
  <c r="K228" i="49"/>
  <c r="J228" i="49"/>
  <c r="J223" i="49"/>
  <c r="K229" i="49"/>
  <c r="K221" i="49"/>
  <c r="J229" i="49"/>
  <c r="K226" i="49"/>
  <c r="J226" i="49"/>
  <c r="L9" i="50" l="1"/>
  <c r="L10" i="50"/>
  <c r="J148" i="49" s="1"/>
  <c r="J149" i="49"/>
  <c r="J150" i="49"/>
  <c r="J151" i="49"/>
  <c r="J152" i="49"/>
  <c r="J153" i="49"/>
  <c r="J154" i="49"/>
  <c r="J155" i="49"/>
  <c r="J156" i="49"/>
  <c r="J157" i="49"/>
  <c r="J158" i="49"/>
  <c r="J159" i="49"/>
  <c r="J160" i="49"/>
  <c r="J161" i="49"/>
  <c r="J162" i="49"/>
  <c r="J163" i="49"/>
  <c r="J164" i="49"/>
  <c r="J165" i="49"/>
  <c r="J166" i="49"/>
  <c r="J167" i="49"/>
  <c r="J168" i="49"/>
  <c r="J169" i="49"/>
  <c r="J170" i="49"/>
  <c r="J172" i="49"/>
  <c r="J173" i="49"/>
  <c r="J174" i="49"/>
  <c r="J176" i="49"/>
  <c r="J177" i="49"/>
  <c r="J178" i="49"/>
  <c r="J179" i="49"/>
  <c r="J180" i="49"/>
  <c r="J181" i="49"/>
  <c r="J182" i="49"/>
  <c r="J187" i="49"/>
  <c r="J188" i="49"/>
  <c r="J189" i="49"/>
  <c r="J190" i="49"/>
  <c r="J191" i="49"/>
  <c r="J192" i="49"/>
  <c r="J193" i="49"/>
  <c r="J194" i="49"/>
  <c r="J195" i="49"/>
  <c r="J196" i="49"/>
  <c r="J197" i="49"/>
  <c r="J198" i="49"/>
  <c r="J199" i="49"/>
  <c r="J200" i="49"/>
  <c r="J201" i="49"/>
  <c r="J202" i="49"/>
  <c r="J203" i="49"/>
  <c r="J204" i="49"/>
  <c r="J205" i="49"/>
  <c r="J206" i="49"/>
  <c r="J207" i="49"/>
  <c r="J208" i="49"/>
  <c r="J209" i="49"/>
  <c r="J210" i="49"/>
  <c r="J211" i="49"/>
  <c r="J212" i="49"/>
  <c r="J213" i="49"/>
  <c r="J214" i="49"/>
  <c r="J215" i="49"/>
  <c r="J216" i="49"/>
  <c r="M9" i="50"/>
  <c r="M10" i="50"/>
  <c r="K148" i="49" s="1"/>
  <c r="K149" i="49"/>
  <c r="K150" i="49"/>
  <c r="K151" i="49"/>
  <c r="K152" i="49"/>
  <c r="K153" i="49"/>
  <c r="K154" i="49"/>
  <c r="K155" i="49"/>
  <c r="K156" i="49"/>
  <c r="K157" i="49"/>
  <c r="K158" i="49"/>
  <c r="K159" i="49"/>
  <c r="K160" i="49"/>
  <c r="K161" i="49"/>
  <c r="K162" i="49"/>
  <c r="K163" i="49"/>
  <c r="K164" i="49"/>
  <c r="K165" i="49"/>
  <c r="K166" i="49"/>
  <c r="K167" i="49"/>
  <c r="K168" i="49"/>
  <c r="K169" i="49"/>
  <c r="K170" i="49"/>
  <c r="K172" i="49"/>
  <c r="K173" i="49"/>
  <c r="K174" i="49"/>
  <c r="K176" i="49"/>
  <c r="K177" i="49"/>
  <c r="K178" i="49"/>
  <c r="K179" i="49"/>
  <c r="K180" i="49"/>
  <c r="K181" i="49"/>
  <c r="K182" i="49"/>
  <c r="K187" i="49"/>
  <c r="K188" i="49"/>
  <c r="K189" i="49"/>
  <c r="K190" i="49"/>
  <c r="K191" i="49"/>
  <c r="K192" i="49"/>
  <c r="K193" i="49"/>
  <c r="K194" i="49"/>
  <c r="K195" i="49"/>
  <c r="K196" i="49"/>
  <c r="K197" i="49"/>
  <c r="K198" i="49"/>
  <c r="K199" i="49"/>
  <c r="K200" i="49"/>
  <c r="K201" i="49"/>
  <c r="K202" i="49"/>
  <c r="K203" i="49"/>
  <c r="K204" i="49"/>
  <c r="K205" i="49"/>
  <c r="K206" i="49"/>
  <c r="K207" i="49"/>
  <c r="K208" i="49"/>
  <c r="K209" i="49"/>
  <c r="K210" i="49"/>
  <c r="K211" i="49"/>
  <c r="K212" i="49"/>
  <c r="K213" i="49"/>
  <c r="K214" i="49"/>
  <c r="K215" i="49"/>
  <c r="K216" i="49"/>
  <c r="K9" i="50"/>
  <c r="K10" i="50"/>
  <c r="I148" i="49" s="1"/>
  <c r="I149" i="49"/>
  <c r="I150" i="49"/>
  <c r="I151" i="49"/>
  <c r="I152" i="49"/>
  <c r="I153" i="49"/>
  <c r="I154" i="49"/>
  <c r="I155" i="49"/>
  <c r="I156" i="49"/>
  <c r="I157" i="49"/>
  <c r="I158" i="49"/>
  <c r="I159" i="49"/>
  <c r="I160" i="49"/>
  <c r="I161" i="49"/>
  <c r="I162" i="49"/>
  <c r="I163" i="49"/>
  <c r="I164" i="49"/>
  <c r="I165" i="49"/>
  <c r="I166" i="49"/>
  <c r="I167" i="49"/>
  <c r="I168" i="49"/>
  <c r="I169" i="49"/>
  <c r="I170" i="49"/>
  <c r="I172" i="49"/>
  <c r="I173" i="49"/>
  <c r="I174" i="49"/>
  <c r="I176" i="49"/>
  <c r="I177" i="49"/>
  <c r="I178" i="49"/>
  <c r="I179" i="49"/>
  <c r="I180" i="49"/>
  <c r="I181" i="49"/>
  <c r="I182" i="49"/>
  <c r="I187" i="49"/>
  <c r="I188" i="49"/>
  <c r="I189" i="49"/>
  <c r="I190" i="49"/>
  <c r="I191" i="49"/>
  <c r="I192" i="49"/>
  <c r="I193" i="49"/>
  <c r="I194" i="49"/>
  <c r="I195" i="49"/>
  <c r="I196" i="49"/>
  <c r="I197" i="49"/>
  <c r="I198" i="49"/>
  <c r="I199" i="49"/>
  <c r="I200" i="49"/>
  <c r="I201" i="49"/>
  <c r="I202" i="49"/>
  <c r="I203" i="49"/>
  <c r="I204" i="49"/>
  <c r="I205" i="49"/>
  <c r="I206" i="49"/>
  <c r="I207" i="49"/>
  <c r="I208" i="49"/>
  <c r="I209" i="49"/>
  <c r="I210" i="49"/>
  <c r="I211" i="49"/>
  <c r="I212" i="49"/>
  <c r="I213" i="49"/>
  <c r="I214" i="49"/>
  <c r="I215" i="49"/>
  <c r="I216" i="49"/>
  <c r="J9" i="50"/>
  <c r="J10" i="50"/>
  <c r="H148" i="49" s="1"/>
  <c r="H149" i="49"/>
  <c r="H150" i="49"/>
  <c r="H151" i="49"/>
  <c r="H152" i="49"/>
  <c r="H153" i="49"/>
  <c r="H154" i="49"/>
  <c r="H155" i="49"/>
  <c r="H156" i="49"/>
  <c r="H157" i="49"/>
  <c r="H158" i="49"/>
  <c r="H159" i="49"/>
  <c r="H160" i="49"/>
  <c r="H161" i="49"/>
  <c r="H162" i="49"/>
  <c r="H163" i="49"/>
  <c r="H164" i="49"/>
  <c r="H165" i="49"/>
  <c r="H166" i="49"/>
  <c r="H167" i="49"/>
  <c r="H168" i="49"/>
  <c r="H169" i="49"/>
  <c r="H170" i="49"/>
  <c r="H172" i="49"/>
  <c r="H173" i="49"/>
  <c r="H174" i="49"/>
  <c r="H176" i="49"/>
  <c r="H177" i="49"/>
  <c r="H178" i="49"/>
  <c r="H179" i="49"/>
  <c r="H180" i="49"/>
  <c r="H181" i="49"/>
  <c r="H182" i="49"/>
  <c r="H187" i="49"/>
  <c r="H188" i="49"/>
  <c r="H189" i="49"/>
  <c r="H190" i="49"/>
  <c r="H191" i="49"/>
  <c r="H192" i="49"/>
  <c r="H193" i="49"/>
  <c r="H194" i="49"/>
  <c r="H195" i="49"/>
  <c r="H196" i="49"/>
  <c r="H197" i="49"/>
  <c r="H198" i="49"/>
  <c r="H199" i="49"/>
  <c r="H200" i="49"/>
  <c r="H201" i="49"/>
  <c r="H202" i="49"/>
  <c r="H203" i="49"/>
  <c r="H204" i="49"/>
  <c r="H205" i="49"/>
  <c r="H206" i="49"/>
  <c r="H207" i="49"/>
  <c r="H208" i="49"/>
  <c r="H209" i="49"/>
  <c r="H210" i="49"/>
  <c r="H211" i="49"/>
  <c r="H212" i="49"/>
  <c r="H213" i="49"/>
  <c r="H214" i="49"/>
  <c r="H215" i="49"/>
  <c r="H216" i="49"/>
  <c r="I9" i="50"/>
  <c r="I10" i="50"/>
  <c r="G148" i="49" s="1"/>
  <c r="G149" i="49"/>
  <c r="G150" i="49"/>
  <c r="G151" i="49"/>
  <c r="G152" i="49"/>
  <c r="G153" i="49"/>
  <c r="G154" i="49"/>
  <c r="G155" i="49"/>
  <c r="G156" i="49"/>
  <c r="G157" i="49"/>
  <c r="G158" i="49"/>
  <c r="G159" i="49"/>
  <c r="G160" i="49"/>
  <c r="G161" i="49"/>
  <c r="G162" i="49"/>
  <c r="G163" i="49"/>
  <c r="G164" i="49"/>
  <c r="G165" i="49"/>
  <c r="G166" i="49"/>
  <c r="G167" i="49"/>
  <c r="G168" i="49"/>
  <c r="G169" i="49"/>
  <c r="G170" i="49"/>
  <c r="G172" i="49"/>
  <c r="G173" i="49"/>
  <c r="G174" i="49"/>
  <c r="G176" i="49"/>
  <c r="G177" i="49"/>
  <c r="G178" i="49"/>
  <c r="G179" i="49"/>
  <c r="G180" i="49"/>
  <c r="G181" i="49"/>
  <c r="G182" i="49"/>
  <c r="G187" i="49"/>
  <c r="G188" i="49"/>
  <c r="G189" i="49"/>
  <c r="G190" i="49"/>
  <c r="G191" i="49"/>
  <c r="G192" i="49"/>
  <c r="G193" i="49"/>
  <c r="G194" i="49"/>
  <c r="G195" i="49"/>
  <c r="G196" i="49"/>
  <c r="G197" i="49"/>
  <c r="G198" i="49"/>
  <c r="G199" i="49"/>
  <c r="G200" i="49"/>
  <c r="G201" i="49"/>
  <c r="G202" i="49"/>
  <c r="G203" i="49"/>
  <c r="G204" i="49"/>
  <c r="G205" i="49"/>
  <c r="G206" i="49"/>
  <c r="G207" i="49"/>
  <c r="G208" i="49"/>
  <c r="G209" i="49"/>
  <c r="G210" i="49"/>
  <c r="G211" i="49"/>
  <c r="G212" i="49"/>
  <c r="G213" i="49"/>
  <c r="G214" i="49"/>
  <c r="G215" i="49"/>
  <c r="G216" i="49"/>
  <c r="H9" i="50"/>
  <c r="H10" i="50"/>
  <c r="F148" i="49" s="1"/>
  <c r="F149" i="49"/>
  <c r="F150" i="49"/>
  <c r="F151" i="49"/>
  <c r="F152" i="49"/>
  <c r="F153" i="49"/>
  <c r="F154" i="49"/>
  <c r="F155" i="49"/>
  <c r="F156" i="49"/>
  <c r="F157" i="49"/>
  <c r="F158" i="49"/>
  <c r="F159" i="49"/>
  <c r="F160" i="49"/>
  <c r="F161" i="49"/>
  <c r="F162" i="49"/>
  <c r="F163" i="49"/>
  <c r="F164" i="49"/>
  <c r="F165" i="49"/>
  <c r="F166" i="49"/>
  <c r="F167" i="49"/>
  <c r="F168" i="49"/>
  <c r="F169" i="49"/>
  <c r="F170" i="49"/>
  <c r="F172" i="49"/>
  <c r="F173" i="49"/>
  <c r="F174" i="49"/>
  <c r="F176" i="49"/>
  <c r="F177" i="49"/>
  <c r="F178" i="49"/>
  <c r="F179" i="49"/>
  <c r="F180" i="49"/>
  <c r="F181" i="49"/>
  <c r="F182" i="49"/>
  <c r="F187" i="49"/>
  <c r="F188" i="49"/>
  <c r="F189" i="49"/>
  <c r="F190" i="49"/>
  <c r="F191" i="49"/>
  <c r="F192" i="49"/>
  <c r="F193" i="49"/>
  <c r="F194" i="49"/>
  <c r="F195" i="49"/>
  <c r="F196" i="49"/>
  <c r="F197" i="49"/>
  <c r="F198" i="49"/>
  <c r="F199" i="49"/>
  <c r="F200" i="49"/>
  <c r="F201" i="49"/>
  <c r="F202" i="49"/>
  <c r="F203" i="49"/>
  <c r="F204" i="49"/>
  <c r="F205" i="49"/>
  <c r="F206" i="49"/>
  <c r="F207" i="49"/>
  <c r="F208" i="49"/>
  <c r="F209" i="49"/>
  <c r="F210" i="49"/>
  <c r="F211" i="49"/>
  <c r="F212" i="49"/>
  <c r="F213" i="49"/>
  <c r="F214" i="49"/>
  <c r="F215" i="49"/>
  <c r="F216" i="49"/>
  <c r="G57" i="143" l="1"/>
  <c r="G46" i="143"/>
  <c r="G38" i="143"/>
  <c r="G22" i="143"/>
  <c r="G15" i="143"/>
  <c r="G11" i="143"/>
  <c r="F46" i="143"/>
  <c r="F24" i="143"/>
  <c r="F13" i="143"/>
  <c r="G41" i="143"/>
  <c r="F35" i="143"/>
  <c r="G52" i="143"/>
  <c r="G44" i="143"/>
  <c r="G35" i="143"/>
  <c r="G21" i="143"/>
  <c r="G14" i="143"/>
  <c r="G10" i="143"/>
  <c r="F42" i="143"/>
  <c r="G39" i="143"/>
  <c r="F30" i="143"/>
  <c r="G50" i="143"/>
  <c r="G42" i="143"/>
  <c r="G33" i="143"/>
  <c r="G23" i="143"/>
  <c r="G13" i="143"/>
  <c r="F48" i="143"/>
  <c r="F41" i="143"/>
  <c r="F22" i="143"/>
  <c r="F17" i="143"/>
  <c r="G34" i="143"/>
  <c r="G48" i="143"/>
  <c r="G40" i="143"/>
  <c r="G32" i="143"/>
  <c r="G16" i="143"/>
  <c r="G12" i="143"/>
  <c r="F47" i="143"/>
  <c r="F25" i="143"/>
  <c r="F21" i="143"/>
  <c r="F14" i="143"/>
  <c r="F147" i="49"/>
  <c r="G60" i="143" s="1"/>
  <c r="G147" i="49"/>
  <c r="H147" i="49"/>
  <c r="I147" i="49"/>
  <c r="K147" i="49"/>
  <c r="J147" i="49"/>
  <c r="AA3" i="141" l="1"/>
  <c r="AB3" i="141"/>
  <c r="AA4" i="141"/>
  <c r="AB4" i="141"/>
  <c r="AA5" i="141"/>
  <c r="AB5" i="141"/>
  <c r="AA6" i="141"/>
  <c r="AB6" i="141"/>
  <c r="AA7" i="141"/>
  <c r="AB7" i="141"/>
  <c r="AA8" i="141"/>
  <c r="AB8" i="141"/>
  <c r="AA9" i="141"/>
  <c r="AB9" i="141"/>
  <c r="AA10" i="141"/>
  <c r="AB10" i="141"/>
  <c r="AA11" i="141"/>
  <c r="AB11" i="141"/>
  <c r="AA12" i="141"/>
  <c r="AB12" i="141"/>
  <c r="AA13" i="141"/>
  <c r="AB13" i="141"/>
  <c r="AA14" i="141"/>
  <c r="AB14" i="141"/>
  <c r="AA15" i="141"/>
  <c r="AB15" i="141"/>
  <c r="AA16" i="141"/>
  <c r="AB16" i="141"/>
  <c r="AA17" i="141"/>
  <c r="AB17" i="141"/>
  <c r="AA18" i="141"/>
  <c r="AB18" i="141"/>
  <c r="AA19" i="141"/>
  <c r="AB19" i="141"/>
  <c r="AA20" i="141"/>
  <c r="AB20" i="141"/>
  <c r="AA21" i="141"/>
  <c r="AB21" i="141"/>
  <c r="AA22" i="141"/>
  <c r="AB22" i="141"/>
  <c r="AA23" i="141"/>
  <c r="AB23" i="141"/>
  <c r="AA24" i="141"/>
  <c r="AB24" i="141"/>
  <c r="AA25" i="141"/>
  <c r="AB25" i="141"/>
  <c r="AA26" i="141"/>
  <c r="AB26" i="141"/>
  <c r="AA27" i="141"/>
  <c r="AB27" i="141"/>
  <c r="AA28" i="141"/>
  <c r="AB28" i="141"/>
  <c r="AA29" i="141"/>
  <c r="AB29" i="141"/>
  <c r="AA30" i="141"/>
  <c r="AB30" i="141"/>
  <c r="AA31" i="141"/>
  <c r="AB31" i="141"/>
  <c r="AA32" i="141"/>
  <c r="AB32" i="141"/>
  <c r="AA33" i="141"/>
  <c r="AB33" i="141"/>
  <c r="AA34" i="141"/>
  <c r="AB34" i="141"/>
  <c r="AA35" i="141"/>
  <c r="AB35" i="141"/>
  <c r="AA36" i="141"/>
  <c r="AB36" i="141"/>
  <c r="AA37" i="141"/>
  <c r="AB37" i="141"/>
  <c r="AA38" i="141"/>
  <c r="AB38" i="141"/>
  <c r="AA39" i="141"/>
  <c r="AB39" i="141"/>
  <c r="AA40" i="141"/>
  <c r="AB40" i="141"/>
  <c r="AA41" i="141"/>
  <c r="AB41" i="141"/>
  <c r="AA42" i="141"/>
  <c r="AB42" i="141"/>
  <c r="AA43" i="141"/>
  <c r="AB43" i="141"/>
  <c r="AA44" i="141"/>
  <c r="AB44" i="141"/>
  <c r="AA45" i="141"/>
  <c r="AB45" i="141"/>
  <c r="AA46" i="141"/>
  <c r="AB46" i="141"/>
  <c r="AA47" i="141"/>
  <c r="AB47" i="141"/>
  <c r="AA48" i="141"/>
  <c r="AB48" i="141"/>
  <c r="AA49" i="141"/>
  <c r="AB49" i="141"/>
  <c r="AA50" i="141"/>
  <c r="AB50" i="141"/>
  <c r="AA51" i="141"/>
  <c r="AB51" i="141"/>
  <c r="AA52" i="141"/>
  <c r="AB52" i="141"/>
  <c r="AA53" i="141"/>
  <c r="AB53" i="141"/>
  <c r="AA54" i="141"/>
  <c r="AB54" i="141"/>
  <c r="AA55" i="141"/>
  <c r="AB55" i="141"/>
  <c r="AA56" i="141"/>
  <c r="AB56" i="141"/>
  <c r="AA57" i="141"/>
  <c r="AB57" i="141"/>
  <c r="AA58" i="141"/>
  <c r="AB58" i="141"/>
  <c r="AA59" i="141"/>
  <c r="AB59" i="141"/>
  <c r="AA60" i="141"/>
  <c r="AB60" i="141"/>
  <c r="AA61" i="141"/>
  <c r="AB61" i="141"/>
  <c r="AA62" i="141"/>
  <c r="AB62" i="141"/>
  <c r="AA63" i="141"/>
  <c r="AB63" i="141"/>
  <c r="AA64" i="141"/>
  <c r="AB64" i="141"/>
  <c r="AA65" i="141"/>
  <c r="AB65" i="141"/>
  <c r="AA66" i="141"/>
  <c r="AB66" i="141"/>
  <c r="AA67" i="141"/>
  <c r="AB67" i="141"/>
  <c r="AA68" i="141"/>
  <c r="AB68" i="141"/>
  <c r="AA69" i="141"/>
  <c r="AB69" i="141"/>
  <c r="AA70" i="141"/>
  <c r="AB70" i="141"/>
  <c r="AA71" i="141"/>
  <c r="AB71" i="141"/>
  <c r="AA72" i="141"/>
  <c r="AB72" i="141"/>
  <c r="AA73" i="141"/>
  <c r="AB73" i="141"/>
  <c r="AA74" i="141"/>
  <c r="AB74" i="141"/>
  <c r="AA75" i="141"/>
  <c r="AB75" i="141"/>
  <c r="AA76" i="141"/>
  <c r="AB76" i="141"/>
  <c r="AA77" i="141"/>
  <c r="AB77" i="141"/>
  <c r="AA78" i="141"/>
  <c r="AB78" i="141"/>
  <c r="AA79" i="141"/>
  <c r="AB79" i="141"/>
  <c r="AA80" i="141"/>
  <c r="AB80" i="141"/>
  <c r="AA81" i="141"/>
  <c r="AB81" i="141"/>
  <c r="AA82" i="141"/>
  <c r="AB82" i="141"/>
  <c r="AA83" i="141"/>
  <c r="AB83" i="141"/>
  <c r="AA84" i="141"/>
  <c r="AB84" i="141"/>
  <c r="AA85" i="141"/>
  <c r="AB85" i="141"/>
  <c r="AA86" i="141"/>
  <c r="AB86" i="141"/>
  <c r="AA87" i="141"/>
  <c r="AB87" i="141"/>
  <c r="AA88" i="141"/>
  <c r="AB88" i="141"/>
  <c r="AA89" i="141"/>
  <c r="AB89" i="141"/>
  <c r="AA90" i="141"/>
  <c r="AB90" i="141"/>
  <c r="AA91" i="141"/>
  <c r="AB91" i="141"/>
  <c r="AA92" i="141"/>
  <c r="AB92" i="141"/>
  <c r="AA93" i="141"/>
  <c r="AB93" i="141"/>
  <c r="AA94" i="141"/>
  <c r="AB94" i="141"/>
  <c r="AA95" i="141"/>
  <c r="AB95" i="141"/>
  <c r="AA96" i="141"/>
  <c r="AB96" i="141"/>
  <c r="AA97" i="141"/>
  <c r="AB97" i="141"/>
  <c r="AA98" i="141"/>
  <c r="AB98" i="141"/>
  <c r="AA99" i="141"/>
  <c r="AB99" i="141"/>
  <c r="AA100" i="141"/>
  <c r="AB100" i="141"/>
  <c r="AA101" i="141"/>
  <c r="AB101" i="141"/>
  <c r="AA102" i="141"/>
  <c r="AB102" i="141"/>
  <c r="AA103" i="141"/>
  <c r="AB103" i="141"/>
  <c r="AA104" i="141"/>
  <c r="AB104" i="141"/>
  <c r="AA105" i="141"/>
  <c r="AB105" i="141"/>
  <c r="AA106" i="141"/>
  <c r="AB106" i="141"/>
  <c r="AA107" i="141"/>
  <c r="AB107" i="141"/>
  <c r="AA108" i="141"/>
  <c r="AB108" i="141"/>
  <c r="AA109" i="141"/>
  <c r="AB109" i="141"/>
  <c r="AA110" i="141"/>
  <c r="AB110" i="141"/>
  <c r="AA111" i="141"/>
  <c r="AB111" i="141"/>
  <c r="AA112" i="141"/>
  <c r="AB112" i="141"/>
  <c r="AA113" i="141"/>
  <c r="AB113" i="141"/>
  <c r="AA114" i="141"/>
  <c r="AB114" i="141"/>
  <c r="AA115" i="141"/>
  <c r="AB115" i="141"/>
  <c r="AA116" i="141"/>
  <c r="AB116" i="141"/>
  <c r="AA117" i="141"/>
  <c r="AB117" i="141"/>
  <c r="AA118" i="141"/>
  <c r="AB118" i="141"/>
  <c r="AA119" i="141"/>
  <c r="AB119" i="141"/>
  <c r="AA120" i="141"/>
  <c r="AB120" i="141"/>
  <c r="AA121" i="141"/>
  <c r="AB121" i="141"/>
  <c r="AA122" i="141"/>
  <c r="AB122" i="141"/>
  <c r="AA123" i="141"/>
  <c r="AB123" i="141"/>
  <c r="AA124" i="141"/>
  <c r="AB124" i="141"/>
  <c r="AA125" i="141"/>
  <c r="AB125" i="141"/>
  <c r="AA126" i="141"/>
  <c r="AB126" i="141"/>
  <c r="AA127" i="141"/>
  <c r="AB127" i="141"/>
  <c r="AA128" i="141"/>
  <c r="AB128" i="141"/>
  <c r="AA129" i="141"/>
  <c r="AB129" i="141"/>
  <c r="AA130" i="141"/>
  <c r="AB130" i="141"/>
  <c r="AA131" i="141"/>
  <c r="AB131" i="141"/>
  <c r="AA132" i="141"/>
  <c r="AB132" i="141"/>
  <c r="AA133" i="141"/>
  <c r="AB133" i="141"/>
  <c r="AA134" i="141"/>
  <c r="AB134" i="141"/>
  <c r="AA135" i="141"/>
  <c r="AB135" i="141"/>
  <c r="AA136" i="141"/>
  <c r="AB136" i="141"/>
  <c r="AA137" i="141"/>
  <c r="AB137" i="141"/>
  <c r="AA138" i="141"/>
  <c r="AB138" i="141"/>
  <c r="AA139" i="141"/>
  <c r="AB139" i="141"/>
  <c r="AA140" i="141"/>
  <c r="AB140" i="141"/>
  <c r="AA141" i="141"/>
  <c r="AB141" i="141"/>
  <c r="AA142" i="141"/>
  <c r="AB142" i="141"/>
  <c r="AA143" i="141"/>
  <c r="AB143" i="141"/>
  <c r="AA144" i="141"/>
  <c r="AB144" i="141"/>
  <c r="AA145" i="141"/>
  <c r="AB145" i="141"/>
  <c r="AA146" i="141"/>
  <c r="AB146" i="141"/>
  <c r="AA147" i="141"/>
  <c r="AB147" i="141"/>
  <c r="AA148" i="141"/>
  <c r="AB148" i="141"/>
  <c r="AA149" i="141"/>
  <c r="AB149" i="141"/>
  <c r="AA150" i="141"/>
  <c r="AB150" i="141"/>
  <c r="AA151" i="141"/>
  <c r="AB151" i="141"/>
  <c r="AA152" i="141"/>
  <c r="AB152" i="141"/>
  <c r="AA153" i="141"/>
  <c r="AB153" i="141"/>
  <c r="AA154" i="141"/>
  <c r="AB154" i="141"/>
  <c r="AA155" i="141"/>
  <c r="AB155" i="141"/>
  <c r="AA156" i="141"/>
  <c r="AB156" i="141"/>
  <c r="AA157" i="141"/>
  <c r="AB157" i="141"/>
  <c r="AA158" i="141"/>
  <c r="AB158" i="141"/>
  <c r="AA159" i="141"/>
  <c r="AB159" i="141"/>
  <c r="AA160" i="141"/>
  <c r="AB160" i="141"/>
  <c r="AA161" i="141"/>
  <c r="AB161" i="141"/>
  <c r="AA162" i="141"/>
  <c r="AB162" i="141"/>
  <c r="AA163" i="141"/>
  <c r="AB163" i="141"/>
  <c r="AA164" i="141"/>
  <c r="AB164" i="141"/>
  <c r="AA165" i="141"/>
  <c r="AB165" i="141"/>
  <c r="AA166" i="141"/>
  <c r="AB166" i="141"/>
  <c r="AA167" i="141"/>
  <c r="AB167" i="141"/>
  <c r="AA168" i="141"/>
  <c r="AB168" i="141"/>
  <c r="AA169" i="141"/>
  <c r="AB169" i="141"/>
  <c r="AA170" i="141"/>
  <c r="AB170" i="141"/>
  <c r="AA171" i="141"/>
  <c r="AB171" i="141"/>
  <c r="AA172" i="141"/>
  <c r="AB172" i="141"/>
  <c r="AA173" i="141"/>
  <c r="AB173" i="141"/>
  <c r="AA174" i="141"/>
  <c r="AB174" i="141"/>
  <c r="AA175" i="141"/>
  <c r="AB175" i="141"/>
  <c r="AA176" i="141"/>
  <c r="AB176" i="141"/>
  <c r="AA177" i="141"/>
  <c r="AB177" i="141"/>
  <c r="AA178" i="141"/>
  <c r="AB178" i="141"/>
  <c r="AA179" i="141"/>
  <c r="AB179" i="141"/>
  <c r="AA180" i="141"/>
  <c r="AB180" i="141"/>
  <c r="AA181" i="141"/>
  <c r="AB181" i="141"/>
  <c r="AA182" i="141"/>
  <c r="AB182" i="141"/>
  <c r="AA183" i="141"/>
  <c r="AB183" i="141"/>
  <c r="AA184" i="141"/>
  <c r="AB184" i="141"/>
  <c r="AA185" i="141"/>
  <c r="AB185" i="141"/>
  <c r="AA186" i="141"/>
  <c r="AB186" i="141"/>
  <c r="AA187" i="141"/>
  <c r="AB187" i="141"/>
  <c r="AA188" i="141"/>
  <c r="AB188" i="141"/>
  <c r="AA189" i="141"/>
  <c r="AB189" i="141"/>
  <c r="AA190" i="141"/>
  <c r="AB190" i="141"/>
  <c r="AA191" i="141"/>
  <c r="AB191" i="141"/>
  <c r="AA192" i="141"/>
  <c r="AB192" i="141"/>
  <c r="AA193" i="141"/>
  <c r="AB193" i="141"/>
  <c r="AA194" i="141"/>
  <c r="AB194" i="141"/>
  <c r="AA195" i="141"/>
  <c r="AB195" i="141"/>
  <c r="AA196" i="141"/>
  <c r="AB196" i="141"/>
  <c r="AA197" i="141"/>
  <c r="AB197" i="141"/>
  <c r="AA198" i="141"/>
  <c r="AB198" i="141"/>
  <c r="AA199" i="141"/>
  <c r="AB199" i="141"/>
  <c r="AA200" i="141"/>
  <c r="AB200" i="141"/>
  <c r="AA201" i="141"/>
  <c r="AB201" i="141"/>
  <c r="AA202" i="141"/>
  <c r="AB202" i="141"/>
  <c r="AA203" i="141"/>
  <c r="AB203" i="141"/>
  <c r="AA204" i="141"/>
  <c r="AB204" i="141"/>
  <c r="AA205" i="141"/>
  <c r="AB205" i="141"/>
  <c r="AA206" i="141"/>
  <c r="AB206" i="141"/>
  <c r="AA207" i="141"/>
  <c r="AB207" i="141"/>
  <c r="AA208" i="141"/>
  <c r="AB208" i="141"/>
  <c r="AA209" i="141"/>
  <c r="AB209" i="141"/>
  <c r="AA210" i="141"/>
  <c r="AB210" i="141"/>
  <c r="AA211" i="141"/>
  <c r="AB211" i="141"/>
  <c r="AA212" i="141"/>
  <c r="AB212" i="141"/>
  <c r="AA213" i="141"/>
  <c r="AB213" i="141"/>
  <c r="AA214" i="141"/>
  <c r="AB214" i="141"/>
  <c r="AA215" i="141"/>
  <c r="AB215" i="141"/>
  <c r="AA216" i="141"/>
  <c r="AB216" i="141"/>
  <c r="AA217" i="141"/>
  <c r="AB217" i="141"/>
  <c r="AA218" i="141"/>
  <c r="AB218" i="141"/>
  <c r="AA219" i="141"/>
  <c r="AB219" i="141"/>
  <c r="AA220" i="141"/>
  <c r="AB220" i="141"/>
  <c r="AA221" i="141"/>
  <c r="AB221" i="141"/>
  <c r="AA222" i="141"/>
  <c r="AB222" i="141"/>
  <c r="AA223" i="141"/>
  <c r="AB223" i="141"/>
  <c r="AA224" i="141"/>
  <c r="AB224" i="141"/>
  <c r="AA225" i="141"/>
  <c r="AB225" i="141"/>
  <c r="AA226" i="141"/>
  <c r="AB226" i="141"/>
  <c r="AA227" i="141"/>
  <c r="AB227" i="141"/>
  <c r="AA228" i="141"/>
  <c r="AB228" i="141"/>
  <c r="AA229" i="141"/>
  <c r="AB229" i="141"/>
  <c r="AA230" i="141"/>
  <c r="AB230" i="141"/>
  <c r="AA231" i="141"/>
  <c r="AB231" i="141"/>
  <c r="AA232" i="141"/>
  <c r="AB232" i="141"/>
  <c r="AA233" i="141"/>
  <c r="AB233" i="141"/>
  <c r="AA234" i="141"/>
  <c r="AB234" i="141"/>
  <c r="AA235" i="141"/>
  <c r="AB235" i="141"/>
  <c r="AA236" i="141"/>
  <c r="AB236" i="141"/>
  <c r="AA237" i="141"/>
  <c r="AB237" i="141"/>
  <c r="AA238" i="141"/>
  <c r="AB238" i="141"/>
  <c r="AA239" i="141"/>
  <c r="AB239" i="141"/>
  <c r="AA240" i="141"/>
  <c r="AB240" i="141"/>
  <c r="AA241" i="141"/>
  <c r="AB241" i="141"/>
  <c r="AA242" i="141"/>
  <c r="AB242" i="141"/>
  <c r="AA243" i="141"/>
  <c r="AB243" i="141"/>
  <c r="AA244" i="141"/>
  <c r="AB244" i="141"/>
  <c r="AA245" i="141"/>
  <c r="AB245" i="141"/>
  <c r="AA246" i="141"/>
  <c r="AB246" i="141"/>
  <c r="AA247" i="141"/>
  <c r="AB247" i="141"/>
  <c r="AA248" i="141"/>
  <c r="AB248" i="141"/>
  <c r="AA249" i="141"/>
  <c r="AB249" i="141"/>
  <c r="AA250" i="141"/>
  <c r="AB250" i="141"/>
  <c r="AA251" i="141"/>
  <c r="AB251" i="141"/>
  <c r="AA252" i="141"/>
  <c r="AB252" i="141"/>
  <c r="AA253" i="141"/>
  <c r="AB253" i="141"/>
  <c r="AA254" i="141"/>
  <c r="AB254" i="141"/>
  <c r="AA255" i="141"/>
  <c r="AB255" i="141"/>
  <c r="AA256" i="141"/>
  <c r="AB256" i="141"/>
  <c r="AA257" i="141"/>
  <c r="AB257" i="141"/>
  <c r="AA258" i="141"/>
  <c r="AB258" i="141"/>
  <c r="AA259" i="141"/>
  <c r="AB259" i="141"/>
  <c r="AA260" i="141"/>
  <c r="AB260" i="141"/>
  <c r="AA261" i="141"/>
  <c r="AB261" i="141"/>
  <c r="AA262" i="141"/>
  <c r="AB262" i="141"/>
  <c r="AA263" i="141"/>
  <c r="AB263" i="141"/>
  <c r="AA264" i="141"/>
  <c r="AB264" i="141"/>
  <c r="AA265" i="141"/>
  <c r="AB265" i="141"/>
  <c r="AA266" i="141"/>
  <c r="AB266" i="141"/>
  <c r="AA267" i="141"/>
  <c r="AB267" i="141"/>
  <c r="AA268" i="141"/>
  <c r="AB268" i="141"/>
  <c r="AA269" i="141"/>
  <c r="AB269" i="141"/>
  <c r="AA270" i="141"/>
  <c r="AB270" i="141"/>
  <c r="AA271" i="141"/>
  <c r="AB271" i="141"/>
  <c r="AA272" i="141"/>
  <c r="AB272" i="141"/>
  <c r="AA273" i="141"/>
  <c r="AB273" i="141"/>
  <c r="AA274" i="141"/>
  <c r="AB274" i="141"/>
  <c r="AA275" i="141"/>
  <c r="AB275" i="141"/>
  <c r="AA276" i="141"/>
  <c r="AB276" i="141"/>
  <c r="AA277" i="141"/>
  <c r="AB277" i="141"/>
  <c r="AA278" i="141"/>
  <c r="AB278" i="141"/>
  <c r="AA279" i="141"/>
  <c r="AB279" i="141"/>
  <c r="AA280" i="141"/>
  <c r="AB280" i="141"/>
  <c r="AA281" i="141"/>
  <c r="AB281" i="141"/>
  <c r="AA282" i="141"/>
  <c r="AB282" i="141"/>
  <c r="AA283" i="141"/>
  <c r="AB283" i="141"/>
  <c r="AA284" i="141"/>
  <c r="AB284" i="141"/>
  <c r="AA285" i="141"/>
  <c r="AB285" i="141"/>
  <c r="AA286" i="141"/>
  <c r="AB286" i="141"/>
  <c r="AA287" i="141"/>
  <c r="AB287" i="141"/>
  <c r="AA288" i="141"/>
  <c r="AB288" i="141"/>
  <c r="AA289" i="141"/>
  <c r="AB289" i="141"/>
  <c r="AA290" i="141"/>
  <c r="AB290" i="141"/>
  <c r="AA291" i="141"/>
  <c r="AB291" i="141"/>
  <c r="AA292" i="141"/>
  <c r="AB292" i="141"/>
  <c r="AA293" i="141"/>
  <c r="AB293" i="141"/>
  <c r="AA294" i="141"/>
  <c r="AB294" i="141"/>
  <c r="AA295" i="141"/>
  <c r="AB295" i="141"/>
  <c r="AA296" i="141"/>
  <c r="AB296" i="141"/>
  <c r="AA297" i="141"/>
  <c r="AB297" i="141"/>
  <c r="AA298" i="141"/>
  <c r="AB298" i="141"/>
  <c r="AA299" i="141"/>
  <c r="AB299" i="141"/>
  <c r="AA300" i="141"/>
  <c r="AB300" i="141"/>
  <c r="AA301" i="141"/>
  <c r="AB301" i="141"/>
  <c r="AA302" i="141"/>
  <c r="AB302" i="141"/>
  <c r="AA303" i="141"/>
  <c r="AB303" i="141"/>
  <c r="AA304" i="141"/>
  <c r="AB304" i="141"/>
  <c r="AA305" i="141"/>
  <c r="AB305" i="141"/>
  <c r="AA306" i="141"/>
  <c r="AB306" i="141"/>
  <c r="AA307" i="141"/>
  <c r="AB307" i="141"/>
  <c r="AA308" i="141"/>
  <c r="AB308" i="141"/>
  <c r="AA309" i="141"/>
  <c r="AB309" i="141"/>
  <c r="AA310" i="141"/>
  <c r="AB310" i="141"/>
  <c r="AA311" i="141"/>
  <c r="AB311" i="141"/>
  <c r="AA312" i="141"/>
  <c r="AB312" i="141"/>
  <c r="AA313" i="141"/>
  <c r="AB313" i="141"/>
  <c r="AA314" i="141"/>
  <c r="AB314" i="141"/>
  <c r="AA315" i="141"/>
  <c r="AB315" i="141"/>
  <c r="AA316" i="141"/>
  <c r="AB316" i="141"/>
  <c r="AA317" i="141"/>
  <c r="AB317" i="141"/>
  <c r="AA318" i="141"/>
  <c r="AB318" i="141"/>
  <c r="AA319" i="141"/>
  <c r="AB319" i="141"/>
  <c r="AA320" i="141"/>
  <c r="AB320" i="141"/>
  <c r="AA321" i="141"/>
  <c r="AB321" i="141"/>
  <c r="AA322" i="141"/>
  <c r="AB322" i="141"/>
  <c r="AA323" i="141"/>
  <c r="AB323" i="141"/>
  <c r="AA324" i="141"/>
  <c r="AB324" i="141"/>
  <c r="AA325" i="141"/>
  <c r="AB325" i="141"/>
  <c r="AA326" i="141"/>
  <c r="AB326" i="141"/>
  <c r="AA327" i="141"/>
  <c r="AB327" i="141"/>
  <c r="AA328" i="141"/>
  <c r="AB328" i="141"/>
  <c r="AA329" i="141"/>
  <c r="AB329" i="141"/>
  <c r="AA330" i="141"/>
  <c r="AB330" i="141"/>
  <c r="AA331" i="141"/>
  <c r="AB331" i="141"/>
  <c r="AA332" i="141"/>
  <c r="AB332" i="141"/>
  <c r="AA333" i="141"/>
  <c r="AB333" i="141"/>
  <c r="AA334" i="141"/>
  <c r="AB334" i="141"/>
  <c r="AA335" i="141"/>
  <c r="AB335" i="141"/>
  <c r="AA336" i="141"/>
  <c r="AB336" i="141"/>
  <c r="AA337" i="141"/>
  <c r="AB337" i="141"/>
  <c r="AA338" i="141"/>
  <c r="AB338" i="141"/>
  <c r="AA339" i="141"/>
  <c r="AB339" i="141"/>
  <c r="AA340" i="141"/>
  <c r="AB340" i="141"/>
  <c r="AA341" i="141"/>
  <c r="AB341" i="141"/>
  <c r="AA342" i="141"/>
  <c r="AB342" i="141"/>
  <c r="AA343" i="141"/>
  <c r="AB343" i="141"/>
  <c r="AA344" i="141"/>
  <c r="AB344" i="141"/>
  <c r="AA345" i="141"/>
  <c r="AB345" i="141"/>
  <c r="AA346" i="141"/>
  <c r="AB346" i="141"/>
  <c r="AA347" i="141"/>
  <c r="AB347" i="141"/>
  <c r="AA348" i="141"/>
  <c r="AB348" i="141"/>
  <c r="AA349" i="141"/>
  <c r="AB349" i="141"/>
  <c r="AA350" i="141"/>
  <c r="AB350" i="141"/>
  <c r="AA351" i="141"/>
  <c r="AB351" i="141"/>
  <c r="AA352" i="141"/>
  <c r="AB352" i="141"/>
  <c r="AA353" i="141"/>
  <c r="AB353" i="141"/>
  <c r="AA354" i="141"/>
  <c r="AB354" i="141"/>
  <c r="AA355" i="141"/>
  <c r="AB355" i="141"/>
  <c r="AA356" i="141"/>
  <c r="AB356" i="141"/>
  <c r="AA357" i="141"/>
  <c r="AB357" i="141"/>
  <c r="AA358" i="141"/>
  <c r="AB358" i="141"/>
  <c r="AA359" i="141"/>
  <c r="AB359" i="141"/>
  <c r="AA360" i="141"/>
  <c r="AB360" i="141"/>
  <c r="AA361" i="141"/>
  <c r="AB361" i="141"/>
  <c r="AA362" i="141"/>
  <c r="AB362" i="141"/>
  <c r="AA363" i="141"/>
  <c r="AB363" i="141"/>
  <c r="AA364" i="141"/>
  <c r="AB364" i="141"/>
  <c r="AA365" i="141"/>
  <c r="AB365" i="141"/>
  <c r="AA366" i="141"/>
  <c r="AB366" i="141"/>
  <c r="AA367" i="141"/>
  <c r="AB367" i="141"/>
  <c r="AA368" i="141"/>
  <c r="AB368" i="141"/>
  <c r="AA369" i="141"/>
  <c r="AB369" i="141"/>
  <c r="AA370" i="141"/>
  <c r="AB370" i="141"/>
  <c r="AA371" i="141"/>
  <c r="AB371" i="141"/>
  <c r="AA372" i="141"/>
  <c r="AB372" i="141"/>
  <c r="AA373" i="141"/>
  <c r="AB373" i="141"/>
  <c r="AA374" i="141"/>
  <c r="AB374" i="141"/>
  <c r="AA375" i="141"/>
  <c r="AB375" i="141"/>
  <c r="AA376" i="141"/>
  <c r="AB376" i="141"/>
  <c r="AA377" i="141"/>
  <c r="AB377" i="141"/>
  <c r="AA378" i="141"/>
  <c r="AB378" i="141"/>
  <c r="AA379" i="141"/>
  <c r="AB379" i="141"/>
  <c r="AA380" i="141"/>
  <c r="AB380" i="141"/>
  <c r="AA381" i="141"/>
  <c r="AB381" i="141"/>
  <c r="AA382" i="141"/>
  <c r="AB382" i="141"/>
  <c r="AA383" i="141"/>
  <c r="AB383" i="141"/>
  <c r="AA384" i="141"/>
  <c r="AB384" i="141"/>
  <c r="AA385" i="141"/>
  <c r="AB385" i="141"/>
  <c r="AA386" i="141"/>
  <c r="AB386" i="141"/>
  <c r="AA387" i="141"/>
  <c r="AB387" i="141"/>
  <c r="AA388" i="141"/>
  <c r="AB388" i="141"/>
  <c r="AA389" i="141"/>
  <c r="AB389" i="141"/>
  <c r="AA390" i="141"/>
  <c r="AB390" i="141"/>
  <c r="AA391" i="141"/>
  <c r="AB391" i="141"/>
  <c r="AA392" i="141"/>
  <c r="AB392" i="141"/>
  <c r="AA393" i="141"/>
  <c r="AB393" i="141"/>
  <c r="AA394" i="141"/>
  <c r="AB394" i="141"/>
  <c r="AA395" i="141"/>
  <c r="AB395" i="141"/>
  <c r="AA396" i="141"/>
  <c r="AB396" i="141"/>
  <c r="AA397" i="141"/>
  <c r="AB397" i="141"/>
  <c r="AA398" i="141"/>
  <c r="AB398" i="141"/>
  <c r="AA399" i="141"/>
  <c r="AB399" i="141"/>
  <c r="AA400" i="141"/>
  <c r="AB400" i="141"/>
  <c r="AA401" i="141"/>
  <c r="AB401" i="141"/>
  <c r="AA402" i="141"/>
  <c r="AB402" i="141"/>
  <c r="AA403" i="141"/>
  <c r="AB403" i="141"/>
  <c r="AA404" i="141"/>
  <c r="AB404" i="141"/>
  <c r="AA405" i="141"/>
  <c r="AB405" i="141"/>
  <c r="AA406" i="141"/>
  <c r="AB406" i="141"/>
  <c r="AA407" i="141"/>
  <c r="AB407" i="141"/>
  <c r="AA408" i="141"/>
  <c r="AB408" i="141"/>
  <c r="AA409" i="141"/>
  <c r="AB409" i="141"/>
  <c r="AA410" i="141"/>
  <c r="AB410" i="141"/>
  <c r="AA411" i="141"/>
  <c r="AB411" i="141"/>
  <c r="AA412" i="141"/>
  <c r="AB412" i="141"/>
  <c r="AA413" i="141"/>
  <c r="AB413" i="141"/>
  <c r="AA414" i="141"/>
  <c r="AB414" i="141"/>
  <c r="AA415" i="141"/>
  <c r="AB415" i="141"/>
  <c r="AA416" i="141"/>
  <c r="AB416" i="141"/>
  <c r="AA417" i="141"/>
  <c r="AB417" i="141"/>
  <c r="AA418" i="141"/>
  <c r="AB418" i="141"/>
  <c r="AA419" i="141"/>
  <c r="AB419" i="141"/>
  <c r="AA420" i="141"/>
  <c r="AB420" i="141"/>
  <c r="AA421" i="141"/>
  <c r="AB421" i="141"/>
  <c r="AA422" i="141"/>
  <c r="AB422" i="141"/>
  <c r="AA423" i="141"/>
  <c r="AB423" i="141"/>
  <c r="AA424" i="141"/>
  <c r="AB424" i="141"/>
  <c r="AA425" i="141"/>
  <c r="AB425" i="141"/>
  <c r="AA426" i="141"/>
  <c r="AB426" i="141"/>
  <c r="AA427" i="141"/>
  <c r="AB427" i="141"/>
  <c r="AA428" i="141"/>
  <c r="AB428" i="141"/>
  <c r="AA429" i="141"/>
  <c r="AB429" i="141"/>
  <c r="AA430" i="141"/>
  <c r="AB430" i="141"/>
  <c r="AA431" i="141"/>
  <c r="AB431" i="141"/>
  <c r="AA432" i="141"/>
  <c r="AB432" i="141"/>
  <c r="AA433" i="141"/>
  <c r="AB433" i="141"/>
  <c r="AA434" i="141"/>
  <c r="AB434" i="141"/>
  <c r="AA435" i="141"/>
  <c r="AB435" i="141"/>
  <c r="AA436" i="141"/>
  <c r="AB436" i="141"/>
  <c r="AA437" i="141"/>
  <c r="AB437" i="141"/>
  <c r="AA438" i="141"/>
  <c r="AB438" i="141"/>
  <c r="AA439" i="141"/>
  <c r="AB439" i="141"/>
  <c r="AA440" i="141"/>
  <c r="AB440" i="141"/>
  <c r="AA441" i="141"/>
  <c r="AB441" i="141"/>
  <c r="AB2" i="141"/>
  <c r="AA2" i="141"/>
  <c r="C9" i="51"/>
  <c r="E39" i="143" s="1"/>
  <c r="L15" i="58"/>
  <c r="L14" i="58"/>
  <c r="L13" i="58"/>
  <c r="C14" i="58"/>
  <c r="M38" i="25" l="1"/>
  <c r="M39" i="25"/>
  <c r="M40" i="25"/>
  <c r="M41" i="25"/>
  <c r="M42" i="25"/>
  <c r="M43" i="25"/>
  <c r="M44" i="25"/>
  <c r="M45" i="25"/>
  <c r="M46" i="25"/>
  <c r="M47" i="25"/>
  <c r="M48" i="25"/>
  <c r="M37" i="25"/>
  <c r="I79" i="89" l="1"/>
  <c r="AO195" i="89"/>
  <c r="H47" i="51" l="1"/>
  <c r="G29" i="123" l="1"/>
  <c r="H29" i="123"/>
  <c r="I29" i="123"/>
  <c r="J29" i="123"/>
  <c r="K29" i="123"/>
  <c r="L29" i="123"/>
  <c r="M29" i="123"/>
  <c r="N29" i="123"/>
  <c r="O29" i="123"/>
  <c r="P29" i="123"/>
  <c r="Q29" i="123"/>
  <c r="G30" i="123"/>
  <c r="H30" i="123"/>
  <c r="I30" i="123"/>
  <c r="J30" i="123"/>
  <c r="K30" i="123"/>
  <c r="L30" i="123"/>
  <c r="M30" i="123"/>
  <c r="N30" i="123"/>
  <c r="O30" i="123"/>
  <c r="P30" i="123"/>
  <c r="Q30" i="123"/>
  <c r="F30" i="123"/>
  <c r="E27" i="140" l="1"/>
  <c r="D27" i="140"/>
  <c r="C27" i="140"/>
  <c r="I4" i="140"/>
  <c r="H4" i="140"/>
  <c r="C6" i="139" l="1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I47" i="51"/>
  <c r="C8" i="139" l="1"/>
  <c r="O5" i="139" s="1"/>
  <c r="AO188" i="89" l="1"/>
  <c r="AO186" i="89"/>
  <c r="AO189" i="89"/>
  <c r="AO185" i="89"/>
  <c r="AO198" i="89" l="1"/>
  <c r="AO207" i="89"/>
  <c r="M22" i="58"/>
  <c r="M23" i="58"/>
  <c r="N6" i="139" l="1"/>
  <c r="N7" i="139" l="1"/>
  <c r="N8" i="139" s="1"/>
  <c r="N9" i="139" s="1"/>
  <c r="N10" i="139" s="1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N88" i="139" s="1"/>
  <c r="N89" i="139" s="1"/>
  <c r="N90" i="139" s="1"/>
  <c r="N91" i="139" s="1"/>
  <c r="N92" i="139" s="1"/>
  <c r="N93" i="139" s="1"/>
  <c r="N94" i="139" s="1"/>
  <c r="N95" i="139" s="1"/>
  <c r="N96" i="139" s="1"/>
  <c r="N97" i="139" s="1"/>
  <c r="N98" i="139" s="1"/>
  <c r="N99" i="139" s="1"/>
  <c r="N100" i="139" s="1"/>
  <c r="N101" i="139" s="1"/>
  <c r="N102" i="139" s="1"/>
  <c r="N103" i="139" s="1"/>
  <c r="N104" i="139" s="1"/>
  <c r="N105" i="139" s="1"/>
  <c r="N106" i="139" s="1"/>
  <c r="N107" i="139" s="1"/>
  <c r="N108" i="139" s="1"/>
  <c r="N109" i="139" s="1"/>
  <c r="N110" i="139" s="1"/>
  <c r="N111" i="139" s="1"/>
  <c r="N112" i="139" s="1"/>
  <c r="N113" i="139" s="1"/>
  <c r="N114" i="139" s="1"/>
  <c r="N115" i="139" s="1"/>
  <c r="N116" i="139" s="1"/>
  <c r="N117" i="139" s="1"/>
  <c r="N118" i="139" s="1"/>
  <c r="N119" i="139" s="1"/>
  <c r="N120" i="139" s="1"/>
  <c r="N121" i="139" s="1"/>
  <c r="N122" i="139" s="1"/>
  <c r="N123" i="139" s="1"/>
  <c r="N124" i="139" s="1"/>
  <c r="N125" i="139" s="1"/>
  <c r="N126" i="139" s="1"/>
  <c r="N127" i="139" s="1"/>
  <c r="N128" i="139" s="1"/>
  <c r="N129" i="139" s="1"/>
  <c r="N130" i="139" s="1"/>
  <c r="N131" i="139" s="1"/>
  <c r="N132" i="139" s="1"/>
  <c r="N133" i="139" s="1"/>
  <c r="N134" i="139" s="1"/>
  <c r="N135" i="139" s="1"/>
  <c r="N136" i="139" s="1"/>
  <c r="N137" i="139" s="1"/>
  <c r="N138" i="139" s="1"/>
  <c r="N139" i="139" s="1"/>
  <c r="N140" i="139" s="1"/>
  <c r="N141" i="139" s="1"/>
  <c r="N142" i="139" s="1"/>
  <c r="N143" i="139" s="1"/>
  <c r="N144" i="139" s="1"/>
  <c r="N145" i="139" s="1"/>
  <c r="N146" i="139" s="1"/>
  <c r="N147" i="139" s="1"/>
  <c r="N148" i="139" s="1"/>
  <c r="N149" i="139" s="1"/>
  <c r="N150" i="139" s="1"/>
  <c r="N151" i="139" s="1"/>
  <c r="N152" i="139" s="1"/>
  <c r="N153" i="139" s="1"/>
  <c r="N154" i="139" s="1"/>
  <c r="N155" i="139" s="1"/>
  <c r="N156" i="139" s="1"/>
  <c r="N157" i="139" s="1"/>
  <c r="N158" i="139" s="1"/>
  <c r="N159" i="139" s="1"/>
  <c r="N160" i="139" s="1"/>
  <c r="N161" i="139" s="1"/>
  <c r="N162" i="139" s="1"/>
  <c r="N163" i="139" s="1"/>
  <c r="N164" i="139" s="1"/>
  <c r="N165" i="139" s="1"/>
  <c r="N166" i="139" s="1"/>
  <c r="N167" i="139" s="1"/>
  <c r="N168" i="139" s="1"/>
  <c r="N169" i="139" s="1"/>
  <c r="N170" i="139" s="1"/>
  <c r="N171" i="139" s="1"/>
  <c r="N172" i="139" s="1"/>
  <c r="N173" i="139" s="1"/>
  <c r="N174" i="139" s="1"/>
  <c r="N175" i="139" s="1"/>
  <c r="N176" i="139" s="1"/>
  <c r="N177" i="139" s="1"/>
  <c r="N178" i="139" s="1"/>
  <c r="N179" i="139" s="1"/>
  <c r="N180" i="139" s="1"/>
  <c r="N181" i="139" s="1"/>
  <c r="N182" i="139" s="1"/>
  <c r="N183" i="139" s="1"/>
  <c r="N184" i="139" s="1"/>
  <c r="N185" i="139" s="1"/>
  <c r="N186" i="139" s="1"/>
  <c r="N187" i="139" s="1"/>
  <c r="N188" i="139" s="1"/>
  <c r="N189" i="139" s="1"/>
  <c r="N190" i="139" s="1"/>
  <c r="N191" i="139" s="1"/>
  <c r="N192" i="139" s="1"/>
  <c r="N193" i="139" s="1"/>
  <c r="N194" i="139" s="1"/>
  <c r="N195" i="139" s="1"/>
  <c r="N196" i="139" s="1"/>
  <c r="N197" i="139" s="1"/>
  <c r="N198" i="139" s="1"/>
  <c r="N199" i="139" s="1"/>
  <c r="N200" i="139" s="1"/>
  <c r="N201" i="139" s="1"/>
  <c r="N202" i="139" s="1"/>
  <c r="N203" i="139" s="1"/>
  <c r="N204" i="139" s="1"/>
  <c r="N205" i="139" s="1"/>
  <c r="N206" i="139" s="1"/>
  <c r="N207" i="139" s="1"/>
  <c r="N208" i="139" s="1"/>
  <c r="N209" i="139" s="1"/>
  <c r="N210" i="139" s="1"/>
  <c r="N211" i="139" s="1"/>
  <c r="N212" i="139" s="1"/>
  <c r="N213" i="139" s="1"/>
  <c r="N214" i="139" s="1"/>
  <c r="N215" i="139" s="1"/>
  <c r="N216" i="139" s="1"/>
  <c r="N217" i="139" s="1"/>
  <c r="N218" i="139" s="1"/>
  <c r="N219" i="139" s="1"/>
  <c r="N220" i="139" s="1"/>
  <c r="N221" i="139" s="1"/>
  <c r="N222" i="139" s="1"/>
  <c r="N223" i="139" s="1"/>
  <c r="N224" i="139" s="1"/>
  <c r="N225" i="139" s="1"/>
  <c r="N226" i="139" s="1"/>
  <c r="N227" i="139" s="1"/>
  <c r="N228" i="139" s="1"/>
  <c r="N229" i="139" s="1"/>
  <c r="N230" i="139" s="1"/>
  <c r="N231" i="139" s="1"/>
  <c r="N232" i="139" s="1"/>
  <c r="N233" i="139" s="1"/>
  <c r="N234" i="139" s="1"/>
  <c r="N235" i="139" s="1"/>
  <c r="N236" i="139" s="1"/>
  <c r="N237" i="139" s="1"/>
  <c r="N238" i="139" s="1"/>
  <c r="N239" i="139" s="1"/>
  <c r="N240" i="139" s="1"/>
  <c r="N241" i="139" s="1"/>
  <c r="N242" i="139" s="1"/>
  <c r="N243" i="139" s="1"/>
  <c r="N244" i="139" s="1"/>
  <c r="N245" i="139" s="1"/>
  <c r="O6" i="139"/>
  <c r="O7" i="139" s="1"/>
  <c r="O8" i="139" s="1"/>
  <c r="O9" i="139" s="1"/>
  <c r="O10" i="139" s="1"/>
  <c r="O11" i="139" s="1"/>
  <c r="O12" i="139" s="1"/>
  <c r="O13" i="139" s="1"/>
  <c r="O14" i="139" s="1"/>
  <c r="O15" i="139" s="1"/>
  <c r="L42" i="51"/>
  <c r="C23" i="50" s="1"/>
  <c r="C161" i="49" s="1"/>
  <c r="L41" i="51"/>
  <c r="C22" i="50" s="1"/>
  <c r="C160" i="49" s="1"/>
  <c r="O16" i="139" l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O88" i="139" l="1"/>
  <c r="O89" i="139" s="1"/>
  <c r="O90" i="139" s="1"/>
  <c r="O91" i="139" s="1"/>
  <c r="O92" i="139" s="1"/>
  <c r="O93" i="139" s="1"/>
  <c r="O94" i="139" s="1"/>
  <c r="O95" i="139" s="1"/>
  <c r="O96" i="139" s="1"/>
  <c r="O97" i="139" s="1"/>
  <c r="O98" i="139" s="1"/>
  <c r="O99" i="139" s="1"/>
  <c r="O100" i="139" s="1"/>
  <c r="O101" i="139" s="1"/>
  <c r="O102" i="139" s="1"/>
  <c r="O103" i="139" s="1"/>
  <c r="O104" i="139" s="1"/>
  <c r="O105" i="139" s="1"/>
  <c r="O106" i="139" s="1"/>
  <c r="O107" i="139" s="1"/>
  <c r="O108" i="139" s="1"/>
  <c r="O109" i="139" s="1"/>
  <c r="O110" i="139" s="1"/>
  <c r="O111" i="139" s="1"/>
  <c r="O112" i="139" s="1"/>
  <c r="O113" i="139" s="1"/>
  <c r="O114" i="139" s="1"/>
  <c r="O115" i="139" s="1"/>
  <c r="O116" i="139" s="1"/>
  <c r="O117" i="139" s="1"/>
  <c r="O118" i="139" s="1"/>
  <c r="O119" i="139" s="1"/>
  <c r="O120" i="139" s="1"/>
  <c r="O121" i="139" s="1"/>
  <c r="O122" i="139" s="1"/>
  <c r="O123" i="139" s="1"/>
  <c r="O124" i="139" s="1"/>
  <c r="O125" i="139" s="1"/>
  <c r="O126" i="139" s="1"/>
  <c r="O127" i="139" s="1"/>
  <c r="O128" i="139" s="1"/>
  <c r="O129" i="139" s="1"/>
  <c r="O130" i="139" s="1"/>
  <c r="O131" i="139" s="1"/>
  <c r="O132" i="139" s="1"/>
  <c r="O133" i="139" s="1"/>
  <c r="O134" i="139" s="1"/>
  <c r="O135" i="139" s="1"/>
  <c r="O136" i="139" s="1"/>
  <c r="O137" i="139" s="1"/>
  <c r="O138" i="139" s="1"/>
  <c r="O139" i="139" s="1"/>
  <c r="O140" i="139" s="1"/>
  <c r="O141" i="139" s="1"/>
  <c r="O142" i="139" s="1"/>
  <c r="O143" i="139" s="1"/>
  <c r="O144" i="139" s="1"/>
  <c r="O145" i="139" s="1"/>
  <c r="O146" i="139" s="1"/>
  <c r="O147" i="139" s="1"/>
  <c r="O148" i="139" s="1"/>
  <c r="O149" i="139" s="1"/>
  <c r="O150" i="139" s="1"/>
  <c r="O151" i="139" s="1"/>
  <c r="O152" i="139" s="1"/>
  <c r="O153" i="139" s="1"/>
  <c r="O154" i="139" s="1"/>
  <c r="O155" i="139" s="1"/>
  <c r="O156" i="139" s="1"/>
  <c r="O157" i="139" s="1"/>
  <c r="O158" i="139" s="1"/>
  <c r="O159" i="139" s="1"/>
  <c r="O160" i="139" s="1"/>
  <c r="O161" i="139" s="1"/>
  <c r="O162" i="139" s="1"/>
  <c r="O163" i="139" s="1"/>
  <c r="O164" i="139" s="1"/>
  <c r="O165" i="139" s="1"/>
  <c r="O166" i="139" s="1"/>
  <c r="O167" i="139" s="1"/>
  <c r="O168" i="139" s="1"/>
  <c r="O169" i="139" s="1"/>
  <c r="O170" i="139" s="1"/>
  <c r="O171" i="139" s="1"/>
  <c r="O172" i="139" s="1"/>
  <c r="O173" i="139" s="1"/>
  <c r="O174" i="139" s="1"/>
  <c r="O175" i="139" s="1"/>
  <c r="O176" i="139" s="1"/>
  <c r="O177" i="139" s="1"/>
  <c r="O178" i="139" s="1"/>
  <c r="O179" i="139" s="1"/>
  <c r="O180" i="139" s="1"/>
  <c r="O181" i="139" s="1"/>
  <c r="O182" i="139" s="1"/>
  <c r="O183" i="139" s="1"/>
  <c r="O184" i="139" s="1"/>
  <c r="O185" i="139" s="1"/>
  <c r="O186" i="139" s="1"/>
  <c r="O187" i="139" s="1"/>
  <c r="O188" i="139" s="1"/>
  <c r="O189" i="139" s="1"/>
  <c r="O190" i="139" s="1"/>
  <c r="O191" i="139" s="1"/>
  <c r="O192" i="139" s="1"/>
  <c r="O193" i="139" s="1"/>
  <c r="O194" i="139" s="1"/>
  <c r="O195" i="139" s="1"/>
  <c r="O196" i="139" s="1"/>
  <c r="O197" i="139" s="1"/>
  <c r="O198" i="139" s="1"/>
  <c r="O199" i="139" s="1"/>
  <c r="O200" i="139" s="1"/>
  <c r="O201" i="139" s="1"/>
  <c r="O202" i="139" s="1"/>
  <c r="O203" i="139" s="1"/>
  <c r="O204" i="139" s="1"/>
  <c r="O205" i="139" s="1"/>
  <c r="O206" i="139" s="1"/>
  <c r="O207" i="139" s="1"/>
  <c r="O208" i="139" s="1"/>
  <c r="O209" i="139" s="1"/>
  <c r="O210" i="139" s="1"/>
  <c r="O211" i="139" s="1"/>
  <c r="O212" i="139" s="1"/>
  <c r="O213" i="139" s="1"/>
  <c r="O214" i="139" s="1"/>
  <c r="O215" i="139" s="1"/>
  <c r="O216" i="139" s="1"/>
  <c r="O217" i="139" s="1"/>
  <c r="O218" i="139" s="1"/>
  <c r="O219" i="139" s="1"/>
  <c r="O220" i="139" s="1"/>
  <c r="O221" i="139" s="1"/>
  <c r="O222" i="139" s="1"/>
  <c r="O223" i="139" s="1"/>
  <c r="O224" i="139" s="1"/>
  <c r="O225" i="139" s="1"/>
  <c r="O226" i="139" s="1"/>
  <c r="O227" i="139" s="1"/>
  <c r="O228" i="139" s="1"/>
  <c r="O229" i="139" s="1"/>
  <c r="O230" i="139" s="1"/>
  <c r="O231" i="139" s="1"/>
  <c r="O232" i="139" s="1"/>
  <c r="O233" i="139" s="1"/>
  <c r="O234" i="139" s="1"/>
  <c r="O235" i="139" s="1"/>
  <c r="O236" i="139" s="1"/>
  <c r="O237" i="139" s="1"/>
  <c r="O238" i="139" s="1"/>
  <c r="O239" i="139" s="1"/>
  <c r="O240" i="139" s="1"/>
  <c r="O241" i="139" s="1"/>
  <c r="Q111" i="49"/>
  <c r="Q110" i="49"/>
  <c r="L17" i="51"/>
  <c r="L18" i="51" s="1"/>
  <c r="I21" i="51"/>
  <c r="E42" i="143" s="1"/>
  <c r="I20" i="51"/>
  <c r="E10" i="143" s="1"/>
  <c r="D8" i="139" l="1"/>
  <c r="D7" i="139" s="1"/>
  <c r="AU225" i="89"/>
  <c r="AV225" i="89" s="1"/>
  <c r="N106" i="89"/>
  <c r="O106" i="89" s="1"/>
  <c r="Q145" i="49"/>
  <c r="P145" i="49" s="1"/>
  <c r="D6" i="139" l="1"/>
  <c r="D71" i="50" s="1"/>
  <c r="D5" i="139"/>
  <c r="F47" i="58"/>
  <c r="E47" i="58"/>
  <c r="F46" i="58"/>
  <c r="E46" i="58"/>
  <c r="K46" i="58" s="1"/>
  <c r="F45" i="58"/>
  <c r="E45" i="58"/>
  <c r="F44" i="58"/>
  <c r="E44" i="58"/>
  <c r="K44" i="58" s="1"/>
  <c r="F43" i="58"/>
  <c r="E43" i="58"/>
  <c r="K42" i="58"/>
  <c r="K41" i="58"/>
  <c r="M6" i="58"/>
  <c r="Q209" i="49" l="1"/>
  <c r="AU276" i="89"/>
  <c r="L6" i="58"/>
  <c r="K43" i="58"/>
  <c r="L43" i="58" s="1"/>
  <c r="K47" i="58"/>
  <c r="L47" i="58" s="1"/>
  <c r="K45" i="58"/>
  <c r="L45" i="58" s="1"/>
  <c r="L44" i="58"/>
  <c r="J48" i="58"/>
  <c r="L41" i="58"/>
  <c r="L42" i="58"/>
  <c r="L46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AO200" i="89" l="1"/>
  <c r="C78" i="64"/>
  <c r="G28" i="123"/>
  <c r="L9" i="64" s="1"/>
  <c r="H28" i="123"/>
  <c r="I28" i="123"/>
  <c r="J28" i="123"/>
  <c r="K28" i="123"/>
  <c r="L28" i="123"/>
  <c r="M28" i="123"/>
  <c r="N28" i="123"/>
  <c r="O28" i="123"/>
  <c r="P28" i="123"/>
  <c r="Q28" i="123"/>
  <c r="L10" i="64"/>
  <c r="L11" i="64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1" i="123"/>
  <c r="F32" i="123"/>
  <c r="F33" i="123"/>
  <c r="F28" i="123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20" i="58" a="1"/>
  <c r="C20" i="58" s="1"/>
  <c r="C12" i="51"/>
  <c r="C63" i="58"/>
  <c r="C13" i="39"/>
  <c r="V38" i="89"/>
  <c r="V39" i="89"/>
  <c r="K32" i="39" l="1" a="1"/>
  <c r="K32" i="39" s="1"/>
  <c r="K33" i="39" s="1"/>
  <c r="C48" i="51"/>
  <c r="C52" i="51"/>
  <c r="C56" i="51"/>
  <c r="C50" i="51"/>
  <c r="C54" i="51"/>
  <c r="C58" i="51"/>
  <c r="C49" i="51"/>
  <c r="C53" i="51"/>
  <c r="C57" i="51"/>
  <c r="C51" i="51"/>
  <c r="C55" i="51"/>
  <c r="C47" i="51"/>
  <c r="K8" i="130"/>
  <c r="D30" i="50" l="1"/>
  <c r="Q168" i="49" l="1"/>
  <c r="P168" i="49" s="1"/>
  <c r="AN178" i="89"/>
  <c r="AW288" i="89"/>
  <c r="C56" i="64" l="1"/>
  <c r="AU254" i="89"/>
  <c r="Q118" i="49"/>
  <c r="Q116" i="49"/>
  <c r="AO183" i="89" l="1"/>
  <c r="E63" i="58" l="1"/>
  <c r="D63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O48" i="49" l="1"/>
  <c r="O49" i="49"/>
  <c r="O50" i="49"/>
  <c r="O51" i="49"/>
  <c r="O47" i="49"/>
  <c r="J11" i="130"/>
  <c r="L48" i="49"/>
  <c r="L49" i="49"/>
  <c r="L50" i="49"/>
  <c r="L51" i="49"/>
  <c r="L47" i="49"/>
  <c r="Q139" i="49" l="1"/>
  <c r="K68" i="58" l="1" a="1"/>
  <c r="K68" i="58" s="1"/>
  <c r="I68" i="58" a="1"/>
  <c r="I68" i="58" s="1"/>
  <c r="J63" i="58" a="1"/>
  <c r="J63" i="58" s="1"/>
  <c r="I63" i="58" a="1"/>
  <c r="I63" i="58" s="1"/>
  <c r="I64" i="58" s="1"/>
  <c r="I65" i="58" s="1"/>
  <c r="E65" i="58"/>
  <c r="D65" i="58" s="1"/>
  <c r="C65" i="58"/>
  <c r="E64" i="58"/>
  <c r="C64" i="58"/>
  <c r="J68" i="58" l="1"/>
  <c r="K63" i="58"/>
  <c r="C66" i="58"/>
  <c r="F64" i="58"/>
  <c r="F65" i="58"/>
  <c r="F63" i="58"/>
  <c r="E22" i="58" l="1"/>
  <c r="F66" i="58"/>
  <c r="I10" i="135"/>
  <c r="I3" i="135"/>
  <c r="I2" i="135"/>
  <c r="W68" i="25"/>
  <c r="D18" i="135"/>
  <c r="C18" i="135"/>
  <c r="W80" i="25" l="1"/>
  <c r="R28" i="135"/>
  <c r="R26" i="135" l="1"/>
  <c r="R24" i="135" l="1"/>
  <c r="R22" i="135" l="1"/>
  <c r="R20" i="135" l="1"/>
  <c r="R18" i="135" l="1"/>
  <c r="R16" i="135" l="1"/>
  <c r="R14" i="135" l="1"/>
  <c r="R12" i="135" l="1"/>
  <c r="R10" i="135" l="1"/>
  <c r="R8" i="135" l="1"/>
  <c r="R6" i="135" l="1"/>
  <c r="E28" i="123" l="1"/>
  <c r="A78" i="58" l="1"/>
  <c r="A79" i="58"/>
  <c r="A80" i="58"/>
  <c r="A81" i="58"/>
  <c r="A82" i="58"/>
  <c r="A83" i="58"/>
  <c r="A84" i="58"/>
  <c r="X44" i="89" l="1"/>
  <c r="X46" i="89"/>
  <c r="U80" i="25" l="1"/>
  <c r="S80" i="25"/>
  <c r="AU224" i="89" l="1"/>
  <c r="N105" i="89"/>
  <c r="D22" i="64" l="1"/>
  <c r="Z140" i="89" l="1"/>
  <c r="L195" i="122" l="1"/>
  <c r="L194" i="122"/>
  <c r="L193" i="122"/>
  <c r="L189" i="122"/>
  <c r="L166" i="122"/>
  <c r="L164" i="122"/>
  <c r="L186" i="122"/>
  <c r="L163" i="122" l="1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C77" i="58" s="1"/>
  <c r="C78" i="58" l="1"/>
  <c r="D77" i="58"/>
  <c r="B28" i="137"/>
  <c r="B6" i="142"/>
  <c r="H26" i="140"/>
  <c r="G25" i="140"/>
  <c r="F24" i="140"/>
  <c r="H22" i="140"/>
  <c r="G21" i="140"/>
  <c r="F20" i="140"/>
  <c r="H18" i="140"/>
  <c r="G17" i="140"/>
  <c r="F16" i="140"/>
  <c r="H14" i="140"/>
  <c r="G13" i="140"/>
  <c r="F12" i="140"/>
  <c r="H10" i="140"/>
  <c r="G9" i="140"/>
  <c r="G26" i="140"/>
  <c r="F25" i="140"/>
  <c r="H23" i="140"/>
  <c r="G22" i="140"/>
  <c r="F21" i="140"/>
  <c r="H19" i="140"/>
  <c r="G18" i="140"/>
  <c r="F17" i="140"/>
  <c r="H15" i="140"/>
  <c r="G14" i="140"/>
  <c r="F13" i="140"/>
  <c r="H11" i="140"/>
  <c r="G10" i="140"/>
  <c r="F9" i="140"/>
  <c r="F26" i="140"/>
  <c r="H24" i="140"/>
  <c r="G23" i="140"/>
  <c r="F22" i="140"/>
  <c r="H20" i="140"/>
  <c r="G19" i="140"/>
  <c r="F18" i="140"/>
  <c r="H16" i="140"/>
  <c r="G15" i="140"/>
  <c r="F14" i="140"/>
  <c r="H12" i="140"/>
  <c r="G11" i="140"/>
  <c r="F10" i="140"/>
  <c r="N4" i="140"/>
  <c r="H25" i="140"/>
  <c r="G24" i="140"/>
  <c r="F23" i="140"/>
  <c r="H21" i="140"/>
  <c r="G20" i="140"/>
  <c r="F19" i="140"/>
  <c r="H17" i="140"/>
  <c r="G16" i="140"/>
  <c r="F15" i="140"/>
  <c r="H13" i="140"/>
  <c r="G12" i="140"/>
  <c r="F11" i="140"/>
  <c r="H9" i="140"/>
  <c r="L4" i="140"/>
  <c r="D78" i="58" l="1"/>
  <c r="C79" i="58"/>
  <c r="B7" i="142"/>
  <c r="H6" i="142"/>
  <c r="E6" i="142"/>
  <c r="C6" i="142"/>
  <c r="F6" i="142" s="1"/>
  <c r="D6" i="142"/>
  <c r="B29" i="137"/>
  <c r="C28" i="137"/>
  <c r="D28" i="137"/>
  <c r="H27" i="140"/>
  <c r="G27" i="140"/>
  <c r="O4" i="140" s="1"/>
  <c r="F27" i="140"/>
  <c r="J4" i="140" s="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D79" i="58" l="1"/>
  <c r="C80" i="58"/>
  <c r="G6" i="142"/>
  <c r="B30" i="137"/>
  <c r="D29" i="137"/>
  <c r="C29" i="137"/>
  <c r="B8" i="142"/>
  <c r="D7" i="142"/>
  <c r="C7" i="142"/>
  <c r="E7" i="142"/>
  <c r="H7" i="142"/>
  <c r="P4" i="140"/>
  <c r="Q4" i="140" s="1"/>
  <c r="R4" i="140" s="1"/>
  <c r="D39" i="50" s="1"/>
  <c r="AN187" i="89" s="1"/>
  <c r="AU263" i="89" s="1"/>
  <c r="AO187" i="89" l="1"/>
  <c r="C65" i="64"/>
  <c r="D80" i="58"/>
  <c r="C81" i="58"/>
  <c r="Q177" i="49"/>
  <c r="P177" i="49" s="1"/>
  <c r="G7" i="142"/>
  <c r="F7" i="142"/>
  <c r="I6" i="142"/>
  <c r="B9" i="142"/>
  <c r="C8" i="142"/>
  <c r="H8" i="142"/>
  <c r="E8" i="142"/>
  <c r="D8" i="142"/>
  <c r="B31" i="137"/>
  <c r="C30" i="137"/>
  <c r="D30" i="137"/>
  <c r="O38" i="89"/>
  <c r="N38" i="89"/>
  <c r="M38" i="89"/>
  <c r="D81" i="58" l="1"/>
  <c r="C82" i="58"/>
  <c r="AO184" i="89"/>
  <c r="I7" i="142"/>
  <c r="J7" i="142" s="1"/>
  <c r="B32" i="137"/>
  <c r="D31" i="137"/>
  <c r="C31" i="137"/>
  <c r="G8" i="142"/>
  <c r="F8" i="142"/>
  <c r="J6" i="142"/>
  <c r="B10" i="142"/>
  <c r="E9" i="142"/>
  <c r="C9" i="142"/>
  <c r="H9" i="142"/>
  <c r="D9" i="142"/>
  <c r="E19" i="58"/>
  <c r="D82" i="58" l="1"/>
  <c r="C83" i="58"/>
  <c r="I8" i="142"/>
  <c r="J8" i="142" s="1"/>
  <c r="G9" i="142"/>
  <c r="F9" i="142"/>
  <c r="B11" i="142"/>
  <c r="D10" i="142"/>
  <c r="C10" i="142"/>
  <c r="H10" i="142"/>
  <c r="E10" i="142"/>
  <c r="B33" i="137"/>
  <c r="C32" i="137"/>
  <c r="D32" i="137"/>
  <c r="H22" i="61"/>
  <c r="H23" i="61"/>
  <c r="H24" i="61"/>
  <c r="H25" i="61"/>
  <c r="H26" i="61"/>
  <c r="H27" i="61"/>
  <c r="H28" i="61"/>
  <c r="H29" i="61"/>
  <c r="H30" i="61"/>
  <c r="D83" i="58" l="1"/>
  <c r="C84" i="58"/>
  <c r="I9" i="142"/>
  <c r="J9" i="142" s="1"/>
  <c r="G10" i="142"/>
  <c r="F10" i="142"/>
  <c r="B34" i="137"/>
  <c r="D33" i="137"/>
  <c r="C33" i="137"/>
  <c r="B12" i="142"/>
  <c r="C12" i="142" s="1"/>
  <c r="D11" i="142"/>
  <c r="C11" i="142"/>
  <c r="E11" i="142"/>
  <c r="H11" i="142"/>
  <c r="H68" i="58"/>
  <c r="H33" i="58"/>
  <c r="H34" i="58"/>
  <c r="E33" i="58"/>
  <c r="E34" i="58"/>
  <c r="F33" i="58"/>
  <c r="F34" i="58"/>
  <c r="D84" i="58" l="1"/>
  <c r="C85" i="58"/>
  <c r="I10" i="142"/>
  <c r="J10" i="142" s="1"/>
  <c r="G11" i="142"/>
  <c r="F11" i="142"/>
  <c r="B35" i="137"/>
  <c r="C34" i="137"/>
  <c r="D34" i="137"/>
  <c r="B13" i="142"/>
  <c r="C13" i="142" s="1"/>
  <c r="H12" i="142"/>
  <c r="E12" i="142"/>
  <c r="D12" i="142"/>
  <c r="V33" i="58"/>
  <c r="D85" i="58" l="1"/>
  <c r="C86" i="58"/>
  <c r="C87" i="58" s="1"/>
  <c r="C88" i="58" s="1"/>
  <c r="I11" i="142"/>
  <c r="J11" i="142" s="1"/>
  <c r="B36" i="137"/>
  <c r="D35" i="137"/>
  <c r="C35" i="137"/>
  <c r="G12" i="142"/>
  <c r="F12" i="142"/>
  <c r="B14" i="142"/>
  <c r="H13" i="142"/>
  <c r="D13" i="142"/>
  <c r="E13" i="142"/>
  <c r="U31" i="58"/>
  <c r="U30" i="58"/>
  <c r="U29" i="58"/>
  <c r="Q29" i="58"/>
  <c r="D86" i="58" l="1"/>
  <c r="D87" i="58" s="1"/>
  <c r="D88" i="58" s="1"/>
  <c r="E14" i="142"/>
  <c r="C14" i="142"/>
  <c r="D14" i="142"/>
  <c r="I12" i="142"/>
  <c r="J12" i="142" s="1"/>
  <c r="B15" i="142"/>
  <c r="H14" i="142"/>
  <c r="G13" i="142"/>
  <c r="F13" i="142"/>
  <c r="B37" i="137"/>
  <c r="C36" i="137"/>
  <c r="D36" i="137"/>
  <c r="E19" i="82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D89" i="58" l="1"/>
  <c r="C70" i="58" s="1"/>
  <c r="F14" i="142"/>
  <c r="G14" i="142"/>
  <c r="D15" i="142"/>
  <c r="C15" i="142"/>
  <c r="E15" i="142"/>
  <c r="I13" i="142"/>
  <c r="J13" i="142" s="1"/>
  <c r="B38" i="137"/>
  <c r="D37" i="137"/>
  <c r="C37" i="137"/>
  <c r="B16" i="142"/>
  <c r="H15" i="142"/>
  <c r="E21" i="58"/>
  <c r="B22" i="58"/>
  <c r="B21" i="58"/>
  <c r="J64" i="58"/>
  <c r="D64" i="58"/>
  <c r="C72" i="58" l="1"/>
  <c r="F70" i="58"/>
  <c r="F15" i="142"/>
  <c r="G15" i="142"/>
  <c r="C16" i="142"/>
  <c r="D16" i="142"/>
  <c r="E16" i="142"/>
  <c r="I14" i="142"/>
  <c r="J14" i="142" s="1"/>
  <c r="B17" i="142"/>
  <c r="H16" i="142"/>
  <c r="B39" i="137"/>
  <c r="C38" i="137"/>
  <c r="D38" i="137"/>
  <c r="C143" i="49"/>
  <c r="C142" i="49"/>
  <c r="C141" i="49"/>
  <c r="C140" i="49"/>
  <c r="J65" i="58"/>
  <c r="K65" i="58" s="1"/>
  <c r="D39" i="137" l="1"/>
  <c r="D40" i="137" s="1"/>
  <c r="C39" i="137"/>
  <c r="C40" i="137" s="1"/>
  <c r="G16" i="142"/>
  <c r="F16" i="142"/>
  <c r="E17" i="142"/>
  <c r="E18" i="142" s="1"/>
  <c r="D17" i="142"/>
  <c r="D18" i="142" s="1"/>
  <c r="C17" i="142"/>
  <c r="I15" i="142"/>
  <c r="J15" i="142" s="1"/>
  <c r="H17" i="142"/>
  <c r="H18" i="142" s="1"/>
  <c r="K66" i="58"/>
  <c r="D41" i="137" l="1"/>
  <c r="C41" i="137"/>
  <c r="G17" i="142"/>
  <c r="G18" i="142" s="1"/>
  <c r="F17" i="142"/>
  <c r="F18" i="142" s="1"/>
  <c r="I16" i="142"/>
  <c r="J16" i="142" s="1"/>
  <c r="C18" i="142"/>
  <c r="F59" i="58"/>
  <c r="E59" i="58"/>
  <c r="F58" i="58"/>
  <c r="E58" i="58"/>
  <c r="F57" i="58"/>
  <c r="E57" i="58"/>
  <c r="F56" i="58"/>
  <c r="E56" i="58"/>
  <c r="F55" i="58"/>
  <c r="E55" i="58"/>
  <c r="I17" i="142" l="1"/>
  <c r="K57" i="58"/>
  <c r="L57" i="58" s="1"/>
  <c r="K55" i="58"/>
  <c r="L55" i="58" s="1"/>
  <c r="K58" i="58"/>
  <c r="L58" i="58" s="1"/>
  <c r="K56" i="58"/>
  <c r="L56" i="58" s="1"/>
  <c r="K59" i="58"/>
  <c r="L59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J17" i="142" l="1"/>
  <c r="I18" i="142"/>
  <c r="T38" i="89"/>
  <c r="J18" i="142" l="1"/>
  <c r="M20" i="58"/>
  <c r="U43" i="7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L11" i="51" l="1"/>
  <c r="K211" i="122" l="1"/>
  <c r="F72" i="58" l="1"/>
  <c r="D70" i="58"/>
  <c r="H7" i="61"/>
  <c r="H8" i="61"/>
  <c r="H9" i="61"/>
  <c r="H10" i="61"/>
  <c r="H11" i="61"/>
  <c r="H12" i="61"/>
  <c r="H13" i="61"/>
  <c r="H14" i="61"/>
  <c r="H15" i="61"/>
  <c r="H16" i="61"/>
  <c r="H17" i="61"/>
  <c r="J8" i="78"/>
  <c r="J9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J206" i="122"/>
  <c r="J205" i="122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9" i="89" l="1"/>
  <c r="AF150" i="89"/>
  <c r="AF151" i="89"/>
  <c r="AF152" i="89"/>
  <c r="AF153" i="89"/>
  <c r="AF154" i="89"/>
  <c r="AF155" i="89"/>
  <c r="AF156" i="89"/>
  <c r="AF157" i="89"/>
  <c r="AF158" i="89"/>
  <c r="AF159" i="89"/>
  <c r="AF160" i="89"/>
  <c r="AF161" i="89"/>
  <c r="AF162" i="89"/>
  <c r="AF148" i="89"/>
  <c r="AI156" i="89" l="1"/>
  <c r="AI157" i="89"/>
  <c r="AI158" i="89"/>
  <c r="AI159" i="89"/>
  <c r="AI160" i="89"/>
  <c r="AI161" i="89"/>
  <c r="AI162" i="89"/>
  <c r="H6" i="61"/>
  <c r="AI148" i="89" s="1"/>
  <c r="E30" i="58"/>
  <c r="E29" i="58"/>
  <c r="E28" i="58"/>
  <c r="F7" i="61"/>
  <c r="AG149" i="89" s="1"/>
  <c r="F8" i="61"/>
  <c r="AG150" i="89" s="1"/>
  <c r="F9" i="61"/>
  <c r="AG151" i="89" s="1"/>
  <c r="F10" i="61"/>
  <c r="AG152" i="89" s="1"/>
  <c r="F11" i="61"/>
  <c r="AG153" i="89" s="1"/>
  <c r="F12" i="61"/>
  <c r="AG154" i="89" s="1"/>
  <c r="F13" i="61"/>
  <c r="AG155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8" i="89"/>
  <c r="AH159" i="89"/>
  <c r="AG159" i="89"/>
  <c r="AH161" i="89"/>
  <c r="AG161" i="89"/>
  <c r="AH157" i="89"/>
  <c r="AG157" i="89"/>
  <c r="AG162" i="89"/>
  <c r="AH162" i="89"/>
  <c r="AG158" i="89"/>
  <c r="AH158" i="89"/>
  <c r="AG160" i="89"/>
  <c r="AH160" i="89"/>
  <c r="AG156" i="89"/>
  <c r="AH156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AA140" i="89" l="1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60" i="58" l="1"/>
  <c r="L30" i="58" s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Q164" i="49" l="1"/>
  <c r="P164" i="49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15" i="89" l="1"/>
  <c r="AQ214" i="89"/>
  <c r="AQ213" i="89"/>
  <c r="BA292" i="89"/>
  <c r="BA293" i="89"/>
  <c r="BA294" i="89"/>
  <c r="BA295" i="89"/>
  <c r="BA296" i="89"/>
  <c r="BA291" i="89"/>
  <c r="Q15" i="123" l="1"/>
  <c r="Q18" i="123" l="1"/>
  <c r="Q17" i="123"/>
  <c r="Q19" i="123"/>
  <c r="Q20" i="123"/>
  <c r="Q16" i="123"/>
  <c r="Q21" i="123"/>
  <c r="D15" i="25"/>
  <c r="D17" i="25" s="1"/>
  <c r="E15" i="25"/>
  <c r="E17" i="25" s="1"/>
  <c r="A41" i="71"/>
  <c r="F6" i="123" l="1"/>
  <c r="M6" i="123" s="1"/>
  <c r="BQ312" i="89" s="1"/>
  <c r="BG292" i="89" s="1"/>
  <c r="F8" i="123"/>
  <c r="M8" i="123" s="1"/>
  <c r="BQ314" i="89" s="1"/>
  <c r="BG294" i="89" s="1"/>
  <c r="F9" i="123"/>
  <c r="M9" i="123" s="1"/>
  <c r="BQ315" i="89" s="1"/>
  <c r="BG295" i="89" s="1"/>
  <c r="F10" i="123"/>
  <c r="M10" i="123" s="1"/>
  <c r="BQ316" i="89" s="1"/>
  <c r="BG296" i="89" s="1"/>
  <c r="F5" i="123"/>
  <c r="M5" i="123" s="1"/>
  <c r="BQ311" i="89" s="1"/>
  <c r="N4" i="123"/>
  <c r="C118" i="78"/>
  <c r="D118" i="78"/>
  <c r="BG291" i="89" l="1"/>
  <c r="Q27" i="123"/>
  <c r="Q22" i="123"/>
  <c r="P15" i="123"/>
  <c r="P21" i="123" l="1"/>
  <c r="P18" i="123"/>
  <c r="P17" i="123"/>
  <c r="P27" i="123"/>
  <c r="P16" i="123"/>
  <c r="P20" i="123"/>
  <c r="P19" i="123"/>
  <c r="P22" i="123"/>
  <c r="P34" i="123" s="1"/>
  <c r="Q34" i="123"/>
  <c r="O15" i="123"/>
  <c r="O18" i="123" l="1"/>
  <c r="O17" i="123"/>
  <c r="O22" i="123"/>
  <c r="O34" i="123" s="1"/>
  <c r="O16" i="123"/>
  <c r="O20" i="123"/>
  <c r="O19" i="123"/>
  <c r="O21" i="123"/>
  <c r="N15" i="123"/>
  <c r="O27" i="123"/>
  <c r="N17" i="123" l="1"/>
  <c r="N18" i="123"/>
  <c r="N22" i="123"/>
  <c r="N34" i="123" s="1"/>
  <c r="N19" i="123"/>
  <c r="N21" i="123"/>
  <c r="N16" i="123"/>
  <c r="N20" i="123"/>
  <c r="M15" i="123"/>
  <c r="N27" i="123"/>
  <c r="M18" i="123" l="1"/>
  <c r="M17" i="123"/>
  <c r="M22" i="123"/>
  <c r="M34" i="123" s="1"/>
  <c r="M21" i="123"/>
  <c r="M16" i="123"/>
  <c r="M20" i="123"/>
  <c r="M19" i="123"/>
  <c r="L15" i="123"/>
  <c r="M27" i="123"/>
  <c r="L27" i="123" l="1"/>
  <c r="L18" i="123"/>
  <c r="L17" i="123"/>
  <c r="L22" i="123"/>
  <c r="L34" i="123" s="1"/>
  <c r="L21" i="123"/>
  <c r="L16" i="123"/>
  <c r="L20" i="123"/>
  <c r="L19" i="123"/>
  <c r="K15" i="123"/>
  <c r="K18" i="123" l="1"/>
  <c r="K17" i="123"/>
  <c r="K22" i="123"/>
  <c r="K34" i="123" s="1"/>
  <c r="K16" i="123"/>
  <c r="K20" i="123"/>
  <c r="K19" i="123"/>
  <c r="K21" i="123"/>
  <c r="J15" i="123"/>
  <c r="K27" i="123"/>
  <c r="J17" i="123" l="1"/>
  <c r="J18" i="123"/>
  <c r="J22" i="123"/>
  <c r="J34" i="123" s="1"/>
  <c r="J19" i="123"/>
  <c r="J21" i="123"/>
  <c r="J16" i="123"/>
  <c r="J20" i="123"/>
  <c r="I15" i="123"/>
  <c r="J27" i="123"/>
  <c r="I18" i="123" l="1"/>
  <c r="I17" i="123"/>
  <c r="I22" i="123"/>
  <c r="I34" i="123" s="1"/>
  <c r="I21" i="123"/>
  <c r="I16" i="123"/>
  <c r="I20" i="123"/>
  <c r="I19" i="123"/>
  <c r="H15" i="123"/>
  <c r="I27" i="123"/>
  <c r="H18" i="123" l="1"/>
  <c r="H17" i="123"/>
  <c r="H19" i="123"/>
  <c r="H16" i="123"/>
  <c r="H20" i="123"/>
  <c r="H21" i="123"/>
  <c r="H22" i="123"/>
  <c r="H34" i="123" s="1"/>
  <c r="G15" i="123"/>
  <c r="H27" i="123"/>
  <c r="G18" i="123" l="1"/>
  <c r="G17" i="123"/>
  <c r="G19" i="123"/>
  <c r="G21" i="123"/>
  <c r="G16" i="123"/>
  <c r="G20" i="123"/>
  <c r="F15" i="123"/>
  <c r="F18" i="123" s="1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O176" i="89"/>
  <c r="AO178" i="89"/>
  <c r="D115" i="78"/>
  <c r="C116" i="78"/>
  <c r="D117" i="78"/>
  <c r="C119" i="78"/>
  <c r="D114" i="78"/>
  <c r="D119" i="78"/>
  <c r="C114" i="78"/>
  <c r="C115" i="78"/>
  <c r="D116" i="78"/>
  <c r="C117" i="78"/>
  <c r="C120" i="78" l="1"/>
  <c r="D120" i="78"/>
  <c r="F18" i="51"/>
  <c r="F15" i="51"/>
  <c r="F14" i="51"/>
  <c r="BU321" i="89" l="1"/>
  <c r="BU322" i="89"/>
  <c r="BU323" i="89"/>
  <c r="BU324" i="89"/>
  <c r="BU325" i="89"/>
  <c r="BU326" i="89"/>
  <c r="BU320" i="89"/>
  <c r="BT321" i="89"/>
  <c r="BT322" i="89"/>
  <c r="BT323" i="89"/>
  <c r="BT324" i="89"/>
  <c r="BT325" i="89"/>
  <c r="BT326" i="89"/>
  <c r="BT320" i="89"/>
  <c r="C10" i="78"/>
  <c r="C9" i="78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4" i="89" l="1"/>
  <c r="AM175" i="89"/>
  <c r="AS251" i="89" l="1"/>
  <c r="B53" i="64"/>
  <c r="AS250" i="89"/>
  <c r="B52" i="64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K12" i="39" s="1"/>
  <c r="G22" i="25"/>
  <c r="Q106" i="49"/>
  <c r="Q105" i="49"/>
  <c r="Q113" i="49"/>
  <c r="Q144" i="49" l="1"/>
  <c r="P144" i="49" s="1"/>
  <c r="K23" i="123" l="1"/>
  <c r="O23" i="123"/>
  <c r="L23" i="123"/>
  <c r="P23" i="123"/>
  <c r="I23" i="123"/>
  <c r="M23" i="123"/>
  <c r="Q23" i="123"/>
  <c r="J23" i="123"/>
  <c r="N23" i="123"/>
  <c r="J2" i="130"/>
  <c r="J3" i="130" s="1"/>
  <c r="J4" i="130" s="1"/>
  <c r="J5" i="130" s="1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7" i="50" s="1"/>
  <c r="F40" i="143" s="1"/>
  <c r="C10" i="39" l="1"/>
  <c r="N25" i="78" l="1"/>
  <c r="G40" i="39" l="1"/>
  <c r="M15" i="58" l="1"/>
  <c r="J91" i="89" l="1"/>
  <c r="BG290" i="89" l="1"/>
  <c r="BH290" i="89"/>
  <c r="B40" i="39" l="1"/>
  <c r="M13" i="58" l="1"/>
  <c r="C22" i="94" l="1"/>
  <c r="C21" i="9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BY322" i="89" l="1"/>
  <c r="N14" i="78"/>
  <c r="N13" i="78"/>
  <c r="N12" i="78"/>
  <c r="N11" i="78"/>
  <c r="N10" i="78"/>
  <c r="N9" i="78"/>
  <c r="N8" i="78"/>
  <c r="S6" i="78" l="1"/>
  <c r="S8" i="78"/>
  <c r="C33" i="95" l="1"/>
  <c r="C32" i="95"/>
  <c r="BB290" i="89" l="1"/>
  <c r="BC290" i="89"/>
  <c r="BI290" i="89"/>
  <c r="P115" i="49" l="1"/>
  <c r="AH149" i="89" l="1"/>
  <c r="AH150" i="89"/>
  <c r="AH151" i="89"/>
  <c r="AH152" i="89"/>
  <c r="AH153" i="89"/>
  <c r="AH154" i="89"/>
  <c r="AH155" i="89"/>
  <c r="AH148" i="89"/>
  <c r="AE149" i="89" l="1"/>
  <c r="AL149" i="89" s="1"/>
  <c r="AE150" i="89"/>
  <c r="AL150" i="89" s="1"/>
  <c r="AE152" i="89"/>
  <c r="AE153" i="89"/>
  <c r="AE154" i="89"/>
  <c r="AL154" i="89" s="1"/>
  <c r="AE155" i="89"/>
  <c r="AL155" i="89" s="1"/>
  <c r="AE156" i="89"/>
  <c r="AL156" i="89" s="1"/>
  <c r="AE157" i="89"/>
  <c r="AL157" i="89" s="1"/>
  <c r="AE158" i="89"/>
  <c r="AL158" i="89" s="1"/>
  <c r="AE159" i="89"/>
  <c r="AE160" i="89"/>
  <c r="AL160" i="89" s="1"/>
  <c r="AE161" i="89"/>
  <c r="AL161" i="89" s="1"/>
  <c r="AE162" i="89"/>
  <c r="AL162" i="89" s="1"/>
  <c r="AE148" i="89"/>
  <c r="AL148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E19" i="143" l="1"/>
  <c r="F28" i="64"/>
  <c r="F29" i="64"/>
  <c r="F30" i="64"/>
  <c r="F27" i="64"/>
  <c r="G35" i="58" l="1"/>
  <c r="AB140" i="89" s="1"/>
  <c r="K34" i="39"/>
  <c r="M14" i="58" s="1"/>
  <c r="Q26" i="49" l="1"/>
  <c r="Q10" i="49" l="1"/>
  <c r="Q9" i="49"/>
  <c r="L39" i="89" l="1"/>
  <c r="AB142" i="89"/>
  <c r="Z142" i="89"/>
  <c r="Z141" i="89"/>
  <c r="W135" i="89"/>
  <c r="Y135" i="89" s="1"/>
  <c r="V135" i="89"/>
  <c r="W134" i="89"/>
  <c r="Y134" i="89" s="1"/>
  <c r="V134" i="89"/>
  <c r="W133" i="89"/>
  <c r="Y133" i="89" s="1"/>
  <c r="V133" i="89"/>
  <c r="W132" i="89"/>
  <c r="Y132" i="89" s="1"/>
  <c r="V132" i="89"/>
  <c r="W131" i="89"/>
  <c r="Y131" i="89" s="1"/>
  <c r="V131" i="89"/>
  <c r="BM307" i="89"/>
  <c r="BN307" i="89" s="1"/>
  <c r="BL307" i="89"/>
  <c r="BN305" i="89"/>
  <c r="BN304" i="89"/>
  <c r="BN303" i="89"/>
  <c r="BN302" i="89"/>
  <c r="AS236" i="89"/>
  <c r="AS235" i="89"/>
  <c r="AS234" i="89"/>
  <c r="AS233" i="89"/>
  <c r="AU221" i="89"/>
  <c r="AV221" i="89" s="1"/>
  <c r="AU220" i="89"/>
  <c r="AV220" i="89" s="1"/>
  <c r="M110" i="89"/>
  <c r="M109" i="89"/>
  <c r="M108" i="89"/>
  <c r="M107" i="89"/>
  <c r="M104" i="89"/>
  <c r="M103" i="89"/>
  <c r="N102" i="89"/>
  <c r="O102" i="89" s="1"/>
  <c r="M102" i="89"/>
  <c r="N101" i="89"/>
  <c r="O101" i="89" s="1"/>
  <c r="M101" i="89"/>
  <c r="I84" i="89"/>
  <c r="AS229" i="89" s="1"/>
  <c r="I83" i="89"/>
  <c r="AS228" i="89" s="1"/>
  <c r="I82" i="89"/>
  <c r="AS227" i="89" s="1"/>
  <c r="I81" i="89"/>
  <c r="AS226" i="89" s="1"/>
  <c r="I78" i="89"/>
  <c r="AS223" i="89" s="1"/>
  <c r="I77" i="89"/>
  <c r="AS222" i="89" s="1"/>
  <c r="I76" i="89"/>
  <c r="AS221" i="89" s="1"/>
  <c r="I75" i="89"/>
  <c r="AS220" i="89" s="1"/>
  <c r="Q36" i="89"/>
  <c r="L14" i="89"/>
  <c r="AY241" i="89"/>
  <c r="AT221" i="89"/>
  <c r="L76" i="89"/>
  <c r="J75" i="89"/>
  <c r="AT220" i="89" s="1"/>
  <c r="L75" i="89" l="1"/>
  <c r="Q29" i="49" l="1"/>
  <c r="Q28" i="49"/>
  <c r="Q27" i="49"/>
  <c r="B2" i="25" l="1"/>
  <c r="Q127" i="49" l="1"/>
  <c r="P127" i="49" s="1"/>
  <c r="Q132" i="49"/>
  <c r="P132" i="49" s="1"/>
  <c r="Q128" i="49"/>
  <c r="P128" i="49" s="1"/>
  <c r="Q131" i="49"/>
  <c r="P131" i="49" s="1"/>
  <c r="Q130" i="49"/>
  <c r="P130" i="49" s="1"/>
  <c r="C91" i="39"/>
  <c r="C89" i="39" l="1"/>
  <c r="C108" i="39"/>
  <c r="C88" i="39"/>
  <c r="E109" i="39"/>
  <c r="C109" i="39" s="1"/>
  <c r="E92" i="39"/>
  <c r="Q114" i="49"/>
  <c r="D92" i="39"/>
  <c r="C110" i="39"/>
  <c r="T39" i="89"/>
  <c r="U39" i="89"/>
  <c r="L7" i="64" s="1"/>
  <c r="M39" i="89"/>
  <c r="S39" i="89"/>
  <c r="P36" i="89"/>
  <c r="R39" i="89"/>
  <c r="Q120" i="49"/>
  <c r="O39" i="89"/>
  <c r="N39" i="89"/>
  <c r="Q39" i="89"/>
  <c r="P39" i="89"/>
  <c r="D3" i="121"/>
  <c r="D2" i="121"/>
  <c r="B120" i="39"/>
  <c r="E108" i="39"/>
  <c r="AA142" i="89"/>
  <c r="AD142" i="89" s="1"/>
  <c r="F9" i="51"/>
  <c r="BO309" i="89"/>
  <c r="W39" i="89" l="1"/>
  <c r="M42" i="89"/>
  <c r="G3" i="61"/>
  <c r="J11" i="61" s="1"/>
  <c r="M41" i="89"/>
  <c r="V40" i="89"/>
  <c r="U40" i="89"/>
  <c r="M40" i="89"/>
  <c r="S40" i="89"/>
  <c r="R40" i="89"/>
  <c r="T40" i="89"/>
  <c r="C18" i="39"/>
  <c r="B2" i="64"/>
  <c r="C111" i="39"/>
  <c r="Q84" i="49"/>
  <c r="J9" i="61"/>
  <c r="O40" i="89"/>
  <c r="N40" i="89"/>
  <c r="Q40" i="89"/>
  <c r="P40" i="89"/>
  <c r="C120" i="39"/>
  <c r="C92" i="39"/>
  <c r="G48" i="51"/>
  <c r="G47" i="51"/>
  <c r="AC142" i="89"/>
  <c r="P114" i="49"/>
  <c r="C7" i="95"/>
  <c r="AI151" i="89"/>
  <c r="AI155" i="89"/>
  <c r="AI154" i="89"/>
  <c r="AI153" i="89"/>
  <c r="AI150" i="89"/>
  <c r="AI149" i="89"/>
  <c r="AI152" i="89"/>
  <c r="T13" i="89"/>
  <c r="W9" i="89" s="1"/>
  <c r="T12" i="89"/>
  <c r="B2" i="78"/>
  <c r="C81" i="78"/>
  <c r="D11" i="78"/>
  <c r="C92" i="78"/>
  <c r="C15" i="78"/>
  <c r="C89" i="78"/>
  <c r="D15" i="78"/>
  <c r="D9" i="78"/>
  <c r="C87" i="78"/>
  <c r="D16" i="78"/>
  <c r="C11" i="78"/>
  <c r="C94" i="78"/>
  <c r="D20" i="78"/>
  <c r="C13" i="78"/>
  <c r="C12" i="78"/>
  <c r="C83" i="78"/>
  <c r="D21" i="78"/>
  <c r="C18" i="78"/>
  <c r="G10" i="78"/>
  <c r="D13" i="78"/>
  <c r="D14" i="78"/>
  <c r="C14" i="78"/>
  <c r="C79" i="78"/>
  <c r="D17" i="78"/>
  <c r="G12" i="78"/>
  <c r="C20" i="78"/>
  <c r="D19" i="78"/>
  <c r="D12" i="78"/>
  <c r="C19" i="78"/>
  <c r="C90" i="78"/>
  <c r="C17" i="78"/>
  <c r="G9" i="78"/>
  <c r="G8" i="78"/>
  <c r="C97" i="78"/>
  <c r="C82" i="78"/>
  <c r="C16" i="78"/>
  <c r="G11" i="78"/>
  <c r="C88" i="78"/>
  <c r="C95" i="78"/>
  <c r="D10" i="78"/>
  <c r="C84" i="78"/>
  <c r="G13" i="78"/>
  <c r="G14" i="78"/>
  <c r="C91" i="78"/>
  <c r="D18" i="78"/>
  <c r="C93" i="78"/>
  <c r="C80" i="78"/>
  <c r="J6" i="61" l="1"/>
  <c r="J16" i="61"/>
  <c r="AJ158" i="89" s="1"/>
  <c r="AK158" i="89" s="1"/>
  <c r="J21" i="61"/>
  <c r="J20" i="61"/>
  <c r="AJ162" i="89" s="1"/>
  <c r="AK162" i="89" s="1"/>
  <c r="J22" i="61"/>
  <c r="J24" i="61"/>
  <c r="J18" i="61"/>
  <c r="AJ160" i="89" s="1"/>
  <c r="AK160" i="89" s="1"/>
  <c r="J23" i="61"/>
  <c r="J29" i="61"/>
  <c r="J12" i="61"/>
  <c r="J13" i="61"/>
  <c r="J26" i="61"/>
  <c r="J19" i="61"/>
  <c r="AJ161" i="89" s="1"/>
  <c r="AK161" i="89" s="1"/>
  <c r="J28" i="61"/>
  <c r="J14" i="61"/>
  <c r="AJ156" i="89" s="1"/>
  <c r="AK156" i="89" s="1"/>
  <c r="J30" i="61"/>
  <c r="J10" i="61"/>
  <c r="J27" i="61"/>
  <c r="J25" i="61"/>
  <c r="J15" i="61"/>
  <c r="AJ157" i="89" s="1"/>
  <c r="AK157" i="89" s="1"/>
  <c r="J17" i="61"/>
  <c r="AJ159" i="89" s="1"/>
  <c r="AK159" i="89" s="1"/>
  <c r="J8" i="61"/>
  <c r="J7" i="61"/>
  <c r="W40" i="89"/>
  <c r="I12" i="51"/>
  <c r="I10" i="51"/>
  <c r="I11" i="51"/>
  <c r="C25" i="64"/>
  <c r="C26" i="64"/>
  <c r="C31" i="64"/>
  <c r="Q109" i="49" s="1"/>
  <c r="AS285" i="89"/>
  <c r="B56" i="89"/>
  <c r="AS240" i="89"/>
  <c r="B54" i="89"/>
  <c r="BB292" i="89"/>
  <c r="BB296" i="89"/>
  <c r="BB293" i="89"/>
  <c r="BB291" i="89"/>
  <c r="BB294" i="89"/>
  <c r="BB295" i="89"/>
  <c r="AI163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5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C3" i="61"/>
  <c r="C25" i="78"/>
  <c r="I6" i="51"/>
  <c r="BB297" i="89"/>
  <c r="X9" i="89"/>
  <c r="X10" i="89" s="1"/>
  <c r="G60" i="89"/>
  <c r="J86" i="89"/>
  <c r="L85" i="89"/>
  <c r="F60" i="89"/>
  <c r="G17" i="78"/>
  <c r="E15" i="143" l="1"/>
  <c r="AU223" i="89"/>
  <c r="I22" i="51"/>
  <c r="C7" i="51" s="1"/>
  <c r="D18" i="64" s="1"/>
  <c r="N104" i="89"/>
  <c r="Q14" i="49"/>
  <c r="P139" i="49"/>
  <c r="N15" i="78"/>
  <c r="F70" i="89"/>
  <c r="G70" i="89"/>
  <c r="AT237" i="89"/>
  <c r="AW225" i="89" s="1"/>
  <c r="AY225" i="89" s="1"/>
  <c r="J98" i="89"/>
  <c r="AT231" i="89"/>
  <c r="AT230" i="89" s="1"/>
  <c r="L86" i="89"/>
  <c r="K76" i="89" l="1"/>
  <c r="K75" i="89"/>
  <c r="K86" i="89"/>
  <c r="K85" i="89" s="1"/>
  <c r="AW221" i="89"/>
  <c r="AY221" i="89" s="1"/>
  <c r="AW220" i="89"/>
  <c r="AY220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E13" i="143" s="1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C156" i="49" s="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G45" i="143" l="1"/>
  <c r="G53" i="143"/>
  <c r="G51" i="143"/>
  <c r="G28" i="143"/>
  <c r="N198" i="82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H41" i="39"/>
  <c r="G18" i="143" l="1"/>
  <c r="G36" i="143"/>
  <c r="G43" i="143"/>
  <c r="F49" i="143"/>
  <c r="L146" i="82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26" i="89"/>
  <c r="BY325" i="89"/>
  <c r="BY320" i="89"/>
  <c r="BY323" i="89"/>
  <c r="BY324" i="89"/>
  <c r="BY321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D8" i="58" l="1"/>
  <c r="C121" i="85"/>
  <c r="C87" i="85"/>
  <c r="C144" i="85"/>
  <c r="C129" i="85"/>
  <c r="C114" i="85"/>
  <c r="C132" i="85"/>
  <c r="C119" i="85"/>
  <c r="C100" i="85"/>
  <c r="C4" i="85"/>
  <c r="C155" i="85"/>
  <c r="C39" i="85"/>
  <c r="C166" i="85"/>
  <c r="C151" i="85"/>
  <c r="C154" i="85"/>
  <c r="C157" i="85"/>
  <c r="C127" i="85"/>
  <c r="C160" i="85"/>
  <c r="C158" i="85"/>
  <c r="C147" i="85"/>
  <c r="C138" i="85"/>
  <c r="C96" i="85"/>
  <c r="C10" i="85"/>
  <c r="C8" i="85"/>
  <c r="C46" i="85"/>
  <c r="C12" i="85"/>
  <c r="C145" i="85"/>
  <c r="C162" i="85"/>
  <c r="C107" i="85"/>
  <c r="C98" i="85"/>
  <c r="C148" i="85"/>
  <c r="C163" i="85"/>
  <c r="C139" i="85"/>
  <c r="C113" i="85"/>
  <c r="C150" i="85"/>
  <c r="C60" i="85"/>
  <c r="C15" i="85"/>
  <c r="C141" i="85"/>
  <c r="C19" i="85"/>
  <c r="C16" i="85"/>
  <c r="C153" i="85"/>
  <c r="C165" i="85"/>
  <c r="C108" i="85"/>
  <c r="C134" i="85"/>
  <c r="C14" i="85"/>
  <c r="C102" i="85"/>
  <c r="C105" i="85"/>
  <c r="C143" i="85"/>
  <c r="C159" i="85"/>
  <c r="C123" i="85"/>
  <c r="C13" i="85"/>
  <c r="C104" i="85"/>
  <c r="C142" i="85"/>
  <c r="C125" i="85"/>
  <c r="C146" i="85"/>
  <c r="C73" i="85"/>
  <c r="C18" i="85"/>
  <c r="C11" i="85"/>
  <c r="C26" i="85"/>
  <c r="C156" i="85"/>
  <c r="C117" i="85"/>
  <c r="C17" i="85"/>
  <c r="C7" i="85"/>
  <c r="C110" i="85"/>
  <c r="C21" i="85"/>
  <c r="C32" i="85"/>
  <c r="C106" i="85"/>
  <c r="C109" i="85"/>
  <c r="C164" i="85"/>
  <c r="C37" i="85"/>
  <c r="C99" i="85"/>
  <c r="C130" i="85"/>
  <c r="C90" i="85"/>
  <c r="C112" i="85"/>
  <c r="C111" i="85"/>
  <c r="C44" i="85"/>
  <c r="C133" i="85"/>
  <c r="C5" i="85"/>
  <c r="C38" i="85"/>
  <c r="C115" i="85"/>
  <c r="C57" i="85"/>
  <c r="C45" i="85"/>
  <c r="C137" i="85"/>
  <c r="C140" i="85"/>
  <c r="C152" i="85"/>
  <c r="C101" i="85"/>
  <c r="C149" i="85"/>
  <c r="C20" i="85"/>
  <c r="C6" i="85"/>
  <c r="C103" i="85"/>
  <c r="C9" i="85"/>
  <c r="C36" i="85"/>
  <c r="C77" i="85"/>
  <c r="C131" i="85"/>
  <c r="C97" i="85"/>
  <c r="C161" i="85"/>
  <c r="C71" i="85"/>
  <c r="C167" i="85"/>
  <c r="C24" i="85"/>
  <c r="C3" i="85"/>
  <c r="C95" i="85"/>
  <c r="C23" i="85"/>
  <c r="C25" i="85"/>
  <c r="C8" i="58" l="1"/>
  <c r="T123" i="89"/>
  <c r="U123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06" i="49" l="1"/>
  <c r="P105" i="49"/>
  <c r="Q83" i="49"/>
  <c r="P83" i="49" s="1"/>
  <c r="Q57" i="49"/>
  <c r="P57" i="49" s="1"/>
  <c r="P30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278" i="49"/>
  <c r="P277" i="49"/>
  <c r="P276" i="49"/>
  <c r="P275" i="49"/>
  <c r="P274" i="49"/>
  <c r="P273" i="49"/>
  <c r="P272" i="49"/>
  <c r="P271" i="49"/>
  <c r="P270" i="49"/>
  <c r="P269" i="49"/>
  <c r="P268" i="49"/>
  <c r="P267" i="49"/>
  <c r="P266" i="49"/>
  <c r="P265" i="49"/>
  <c r="P264" i="49"/>
  <c r="P263" i="49"/>
  <c r="P262" i="49"/>
  <c r="P261" i="49"/>
  <c r="P260" i="49"/>
  <c r="P259" i="49"/>
  <c r="P258" i="49"/>
  <c r="P257" i="49"/>
  <c r="P256" i="49"/>
  <c r="P255" i="49"/>
  <c r="P254" i="49"/>
  <c r="P253" i="49"/>
  <c r="P252" i="49"/>
  <c r="P251" i="49"/>
  <c r="P250" i="49"/>
  <c r="P249" i="49"/>
  <c r="P248" i="49"/>
  <c r="P247" i="49"/>
  <c r="P246" i="49"/>
  <c r="P245" i="49"/>
  <c r="P244" i="49"/>
  <c r="P243" i="49"/>
  <c r="P242" i="49"/>
  <c r="P241" i="49"/>
  <c r="P118" i="49"/>
  <c r="P113" i="49"/>
  <c r="P85" i="49"/>
  <c r="P84" i="49"/>
  <c r="P10" i="49"/>
  <c r="P9" i="49"/>
  <c r="M49" i="25" l="1"/>
  <c r="B48" i="25"/>
  <c r="H14" i="25"/>
  <c r="I14" i="25" s="1"/>
  <c r="J14" i="25" s="1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88" i="85"/>
  <c r="C82" i="85"/>
  <c r="C135" i="85"/>
  <c r="C31" i="85"/>
  <c r="C70" i="85"/>
  <c r="C22" i="85"/>
  <c r="C136" i="85"/>
  <c r="F31" i="58" l="1"/>
  <c r="F30" i="58"/>
  <c r="F32" i="58"/>
  <c r="F29" i="58"/>
  <c r="F28" i="58"/>
  <c r="H28" i="58" s="1"/>
  <c r="K53" i="58" s="1"/>
  <c r="L53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CA329" i="89"/>
  <c r="B3" i="121"/>
  <c r="K18" i="39"/>
  <c r="C96" i="39"/>
  <c r="C2" i="50"/>
  <c r="C98" i="39"/>
  <c r="B77" i="39"/>
  <c r="C77" i="39" s="1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5" i="89"/>
  <c r="N107" i="89"/>
  <c r="O107" i="89" s="1"/>
  <c r="AU226" i="89"/>
  <c r="AU229" i="89"/>
  <c r="AV229" i="89" s="1"/>
  <c r="N110" i="89"/>
  <c r="O110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677" i="49"/>
  <c r="P1677" i="49" s="1"/>
  <c r="Q1678" i="49"/>
  <c r="P1678" i="49" s="1"/>
  <c r="B79" i="25"/>
  <c r="V79" i="25" s="1"/>
  <c r="B58" i="51"/>
  <c r="B73" i="51" s="1"/>
  <c r="Q41" i="49"/>
  <c r="P41" i="49" s="1"/>
  <c r="Q16" i="49"/>
  <c r="Q12" i="49"/>
  <c r="P12" i="49" s="1"/>
  <c r="F16" i="64"/>
  <c r="Q19" i="49"/>
  <c r="P19" i="49" s="1"/>
  <c r="Q82" i="49"/>
  <c r="P82" i="49" s="1"/>
  <c r="Q101" i="49"/>
  <c r="P101" i="49" s="1"/>
  <c r="Q15" i="49"/>
  <c r="Q11" i="49"/>
  <c r="P11" i="49" s="1"/>
  <c r="K14" i="39"/>
  <c r="K16" i="39" s="1"/>
  <c r="K15" i="39"/>
  <c r="B47" i="25"/>
  <c r="F47" i="25" s="1"/>
  <c r="F15" i="64"/>
  <c r="G11" i="87"/>
  <c r="G15" i="25"/>
  <c r="G17" i="25" s="1"/>
  <c r="D45" i="50" s="1"/>
  <c r="H13" i="25"/>
  <c r="S74" i="78"/>
  <c r="Q74" i="78"/>
  <c r="U74" i="78"/>
  <c r="G74" i="78"/>
  <c r="H74" i="78"/>
  <c r="T74" i="78"/>
  <c r="C72" i="85"/>
  <c r="K74" i="78"/>
  <c r="D74" i="78"/>
  <c r="P74" i="78"/>
  <c r="L74" i="78"/>
  <c r="N74" i="78"/>
  <c r="E74" i="78"/>
  <c r="O74" i="78"/>
  <c r="R74" i="78"/>
  <c r="I74" i="78"/>
  <c r="F74" i="78"/>
  <c r="J74" i="78"/>
  <c r="M74" i="78"/>
  <c r="C30" i="85"/>
  <c r="AN193" i="89" l="1"/>
  <c r="Q183" i="49"/>
  <c r="P183" i="49" s="1"/>
  <c r="AN192" i="89"/>
  <c r="Q182" i="49"/>
  <c r="P182" i="49" s="1"/>
  <c r="K30" i="39" a="1"/>
  <c r="K30" i="39" s="1"/>
  <c r="D39" i="64" s="1"/>
  <c r="BA239" i="89" s="1"/>
  <c r="H73" i="5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H77" i="39"/>
  <c r="D77" i="39"/>
  <c r="Q48" i="25" s="1"/>
  <c r="R48" i="25" s="1"/>
  <c r="H29" i="58"/>
  <c r="K54" i="58" s="1"/>
  <c r="L54" i="58" s="1"/>
  <c r="E2" i="121"/>
  <c r="F2" i="121" s="1"/>
  <c r="C48" i="25"/>
  <c r="D48" i="25" s="1"/>
  <c r="E77" i="39"/>
  <c r="G48" i="25" s="1"/>
  <c r="H48" i="25" s="1"/>
  <c r="B42" i="51"/>
  <c r="F55" i="71"/>
  <c r="L3" i="130"/>
  <c r="L5" i="130" s="1"/>
  <c r="M3" i="130"/>
  <c r="M5" i="130" s="1"/>
  <c r="BV320" i="89"/>
  <c r="P78" i="49"/>
  <c r="F3" i="121"/>
  <c r="BW323" i="89"/>
  <c r="BV323" i="89"/>
  <c r="BV321" i="89"/>
  <c r="BV326" i="89"/>
  <c r="BW324" i="89"/>
  <c r="BV324" i="89"/>
  <c r="BV322" i="89"/>
  <c r="BV325" i="89"/>
  <c r="P15" i="49"/>
  <c r="P16" i="49"/>
  <c r="C28" i="95"/>
  <c r="L73" i="51"/>
  <c r="K79" i="25" s="1"/>
  <c r="Q5" i="49"/>
  <c r="P5" i="49" s="1"/>
  <c r="L40" i="89"/>
  <c r="B76" i="39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M7" i="58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M8" i="58"/>
  <c r="L8" i="58" s="1"/>
  <c r="Q68" i="49"/>
  <c r="P68" i="49" s="1"/>
  <c r="Q64" i="49"/>
  <c r="P64" i="49" s="1"/>
  <c r="M9" i="58"/>
  <c r="K17" i="39"/>
  <c r="E16" i="87"/>
  <c r="E21" i="87" s="1"/>
  <c r="D31" i="64" s="1"/>
  <c r="E21" i="143" s="1"/>
  <c r="C21" i="87"/>
  <c r="I13" i="25"/>
  <c r="H15" i="25"/>
  <c r="H17" i="25" s="1"/>
  <c r="B46" i="25"/>
  <c r="K73" i="78"/>
  <c r="J73" i="78"/>
  <c r="E73" i="78"/>
  <c r="F73" i="78"/>
  <c r="G73" i="78"/>
  <c r="Q73" i="78"/>
  <c r="S73" i="78"/>
  <c r="R73" i="78"/>
  <c r="L73" i="78"/>
  <c r="P73" i="78"/>
  <c r="D73" i="78"/>
  <c r="M73" i="78"/>
  <c r="I73" i="78"/>
  <c r="O73" i="78"/>
  <c r="U73" i="78"/>
  <c r="H73" i="78"/>
  <c r="N73" i="78"/>
  <c r="T73" i="78"/>
  <c r="C71" i="64" l="1"/>
  <c r="AU269" i="89"/>
  <c r="C70" i="64"/>
  <c r="AU268" i="89"/>
  <c r="G76" i="39"/>
  <c r="O47" i="25" s="1"/>
  <c r="P47" i="25" s="1"/>
  <c r="C76" i="39"/>
  <c r="C47" i="25" s="1"/>
  <c r="D47" i="25" s="1"/>
  <c r="M16" i="58"/>
  <c r="L9" i="58"/>
  <c r="L7" i="58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H76" i="39"/>
  <c r="B41" i="51"/>
  <c r="V78" i="25"/>
  <c r="T78" i="25"/>
  <c r="H30" i="58"/>
  <c r="Q49" i="49"/>
  <c r="BW322" i="89"/>
  <c r="BW321" i="89"/>
  <c r="S31" i="58"/>
  <c r="T31" i="58" s="1"/>
  <c r="V31" i="58" s="1"/>
  <c r="S30" i="58"/>
  <c r="T30" i="58" s="1"/>
  <c r="V30" i="58" s="1"/>
  <c r="L7" i="51"/>
  <c r="E76" i="39"/>
  <c r="G47" i="25" s="1"/>
  <c r="H47" i="25" s="1"/>
  <c r="D76" i="39"/>
  <c r="C79" i="25"/>
  <c r="F54" i="71"/>
  <c r="BW320" i="89"/>
  <c r="F46" i="25"/>
  <c r="P79" i="49"/>
  <c r="CA328" i="89"/>
  <c r="CA327" i="89" s="1"/>
  <c r="P51" i="49"/>
  <c r="X135" i="89"/>
  <c r="BW325" i="89"/>
  <c r="BW326" i="89"/>
  <c r="Q112" i="49"/>
  <c r="AE15" i="89"/>
  <c r="Q96" i="49"/>
  <c r="P96" i="49" s="1"/>
  <c r="L72" i="51"/>
  <c r="K78" i="25" s="1"/>
  <c r="AC6" i="89"/>
  <c r="BM306" i="89"/>
  <c r="BN306" i="89" s="1"/>
  <c r="AU235" i="89"/>
  <c r="Q25" i="49"/>
  <c r="P25" i="49" s="1"/>
  <c r="B75" i="39"/>
  <c r="C75" i="39" s="1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M5" i="58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O72" i="78"/>
  <c r="N72" i="78"/>
  <c r="U72" i="78"/>
  <c r="G72" i="78"/>
  <c r="J72" i="78"/>
  <c r="D72" i="78"/>
  <c r="T72" i="78"/>
  <c r="S72" i="78"/>
  <c r="I72" i="78"/>
  <c r="L72" i="78"/>
  <c r="P72" i="78"/>
  <c r="R72" i="78"/>
  <c r="E72" i="78"/>
  <c r="Q72" i="78"/>
  <c r="H72" i="78"/>
  <c r="K72" i="78"/>
  <c r="F72" i="78"/>
  <c r="M72" i="78"/>
  <c r="L16" i="58" l="1"/>
  <c r="C10" i="58" s="1"/>
  <c r="L5" i="58"/>
  <c r="H71" i="5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D7" i="58"/>
  <c r="D79" i="25"/>
  <c r="E79" i="25"/>
  <c r="E75" i="39"/>
  <c r="G46" i="25" s="1"/>
  <c r="H46" i="25" s="1"/>
  <c r="D75" i="39"/>
  <c r="Q46" i="25" s="1"/>
  <c r="R46" i="25" s="1"/>
  <c r="C46" i="25"/>
  <c r="D46" i="25" s="1"/>
  <c r="L79" i="25"/>
  <c r="C78" i="25"/>
  <c r="F53" i="71"/>
  <c r="F45" i="25"/>
  <c r="H75" i="39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33" i="89"/>
  <c r="BM300" i="89"/>
  <c r="BN300" i="89" s="1"/>
  <c r="B74" i="39"/>
  <c r="C74" i="39" s="1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23" i="7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86" i="49"/>
  <c r="Q65" i="49"/>
  <c r="P65" i="49" s="1"/>
  <c r="C105" i="39"/>
  <c r="B44" i="25"/>
  <c r="Q71" i="78"/>
  <c r="P71" i="78"/>
  <c r="U71" i="78"/>
  <c r="L71" i="78"/>
  <c r="S71" i="78"/>
  <c r="F71" i="78"/>
  <c r="O71" i="78"/>
  <c r="G71" i="78"/>
  <c r="R71" i="78"/>
  <c r="D71" i="78"/>
  <c r="E71" i="78"/>
  <c r="J71" i="78"/>
  <c r="M71" i="78"/>
  <c r="T71" i="78"/>
  <c r="C55" i="85"/>
  <c r="I71" i="78"/>
  <c r="H71" i="78"/>
  <c r="K71" i="78"/>
  <c r="N71" i="78"/>
  <c r="L19" i="58" l="1"/>
  <c r="L17" i="58"/>
  <c r="C7" i="58"/>
  <c r="H70" i="5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2" i="89"/>
  <c r="U122" i="89" s="1"/>
  <c r="B39" i="51"/>
  <c r="T76" i="25"/>
  <c r="V76" i="25"/>
  <c r="G79" i="25"/>
  <c r="D78" i="25"/>
  <c r="D74" i="39"/>
  <c r="Q45" i="25" s="1"/>
  <c r="R45" i="25" s="1"/>
  <c r="C45" i="25"/>
  <c r="D45" i="25" s="1"/>
  <c r="E74" i="39"/>
  <c r="G45" i="25" s="1"/>
  <c r="H45" i="25" s="1"/>
  <c r="F79" i="25"/>
  <c r="I79" i="25"/>
  <c r="J79" i="25" s="1"/>
  <c r="E78" i="25"/>
  <c r="C77" i="25"/>
  <c r="F52" i="71"/>
  <c r="F44" i="25"/>
  <c r="H74" i="39"/>
  <c r="C10" i="51"/>
  <c r="Q46" i="49"/>
  <c r="P46" i="49" s="1"/>
  <c r="L70" i="51"/>
  <c r="K76" i="25" s="1"/>
  <c r="D6" i="58"/>
  <c r="O104" i="89"/>
  <c r="N47" i="25"/>
  <c r="B73" i="39"/>
  <c r="C73" i="39" s="1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P14" i="49"/>
  <c r="Q97" i="49"/>
  <c r="P97" i="49" s="1"/>
  <c r="C6" i="64"/>
  <c r="B43" i="25"/>
  <c r="N44" i="25"/>
  <c r="U70" i="78"/>
  <c r="K70" i="78"/>
  <c r="O70" i="78"/>
  <c r="N70" i="78"/>
  <c r="E70" i="78"/>
  <c r="M70" i="78"/>
  <c r="J70" i="78"/>
  <c r="S70" i="78"/>
  <c r="Q70" i="78"/>
  <c r="L70" i="78"/>
  <c r="F70" i="78"/>
  <c r="T70" i="78"/>
  <c r="D70" i="78"/>
  <c r="I70" i="78"/>
  <c r="P70" i="78"/>
  <c r="R70" i="78"/>
  <c r="H70" i="78"/>
  <c r="G70" i="78"/>
  <c r="L18" i="58" l="1"/>
  <c r="C13" i="58" s="1"/>
  <c r="C11" i="58"/>
  <c r="C6" i="58"/>
  <c r="H69" i="51"/>
  <c r="H38" i="51" s="1"/>
  <c r="O75" i="25" s="1"/>
  <c r="P75" i="25" s="1"/>
  <c r="I69" i="51"/>
  <c r="I38" i="51" s="1"/>
  <c r="Q75" i="25" s="1"/>
  <c r="R75" i="25" s="1"/>
  <c r="C69" i="51"/>
  <c r="C38" i="51" s="1"/>
  <c r="V41" i="89"/>
  <c r="W41" i="89" s="1"/>
  <c r="P14" i="78"/>
  <c r="T121" i="89"/>
  <c r="G73" i="39"/>
  <c r="O44" i="25" s="1"/>
  <c r="P44" i="25" s="1"/>
  <c r="B38" i="51"/>
  <c r="T75" i="25"/>
  <c r="V75" i="25"/>
  <c r="D4" i="50"/>
  <c r="AY287" i="89"/>
  <c r="H79" i="25"/>
  <c r="E77" i="25"/>
  <c r="M79" i="25"/>
  <c r="N79" i="25" s="1"/>
  <c r="G78" i="25"/>
  <c r="AB141" i="89"/>
  <c r="D73" i="39"/>
  <c r="Q44" i="25" s="1"/>
  <c r="R44" i="25" s="1"/>
  <c r="C44" i="25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H73" i="39"/>
  <c r="D21" i="64"/>
  <c r="E16" i="143" s="1"/>
  <c r="AD6" i="89"/>
  <c r="F19" i="25"/>
  <c r="E30" i="64"/>
  <c r="E27" i="64"/>
  <c r="E28" i="64"/>
  <c r="E29" i="64"/>
  <c r="L69" i="51"/>
  <c r="K75" i="25" s="1"/>
  <c r="L76" i="25"/>
  <c r="C53" i="89"/>
  <c r="Q80" i="49"/>
  <c r="P80" i="49" s="1"/>
  <c r="B72" i="39"/>
  <c r="C72" i="39" s="1"/>
  <c r="G69" i="51"/>
  <c r="G38" i="51" s="1"/>
  <c r="F69" i="51"/>
  <c r="F38" i="51" s="1"/>
  <c r="D69" i="51"/>
  <c r="D38" i="51" s="1"/>
  <c r="E69" i="51"/>
  <c r="E38" i="51" s="1"/>
  <c r="J70" i="51"/>
  <c r="J39" i="51" s="1"/>
  <c r="B74" i="25"/>
  <c r="X74" i="25" s="1"/>
  <c r="B53" i="51"/>
  <c r="B68" i="51" s="1"/>
  <c r="E16" i="64"/>
  <c r="E15" i="64"/>
  <c r="B42" i="25"/>
  <c r="N43" i="25"/>
  <c r="D69" i="78"/>
  <c r="I69" i="78"/>
  <c r="O69" i="78"/>
  <c r="L69" i="78"/>
  <c r="S69" i="78"/>
  <c r="U69" i="78"/>
  <c r="G69" i="78"/>
  <c r="E69" i="78"/>
  <c r="R69" i="78"/>
  <c r="M69" i="78"/>
  <c r="T69" i="78"/>
  <c r="P69" i="78"/>
  <c r="H69" i="78"/>
  <c r="Q69" i="78"/>
  <c r="F69" i="78"/>
  <c r="J69" i="78"/>
  <c r="K69" i="78"/>
  <c r="N69" i="78"/>
  <c r="E26" i="50" l="1"/>
  <c r="E42" i="50"/>
  <c r="E50" i="50"/>
  <c r="E98" i="50"/>
  <c r="E46" i="50"/>
  <c r="E94" i="50"/>
  <c r="E27" i="50"/>
  <c r="E35" i="50"/>
  <c r="E43" i="50"/>
  <c r="E51" i="50"/>
  <c r="E99" i="50"/>
  <c r="E38" i="50"/>
  <c r="E97" i="50"/>
  <c r="E28" i="50"/>
  <c r="E36" i="50"/>
  <c r="E44" i="50"/>
  <c r="E92" i="50"/>
  <c r="E100" i="50"/>
  <c r="E37" i="50"/>
  <c r="E45" i="50"/>
  <c r="E93" i="50"/>
  <c r="E39" i="50"/>
  <c r="E47" i="50"/>
  <c r="E63" i="50"/>
  <c r="E71" i="50"/>
  <c r="E95" i="50"/>
  <c r="E41" i="50"/>
  <c r="E57" i="50"/>
  <c r="E32" i="50"/>
  <c r="E40" i="50"/>
  <c r="E48" i="50"/>
  <c r="E64" i="50"/>
  <c r="E96" i="50"/>
  <c r="E17" i="50"/>
  <c r="E49" i="50"/>
  <c r="E65" i="50"/>
  <c r="E30" i="50"/>
  <c r="C12" i="58"/>
  <c r="C9" i="58" s="1"/>
  <c r="C5" i="58" s="1"/>
  <c r="C15" i="58" s="1"/>
  <c r="H68" i="51"/>
  <c r="H37" i="51" s="1"/>
  <c r="O74" i="25" s="1"/>
  <c r="P74" i="25" s="1"/>
  <c r="I68" i="51"/>
  <c r="I37" i="51" s="1"/>
  <c r="Q74" i="25" s="1"/>
  <c r="R74" i="25" s="1"/>
  <c r="C68" i="51"/>
  <c r="C37" i="51" s="1"/>
  <c r="P12" i="78"/>
  <c r="G72" i="39"/>
  <c r="O43" i="25" s="1"/>
  <c r="P43" i="25" s="1"/>
  <c r="B37" i="51"/>
  <c r="V74" i="25"/>
  <c r="T74" i="25"/>
  <c r="D76" i="25"/>
  <c r="H78" i="25"/>
  <c r="F77" i="25"/>
  <c r="I77" i="25"/>
  <c r="J77" i="25" s="1"/>
  <c r="M78" i="25"/>
  <c r="N78" i="25" s="1"/>
  <c r="G77" i="25"/>
  <c r="D72" i="39"/>
  <c r="Q43" i="25" s="1"/>
  <c r="R43" i="25" s="1"/>
  <c r="C43" i="25"/>
  <c r="D43" i="25" s="1"/>
  <c r="E72" i="39"/>
  <c r="G43" i="25" s="1"/>
  <c r="H43" i="25" s="1"/>
  <c r="E76" i="25"/>
  <c r="C75" i="25"/>
  <c r="F50" i="71"/>
  <c r="F42" i="25"/>
  <c r="H72" i="39"/>
  <c r="AE6" i="89"/>
  <c r="AE5" i="89" s="1"/>
  <c r="K48" i="25"/>
  <c r="L48" i="25" s="1"/>
  <c r="E55" i="71" s="1"/>
  <c r="N108" i="89"/>
  <c r="O108" i="89" s="1"/>
  <c r="Q17" i="49"/>
  <c r="P17" i="49" s="1"/>
  <c r="AU227" i="89"/>
  <c r="L68" i="51"/>
  <c r="K74" i="25" s="1"/>
  <c r="F20" i="25"/>
  <c r="B71" i="39"/>
  <c r="C71" i="39" s="1"/>
  <c r="E68" i="51"/>
  <c r="E37" i="51" s="1"/>
  <c r="G68" i="51"/>
  <c r="G37" i="51" s="1"/>
  <c r="F68" i="51"/>
  <c r="F37" i="51" s="1"/>
  <c r="D68" i="51"/>
  <c r="D37" i="51" s="1"/>
  <c r="J69" i="51"/>
  <c r="J38" i="51" s="1"/>
  <c r="B73" i="25"/>
  <c r="X73" i="25" s="1"/>
  <c r="B52" i="51"/>
  <c r="B67" i="51" s="1"/>
  <c r="B41" i="25"/>
  <c r="N42" i="25"/>
  <c r="F68" i="78"/>
  <c r="U68" i="78"/>
  <c r="I68" i="78"/>
  <c r="G68" i="78"/>
  <c r="S68" i="78"/>
  <c r="J68" i="78"/>
  <c r="T68" i="78"/>
  <c r="O68" i="78"/>
  <c r="N68" i="78"/>
  <c r="P68" i="78"/>
  <c r="E68" i="78"/>
  <c r="R68" i="78"/>
  <c r="L68" i="78"/>
  <c r="M68" i="78"/>
  <c r="D68" i="78"/>
  <c r="H68" i="78"/>
  <c r="K68" i="78"/>
  <c r="Q68" i="78"/>
  <c r="H67" i="51" l="1"/>
  <c r="H36" i="51" s="1"/>
  <c r="O73" i="25" s="1"/>
  <c r="P73" i="25" s="1"/>
  <c r="I67" i="51"/>
  <c r="I36" i="51" s="1"/>
  <c r="Q73" i="25" s="1"/>
  <c r="R73" i="25" s="1"/>
  <c r="C67" i="51"/>
  <c r="C36" i="51" s="1"/>
  <c r="P10" i="78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42" i="25"/>
  <c r="D42" i="25" s="1"/>
  <c r="F76" i="25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L67" i="51"/>
  <c r="K73" i="25" s="1"/>
  <c r="B70" i="39"/>
  <c r="C70" i="39" s="1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I67" i="78"/>
  <c r="K67" i="78"/>
  <c r="G67" i="78"/>
  <c r="E67" i="78"/>
  <c r="D67" i="78"/>
  <c r="P67" i="78"/>
  <c r="R67" i="78"/>
  <c r="T67" i="78"/>
  <c r="J67" i="78"/>
  <c r="L67" i="78"/>
  <c r="H67" i="78"/>
  <c r="U67" i="78"/>
  <c r="O67" i="78"/>
  <c r="N67" i="78"/>
  <c r="S67" i="78"/>
  <c r="F67" i="78"/>
  <c r="M67" i="78"/>
  <c r="Q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41" i="25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L66" i="51"/>
  <c r="K72" i="25" s="1"/>
  <c r="B69" i="39"/>
  <c r="C69" i="39" s="1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B38" i="25" s="1"/>
  <c r="N40" i="25"/>
  <c r="I66" i="78"/>
  <c r="O66" i="78"/>
  <c r="H66" i="78"/>
  <c r="D66" i="78"/>
  <c r="E66" i="78"/>
  <c r="Q66" i="78"/>
  <c r="M66" i="78"/>
  <c r="P66" i="78"/>
  <c r="L66" i="78"/>
  <c r="T66" i="78"/>
  <c r="F66" i="78"/>
  <c r="N66" i="78"/>
  <c r="K66" i="78"/>
  <c r="R66" i="78"/>
  <c r="G66" i="78"/>
  <c r="U66" i="78"/>
  <c r="S66" i="78"/>
  <c r="J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40" i="25"/>
  <c r="D40" i="25" s="1"/>
  <c r="E69" i="39"/>
  <c r="G40" i="25" s="1"/>
  <c r="H40" i="25" s="1"/>
  <c r="E73" i="25"/>
  <c r="F74" i="25"/>
  <c r="I74" i="25"/>
  <c r="J74" i="25" s="1"/>
  <c r="C72" i="25"/>
  <c r="F47" i="71"/>
  <c r="F39" i="25"/>
  <c r="H69" i="39"/>
  <c r="K45" i="25"/>
  <c r="L45" i="25" s="1"/>
  <c r="E52" i="71" s="1"/>
  <c r="L65" i="51"/>
  <c r="K71" i="25" s="1"/>
  <c r="B68" i="39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N39" i="25"/>
  <c r="S65" i="78"/>
  <c r="O65" i="78"/>
  <c r="T65" i="78"/>
  <c r="H65" i="78"/>
  <c r="R65" i="78"/>
  <c r="E65" i="78"/>
  <c r="N65" i="78"/>
  <c r="L65" i="78"/>
  <c r="K65" i="78"/>
  <c r="Q65" i="78"/>
  <c r="F65" i="78"/>
  <c r="D65" i="78"/>
  <c r="M65" i="78"/>
  <c r="U65" i="78"/>
  <c r="G65" i="78"/>
  <c r="P65" i="78"/>
  <c r="J65" i="78"/>
  <c r="I65" i="78"/>
  <c r="G68" i="39" l="1"/>
  <c r="O39" i="25" s="1"/>
  <c r="P39" i="25" s="1"/>
  <c r="C68" i="39"/>
  <c r="C39" i="25" s="1"/>
  <c r="D39" i="25" s="1"/>
  <c r="H64" i="51"/>
  <c r="H33" i="51" s="1"/>
  <c r="O70" i="25" s="1"/>
  <c r="P70" i="25" s="1"/>
  <c r="I64" i="51"/>
  <c r="I33" i="51" s="1"/>
  <c r="Q70" i="25" s="1"/>
  <c r="R70" i="25" s="1"/>
  <c r="C64" i="51"/>
  <c r="C33" i="51" s="1"/>
  <c r="P4" i="78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L64" i="51"/>
  <c r="K70" i="25" s="1"/>
  <c r="B67" i="39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J64" i="78"/>
  <c r="Q64" i="78"/>
  <c r="S64" i="78"/>
  <c r="H64" i="78"/>
  <c r="E64" i="78"/>
  <c r="T64" i="78"/>
  <c r="U64" i="78"/>
  <c r="O64" i="78"/>
  <c r="N64" i="78"/>
  <c r="P64" i="78"/>
  <c r="R64" i="78"/>
  <c r="D64" i="78"/>
  <c r="I64" i="78"/>
  <c r="K64" i="78"/>
  <c r="M64" i="78"/>
  <c r="G64" i="78"/>
  <c r="F64" i="78"/>
  <c r="L64" i="78"/>
  <c r="G67" i="39" l="1"/>
  <c r="O38" i="25" s="1"/>
  <c r="P38" i="25" s="1"/>
  <c r="C67" i="39"/>
  <c r="C38" i="25" s="1"/>
  <c r="D38" i="25" s="1"/>
  <c r="H63" i="51"/>
  <c r="H32" i="51" s="1"/>
  <c r="O69" i="25" s="1"/>
  <c r="P69" i="25" s="1"/>
  <c r="I63" i="51"/>
  <c r="I32" i="51" s="1"/>
  <c r="Q69" i="25" s="1"/>
  <c r="R69" i="25" s="1"/>
  <c r="C63" i="51"/>
  <c r="C32" i="51" s="1"/>
  <c r="P2" i="78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K43" i="25"/>
  <c r="L43" i="25" s="1"/>
  <c r="E50" i="71" s="1"/>
  <c r="L63" i="51"/>
  <c r="K69" i="25" s="1"/>
  <c r="B66" i="39"/>
  <c r="C66" i="39" s="1"/>
  <c r="G63" i="51"/>
  <c r="G32" i="51" s="1"/>
  <c r="F63" i="51"/>
  <c r="F32" i="51" s="1"/>
  <c r="D63" i="51"/>
  <c r="D32" i="51" s="1"/>
  <c r="E63" i="51"/>
  <c r="E32" i="51" s="1"/>
  <c r="J64" i="51"/>
  <c r="J33" i="51" s="1"/>
  <c r="B68" i="25"/>
  <c r="B47" i="51"/>
  <c r="B62" i="51" s="1"/>
  <c r="B36" i="25"/>
  <c r="N37" i="25"/>
  <c r="T63" i="78"/>
  <c r="D63" i="78"/>
  <c r="L63" i="78"/>
  <c r="O63" i="78"/>
  <c r="E63" i="78"/>
  <c r="J63" i="78"/>
  <c r="S63" i="78"/>
  <c r="M63" i="78"/>
  <c r="Q63" i="78"/>
  <c r="H63" i="78"/>
  <c r="K63" i="78"/>
  <c r="R63" i="78"/>
  <c r="N63" i="78"/>
  <c r="P63" i="78"/>
  <c r="G63" i="78"/>
  <c r="U63" i="78"/>
  <c r="I63" i="78"/>
  <c r="F63" i="78"/>
  <c r="H62" i="51" l="1"/>
  <c r="H31" i="51" s="1"/>
  <c r="O68" i="25" s="1"/>
  <c r="I62" i="51"/>
  <c r="U75" i="78"/>
  <c r="C62" i="51"/>
  <c r="C31" i="51" s="1"/>
  <c r="T75" i="78"/>
  <c r="S75" i="78"/>
  <c r="J79" i="89" s="1"/>
  <c r="R75" i="78"/>
  <c r="G66" i="39"/>
  <c r="O37" i="25" s="1"/>
  <c r="P37" i="25" s="1"/>
  <c r="T68" i="25"/>
  <c r="X68" i="25"/>
  <c r="C37" i="25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H75" i="78"/>
  <c r="G75" i="78"/>
  <c r="J82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J63" i="51"/>
  <c r="J32" i="51" s="1"/>
  <c r="B35" i="25"/>
  <c r="N36" i="25"/>
  <c r="I31" i="51" l="1"/>
  <c r="Q68" i="25" s="1"/>
  <c r="J78" i="89"/>
  <c r="L78" i="89" s="1"/>
  <c r="C18" i="64"/>
  <c r="X67" i="25"/>
  <c r="R67" i="25"/>
  <c r="P67" i="25"/>
  <c r="P68" i="25"/>
  <c r="O80" i="25"/>
  <c r="C36" i="25"/>
  <c r="D36" i="25" s="1"/>
  <c r="G36" i="25"/>
  <c r="H36" i="25" s="1"/>
  <c r="O36" i="25"/>
  <c r="P36" i="25" s="1"/>
  <c r="D67" i="25"/>
  <c r="T67" i="25"/>
  <c r="V67" i="25"/>
  <c r="T35" i="25"/>
  <c r="Q37" i="25"/>
  <c r="R37" i="25" s="1"/>
  <c r="J84" i="89"/>
  <c r="C23" i="64"/>
  <c r="J83" i="89"/>
  <c r="AT228" i="89" s="1"/>
  <c r="C22" i="64"/>
  <c r="M70" i="25"/>
  <c r="N70" i="25" s="1"/>
  <c r="H69" i="25"/>
  <c r="H70" i="25"/>
  <c r="E69" i="25"/>
  <c r="C68" i="25"/>
  <c r="D68" i="25" s="1"/>
  <c r="G68" i="25" s="1"/>
  <c r="G80" i="25" s="1"/>
  <c r="H65" i="39"/>
  <c r="F43" i="71"/>
  <c r="L79" i="89"/>
  <c r="J81" i="89"/>
  <c r="AT226" i="89" s="1"/>
  <c r="K80" i="25"/>
  <c r="K41" i="25"/>
  <c r="L41" i="25" s="1"/>
  <c r="E48" i="71" s="1"/>
  <c r="K40" i="25"/>
  <c r="L40" i="25" s="1"/>
  <c r="E47" i="71" s="1"/>
  <c r="L67" i="25"/>
  <c r="AT222" i="89"/>
  <c r="K77" i="89"/>
  <c r="L77" i="89"/>
  <c r="AT227" i="89"/>
  <c r="AW227" i="89" s="1"/>
  <c r="K82" i="89"/>
  <c r="L82" i="89"/>
  <c r="F67" i="25"/>
  <c r="H67" i="25"/>
  <c r="N67" i="25"/>
  <c r="B66" i="25"/>
  <c r="B64" i="39"/>
  <c r="J67" i="25"/>
  <c r="J62" i="51"/>
  <c r="J31" i="51" s="1"/>
  <c r="B34" i="25"/>
  <c r="N35" i="25"/>
  <c r="AV226" i="89" l="1"/>
  <c r="AW226" i="89"/>
  <c r="AY226" i="89" s="1"/>
  <c r="AT223" i="89"/>
  <c r="AW223" i="89" s="1"/>
  <c r="AY223" i="89" s="1"/>
  <c r="Q80" i="25"/>
  <c r="R68" i="25"/>
  <c r="K78" i="89"/>
  <c r="X66" i="25"/>
  <c r="R66" i="25"/>
  <c r="P66" i="25"/>
  <c r="C35" i="25"/>
  <c r="D35" i="25" s="1"/>
  <c r="G35" i="25"/>
  <c r="H35" i="25" s="1"/>
  <c r="O35" i="25"/>
  <c r="P35" i="25" s="1"/>
  <c r="H64" i="39"/>
  <c r="Q36" i="25"/>
  <c r="R36" i="25" s="1"/>
  <c r="I77" i="39"/>
  <c r="Q35" i="25"/>
  <c r="R35" i="25" s="1"/>
  <c r="D66" i="25"/>
  <c r="T66" i="25"/>
  <c r="V66" i="25"/>
  <c r="T34" i="25"/>
  <c r="AT229" i="89"/>
  <c r="AW229" i="89" s="1"/>
  <c r="K83" i="89"/>
  <c r="K84" i="89"/>
  <c r="AV227" i="89"/>
  <c r="F69" i="25"/>
  <c r="I69" i="25"/>
  <c r="J69" i="25" s="1"/>
  <c r="E68" i="25"/>
  <c r="I68" i="25" s="1"/>
  <c r="J68" i="25" s="1"/>
  <c r="C80" i="25"/>
  <c r="F42" i="71"/>
  <c r="K79" i="89"/>
  <c r="AT224" i="89"/>
  <c r="AV224" i="89" s="1"/>
  <c r="J74" i="89"/>
  <c r="K81" i="89"/>
  <c r="E20" i="64"/>
  <c r="F20" i="64"/>
  <c r="E19" i="64"/>
  <c r="F19" i="64"/>
  <c r="H68" i="25"/>
  <c r="L68" i="25"/>
  <c r="K39" i="25"/>
  <c r="L39" i="25" s="1"/>
  <c r="E46" i="71" s="1"/>
  <c r="L66" i="25"/>
  <c r="AY227" i="89"/>
  <c r="H66" i="25"/>
  <c r="N66" i="25"/>
  <c r="F66" i="25"/>
  <c r="J66" i="25"/>
  <c r="B65" i="25"/>
  <c r="B63" i="39"/>
  <c r="B33" i="25"/>
  <c r="N34" i="25"/>
  <c r="AV223" i="89" l="1"/>
  <c r="X65" i="25"/>
  <c r="P65" i="25"/>
  <c r="R65" i="25"/>
  <c r="O34" i="25"/>
  <c r="P34" i="25" s="1"/>
  <c r="Q34" i="25"/>
  <c r="C34" i="25"/>
  <c r="D34" i="25" s="1"/>
  <c r="D65" i="25"/>
  <c r="V65" i="25"/>
  <c r="T65" i="25"/>
  <c r="AW224" i="89"/>
  <c r="AY224" i="89" s="1"/>
  <c r="T33" i="25"/>
  <c r="G34" i="25"/>
  <c r="AT219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H46" i="39" s="1"/>
  <c r="K37" i="25"/>
  <c r="L37" i="25" s="1"/>
  <c r="E44" i="71" s="1"/>
  <c r="B63" i="25"/>
  <c r="F64" i="25"/>
  <c r="H64" i="25"/>
  <c r="N64" i="25"/>
  <c r="J64" i="25"/>
  <c r="E21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H44" i="39"/>
  <c r="F18" i="64"/>
  <c r="H43" i="39" s="1"/>
  <c r="E23" i="64"/>
  <c r="F63" i="25"/>
  <c r="J63" i="25"/>
  <c r="H63" i="25"/>
  <c r="B62" i="25"/>
  <c r="L63" i="25"/>
  <c r="F23" i="64"/>
  <c r="H48" i="39" s="1"/>
  <c r="C14" i="64"/>
  <c r="E18" i="64"/>
  <c r="H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306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5" i="89"/>
  <c r="K95" i="89" s="1"/>
  <c r="F25" i="64"/>
  <c r="E31" i="64"/>
  <c r="F31" i="64"/>
  <c r="J94" i="89"/>
  <c r="N61" i="25"/>
  <c r="J61" i="25"/>
  <c r="J90" i="89"/>
  <c r="L90" i="89" s="1"/>
  <c r="J89" i="89"/>
  <c r="BL301" i="89"/>
  <c r="J93" i="89"/>
  <c r="BL300" i="89"/>
  <c r="J88" i="89"/>
  <c r="J92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5" i="89"/>
  <c r="AT236" i="89"/>
  <c r="BL308" i="89"/>
  <c r="BN308" i="89" s="1"/>
  <c r="K91" i="89"/>
  <c r="L91" i="89"/>
  <c r="AT234" i="89"/>
  <c r="K89" i="89"/>
  <c r="L89" i="89"/>
  <c r="L92" i="89"/>
  <c r="K92" i="89"/>
  <c r="AT235" i="89"/>
  <c r="AW235" i="89" s="1"/>
  <c r="L94" i="89"/>
  <c r="K94" i="89"/>
  <c r="K93" i="89"/>
  <c r="L93" i="89"/>
  <c r="AT233" i="89"/>
  <c r="AV233" i="89" s="1"/>
  <c r="L88" i="89"/>
  <c r="K88" i="89"/>
  <c r="K90" i="89"/>
  <c r="L60" i="25"/>
  <c r="N60" i="25"/>
  <c r="B59" i="25"/>
  <c r="J60" i="25"/>
  <c r="F60" i="25"/>
  <c r="H28" i="25"/>
  <c r="B27" i="25"/>
  <c r="D28" i="25"/>
  <c r="L28" i="25"/>
  <c r="N28" i="25"/>
  <c r="AW233" i="89" l="1"/>
  <c r="X59" i="25"/>
  <c r="R59" i="25"/>
  <c r="P59" i="25"/>
  <c r="V59" i="25"/>
  <c r="T59" i="25"/>
  <c r="T27" i="25"/>
  <c r="V27" i="25"/>
  <c r="L59" i="25"/>
  <c r="D59" i="25"/>
  <c r="P27" i="25"/>
  <c r="R27" i="25"/>
  <c r="AY235" i="89"/>
  <c r="AV235" i="89"/>
  <c r="J59" i="25"/>
  <c r="H59" i="25"/>
  <c r="AT232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38" i="89"/>
  <c r="AT239" i="89" s="1"/>
  <c r="AY233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7" i="137" s="1"/>
  <c r="T25" i="25"/>
  <c r="V25" i="25"/>
  <c r="J57" i="25"/>
  <c r="D57" i="25"/>
  <c r="B24" i="25"/>
  <c r="P25" i="25"/>
  <c r="H57" i="25"/>
  <c r="L57" i="25"/>
  <c r="F57" i="25"/>
  <c r="B56" i="25"/>
  <c r="N57" i="25"/>
  <c r="BD296" i="89"/>
  <c r="BD292" i="89"/>
  <c r="BD293" i="89"/>
  <c r="BD294" i="89"/>
  <c r="BD295" i="89"/>
  <c r="L25" i="25"/>
  <c r="L49" i="25" s="1"/>
  <c r="D31" i="50" s="1"/>
  <c r="E31" i="50" s="1"/>
  <c r="N25" i="25"/>
  <c r="N49" i="25" s="1"/>
  <c r="I15" i="135" s="1"/>
  <c r="D25" i="25"/>
  <c r="D49" i="25" s="1"/>
  <c r="D9" i="50" s="1"/>
  <c r="E9" i="50" s="1"/>
  <c r="H25" i="25"/>
  <c r="H49" i="25" s="1"/>
  <c r="D29" i="50" s="1"/>
  <c r="AN177" i="89" l="1"/>
  <c r="C55" i="64" s="1"/>
  <c r="E29" i="50"/>
  <c r="AN179" i="89"/>
  <c r="C57" i="64" s="1"/>
  <c r="Q169" i="49"/>
  <c r="P169" i="49" s="1"/>
  <c r="Q167" i="49"/>
  <c r="P167" i="49" s="1"/>
  <c r="C18" i="137"/>
  <c r="C19" i="137"/>
  <c r="X56" i="25"/>
  <c r="P56" i="25"/>
  <c r="R56" i="25"/>
  <c r="D17" i="137"/>
  <c r="T56" i="25"/>
  <c r="V56" i="25"/>
  <c r="T24" i="25"/>
  <c r="V24" i="25"/>
  <c r="AO175" i="89"/>
  <c r="L56" i="25"/>
  <c r="D56" i="25"/>
  <c r="D80" i="25" s="1"/>
  <c r="P24" i="25"/>
  <c r="R24" i="25"/>
  <c r="N24" i="25"/>
  <c r="H24" i="25"/>
  <c r="B55" i="25"/>
  <c r="J24" i="25"/>
  <c r="L24" i="25"/>
  <c r="J56" i="25"/>
  <c r="H56" i="25"/>
  <c r="F56" i="25"/>
  <c r="F80" i="25" s="1"/>
  <c r="N56" i="25"/>
  <c r="O49" i="25"/>
  <c r="BD291" i="89" s="1"/>
  <c r="BD297" i="89" s="1"/>
  <c r="P49" i="25"/>
  <c r="C89" i="85"/>
  <c r="AU253" i="89" l="1"/>
  <c r="AU255" i="89"/>
  <c r="Q147" i="49"/>
  <c r="P147" i="49" s="1"/>
  <c r="AO174" i="89"/>
  <c r="X55" i="25"/>
  <c r="X80" i="25" s="1"/>
  <c r="R55" i="25"/>
  <c r="R80" i="25" s="1"/>
  <c r="M42" i="51" s="1"/>
  <c r="D23" i="50" s="1"/>
  <c r="P55" i="25"/>
  <c r="P80" i="25" s="1"/>
  <c r="M41" i="51" s="1"/>
  <c r="D22" i="50" s="1"/>
  <c r="E22" i="50" s="1"/>
  <c r="T55" i="25"/>
  <c r="T80" i="25" s="1"/>
  <c r="V55" i="25"/>
  <c r="V80" i="25" s="1"/>
  <c r="N55" i="25"/>
  <c r="N80" i="25" s="1"/>
  <c r="M35" i="51" s="1"/>
  <c r="D19" i="50" s="1"/>
  <c r="D55" i="25"/>
  <c r="F55" i="25"/>
  <c r="L55" i="25"/>
  <c r="L80" i="25" s="1"/>
  <c r="M37" i="51" s="1"/>
  <c r="D21" i="50" s="1"/>
  <c r="E21" i="50" s="1"/>
  <c r="H55" i="25"/>
  <c r="H80" i="25" s="1"/>
  <c r="M31" i="51" s="1"/>
  <c r="D15" i="50" s="1"/>
  <c r="E15" i="50" s="1"/>
  <c r="J55" i="25"/>
  <c r="J80" i="25" s="1"/>
  <c r="BE291" i="89"/>
  <c r="BE296" i="89"/>
  <c r="BE293" i="89"/>
  <c r="BE294" i="89"/>
  <c r="BE295" i="89"/>
  <c r="M34" i="51"/>
  <c r="D18" i="50" s="1"/>
  <c r="M36" i="51"/>
  <c r="D20" i="50" s="1"/>
  <c r="E20" i="50" s="1"/>
  <c r="AN170" i="89" l="1"/>
  <c r="AO170" i="89" s="1"/>
  <c r="E23" i="50"/>
  <c r="F39" i="143"/>
  <c r="E18" i="50"/>
  <c r="F16" i="143"/>
  <c r="E19" i="50"/>
  <c r="AN169" i="89"/>
  <c r="F27" i="143"/>
  <c r="F11" i="143"/>
  <c r="Q161" i="49"/>
  <c r="P161" i="49" s="1"/>
  <c r="Q160" i="49"/>
  <c r="P160" i="49" s="1"/>
  <c r="Q159" i="49"/>
  <c r="P159" i="49" s="1"/>
  <c r="M43" i="51"/>
  <c r="M32" i="51"/>
  <c r="D16" i="50" s="1"/>
  <c r="BE292" i="89"/>
  <c r="BE297" i="89" s="1"/>
  <c r="F15" i="143" l="1"/>
  <c r="E16" i="50"/>
  <c r="AU246" i="89"/>
  <c r="C48" i="64"/>
  <c r="C47" i="64"/>
  <c r="AU245" i="89"/>
  <c r="AN168" i="89"/>
  <c r="Q158" i="49"/>
  <c r="P158" i="49" s="1"/>
  <c r="F10" i="143"/>
  <c r="F28" i="143"/>
  <c r="M38" i="51"/>
  <c r="C46" i="64" l="1"/>
  <c r="AU244" i="89"/>
  <c r="BC296" i="89"/>
  <c r="BC291" i="89"/>
  <c r="BC292" i="89"/>
  <c r="BC294" i="89" l="1"/>
  <c r="BC293" i="89"/>
  <c r="BC295" i="89"/>
  <c r="BC297" i="89" l="1"/>
  <c r="BI295" i="89"/>
  <c r="BI296" i="89" l="1"/>
  <c r="BI294" i="89"/>
  <c r="BI293" i="89"/>
  <c r="BI292" i="89"/>
  <c r="BI291" i="89"/>
  <c r="BI297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G72" i="82"/>
  <c r="D72" i="82" s="1"/>
  <c r="Q107" i="49"/>
  <c r="P107" i="49" s="1"/>
  <c r="E25" i="64"/>
  <c r="Q108" i="49"/>
  <c r="P108" i="49" s="1"/>
  <c r="P110" i="49" l="1"/>
  <c r="P111" i="49"/>
  <c r="P109" i="49" l="1"/>
  <c r="P112" i="49"/>
  <c r="C24" i="64"/>
  <c r="C34" i="64" l="1"/>
  <c r="AF15" i="89"/>
  <c r="J87" i="89"/>
  <c r="C39" i="64" l="1"/>
  <c r="E27" i="143" s="1"/>
  <c r="E28" i="143" s="1"/>
  <c r="J96" i="89"/>
  <c r="L87" i="89"/>
  <c r="K87" i="89"/>
  <c r="AO172" i="89" l="1"/>
  <c r="AD15" i="89"/>
  <c r="K96" i="89"/>
  <c r="J97" i="89"/>
  <c r="K97" i="89" s="1"/>
  <c r="K98" i="89" l="1"/>
  <c r="P116" i="49" l="1"/>
  <c r="Q81" i="49"/>
  <c r="P81" i="49" s="1"/>
  <c r="Q90" i="49"/>
  <c r="P90" i="49" s="1"/>
  <c r="Q119" i="49"/>
  <c r="P119" i="49" s="1"/>
  <c r="O10" i="51"/>
  <c r="E39" i="64"/>
  <c r="L11" i="89" s="1"/>
  <c r="F39" i="64"/>
  <c r="AD16" i="89"/>
  <c r="AU239" i="89"/>
  <c r="AW239" i="89" s="1"/>
  <c r="AV239" i="89" l="1"/>
  <c r="U8" i="89"/>
  <c r="AY239" i="89" l="1"/>
  <c r="Q1681" i="49" l="1"/>
  <c r="P1681" i="49" s="1"/>
  <c r="E9" i="82"/>
  <c r="C10" i="82"/>
  <c r="Q1682" i="49" s="1"/>
  <c r="P1682" i="49" s="1"/>
  <c r="E10" i="82"/>
  <c r="Q1680" i="49" s="1"/>
  <c r="P1680" i="49" s="1"/>
  <c r="Q1679" i="49" l="1"/>
  <c r="P1679" i="49" s="1"/>
  <c r="D26" i="64"/>
  <c r="C27" i="95"/>
  <c r="D53" i="50" l="1"/>
  <c r="E53" i="50" s="1"/>
  <c r="D52" i="50"/>
  <c r="E52" i="50" s="1"/>
  <c r="D54" i="50"/>
  <c r="E54" i="50" s="1"/>
  <c r="D56" i="50"/>
  <c r="E56" i="50" s="1"/>
  <c r="D55" i="50"/>
  <c r="E55" i="50" s="1"/>
  <c r="D25" i="50"/>
  <c r="D24" i="50"/>
  <c r="E24" i="50" s="1"/>
  <c r="E20" i="143"/>
  <c r="F26" i="64"/>
  <c r="C104" i="39"/>
  <c r="BM301" i="89"/>
  <c r="BN301" i="89" s="1"/>
  <c r="AU234" i="89"/>
  <c r="Q24" i="49"/>
  <c r="P24" i="49" s="1"/>
  <c r="E26" i="64"/>
  <c r="C30" i="95"/>
  <c r="C21" i="95"/>
  <c r="F20" i="143" l="1"/>
  <c r="E25" i="50"/>
  <c r="AW234" i="89"/>
  <c r="AY234" i="89" s="1"/>
  <c r="AV234" i="89"/>
  <c r="F19" i="143"/>
  <c r="AN171" i="89"/>
  <c r="G47" i="143"/>
  <c r="G24" i="143"/>
  <c r="G20" i="143"/>
  <c r="G19" i="143"/>
  <c r="G25" i="143"/>
  <c r="Q190" i="49"/>
  <c r="P190" i="49" s="1"/>
  <c r="Q162" i="49"/>
  <c r="P162" i="49" s="1"/>
  <c r="Q191" i="49"/>
  <c r="P191" i="49" s="1"/>
  <c r="Q163" i="49"/>
  <c r="P163" i="49" s="1"/>
  <c r="BM308" i="89"/>
  <c r="C20" i="94"/>
  <c r="C35" i="95"/>
  <c r="C49" i="64" l="1"/>
  <c r="AU247" i="89"/>
  <c r="AO173" i="89"/>
  <c r="AO171" i="89"/>
  <c r="C24" i="95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20" i="49" s="1"/>
  <c r="C10" i="95" l="1"/>
  <c r="G4" i="95" s="1"/>
  <c r="F18" i="95"/>
  <c r="AJ154" i="89" l="1"/>
  <c r="AK154" i="89" s="1"/>
  <c r="AJ149" i="89"/>
  <c r="AK149" i="89" s="1"/>
  <c r="AJ153" i="89"/>
  <c r="AK153" i="89" s="1"/>
  <c r="AJ155" i="89"/>
  <c r="AK155" i="89" s="1"/>
  <c r="AJ150" i="89"/>
  <c r="AK150" i="89" s="1"/>
  <c r="Q20" i="49"/>
  <c r="P20" i="49" s="1"/>
  <c r="AJ148" i="89"/>
  <c r="AK148" i="89" s="1"/>
  <c r="AJ152" i="89" l="1"/>
  <c r="AK152" i="89" s="1"/>
  <c r="Q47" i="49" l="1"/>
  <c r="P47" i="49" s="1"/>
  <c r="P50" i="49"/>
  <c r="P49" i="49" l="1"/>
  <c r="X133" i="89"/>
  <c r="X131" i="89"/>
  <c r="Q48" i="49"/>
  <c r="P48" i="49" s="1"/>
  <c r="X134" i="89"/>
  <c r="H35" i="58" l="1"/>
  <c r="X132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E6" i="123"/>
  <c r="G6" i="123" s="1"/>
  <c r="N6" i="123" s="1"/>
  <c r="E9" i="123"/>
  <c r="L9" i="123" s="1"/>
  <c r="BP315" i="89" s="1"/>
  <c r="G8" i="123"/>
  <c r="N8" i="123" s="1"/>
  <c r="L8" i="123"/>
  <c r="BP314" i="89" s="1"/>
  <c r="L7" i="123" l="1"/>
  <c r="BP313" i="89" s="1"/>
  <c r="BF293" i="89" s="1"/>
  <c r="L6" i="123"/>
  <c r="BP312" i="89" s="1"/>
  <c r="BF292" i="89" s="1"/>
  <c r="BF295" i="89"/>
  <c r="Q125" i="49"/>
  <c r="P125" i="49" s="1"/>
  <c r="BR315" i="89"/>
  <c r="BF294" i="89"/>
  <c r="BR314" i="89"/>
  <c r="Q124" i="49"/>
  <c r="P124" i="49" s="1"/>
  <c r="G9" i="123"/>
  <c r="N9" i="123" s="1"/>
  <c r="L5" i="123"/>
  <c r="G5" i="123"/>
  <c r="D11" i="123"/>
  <c r="Q123" i="49" l="1"/>
  <c r="P123" i="49" s="1"/>
  <c r="Q122" i="49"/>
  <c r="P122" i="49" s="1"/>
  <c r="BR312" i="89"/>
  <c r="BS312" i="89" s="1"/>
  <c r="BH295" i="89"/>
  <c r="BJ295" i="89" s="1"/>
  <c r="BS315" i="89"/>
  <c r="Q137" i="49"/>
  <c r="P137" i="49" s="1"/>
  <c r="BP311" i="89"/>
  <c r="BH294" i="89"/>
  <c r="BJ294" i="89" s="1"/>
  <c r="BS314" i="89"/>
  <c r="Q136" i="49"/>
  <c r="P136" i="49" s="1"/>
  <c r="N5" i="123"/>
  <c r="BH292" i="89" l="1"/>
  <c r="BJ292" i="89" s="1"/>
  <c r="Q134" i="49"/>
  <c r="P134" i="49" s="1"/>
  <c r="BF291" i="89"/>
  <c r="BR311" i="89"/>
  <c r="Q121" i="49"/>
  <c r="P121" i="49" s="1"/>
  <c r="BH291" i="89" l="1"/>
  <c r="BS311" i="89"/>
  <c r="Q133" i="49"/>
  <c r="P133" i="49" s="1"/>
  <c r="BJ291" i="89" l="1"/>
  <c r="Q22" i="49" l="1"/>
  <c r="Q21" i="49" l="1"/>
  <c r="P21" i="49" s="1"/>
  <c r="P22" i="49"/>
  <c r="D32" i="64"/>
  <c r="E23" i="143" s="1"/>
  <c r="E26" i="143" s="1"/>
  <c r="AE151" i="89"/>
  <c r="AL151" i="89" s="1"/>
  <c r="AJ151" i="89"/>
  <c r="AK151" i="89" s="1"/>
  <c r="AK163" i="89" s="1"/>
  <c r="C103" i="39" l="1"/>
  <c r="AU236" i="89"/>
  <c r="AW236" i="89" s="1"/>
  <c r="AW232" i="89" s="1"/>
  <c r="E32" i="64"/>
  <c r="D24" i="64"/>
  <c r="F32" i="64"/>
  <c r="H52" i="39" s="1"/>
  <c r="AV236" i="89" l="1"/>
  <c r="AU232" i="89"/>
  <c r="Q92" i="49"/>
  <c r="P92" i="49" s="1"/>
  <c r="O8" i="51"/>
  <c r="E24" i="64"/>
  <c r="L9" i="89" s="1"/>
  <c r="F24" i="64"/>
  <c r="AF16" i="89"/>
  <c r="AY236" i="89" l="1"/>
  <c r="AY232" i="89"/>
  <c r="U10" i="89"/>
  <c r="AV232" i="89"/>
  <c r="AB143" i="89" l="1"/>
  <c r="R14" i="58" l="1"/>
  <c r="M17" i="58" l="1"/>
  <c r="Q14" i="58" l="1"/>
  <c r="M21" i="58"/>
  <c r="N16" i="58" l="1"/>
  <c r="N17" i="58"/>
  <c r="AD140" i="89"/>
  <c r="AC140" i="89" l="1"/>
  <c r="AY237" i="89" l="1"/>
  <c r="Q18" i="49"/>
  <c r="P18" i="49" s="1"/>
  <c r="N109" i="89" l="1"/>
  <c r="O109" i="89" s="1"/>
  <c r="F22" i="64"/>
  <c r="H47" i="39" s="1"/>
  <c r="AU228" i="89"/>
  <c r="E22" i="64"/>
  <c r="AW228" i="89" l="1"/>
  <c r="AV228" i="89"/>
  <c r="G23" i="123"/>
  <c r="H23" i="123"/>
  <c r="C10" i="123" l="1"/>
  <c r="E10" i="123" s="1"/>
  <c r="F23" i="123"/>
  <c r="C11" i="123" l="1"/>
  <c r="G10" i="123"/>
  <c r="L10" i="123"/>
  <c r="E11" i="123"/>
  <c r="L11" i="123" l="1"/>
  <c r="BP316" i="89"/>
  <c r="N10" i="123"/>
  <c r="Q126" i="49" l="1"/>
  <c r="P126" i="49" s="1"/>
  <c r="BP317" i="89"/>
  <c r="BR316" i="89"/>
  <c r="BF296" i="89"/>
  <c r="BF297" i="89" s="1"/>
  <c r="Q138" i="49" l="1"/>
  <c r="P138" i="49" s="1"/>
  <c r="BS316" i="89"/>
  <c r="BH296" i="89"/>
  <c r="BJ296" i="89" l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8" i="137" s="1"/>
  <c r="T49" i="25"/>
  <c r="B19" i="137" s="1"/>
  <c r="B17" i="137" l="1"/>
  <c r="E17" i="137" s="1"/>
  <c r="AO177" i="89" l="1"/>
  <c r="L35" i="58" l="1"/>
  <c r="Q146" i="49" s="1"/>
  <c r="P146" i="49" s="1"/>
  <c r="D18" i="137"/>
  <c r="E18" i="137" s="1"/>
  <c r="D33" i="50" s="1"/>
  <c r="E33" i="50" l="1"/>
  <c r="F23" i="143"/>
  <c r="Q171" i="49"/>
  <c r="P171" i="49" s="1"/>
  <c r="AO179" i="89" l="1"/>
  <c r="D19" i="137"/>
  <c r="E19" i="137" s="1"/>
  <c r="D34" i="50" s="1"/>
  <c r="E34" i="50" l="1"/>
  <c r="AN181" i="89"/>
  <c r="AN182" i="89"/>
  <c r="AU258" i="89" s="1"/>
  <c r="Q172" i="49"/>
  <c r="P172" i="49" s="1"/>
  <c r="F7" i="123"/>
  <c r="Q11" i="58"/>
  <c r="Q13" i="58" s="1"/>
  <c r="N13" i="58"/>
  <c r="Q37" i="49" s="1"/>
  <c r="P37" i="49" s="1"/>
  <c r="C59" i="64" l="1"/>
  <c r="AU257" i="89"/>
  <c r="C60" i="64"/>
  <c r="AO182" i="89"/>
  <c r="N14" i="58"/>
  <c r="Q36" i="49" s="1"/>
  <c r="P36" i="49" s="1"/>
  <c r="Q15" i="58"/>
  <c r="R13" i="58"/>
  <c r="R15" i="58" s="1"/>
  <c r="N15" i="58"/>
  <c r="Q114" i="89" s="1"/>
  <c r="Q33" i="49"/>
  <c r="P33" i="49" s="1"/>
  <c r="D10" i="58"/>
  <c r="K35" i="39"/>
  <c r="Q32" i="49"/>
  <c r="P32" i="49" s="1"/>
  <c r="D11" i="58"/>
  <c r="AO181" i="89" l="1"/>
  <c r="M7" i="123"/>
  <c r="F11" i="123"/>
  <c r="G7" i="123"/>
  <c r="T126" i="89"/>
  <c r="U126" i="89" s="1"/>
  <c r="Q115" i="89"/>
  <c r="Q116" i="89" s="1"/>
  <c r="K36" i="39"/>
  <c r="N18" i="58"/>
  <c r="Q34" i="49" s="1"/>
  <c r="P34" i="49" s="1"/>
  <c r="Q38" i="49"/>
  <c r="P38" i="49" s="1"/>
  <c r="Q94" i="49"/>
  <c r="P94" i="49" s="1"/>
  <c r="N19" i="58"/>
  <c r="S15" i="58"/>
  <c r="Q16" i="58"/>
  <c r="R16" i="58" s="1"/>
  <c r="R17" i="58" s="1"/>
  <c r="Q18" i="58" s="1"/>
  <c r="N7" i="123" l="1"/>
  <c r="N11" i="123" s="1"/>
  <c r="G11" i="123"/>
  <c r="BQ313" i="89"/>
  <c r="M11" i="123"/>
  <c r="D12" i="58"/>
  <c r="Q17" i="58"/>
  <c r="Q35" i="49"/>
  <c r="P35" i="49" s="1"/>
  <c r="D13" i="58"/>
  <c r="Q95" i="49"/>
  <c r="P95" i="49" s="1"/>
  <c r="BG293" i="89" l="1"/>
  <c r="BG297" i="89" s="1"/>
  <c r="BQ317" i="89"/>
  <c r="BR317" i="89" s="1"/>
  <c r="BS317" i="89" s="1"/>
  <c r="Q129" i="49"/>
  <c r="P129" i="49" s="1"/>
  <c r="BR313" i="89"/>
  <c r="D9" i="58"/>
  <c r="T125" i="89"/>
  <c r="Q135" i="49" l="1"/>
  <c r="P135" i="49" s="1"/>
  <c r="BS313" i="89"/>
  <c r="BH293" i="89"/>
  <c r="Q104" i="49"/>
  <c r="P104" i="49" s="1"/>
  <c r="L8" i="51"/>
  <c r="D5" i="58"/>
  <c r="T124" i="89"/>
  <c r="T127" i="89" s="1"/>
  <c r="U125" i="89"/>
  <c r="H6" i="50" l="1"/>
  <c r="D62" i="50" s="1"/>
  <c r="E62" i="50" s="1"/>
  <c r="M30" i="58"/>
  <c r="BJ293" i="89"/>
  <c r="BH297" i="89"/>
  <c r="BJ297" i="89" s="1"/>
  <c r="H4" i="50"/>
  <c r="D60" i="50" s="1"/>
  <c r="E60" i="50" s="1"/>
  <c r="H5" i="50"/>
  <c r="D61" i="50" s="1"/>
  <c r="E61" i="50" s="1"/>
  <c r="H2" i="50"/>
  <c r="H3" i="50"/>
  <c r="Q31" i="49"/>
  <c r="P31" i="49" s="1"/>
  <c r="Q87" i="49"/>
  <c r="P87" i="49" s="1"/>
  <c r="Q102" i="49"/>
  <c r="P102" i="49" s="1"/>
  <c r="Q193" i="49"/>
  <c r="P193" i="49" s="1"/>
  <c r="Q192" i="49"/>
  <c r="P192" i="49" s="1"/>
  <c r="L6" i="51"/>
  <c r="L10" i="51" s="1"/>
  <c r="Q202" i="49"/>
  <c r="P202" i="49" s="1"/>
  <c r="Q203" i="49"/>
  <c r="P203" i="49" s="1"/>
  <c r="P209" i="49"/>
  <c r="Q195" i="49"/>
  <c r="P195" i="49" s="1"/>
  <c r="D70" i="50" l="1"/>
  <c r="E70" i="50" s="1"/>
  <c r="D76" i="50"/>
  <c r="E76" i="50" s="1"/>
  <c r="D91" i="50"/>
  <c r="E91" i="50" s="1"/>
  <c r="D86" i="50"/>
  <c r="E86" i="50" s="1"/>
  <c r="D14" i="50"/>
  <c r="E14" i="50" s="1"/>
  <c r="D81" i="50"/>
  <c r="E81" i="50" s="1"/>
  <c r="D59" i="50"/>
  <c r="E59" i="50" s="1"/>
  <c r="D58" i="50"/>
  <c r="E58" i="50" s="1"/>
  <c r="D67" i="50"/>
  <c r="E67" i="50" s="1"/>
  <c r="D73" i="50"/>
  <c r="E73" i="50" s="1"/>
  <c r="D69" i="50"/>
  <c r="E69" i="50" s="1"/>
  <c r="D75" i="50"/>
  <c r="E75" i="50" s="1"/>
  <c r="D68" i="50"/>
  <c r="E68" i="50" s="1"/>
  <c r="D74" i="50"/>
  <c r="E74" i="50" s="1"/>
  <c r="D66" i="50"/>
  <c r="D72" i="50"/>
  <c r="E72" i="50" s="1"/>
  <c r="D83" i="50"/>
  <c r="E83" i="50" s="1"/>
  <c r="D78" i="50"/>
  <c r="E78" i="50" s="1"/>
  <c r="D85" i="50"/>
  <c r="E85" i="50" s="1"/>
  <c r="D80" i="50"/>
  <c r="E80" i="50" s="1"/>
  <c r="D84" i="50"/>
  <c r="E84" i="50" s="1"/>
  <c r="D79" i="50"/>
  <c r="E79" i="50" s="1"/>
  <c r="D82" i="50"/>
  <c r="E82" i="50" s="1"/>
  <c r="D77" i="50"/>
  <c r="D11" i="50"/>
  <c r="E11" i="50" s="1"/>
  <c r="D88" i="50"/>
  <c r="E88" i="50" s="1"/>
  <c r="D13" i="50"/>
  <c r="D90" i="50"/>
  <c r="E90" i="50" s="1"/>
  <c r="D12" i="50"/>
  <c r="D89" i="50"/>
  <c r="E89" i="50" s="1"/>
  <c r="D10" i="50"/>
  <c r="E10" i="50" s="1"/>
  <c r="D87" i="50"/>
  <c r="E87" i="50" s="1"/>
  <c r="Q201" i="49"/>
  <c r="P201" i="49" s="1"/>
  <c r="Q198" i="49"/>
  <c r="P198" i="49" s="1"/>
  <c r="Q199" i="49"/>
  <c r="P199" i="49" s="1"/>
  <c r="L9" i="51"/>
  <c r="S29" i="58"/>
  <c r="T29" i="58" s="1"/>
  <c r="N30" i="58"/>
  <c r="AA143" i="89"/>
  <c r="E77" i="50" l="1"/>
  <c r="AN202" i="89"/>
  <c r="E66" i="50"/>
  <c r="AN199" i="89"/>
  <c r="AU275" i="89" s="1"/>
  <c r="Q150" i="49"/>
  <c r="P150" i="49" s="1"/>
  <c r="E12" i="50"/>
  <c r="Q151" i="49"/>
  <c r="P151" i="49" s="1"/>
  <c r="E13" i="50"/>
  <c r="Q215" i="49"/>
  <c r="P215" i="49" s="1"/>
  <c r="Q217" i="49"/>
  <c r="P217" i="49" s="1"/>
  <c r="Q219" i="49"/>
  <c r="P219" i="49" s="1"/>
  <c r="Q218" i="49"/>
  <c r="P218" i="49" s="1"/>
  <c r="Q226" i="49"/>
  <c r="P226" i="49" s="1"/>
  <c r="Q216" i="49"/>
  <c r="P216" i="49" s="1"/>
  <c r="Q205" i="49"/>
  <c r="P205" i="49" s="1"/>
  <c r="D7" i="50"/>
  <c r="AN204" i="89"/>
  <c r="AU280" i="89" s="1"/>
  <c r="Q220" i="49"/>
  <c r="P220" i="49" s="1"/>
  <c r="AN203" i="89"/>
  <c r="AU279" i="89" s="1"/>
  <c r="AU277" i="89"/>
  <c r="AN197" i="89"/>
  <c r="AN167" i="89"/>
  <c r="Q208" i="49"/>
  <c r="P208" i="49" s="1"/>
  <c r="Q214" i="49"/>
  <c r="P214" i="49" s="1"/>
  <c r="Q224" i="49"/>
  <c r="P224" i="49" s="1"/>
  <c r="Q229" i="49"/>
  <c r="P229" i="49" s="1"/>
  <c r="Q197" i="49"/>
  <c r="P197" i="49" s="1"/>
  <c r="F57" i="143"/>
  <c r="Q196" i="49"/>
  <c r="P196" i="49" s="1"/>
  <c r="Q207" i="49"/>
  <c r="P207" i="49" s="1"/>
  <c r="AO193" i="89"/>
  <c r="Q221" i="49"/>
  <c r="P221" i="49" s="1"/>
  <c r="Q211" i="49"/>
  <c r="P211" i="49" s="1"/>
  <c r="Q148" i="49"/>
  <c r="P148" i="49" s="1"/>
  <c r="AO194" i="89"/>
  <c r="Q204" i="49"/>
  <c r="P204" i="49" s="1"/>
  <c r="Q206" i="49"/>
  <c r="P206" i="49" s="1"/>
  <c r="AO180" i="89"/>
  <c r="Q223" i="49"/>
  <c r="P223" i="49" s="1"/>
  <c r="Q213" i="49"/>
  <c r="P213" i="49" s="1"/>
  <c r="Q212" i="49"/>
  <c r="P212" i="49" s="1"/>
  <c r="Q210" i="49"/>
  <c r="P210" i="49" s="1"/>
  <c r="Q228" i="49"/>
  <c r="P228" i="49" s="1"/>
  <c r="Q222" i="49"/>
  <c r="P222" i="49" s="1"/>
  <c r="Q149" i="49"/>
  <c r="P149" i="49" s="1"/>
  <c r="Q227" i="49"/>
  <c r="P227" i="49" s="1"/>
  <c r="Q225" i="49"/>
  <c r="P225" i="49" s="1"/>
  <c r="AO191" i="89"/>
  <c r="V29" i="58"/>
  <c r="V32" i="58" s="1"/>
  <c r="V34" i="58" s="1"/>
  <c r="V52" i="58" s="1"/>
  <c r="V56" i="58" s="1"/>
  <c r="T32" i="58"/>
  <c r="AC143" i="89"/>
  <c r="AD143" i="89"/>
  <c r="C22" i="58"/>
  <c r="M41" i="58"/>
  <c r="M43" i="58"/>
  <c r="N43" i="58" s="1"/>
  <c r="M45" i="58"/>
  <c r="N45" i="58" s="1"/>
  <c r="M47" i="58"/>
  <c r="N47" i="58" s="1"/>
  <c r="M54" i="58"/>
  <c r="N54" i="58" s="1"/>
  <c r="M56" i="58"/>
  <c r="N56" i="58" s="1"/>
  <c r="M46" i="58"/>
  <c r="N46" i="58" s="1"/>
  <c r="M59" i="58"/>
  <c r="N59" i="58" s="1"/>
  <c r="M44" i="58"/>
  <c r="N44" i="58" s="1"/>
  <c r="M55" i="58"/>
  <c r="N55" i="58" s="1"/>
  <c r="C19" i="58"/>
  <c r="C23" i="58"/>
  <c r="Q42" i="49" s="1"/>
  <c r="P42" i="49" s="1"/>
  <c r="M42" i="58"/>
  <c r="N42" i="58" s="1"/>
  <c r="M53" i="58"/>
  <c r="M58" i="58"/>
  <c r="N58" i="58" s="1"/>
  <c r="C21" i="58"/>
  <c r="M57" i="58"/>
  <c r="N57" i="58" s="1"/>
  <c r="D5" i="50" l="1"/>
  <c r="AU291" i="89"/>
  <c r="AO202" i="89"/>
  <c r="C80" i="64"/>
  <c r="D80" i="64" s="1"/>
  <c r="E80" i="64" s="1"/>
  <c r="AU278" i="89"/>
  <c r="AW278" i="89" s="1"/>
  <c r="AY278" i="89" s="1"/>
  <c r="AN208" i="89"/>
  <c r="C75" i="64"/>
  <c r="D75" i="64" s="1"/>
  <c r="E75" i="64" s="1"/>
  <c r="AU273" i="89"/>
  <c r="AW273" i="89" s="1"/>
  <c r="AY273" i="89" s="1"/>
  <c r="AU243" i="89"/>
  <c r="C45" i="64"/>
  <c r="AO199" i="89"/>
  <c r="C77" i="64"/>
  <c r="D77" i="64" s="1"/>
  <c r="E77" i="64" s="1"/>
  <c r="AO203" i="89"/>
  <c r="C81" i="64"/>
  <c r="D81" i="64" s="1"/>
  <c r="E81" i="64" s="1"/>
  <c r="AO201" i="89"/>
  <c r="C79" i="64"/>
  <c r="D79" i="64" s="1"/>
  <c r="E79" i="64" s="1"/>
  <c r="AO204" i="89"/>
  <c r="C82" i="64"/>
  <c r="D82" i="64" s="1"/>
  <c r="E82" i="64" s="1"/>
  <c r="D84" i="64"/>
  <c r="E84" i="64" s="1"/>
  <c r="E88" i="64"/>
  <c r="E92" i="64"/>
  <c r="E96" i="64"/>
  <c r="D83" i="64"/>
  <c r="E83" i="64" s="1"/>
  <c r="E87" i="64"/>
  <c r="E94" i="64"/>
  <c r="E98" i="64"/>
  <c r="D85" i="64"/>
  <c r="E85" i="64" s="1"/>
  <c r="D47" i="64"/>
  <c r="E47" i="64" s="1"/>
  <c r="D51" i="64"/>
  <c r="E51" i="64" s="1"/>
  <c r="D67" i="64"/>
  <c r="E67" i="64" s="1"/>
  <c r="D71" i="64"/>
  <c r="E71" i="64" s="1"/>
  <c r="E91" i="64"/>
  <c r="D74" i="64"/>
  <c r="E74" i="64" s="1"/>
  <c r="D78" i="64"/>
  <c r="E78" i="64" s="1"/>
  <c r="D46" i="64"/>
  <c r="E46" i="64" s="1"/>
  <c r="D70" i="64"/>
  <c r="E70" i="64" s="1"/>
  <c r="E90" i="64"/>
  <c r="D49" i="64"/>
  <c r="E49" i="64" s="1"/>
  <c r="D53" i="64"/>
  <c r="E53" i="64" s="1"/>
  <c r="D57" i="64"/>
  <c r="E57" i="64" s="1"/>
  <c r="D61" i="64"/>
  <c r="E61" i="64" s="1"/>
  <c r="D65" i="64"/>
  <c r="E65" i="64" s="1"/>
  <c r="D69" i="64"/>
  <c r="E69" i="64" s="1"/>
  <c r="D73" i="64"/>
  <c r="E73" i="64" s="1"/>
  <c r="E89" i="64"/>
  <c r="E93" i="64"/>
  <c r="E97" i="64"/>
  <c r="E101" i="64"/>
  <c r="D55" i="64"/>
  <c r="E55" i="64" s="1"/>
  <c r="D59" i="64"/>
  <c r="E59" i="64" s="1"/>
  <c r="D63" i="64"/>
  <c r="E63" i="64" s="1"/>
  <c r="E99" i="64"/>
  <c r="D58" i="64"/>
  <c r="E58" i="64" s="1"/>
  <c r="E86" i="64"/>
  <c r="D48" i="64"/>
  <c r="E48" i="64" s="1"/>
  <c r="D52" i="64"/>
  <c r="E52" i="64" s="1"/>
  <c r="D56" i="64"/>
  <c r="E56" i="64" s="1"/>
  <c r="D60" i="64"/>
  <c r="E60" i="64" s="1"/>
  <c r="D64" i="64"/>
  <c r="E64" i="64" s="1"/>
  <c r="D68" i="64"/>
  <c r="E68" i="64" s="1"/>
  <c r="D72" i="64"/>
  <c r="E72" i="64" s="1"/>
  <c r="D76" i="64"/>
  <c r="E76" i="64" s="1"/>
  <c r="E100" i="64"/>
  <c r="E95" i="64"/>
  <c r="D50" i="64"/>
  <c r="E50" i="64" s="1"/>
  <c r="D54" i="64"/>
  <c r="E54" i="64" s="1"/>
  <c r="D62" i="64"/>
  <c r="E62" i="64" s="1"/>
  <c r="D66" i="64"/>
  <c r="E66" i="64" s="1"/>
  <c r="AW283" i="89"/>
  <c r="AY283" i="89" s="1"/>
  <c r="AW282" i="89"/>
  <c r="AY282" i="89" s="1"/>
  <c r="AW280" i="89"/>
  <c r="AY280" i="89" s="1"/>
  <c r="AW279" i="89"/>
  <c r="AY279" i="89" s="1"/>
  <c r="AW277" i="89"/>
  <c r="AY277" i="89" s="1"/>
  <c r="AW281" i="89"/>
  <c r="AY281" i="89" s="1"/>
  <c r="AW274" i="89"/>
  <c r="AY274" i="89" s="1"/>
  <c r="AW272" i="89"/>
  <c r="AY272" i="89" s="1"/>
  <c r="AW276" i="89"/>
  <c r="AY276" i="89" s="1"/>
  <c r="AW275" i="89"/>
  <c r="AY275" i="89" s="1"/>
  <c r="AW245" i="89"/>
  <c r="AW249" i="89"/>
  <c r="AY249" i="89" s="1"/>
  <c r="AW253" i="89"/>
  <c r="AY253" i="89" s="1"/>
  <c r="AW257" i="89"/>
  <c r="AY257" i="89" s="1"/>
  <c r="AW261" i="89"/>
  <c r="AY261" i="89" s="1"/>
  <c r="AW265" i="89"/>
  <c r="AW269" i="89"/>
  <c r="AY269" i="89" s="1"/>
  <c r="AW264" i="89"/>
  <c r="AY264" i="89" s="1"/>
  <c r="AW268" i="89"/>
  <c r="AY268" i="89" s="1"/>
  <c r="AW266" i="89"/>
  <c r="AY266" i="89" s="1"/>
  <c r="AW244" i="89"/>
  <c r="AW248" i="89"/>
  <c r="AY248" i="89" s="1"/>
  <c r="AW252" i="89"/>
  <c r="AY252" i="89" s="1"/>
  <c r="AW256" i="89"/>
  <c r="AY256" i="89" s="1"/>
  <c r="AW260" i="89"/>
  <c r="AY260" i="89" s="1"/>
  <c r="AW270" i="89"/>
  <c r="AY270" i="89" s="1"/>
  <c r="AW247" i="89"/>
  <c r="AY247" i="89" s="1"/>
  <c r="AW251" i="89"/>
  <c r="AY251" i="89" s="1"/>
  <c r="AW255" i="89"/>
  <c r="AY255" i="89" s="1"/>
  <c r="AW259" i="89"/>
  <c r="AY259" i="89" s="1"/>
  <c r="AW263" i="89"/>
  <c r="AY263" i="89" s="1"/>
  <c r="AW267" i="89"/>
  <c r="AW271" i="89"/>
  <c r="AY271" i="89" s="1"/>
  <c r="AW246" i="89"/>
  <c r="AY246" i="89" s="1"/>
  <c r="AW250" i="89"/>
  <c r="AY250" i="89" s="1"/>
  <c r="AW254" i="89"/>
  <c r="AY254" i="89" s="1"/>
  <c r="AW258" i="89"/>
  <c r="AY258" i="89" s="1"/>
  <c r="AW262" i="89"/>
  <c r="AY262" i="89" s="1"/>
  <c r="AO197" i="89"/>
  <c r="AO167" i="89"/>
  <c r="F21" i="58"/>
  <c r="Q141" i="49" s="1"/>
  <c r="P141" i="49" s="1"/>
  <c r="Q140" i="49"/>
  <c r="P140" i="49" s="1"/>
  <c r="N41" i="58"/>
  <c r="N48" i="58" s="1"/>
  <c r="K48" i="58"/>
  <c r="M48" i="58"/>
  <c r="Q142" i="49"/>
  <c r="P142" i="49" s="1"/>
  <c r="F22" i="58"/>
  <c r="Q143" i="49" s="1"/>
  <c r="P143" i="49" s="1"/>
  <c r="Q44" i="49"/>
  <c r="P44" i="49" s="1"/>
  <c r="F19" i="58"/>
  <c r="R11" i="58"/>
  <c r="C24" i="58"/>
  <c r="F6" i="58" s="1"/>
  <c r="AA141" i="89"/>
  <c r="N53" i="58"/>
  <c r="N60" i="58" s="1"/>
  <c r="K60" i="58"/>
  <c r="E23" i="58" s="1"/>
  <c r="F23" i="58" s="1"/>
  <c r="Q43" i="49" s="1"/>
  <c r="P43" i="49" s="1"/>
  <c r="M60" i="58"/>
  <c r="AU284" i="89" l="1"/>
  <c r="AU294" i="89" s="1"/>
  <c r="C44" i="64"/>
  <c r="D44" i="64" s="1"/>
  <c r="D45" i="64"/>
  <c r="E45" i="64" s="1"/>
  <c r="AW243" i="89"/>
  <c r="AW284" i="89" s="1"/>
  <c r="AA144" i="89"/>
  <c r="AC141" i="89"/>
  <c r="AC144" i="89" s="1"/>
  <c r="AD141" i="89"/>
  <c r="L13" i="51"/>
  <c r="L14" i="51" s="1"/>
  <c r="C6" i="51" s="1"/>
  <c r="F24" i="58"/>
  <c r="Q45" i="49"/>
  <c r="P45" i="49" s="1"/>
  <c r="E24" i="58"/>
  <c r="D14" i="58" s="1"/>
  <c r="AY243" i="89" l="1"/>
  <c r="E44" i="143"/>
  <c r="E32" i="143"/>
  <c r="E34" i="143"/>
  <c r="E52" i="143"/>
  <c r="E33" i="143"/>
  <c r="M73" i="39"/>
  <c r="L73" i="39"/>
  <c r="D33" i="64"/>
  <c r="C13" i="51"/>
  <c r="O7" i="51"/>
  <c r="D17" i="64"/>
  <c r="E11" i="143" s="1"/>
  <c r="D15" i="58"/>
  <c r="Q40" i="49"/>
  <c r="P40" i="49" s="1"/>
  <c r="AB144" i="89"/>
  <c r="F34" i="143" l="1"/>
  <c r="F32" i="143"/>
  <c r="F44" i="143"/>
  <c r="F52" i="143"/>
  <c r="F33" i="143"/>
  <c r="AY267" i="89"/>
  <c r="Q200" i="49"/>
  <c r="P200" i="49" s="1"/>
  <c r="Q152" i="49"/>
  <c r="P152" i="49" s="1"/>
  <c r="F26" i="143"/>
  <c r="Q194" i="49"/>
  <c r="P194" i="49" s="1"/>
  <c r="Q39" i="49"/>
  <c r="P39" i="49" s="1"/>
  <c r="Q88" i="49"/>
  <c r="P88" i="49" s="1"/>
  <c r="Q103" i="49"/>
  <c r="P103" i="49" s="1"/>
  <c r="O9" i="51"/>
  <c r="O11" i="51" s="1"/>
  <c r="F33" i="64"/>
  <c r="AU231" i="89"/>
  <c r="E33" i="64"/>
  <c r="L10" i="89" s="1"/>
  <c r="AE16" i="89"/>
  <c r="Q13" i="49"/>
  <c r="P13" i="49" s="1"/>
  <c r="N103" i="89"/>
  <c r="E17" i="64"/>
  <c r="F17" i="64"/>
  <c r="H42" i="39" s="1"/>
  <c r="AU222" i="89"/>
  <c r="D14" i="64"/>
  <c r="D34" i="64" s="1"/>
  <c r="BA238" i="89" s="1"/>
  <c r="D42" i="71"/>
  <c r="D46" i="71"/>
  <c r="D54" i="71"/>
  <c r="D43" i="71"/>
  <c r="D47" i="71"/>
  <c r="D51" i="71"/>
  <c r="D55" i="71"/>
  <c r="D44" i="71"/>
  <c r="D48" i="71"/>
  <c r="D52" i="71"/>
  <c r="D41" i="71"/>
  <c r="D45" i="71"/>
  <c r="D49" i="71"/>
  <c r="D53" i="71"/>
  <c r="D50" i="71"/>
  <c r="AO192" i="89" l="1"/>
  <c r="AY265" i="89"/>
  <c r="AO190" i="89"/>
  <c r="E60" i="143"/>
  <c r="G49" i="143"/>
  <c r="G54" i="143" s="1"/>
  <c r="Q89" i="49"/>
  <c r="P89" i="49" s="1"/>
  <c r="F34" i="64"/>
  <c r="C5" i="64"/>
  <c r="E57" i="143" s="1"/>
  <c r="E34" i="64"/>
  <c r="O103" i="89"/>
  <c r="N111" i="89"/>
  <c r="J73" i="39"/>
  <c r="AU219" i="89"/>
  <c r="AV222" i="89"/>
  <c r="AW222" i="89"/>
  <c r="Q91" i="49"/>
  <c r="P91" i="49" s="1"/>
  <c r="E14" i="64"/>
  <c r="L8" i="89" s="1"/>
  <c r="F14" i="64"/>
  <c r="AG16" i="89"/>
  <c r="AU230" i="89"/>
  <c r="AV231" i="89"/>
  <c r="AW231" i="89"/>
  <c r="G26" i="143" l="1"/>
  <c r="U9" i="89"/>
  <c r="AV230" i="89"/>
  <c r="Q93" i="49"/>
  <c r="P93" i="49" s="1"/>
  <c r="C52" i="89"/>
  <c r="C54" i="89" s="1"/>
  <c r="C7" i="64"/>
  <c r="H1" i="137" s="1"/>
  <c r="AW219" i="89"/>
  <c r="AY222" i="89"/>
  <c r="AW230" i="89"/>
  <c r="AY231" i="89"/>
  <c r="AU237" i="89"/>
  <c r="AV219" i="89"/>
  <c r="AU238" i="89"/>
  <c r="U11" i="89"/>
  <c r="AX219" i="89" l="1"/>
  <c r="AX225" i="89"/>
  <c r="AX226" i="89"/>
  <c r="T29" i="89" s="1"/>
  <c r="K1" i="50"/>
  <c r="G1" i="142"/>
  <c r="AW240" i="89"/>
  <c r="AX238" i="89"/>
  <c r="AV238" i="89"/>
  <c r="AW238" i="89"/>
  <c r="AY230" i="89"/>
  <c r="H1" i="61"/>
  <c r="F1" i="71"/>
  <c r="Q6" i="49"/>
  <c r="P6" i="49" s="1"/>
  <c r="H1" i="78"/>
  <c r="I1" i="51"/>
  <c r="H1" i="87"/>
  <c r="G1" i="58"/>
  <c r="H1" i="82"/>
  <c r="H1" i="25"/>
  <c r="AX223" i="89"/>
  <c r="T27" i="89" s="1"/>
  <c r="AX236" i="89"/>
  <c r="AX220" i="89"/>
  <c r="T24" i="89" s="1"/>
  <c r="AX224" i="89"/>
  <c r="AX234" i="89"/>
  <c r="AX233" i="89"/>
  <c r="AX227" i="89"/>
  <c r="T26" i="89" s="1"/>
  <c r="AX235" i="89"/>
  <c r="AX228" i="89"/>
  <c r="T30" i="89" s="1"/>
  <c r="AX232" i="89"/>
  <c r="T23" i="89" s="1"/>
  <c r="AX239" i="89"/>
  <c r="AX229" i="89"/>
  <c r="AX221" i="89"/>
  <c r="T25" i="89" s="1"/>
  <c r="AX237" i="89"/>
  <c r="AX231" i="89"/>
  <c r="AX222" i="89"/>
  <c r="AX230" i="89"/>
  <c r="T22" i="89" s="1"/>
  <c r="U15" i="89"/>
  <c r="T9" i="89" s="1"/>
  <c r="T11" i="89" l="1"/>
  <c r="AY238" i="89"/>
  <c r="T21" i="89"/>
  <c r="U13" i="89"/>
  <c r="T8" i="89"/>
  <c r="T10" i="89"/>
  <c r="U12" i="89"/>
  <c r="T28" i="89"/>
  <c r="T15" i="89" l="1"/>
  <c r="U14" i="89"/>
  <c r="T31" i="89"/>
  <c r="G31" i="143" l="1"/>
  <c r="G37" i="143" s="1"/>
  <c r="G55" i="143" s="1"/>
  <c r="G58" i="143" l="1"/>
  <c r="G61" i="143"/>
  <c r="E53" i="143" l="1"/>
  <c r="F53" i="143"/>
  <c r="E36" i="143"/>
  <c r="E45" i="143"/>
  <c r="F45" i="143"/>
  <c r="F36" i="143" l="1"/>
  <c r="Q156" i="49" l="1"/>
  <c r="P156" i="49" s="1"/>
  <c r="Q153" i="49" l="1"/>
  <c r="P153" i="49" s="1"/>
  <c r="Q154" i="49"/>
  <c r="P154" i="49" s="1"/>
  <c r="Q155" i="49"/>
  <c r="P155" i="49" s="1"/>
  <c r="F60" i="143" l="1"/>
  <c r="Q157" i="49"/>
  <c r="P157" i="49" s="1"/>
  <c r="E38" i="143"/>
  <c r="AO168" i="89"/>
  <c r="AY245" i="89"/>
  <c r="AO169" i="89"/>
  <c r="E44" i="64" l="1"/>
  <c r="E12" i="143"/>
  <c r="F12" i="143" s="1"/>
  <c r="E43" i="143"/>
  <c r="E54" i="143" s="1"/>
  <c r="O12" i="51"/>
  <c r="O13" i="51" s="1"/>
  <c r="Q98" i="49"/>
  <c r="P98" i="49" s="1"/>
  <c r="Q100" i="49"/>
  <c r="P100" i="49" s="1"/>
  <c r="AY244" i="89" l="1"/>
  <c r="AW285" i="89"/>
  <c r="F38" i="143"/>
  <c r="F43" i="143" s="1"/>
  <c r="E7" i="50"/>
  <c r="D10" i="64"/>
  <c r="F18" i="143"/>
  <c r="E18" i="143"/>
  <c r="E37" i="143" s="1"/>
  <c r="E55" i="143" s="1"/>
  <c r="F29" i="143" s="1"/>
  <c r="AW291" i="89" l="1"/>
  <c r="AW294" i="89" s="1"/>
  <c r="L12" i="89"/>
  <c r="C8" i="64"/>
  <c r="Q99" i="49"/>
  <c r="P99" i="49" s="1"/>
  <c r="AC5" i="89"/>
  <c r="AW286" i="89"/>
  <c r="F50" i="143"/>
  <c r="F51" i="143" s="1"/>
  <c r="F54" i="143" s="1"/>
  <c r="F31" i="143"/>
  <c r="F37" i="143" s="1"/>
  <c r="E58" i="143"/>
  <c r="E61" i="143"/>
  <c r="C9" i="64" l="1"/>
  <c r="C55" i="89"/>
  <c r="C56" i="89" s="1"/>
  <c r="Q7" i="49"/>
  <c r="P7" i="49" s="1"/>
  <c r="L13" i="89"/>
  <c r="F55" i="143"/>
  <c r="F58" i="143" s="1"/>
  <c r="H2" i="137" l="1"/>
  <c r="K2" i="50"/>
  <c r="H2" i="25"/>
  <c r="Q8" i="49"/>
  <c r="P8" i="49" s="1"/>
  <c r="G2" i="58"/>
  <c r="C10" i="64"/>
  <c r="F2" i="71"/>
  <c r="H2" i="61"/>
  <c r="G2" i="142"/>
  <c r="H2" i="82"/>
  <c r="H2" i="87"/>
  <c r="H2" i="78"/>
  <c r="I2" i="51"/>
  <c r="F61" i="143"/>
  <c r="C749" i="85"/>
  <c r="C320" i="85"/>
  <c r="C867" i="85"/>
  <c r="C1539" i="85"/>
  <c r="C1747" i="85"/>
  <c r="C1838" i="85"/>
  <c r="C665" i="85"/>
  <c r="C240" i="85"/>
  <c r="C1963" i="85"/>
  <c r="C826" i="85"/>
  <c r="C746" i="85"/>
  <c r="C663" i="85"/>
  <c r="C380" i="85"/>
  <c r="C1057" i="85"/>
  <c r="C886" i="85"/>
  <c r="C1020" i="85"/>
  <c r="C428" i="85"/>
  <c r="C65" i="85"/>
  <c r="C1092" i="85"/>
  <c r="C1737" i="85"/>
  <c r="C1460" i="85"/>
  <c r="C1071" i="85"/>
  <c r="C1425" i="85"/>
  <c r="C75" i="85"/>
  <c r="C1026" i="85"/>
  <c r="C451" i="85"/>
  <c r="C1397" i="85"/>
  <c r="C405" i="85"/>
  <c r="C790" i="85"/>
  <c r="C241" i="85"/>
  <c r="C171" i="85"/>
  <c r="C1586" i="85"/>
  <c r="C966" i="85"/>
  <c r="C1813" i="85"/>
  <c r="C286" i="85"/>
  <c r="C875" i="85"/>
  <c r="C449" i="85"/>
  <c r="C1131" i="85"/>
  <c r="C1606" i="85"/>
  <c r="C175" i="85"/>
  <c r="C1965" i="85"/>
  <c r="C186" i="85"/>
  <c r="C1213" i="85"/>
  <c r="C641" i="85"/>
  <c r="C1579" i="85"/>
  <c r="C1880" i="85"/>
  <c r="C893" i="85"/>
  <c r="C78" i="85"/>
  <c r="C1052" i="85"/>
  <c r="C769" i="85"/>
  <c r="C1193" i="85"/>
  <c r="C1194" i="85"/>
  <c r="C972" i="85"/>
  <c r="C633" i="85"/>
  <c r="C869" i="85"/>
  <c r="C1148" i="85"/>
  <c r="C1703" i="85"/>
  <c r="C1865" i="85"/>
  <c r="C1421" i="85"/>
  <c r="C1383" i="85"/>
  <c r="C203" i="85"/>
  <c r="C1557" i="85"/>
  <c r="C1446" i="85"/>
  <c r="C1318" i="85"/>
  <c r="C854" i="85"/>
  <c r="C1516" i="85"/>
  <c r="C1066" i="85"/>
  <c r="C424" i="85"/>
  <c r="C725" i="85"/>
  <c r="C35" i="85"/>
  <c r="C461" i="85"/>
  <c r="C1629" i="85"/>
  <c r="C219" i="85"/>
  <c r="C1829" i="85"/>
  <c r="C1347" i="85"/>
  <c r="C497" i="85"/>
  <c r="C1532" i="85"/>
  <c r="C1440" i="85"/>
  <c r="C434" i="85"/>
  <c r="C173" i="85"/>
  <c r="C315" i="85"/>
  <c r="C1341" i="85"/>
  <c r="C1302" i="85"/>
  <c r="C1801" i="85"/>
  <c r="C941" i="85"/>
  <c r="C2000" i="85"/>
  <c r="C298" i="85"/>
  <c r="C1554" i="85"/>
  <c r="C1412" i="85"/>
  <c r="C1519" i="85"/>
  <c r="C1207" i="85"/>
  <c r="C1083" i="85"/>
  <c r="C1678" i="85"/>
  <c r="C79" i="85"/>
  <c r="C447" i="85"/>
  <c r="C1439" i="85"/>
  <c r="C403" i="85"/>
  <c r="C1189" i="85"/>
  <c r="C1024" i="85"/>
  <c r="C1681" i="85"/>
  <c r="C676" i="85"/>
  <c r="C1576" i="85"/>
  <c r="C443" i="85"/>
  <c r="C686" i="85"/>
  <c r="C1292" i="85"/>
  <c r="C1889" i="85"/>
  <c r="C1457" i="85"/>
  <c r="C1388" i="85"/>
  <c r="C1508" i="85"/>
  <c r="C1252" i="85"/>
  <c r="C521" i="85"/>
  <c r="C33" i="85"/>
  <c r="C846" i="85"/>
  <c r="C388" i="85"/>
  <c r="C1183" i="85"/>
  <c r="C477" i="85"/>
  <c r="C660" i="85"/>
  <c r="C1645" i="85"/>
  <c r="C807" i="85"/>
  <c r="C835" i="85"/>
  <c r="C1429" i="85"/>
  <c r="C881" i="85"/>
  <c r="C546" i="85"/>
  <c r="C249" i="85"/>
  <c r="C1354" i="85"/>
  <c r="C1778" i="85"/>
  <c r="C1707" i="85"/>
  <c r="C1415" i="85"/>
  <c r="C537" i="85"/>
  <c r="C361" i="85"/>
  <c r="C493" i="85"/>
  <c r="C1260" i="85"/>
  <c r="C1506" i="85"/>
  <c r="C1842" i="85"/>
  <c r="C270" i="85"/>
  <c r="C606" i="85"/>
  <c r="C834" i="85"/>
  <c r="C170" i="85"/>
  <c r="C979" i="85"/>
  <c r="C743" i="85"/>
  <c r="C1766" i="85"/>
  <c r="C1901" i="85"/>
  <c r="C365" i="85"/>
  <c r="C1500" i="85"/>
  <c r="C1683" i="85"/>
  <c r="C1438" i="85"/>
  <c r="C685" i="85"/>
  <c r="C1984" i="85"/>
  <c r="C1133" i="85"/>
  <c r="C1638" i="85"/>
  <c r="C1221" i="85"/>
  <c r="C1705" i="85"/>
  <c r="C283" i="85"/>
  <c r="C116" i="85"/>
  <c r="C933" i="85"/>
  <c r="C347" i="85"/>
  <c r="C1808" i="85"/>
  <c r="C636" i="85"/>
  <c r="C222" i="85"/>
  <c r="C390" i="85"/>
  <c r="C1291" i="85"/>
  <c r="C1856" i="85"/>
  <c r="C1851" i="85"/>
  <c r="C1835" i="85"/>
  <c r="C1975" i="85"/>
  <c r="C1396" i="85"/>
  <c r="C998" i="85"/>
  <c r="C952" i="85"/>
  <c r="C1206" i="85"/>
  <c r="C1767" i="85"/>
  <c r="C381" i="85"/>
  <c r="C625" i="85"/>
  <c r="C744" i="85"/>
  <c r="C1501" i="85"/>
  <c r="C646" i="85"/>
  <c r="C1471" i="85"/>
  <c r="C1528" i="85"/>
  <c r="C590" i="85"/>
  <c r="C440" i="85"/>
  <c r="C1033" i="85"/>
  <c r="C1647" i="85"/>
  <c r="C1632" i="85"/>
  <c r="C658" i="85"/>
  <c r="C1691" i="85"/>
  <c r="C1286" i="85"/>
  <c r="C1547" i="85"/>
  <c r="C1387" i="85"/>
  <c r="C505" i="85"/>
  <c r="C1701" i="85"/>
  <c r="C1655" i="85"/>
  <c r="C1343" i="85"/>
  <c r="C1349" i="85"/>
  <c r="C1666" i="85"/>
  <c r="C624" i="85"/>
  <c r="C1478" i="85"/>
  <c r="C411" i="85"/>
  <c r="C1009" i="85"/>
  <c r="C1328" i="85"/>
  <c r="C1164" i="85"/>
  <c r="C1797" i="85"/>
  <c r="C1764" i="85"/>
  <c r="C1339" i="85"/>
  <c r="C1534" i="85"/>
  <c r="C248" i="85"/>
  <c r="C1452" i="85"/>
  <c r="C997" i="85"/>
  <c r="C1312" i="85"/>
  <c r="C340" i="85"/>
  <c r="C1546" i="85"/>
  <c r="C1779" i="85"/>
  <c r="C1577" i="85"/>
  <c r="C1124" i="85"/>
  <c r="C1943" i="85"/>
  <c r="C724" i="85"/>
  <c r="C516" i="85"/>
  <c r="C1001" i="85"/>
  <c r="C395" i="85"/>
  <c r="C313" i="85"/>
  <c r="C695" i="85"/>
  <c r="C773" i="85"/>
  <c r="C336" i="85"/>
  <c r="C1138" i="85"/>
  <c r="C209" i="85"/>
  <c r="C1255" i="85"/>
  <c r="C391" i="85"/>
  <c r="C1165" i="85"/>
  <c r="C457" i="85"/>
  <c r="C974" i="85"/>
  <c r="C1121" i="85"/>
  <c r="C1219" i="85"/>
  <c r="C1474" i="85"/>
  <c r="C467" i="85"/>
  <c r="C1742" i="85"/>
  <c r="C206" i="85"/>
  <c r="C1758" i="85"/>
  <c r="C178" i="85"/>
  <c r="C532" i="85"/>
  <c r="C1393" i="85"/>
  <c r="C794" i="85"/>
  <c r="C453" i="85"/>
  <c r="C1038" i="85"/>
  <c r="C84" i="85"/>
  <c r="C495" i="85"/>
  <c r="C992" i="85"/>
  <c r="C415" i="85"/>
  <c r="C1115" i="85"/>
  <c r="C1535" i="85"/>
  <c r="C819" i="85"/>
  <c r="C978" i="85"/>
  <c r="C1905" i="85"/>
  <c r="C1507" i="85"/>
  <c r="C901" i="85"/>
  <c r="C814" i="85"/>
  <c r="C196" i="85"/>
  <c r="C1370" i="85"/>
  <c r="C189" i="85"/>
  <c r="C1195" i="85"/>
  <c r="C930" i="85"/>
  <c r="C702" i="85"/>
  <c r="C682" i="85"/>
  <c r="C1157" i="85"/>
  <c r="C1825" i="85"/>
  <c r="C1885" i="85"/>
  <c r="C1989" i="85"/>
  <c r="C1041" i="85"/>
  <c r="C1913" i="85"/>
  <c r="C1754" i="85"/>
  <c r="C1229" i="85"/>
  <c r="C828" i="85"/>
  <c r="C74" i="85"/>
  <c r="C1711" i="85"/>
  <c r="C1518" i="85"/>
  <c r="C1816" i="85"/>
  <c r="C935" i="85"/>
  <c r="C512" i="85"/>
  <c r="C982" i="85"/>
  <c r="C1934" i="85"/>
  <c r="C475" i="85"/>
  <c r="C289" i="85"/>
  <c r="C705" i="85"/>
  <c r="C1621" i="85"/>
  <c r="C916" i="85"/>
  <c r="C969" i="85"/>
  <c r="C387" i="85"/>
  <c r="C1134" i="85"/>
  <c r="C462" i="85"/>
  <c r="C61" i="85"/>
  <c r="C1651" i="85"/>
  <c r="C284" i="85"/>
  <c r="C369" i="85"/>
  <c r="C942" i="85"/>
  <c r="C231" i="85"/>
  <c r="C1698" i="85"/>
  <c r="C542" i="85"/>
  <c r="C874" i="85"/>
  <c r="C382" i="85"/>
  <c r="C67" i="85"/>
  <c r="C520" i="85"/>
  <c r="C961" i="85"/>
  <c r="C1890" i="85"/>
  <c r="C468" i="85"/>
  <c r="C698" i="85"/>
  <c r="C362" i="85"/>
  <c r="C934" i="85"/>
  <c r="C1145" i="85"/>
  <c r="C1625" i="85"/>
  <c r="C1327" i="85"/>
  <c r="C1013" i="85"/>
  <c r="C1630" i="85"/>
  <c r="C559" i="85"/>
  <c r="C651" i="85"/>
  <c r="C1523" i="85"/>
  <c r="C504" i="85"/>
  <c r="C985" i="85"/>
  <c r="C756" i="85"/>
  <c r="C672" i="85"/>
  <c r="C494" i="85"/>
  <c r="C421" i="85"/>
  <c r="C951" i="85"/>
  <c r="C713" i="85"/>
  <c r="C353" i="85"/>
  <c r="C1480" i="85"/>
  <c r="C662" i="85"/>
  <c r="C1718" i="85"/>
  <c r="C1832" i="85"/>
  <c r="C1434" i="85"/>
  <c r="C254" i="85"/>
  <c r="C245" i="85"/>
  <c r="C836" i="85"/>
  <c r="C1166" i="85"/>
  <c r="C1042" i="85"/>
  <c r="C401" i="85"/>
  <c r="C1589" i="85"/>
  <c r="C1371" i="85"/>
  <c r="C1442" i="85"/>
  <c r="C599" i="85"/>
  <c r="C1499" i="85"/>
  <c r="C1959" i="85"/>
  <c r="C1063" i="85"/>
  <c r="C1947" i="85"/>
  <c r="C526" i="85"/>
  <c r="C838" i="85"/>
  <c r="C412" i="85"/>
  <c r="C850" i="85"/>
  <c r="C229" i="85"/>
  <c r="C1680" i="85"/>
  <c r="C573" i="85"/>
  <c r="C1180" i="85"/>
  <c r="C721" i="85"/>
  <c r="C1684" i="85"/>
  <c r="C565" i="85"/>
  <c r="C1912" i="85"/>
  <c r="C556" i="85"/>
  <c r="C1945" i="85"/>
  <c r="C517" i="85"/>
  <c r="C355" i="85"/>
  <c r="C1891" i="85"/>
  <c r="C1089" i="85"/>
  <c r="C288" i="85"/>
  <c r="C1419" i="85"/>
  <c r="C1790" i="85"/>
  <c r="C264" i="85"/>
  <c r="C1759" i="85"/>
  <c r="C439" i="85"/>
  <c r="C648" i="85"/>
  <c r="C906" i="85"/>
  <c r="C1075" i="85"/>
  <c r="C1738" i="85"/>
  <c r="C1139" i="85"/>
  <c r="C1572" i="85"/>
  <c r="C452" i="85"/>
  <c r="C1357" i="85"/>
  <c r="C303" i="85"/>
  <c r="C1304" i="85"/>
  <c r="C948" i="85"/>
  <c r="C654" i="85"/>
  <c r="C1665" i="85"/>
  <c r="C1098" i="85"/>
  <c r="C692" i="85"/>
  <c r="C1059" i="85"/>
  <c r="C1587" i="85"/>
  <c r="C1953" i="85"/>
  <c r="C1936" i="85"/>
  <c r="C862" i="85"/>
  <c r="C1491" i="85"/>
  <c r="C1611" i="85"/>
  <c r="C1012" i="85"/>
  <c r="C1857" i="85"/>
  <c r="C1777" i="85"/>
  <c r="C1735" i="85"/>
  <c r="C1649" i="85"/>
  <c r="C1671" i="85"/>
  <c r="C1786" i="85"/>
  <c r="C523" i="85"/>
  <c r="C1099" i="85"/>
  <c r="C643" i="85"/>
  <c r="C1270" i="85"/>
  <c r="C1380" i="85"/>
  <c r="C1841" i="85"/>
  <c r="C1531" i="85"/>
  <c r="C1925" i="85"/>
  <c r="C1729" i="85"/>
  <c r="C1141" i="85"/>
  <c r="C228" i="85"/>
  <c r="C1820" i="85"/>
  <c r="C1293" i="85"/>
  <c r="C1487" i="85"/>
  <c r="C1598" i="85"/>
  <c r="C367" i="85"/>
  <c r="C1054" i="85"/>
  <c r="C1118" i="85"/>
  <c r="C1178" i="85"/>
  <c r="C1895" i="85"/>
  <c r="C1163" i="85"/>
  <c r="C1428" i="85"/>
  <c r="C1993" i="85"/>
  <c r="C1143" i="85"/>
  <c r="C213" i="85"/>
  <c r="C437" i="85"/>
  <c r="C1458" i="85"/>
  <c r="C534" i="85"/>
  <c r="C426" i="85"/>
  <c r="C1818" i="85"/>
  <c r="C1927" i="85"/>
  <c r="C1276" i="85"/>
  <c r="C737" i="85"/>
  <c r="C818" i="85"/>
  <c r="C1248" i="85"/>
  <c r="C1879" i="85"/>
  <c r="C1961" i="85"/>
  <c r="C1315" i="85"/>
  <c r="C1699" i="85"/>
  <c r="C1018" i="85"/>
  <c r="C1249" i="85"/>
  <c r="C1730" i="85"/>
  <c r="C1476" i="85"/>
  <c r="C840" i="85"/>
  <c r="C905" i="85"/>
  <c r="C1640" i="85"/>
  <c r="C1284" i="85"/>
  <c r="C1277" i="85"/>
  <c r="C1234" i="85"/>
  <c r="C729" i="85"/>
  <c r="C1014" i="85"/>
  <c r="C182" i="85"/>
  <c r="C92" i="85"/>
  <c r="C328" i="85"/>
  <c r="C1203" i="85"/>
  <c r="C1619" i="85"/>
  <c r="C1281" i="85"/>
  <c r="C1224" i="85"/>
  <c r="C496" i="85"/>
  <c r="C235" i="85"/>
  <c r="C880" i="85"/>
  <c r="C1301" i="85"/>
  <c r="C1658" i="85"/>
  <c r="C205" i="85"/>
  <c r="C325" i="85"/>
  <c r="C91" i="85"/>
  <c r="C1265" i="85"/>
  <c r="C1168" i="85"/>
  <c r="C552" i="85"/>
  <c r="C1170" i="85"/>
  <c r="C870" i="85"/>
  <c r="C1114" i="85"/>
  <c r="C503" i="85"/>
  <c r="C567" i="85"/>
  <c r="C1659" i="85"/>
  <c r="C1100" i="85"/>
  <c r="C1862" i="85"/>
  <c r="C314" i="85"/>
  <c r="C1081" i="85"/>
  <c r="C402" i="85"/>
  <c r="C986" i="85"/>
  <c r="C871" i="85"/>
  <c r="C1174" i="85"/>
  <c r="C857" i="85"/>
  <c r="C1505" i="85"/>
  <c r="C803" i="85"/>
  <c r="C811" i="85"/>
  <c r="C1432" i="85"/>
  <c r="C1530" i="85"/>
  <c r="C1978" i="85"/>
  <c r="C1220" i="85"/>
  <c r="C1749" i="85"/>
  <c r="C217" i="85"/>
  <c r="C1110" i="85"/>
  <c r="C1378" i="85"/>
  <c r="C1273" i="85"/>
  <c r="C1332" i="85"/>
  <c r="C1216" i="85"/>
  <c r="C281" i="85"/>
  <c r="C1226" i="85"/>
  <c r="C1715" i="85"/>
  <c r="C1503" i="85"/>
  <c r="C1569" i="85"/>
  <c r="C1937" i="85"/>
  <c r="C1093" i="85"/>
  <c r="C1716" i="85"/>
  <c r="C1334" i="85"/>
  <c r="C525" i="85"/>
  <c r="C1427" i="85"/>
  <c r="C47" i="85"/>
  <c r="C1240" i="85"/>
  <c r="C354" i="85"/>
  <c r="C907" i="85"/>
  <c r="C1053" i="85"/>
  <c r="C1826" i="85"/>
  <c r="C338" i="85"/>
  <c r="C463" i="85"/>
  <c r="C366" i="85"/>
  <c r="C259" i="85"/>
  <c r="C1182" i="85"/>
  <c r="C1613" i="85"/>
  <c r="C596" i="85"/>
  <c r="C1494" i="85"/>
  <c r="C1431" i="85"/>
  <c r="C1868" i="85"/>
  <c r="C991" i="85"/>
  <c r="C1488" i="85"/>
  <c r="C574" i="85"/>
  <c r="C570" i="85"/>
  <c r="C1331" i="85"/>
  <c r="C514" i="85"/>
  <c r="C273" i="85"/>
  <c r="C1031" i="85"/>
  <c r="C732" i="85"/>
  <c r="C1323" i="85"/>
  <c r="C715" i="85"/>
  <c r="C1399" i="85"/>
  <c r="C486" i="85"/>
  <c r="C122" i="85"/>
  <c r="C1538" i="85"/>
  <c r="C524" i="85"/>
  <c r="C1585" i="85"/>
  <c r="C1828" i="85"/>
  <c r="C529" i="85"/>
  <c r="C638" i="85"/>
  <c r="C1355" i="85"/>
  <c r="C1205" i="85"/>
  <c r="C384" i="85"/>
  <c r="C693" i="85"/>
  <c r="C1076" i="85"/>
  <c r="C582" i="85"/>
  <c r="C1047" i="85"/>
  <c r="C1958" i="85"/>
  <c r="C1932" i="85"/>
  <c r="C1548" i="85"/>
  <c r="C728" i="85"/>
  <c r="C1410" i="85"/>
  <c r="C1241" i="85"/>
  <c r="C234" i="85"/>
  <c r="C1486" i="85"/>
  <c r="C1074" i="85"/>
  <c r="C277" i="85"/>
  <c r="C860" i="85"/>
  <c r="C1983" i="85"/>
  <c r="C1303" i="85"/>
  <c r="C778" i="85"/>
  <c r="C1692" i="85"/>
  <c r="C1418" i="85"/>
  <c r="C1381" i="85"/>
  <c r="C1117" i="85"/>
  <c r="C1128" i="85"/>
  <c r="C800" i="85"/>
  <c r="C1884" i="85"/>
  <c r="C188" i="85"/>
  <c r="C668" i="85"/>
  <c r="C615" i="85"/>
  <c r="C690" i="85"/>
  <c r="C1227" i="85"/>
  <c r="C1690" i="85"/>
  <c r="C611" i="85"/>
  <c r="C414" i="85"/>
  <c r="C1760" i="85"/>
  <c r="C1333" i="85"/>
  <c r="C911" i="85"/>
  <c r="C297" i="85"/>
  <c r="C257" i="85"/>
  <c r="C1263" i="85"/>
  <c r="C530" i="85"/>
  <c r="C777" i="85"/>
  <c r="C1788" i="85"/>
  <c r="C220" i="85"/>
  <c r="C1573" i="85"/>
  <c r="C968" i="85"/>
  <c r="C655" i="85"/>
  <c r="C1873" i="85"/>
  <c r="C251" i="85"/>
  <c r="C1867" i="85"/>
  <c r="C211" i="85"/>
  <c r="C872" i="85"/>
  <c r="C797" i="85"/>
  <c r="C194" i="85"/>
  <c r="C1140" i="85"/>
  <c r="C316" i="85"/>
  <c r="C619" i="85"/>
  <c r="C1269" i="85"/>
  <c r="C1620" i="85"/>
  <c r="C1810" i="85"/>
  <c r="C1755" i="85"/>
  <c r="C1734" i="85"/>
  <c r="C1058" i="85"/>
  <c r="C957" i="85"/>
  <c r="C1669" i="85"/>
  <c r="C1153" i="85"/>
  <c r="C62" i="85"/>
  <c r="C614" i="85"/>
  <c r="C1643" i="85"/>
  <c r="C1775" i="85"/>
  <c r="C1454" i="85"/>
  <c r="C1839" i="85"/>
  <c r="C1344" i="85"/>
  <c r="C1456" i="85"/>
  <c r="C924" i="85"/>
  <c r="C499" i="85"/>
  <c r="C664" i="85"/>
  <c r="C1650" i="85"/>
  <c r="C508" i="85"/>
  <c r="C29" i="85"/>
  <c r="C278" i="85"/>
  <c r="C527" i="85"/>
  <c r="C379" i="85"/>
  <c r="C1804" i="85"/>
  <c r="C1230" i="85"/>
  <c r="C243" i="85"/>
  <c r="C971" i="85"/>
  <c r="C518" i="85"/>
  <c r="C748" i="85"/>
  <c r="C469" i="85"/>
  <c r="C319" i="85"/>
  <c r="C1654" i="85"/>
  <c r="C181" i="85"/>
  <c r="C1688" i="85"/>
  <c r="C94" i="85"/>
  <c r="C1772" i="85"/>
  <c r="C572" i="85"/>
  <c r="C1039" i="85"/>
  <c r="C720" i="85"/>
  <c r="C1588" i="85"/>
  <c r="C442" i="85"/>
  <c r="C1599" i="85"/>
  <c r="C460" i="85"/>
  <c r="C1483" i="85"/>
  <c r="C897" i="85"/>
  <c r="C1522" i="85"/>
  <c r="C1664" i="85"/>
  <c r="C1448" i="85"/>
  <c r="C1067" i="85"/>
  <c r="C1046" i="85"/>
  <c r="C1974" i="85"/>
  <c r="C560" i="85"/>
  <c r="C671" i="85"/>
  <c r="C1756" i="85"/>
  <c r="C1918" i="85"/>
  <c r="C1994" i="85"/>
  <c r="C1200" i="85"/>
  <c r="C1113" i="85"/>
  <c r="C76" i="85"/>
  <c r="C294" i="85"/>
  <c r="C736" i="85"/>
  <c r="C1674" i="85"/>
  <c r="C1950" i="85"/>
  <c r="C1744" i="85"/>
  <c r="C41" i="85"/>
  <c r="C533" i="85"/>
  <c r="C675" i="85"/>
  <c r="C420" i="85"/>
  <c r="C830" i="85"/>
  <c r="C455" i="85"/>
  <c r="C642" i="85"/>
  <c r="C887" i="85"/>
  <c r="C1728" i="85"/>
  <c r="C1687" i="85"/>
  <c r="C1297" i="85"/>
  <c r="C1298" i="85"/>
  <c r="C1495" i="85"/>
  <c r="C308" i="85"/>
  <c r="C342" i="85"/>
  <c r="C829" i="85"/>
  <c r="C1340" i="85"/>
  <c r="C1094" i="85"/>
  <c r="C1789" i="85"/>
  <c r="C895" i="85"/>
  <c r="C1727" i="85"/>
  <c r="C1661" i="85"/>
  <c r="C218" i="85"/>
  <c r="C1125" i="85"/>
  <c r="C64" i="85"/>
  <c r="C1596" i="85"/>
  <c r="C1887" i="85"/>
  <c r="C832" i="85"/>
  <c r="C687" i="85"/>
  <c r="C27" i="85"/>
  <c r="C1860" i="85"/>
  <c r="C1044" i="85"/>
  <c r="C1815" i="85"/>
  <c r="C1536" i="85"/>
  <c r="C1016" i="85"/>
  <c r="C569" i="85"/>
  <c r="C603" i="85"/>
  <c r="C1802" i="85"/>
  <c r="C639" i="85"/>
  <c r="C232" i="85"/>
  <c r="C183" i="85"/>
  <c r="C474" i="85"/>
  <c r="C1631" i="85"/>
  <c r="C1375" i="85"/>
  <c r="C1272" i="85"/>
  <c r="C1204" i="85"/>
  <c r="C250" i="85"/>
  <c r="C464" i="85"/>
  <c r="C980" i="85"/>
  <c r="C473" i="85"/>
  <c r="C645" i="85"/>
  <c r="C944" i="85"/>
  <c r="C558" i="85"/>
  <c r="C1104" i="85"/>
  <c r="C1561" i="85"/>
  <c r="C1197" i="85"/>
  <c r="C1461" i="85"/>
  <c r="C321" i="85"/>
  <c r="C1553" i="85"/>
  <c r="C1384" i="85"/>
  <c r="C1822" i="85"/>
  <c r="C996" i="85"/>
  <c r="C1453" i="85"/>
  <c r="C1423" i="85"/>
  <c r="C1757" i="85"/>
  <c r="C1482" i="85"/>
  <c r="C1771" i="85"/>
  <c r="C988" i="85"/>
  <c r="C1030" i="85"/>
  <c r="C1900" i="85"/>
  <c r="C267" i="85"/>
  <c r="C1307" i="85"/>
  <c r="C999" i="85"/>
  <c r="C1941" i="85"/>
  <c r="C1782" i="85"/>
  <c r="C938" i="85"/>
  <c r="C1087" i="85"/>
  <c r="C1785" i="85"/>
  <c r="C704" i="85"/>
  <c r="C430" i="85"/>
  <c r="C261" i="85"/>
  <c r="C1601" i="85"/>
  <c r="C1604" i="85"/>
  <c r="C465" i="85"/>
  <c r="C984" i="85"/>
  <c r="C809" i="85"/>
  <c r="C1634" i="85"/>
  <c r="C1444" i="85"/>
  <c r="C1882" i="85"/>
  <c r="C1243" i="85"/>
  <c r="C1834" i="85"/>
  <c r="C1794" i="85"/>
  <c r="C618" i="85"/>
  <c r="C1247" i="85"/>
  <c r="C1390" i="85"/>
  <c r="C1218" i="85"/>
  <c r="C1517" i="85"/>
  <c r="C1881" i="85"/>
  <c r="C191" i="85"/>
  <c r="C1035" i="85"/>
  <c r="C1040" i="85"/>
  <c r="C1717" i="85"/>
  <c r="C1095" i="85"/>
  <c r="C1405" i="85"/>
  <c r="C1156" i="85"/>
  <c r="C1105" i="85"/>
  <c r="C1472" i="85"/>
  <c r="C1784" i="85"/>
  <c r="C620" i="85"/>
  <c r="C1603" i="85"/>
  <c r="C1048" i="85"/>
  <c r="C1142" i="85"/>
  <c r="C1595" i="85"/>
  <c r="C767" i="85"/>
  <c r="C563" i="85"/>
  <c r="C1637" i="85"/>
  <c r="C1179" i="85"/>
  <c r="C1551" i="85"/>
  <c r="C1929" i="85"/>
  <c r="C1774" i="85"/>
  <c r="C993" i="85"/>
  <c r="C200" i="85"/>
  <c r="C1126" i="85"/>
  <c r="C344" i="85"/>
  <c r="C1028" i="85"/>
  <c r="C279" i="85"/>
  <c r="C260" i="85"/>
  <c r="C990" i="85"/>
  <c r="C824" i="85"/>
  <c r="C1706" i="85"/>
  <c r="C1955" i="85"/>
  <c r="C386" i="85"/>
  <c r="C847" i="85"/>
  <c r="C1502" i="85"/>
  <c r="C1376" i="85"/>
  <c r="C305" i="85"/>
  <c r="C1504" i="85"/>
  <c r="C268" i="85"/>
  <c r="C1175" i="85"/>
  <c r="C1258" i="85"/>
  <c r="C1426" i="85"/>
  <c r="C1996" i="85"/>
  <c r="C1275" i="85"/>
  <c r="C1967" i="85"/>
  <c r="C1096" i="85"/>
  <c r="C1992" i="85"/>
  <c r="C1468" i="85"/>
  <c r="C903" i="85"/>
  <c r="C1952" i="85"/>
  <c r="C1544" i="85"/>
  <c r="C544" i="85"/>
  <c r="C93" i="85"/>
  <c r="C1833" i="85"/>
  <c r="C1208" i="85"/>
  <c r="C1991" i="85"/>
  <c r="C48" i="85"/>
  <c r="C866" i="85"/>
  <c r="C224" i="85"/>
  <c r="C1111" i="85"/>
  <c r="C1008" i="85"/>
  <c r="C66" i="85"/>
  <c r="C758" i="85"/>
  <c r="C1051" i="85"/>
  <c r="C585" i="85"/>
  <c r="C1582" i="85"/>
  <c r="C1904" i="85"/>
  <c r="C54" i="85"/>
  <c r="C423" i="85"/>
  <c r="C350" i="85"/>
  <c r="C1459" i="85"/>
  <c r="C124" i="85"/>
  <c r="C309" i="85"/>
  <c r="C679" i="85"/>
  <c r="C483" i="85"/>
  <c r="C1106" i="85"/>
  <c r="C1245" i="85"/>
  <c r="C1725" i="85"/>
  <c r="C833" i="85"/>
  <c r="C1238" i="85"/>
  <c r="C591" i="85"/>
  <c r="C1803" i="85"/>
  <c r="C433" i="85"/>
  <c r="C753" i="85"/>
  <c r="C1583" i="85"/>
  <c r="C1199" i="85"/>
  <c r="C1575" i="85"/>
  <c r="C631" i="85"/>
  <c r="C373" i="85"/>
  <c r="C1447" i="85"/>
  <c r="C1926" i="85"/>
  <c r="C301" i="85"/>
  <c r="C1676" i="85"/>
  <c r="C179" i="85"/>
  <c r="C1365" i="85"/>
  <c r="C445" i="85"/>
  <c r="C1893" i="85"/>
  <c r="C1677" i="85"/>
  <c r="C360" i="85"/>
  <c r="C1389" i="85"/>
  <c r="C1236" i="85"/>
  <c r="C890" i="85"/>
  <c r="C892" i="85"/>
  <c r="C333" i="85"/>
  <c r="C1198" i="85"/>
  <c r="C1921" i="85"/>
  <c r="C326" i="85"/>
  <c r="C1084" i="85"/>
  <c r="C762" i="85"/>
  <c r="C310" i="85"/>
  <c r="C557" i="85"/>
  <c r="C718" i="85"/>
  <c r="C482" i="85"/>
  <c r="C1693" i="85"/>
  <c r="C586" i="85"/>
  <c r="C953" i="85"/>
  <c r="C1462" i="85"/>
  <c r="C1521" i="85"/>
  <c r="C896" i="85"/>
  <c r="C889" i="85"/>
  <c r="C356" i="85"/>
  <c r="C346" i="85"/>
  <c r="C1246" i="85"/>
  <c r="C1377" i="85"/>
  <c r="C1878" i="85"/>
  <c r="C1401" i="85"/>
  <c r="C1719" i="85"/>
  <c r="C1264" i="85"/>
  <c r="C1923" i="85"/>
  <c r="C1149" i="85"/>
  <c r="C212" i="85"/>
  <c r="C1740" i="85"/>
  <c r="C849" i="85"/>
  <c r="C605" i="85"/>
  <c r="C1172" i="85"/>
  <c r="C1668" i="85"/>
  <c r="C970" i="85"/>
  <c r="C1492" i="85"/>
  <c r="C85" i="85"/>
  <c r="C917" i="85"/>
  <c r="C666" i="85"/>
  <c r="C1928" i="85"/>
  <c r="C1883" i="85"/>
  <c r="C868" i="85"/>
  <c r="C1938" i="85"/>
  <c r="C1158" i="85"/>
  <c r="C1795" i="85"/>
  <c r="C1322" i="85"/>
  <c r="C195" i="85"/>
  <c r="C1308" i="85"/>
  <c r="C488" i="85"/>
  <c r="C995" i="85"/>
  <c r="C1657" i="85"/>
  <c r="C1036" i="85"/>
  <c r="C888" i="85"/>
  <c r="C1524" i="85"/>
  <c r="C458" i="85"/>
  <c r="C1359" i="85"/>
  <c r="C589" i="85"/>
  <c r="C1672" i="85"/>
  <c r="C295" i="85"/>
  <c r="C506" i="85"/>
  <c r="C126" i="85"/>
  <c r="C678" i="85"/>
  <c r="C928" i="85"/>
  <c r="C745" i="85"/>
  <c r="C1580" i="85"/>
  <c r="C1968" i="85"/>
  <c r="C1043" i="85"/>
  <c r="C253" i="85"/>
  <c r="C1843" i="85"/>
  <c r="C409" i="85"/>
  <c r="C374" i="85"/>
  <c r="C706" i="85"/>
  <c r="C1289" i="85"/>
  <c r="C348" i="85"/>
  <c r="C233" i="85"/>
  <c r="C180" i="85"/>
  <c r="C1379" i="85"/>
  <c r="C583" i="85"/>
  <c r="C815" i="85"/>
  <c r="C51" i="85"/>
  <c r="C1872" i="85"/>
  <c r="C1130" i="85"/>
  <c r="C647" i="85"/>
  <c r="C1799" i="85"/>
  <c r="C1537" i="85"/>
  <c r="C1931" i="85"/>
  <c r="C1852" i="85"/>
  <c r="C425" i="85"/>
  <c r="C334" i="85"/>
  <c r="C1152" i="85"/>
  <c r="C1489" i="85"/>
  <c r="C1578" i="85"/>
  <c r="C843" i="85"/>
  <c r="C604" i="85"/>
  <c r="C1874" i="85"/>
  <c r="C760" i="85"/>
  <c r="C1436" i="85"/>
  <c r="C1540" i="85"/>
  <c r="C1485" i="85"/>
  <c r="C1173" i="85"/>
  <c r="C806" i="85"/>
  <c r="C659" i="85"/>
  <c r="C719" i="85"/>
  <c r="C761" i="85"/>
  <c r="C1695" i="85"/>
  <c r="C688" i="85"/>
  <c r="C337" i="85"/>
  <c r="C1279" i="85"/>
  <c r="C1392" i="85"/>
  <c r="C929" i="85"/>
  <c r="C856" i="85"/>
  <c r="C1733" i="85"/>
  <c r="C489" i="85"/>
  <c r="C593" i="85"/>
  <c r="C1979" i="85"/>
  <c r="C1465" i="85"/>
  <c r="C630" i="85"/>
  <c r="C58" i="85"/>
  <c r="C515" i="85"/>
  <c r="C1466" i="85"/>
  <c r="C885" i="85"/>
  <c r="C1949" i="85"/>
  <c r="C592" i="85"/>
  <c r="C1313" i="85"/>
  <c r="C960" i="85"/>
  <c r="C1032" i="85"/>
  <c r="C470" i="85"/>
  <c r="C987" i="85"/>
  <c r="C1282" i="85"/>
  <c r="C187" i="85"/>
  <c r="C252" i="85"/>
  <c r="C1413" i="85"/>
  <c r="C1700" i="85"/>
  <c r="C364" i="85"/>
  <c r="C1069" i="85"/>
  <c r="C1807" i="85"/>
  <c r="C697" i="85"/>
  <c r="C1002" i="85"/>
  <c r="C1019" i="85"/>
  <c r="C1367" i="85"/>
  <c r="C438" i="85"/>
  <c r="C1558" i="85"/>
  <c r="C597" i="85"/>
  <c r="C1011" i="85"/>
  <c r="C223" i="85"/>
  <c r="C1792" i="85"/>
  <c r="C975" i="85"/>
  <c r="C80" i="85"/>
  <c r="C408" i="85"/>
  <c r="C914" i="85"/>
  <c r="C1746" i="85"/>
  <c r="C700" i="85"/>
  <c r="C962" i="85"/>
  <c r="C174" i="85"/>
  <c r="C915" i="85"/>
  <c r="C1565" i="85"/>
  <c r="C696" i="85"/>
  <c r="C1127" i="85"/>
  <c r="C398" i="85"/>
  <c r="C684" i="85"/>
  <c r="C285" i="85"/>
  <c r="C939" i="85"/>
  <c r="C787" i="85"/>
  <c r="C709" i="85"/>
  <c r="C752" i="85"/>
  <c r="C1642" i="85"/>
  <c r="C730" i="85"/>
  <c r="C1590" i="85"/>
  <c r="C740" i="85"/>
  <c r="C739" i="85"/>
  <c r="C1550" i="85"/>
  <c r="C446" i="85"/>
  <c r="C1847" i="85"/>
  <c r="C1469" i="85"/>
  <c r="C1342" i="85"/>
  <c r="C1211" i="85"/>
  <c r="C509" i="85"/>
  <c r="C255" i="85"/>
  <c r="C689" i="85"/>
  <c r="C52" i="85"/>
  <c r="C394" i="85"/>
  <c r="C1899" i="85"/>
  <c r="C1870" i="85"/>
  <c r="C1233" i="85"/>
  <c r="C1971" i="85"/>
  <c r="C912" i="85"/>
  <c r="C882" i="85"/>
  <c r="C1394" i="85"/>
  <c r="C1935" i="85"/>
  <c r="C1406" i="85"/>
  <c r="C1411" i="85"/>
  <c r="C1108" i="85"/>
  <c r="C1948" i="85"/>
  <c r="C1049" i="85"/>
  <c r="C1335" i="85"/>
  <c r="C407" i="85"/>
  <c r="C1091" i="85"/>
  <c r="C1004" i="85"/>
  <c r="C1626" i="85"/>
  <c r="C307" i="85"/>
  <c r="C1526" i="85"/>
  <c r="C1407" i="85"/>
  <c r="C747" i="85"/>
  <c r="C176" i="85"/>
  <c r="C851" i="85"/>
  <c r="C1787" i="85"/>
  <c r="C1652" i="85"/>
  <c r="C296" i="85"/>
  <c r="C1940" i="85"/>
  <c r="C898" i="85"/>
  <c r="C1911" i="85"/>
  <c r="C1086" i="85"/>
  <c r="C357" i="85"/>
  <c r="C844" i="85"/>
  <c r="C1902" i="85"/>
  <c r="C1743" i="85"/>
  <c r="C822" i="85"/>
  <c r="C1726" i="85"/>
  <c r="C528" i="85"/>
  <c r="C69" i="85"/>
  <c r="C1177" i="85"/>
  <c r="C1848" i="85"/>
  <c r="C312" i="85"/>
  <c r="C450" i="85"/>
  <c r="C989" i="85"/>
  <c r="C1814" i="85"/>
  <c r="C1068" i="85"/>
  <c r="C635" i="85"/>
  <c r="C192" i="85"/>
  <c r="C691" i="85"/>
  <c r="C579" i="85"/>
  <c r="C215" i="85"/>
  <c r="C1368" i="85"/>
  <c r="C456" i="85"/>
  <c r="C1403" i="85"/>
  <c r="C274" i="85"/>
  <c r="C318" i="85"/>
  <c r="C1861" i="85"/>
  <c r="C1903" i="85"/>
  <c r="C1986" i="85"/>
  <c r="C1542" i="85"/>
  <c r="C485" i="85"/>
  <c r="C1933" i="85"/>
  <c r="C435" i="85"/>
  <c r="C821" i="85"/>
  <c r="C910" i="85"/>
  <c r="C372" i="85"/>
  <c r="C891" i="85"/>
  <c r="C263" i="85"/>
  <c r="C1222" i="85"/>
  <c r="C677" i="85"/>
  <c r="C1571" i="85"/>
  <c r="C500" i="85"/>
  <c r="C1280" i="85"/>
  <c r="C1295" i="85"/>
  <c r="C775" i="85"/>
  <c r="C1866" i="85"/>
  <c r="C1697" i="85"/>
  <c r="C1914" i="85"/>
  <c r="C1533" i="85"/>
  <c r="C335" i="85"/>
  <c r="C413" i="85"/>
  <c r="C323" i="85"/>
  <c r="C845" i="85"/>
  <c r="C184" i="85"/>
  <c r="C555" i="85"/>
  <c r="C1330" i="85"/>
  <c r="C1050" i="85"/>
  <c r="C674" i="85"/>
  <c r="C770" i="85"/>
  <c r="C607" i="85"/>
  <c r="C1858" i="85"/>
  <c r="C207" i="85"/>
  <c r="C1844" i="85"/>
  <c r="C1939" i="85"/>
  <c r="C909" i="85"/>
  <c r="C418" i="85"/>
  <c r="C522" i="85"/>
  <c r="C1022" i="85"/>
  <c r="C900" i="85"/>
  <c r="C602" i="85"/>
  <c r="C1253" i="85"/>
  <c r="C562" i="85"/>
  <c r="C1201" i="85"/>
  <c r="C578" i="85"/>
  <c r="C1317" i="85"/>
  <c r="C1662" i="85"/>
  <c r="C1325" i="85"/>
  <c r="C716" i="85"/>
  <c r="C1633" i="85"/>
  <c r="C550" i="85"/>
  <c r="C553" i="85"/>
  <c r="C1250" i="85"/>
  <c r="C1023" i="85"/>
  <c r="C339" i="85"/>
  <c r="C551" i="85"/>
  <c r="C197" i="85"/>
  <c r="C1618" i="85"/>
  <c r="C1102" i="85"/>
  <c r="C667" i="85"/>
  <c r="C1615" i="85"/>
  <c r="C919" i="85"/>
  <c r="C920" i="85"/>
  <c r="C1610" i="85"/>
  <c r="C1709" i="85"/>
  <c r="C484" i="85"/>
  <c r="C1187" i="85"/>
  <c r="C1898" i="85"/>
  <c r="C1956" i="85"/>
  <c r="C1817" i="85"/>
  <c r="C754" i="85"/>
  <c r="C507" i="85"/>
  <c r="C577" i="85"/>
  <c r="C613" i="85"/>
  <c r="C904" i="85"/>
  <c r="C34" i="85"/>
  <c r="C1107" i="85"/>
  <c r="C1137" i="85"/>
  <c r="C1321" i="85"/>
  <c r="C1356" i="85"/>
  <c r="C480" i="85"/>
  <c r="C823" i="85"/>
  <c r="C513" i="85"/>
  <c r="C1566" i="85"/>
  <c r="C1497" i="85"/>
  <c r="C1080" i="85"/>
  <c r="C742" i="85"/>
  <c r="C812" i="85"/>
  <c r="C755" i="85"/>
  <c r="C884" i="85"/>
  <c r="C1907" i="85"/>
  <c r="C1161" i="85"/>
  <c r="C1973" i="85"/>
  <c r="C1196" i="85"/>
  <c r="C1781" i="85"/>
  <c r="C1366" i="85"/>
  <c r="C256" i="85"/>
  <c r="C269" i="85"/>
  <c r="C1214" i="85"/>
  <c r="C1696" i="85"/>
  <c r="C1212" i="85"/>
  <c r="C584" i="85"/>
  <c r="C976" i="85"/>
  <c r="C471" i="85"/>
  <c r="C785" i="85"/>
  <c r="C1713" i="85"/>
  <c r="C808" i="85"/>
  <c r="C1290" i="85"/>
  <c r="C287" i="85"/>
  <c r="C1656" i="85"/>
  <c r="C1151" i="85"/>
  <c r="C247" i="85"/>
  <c r="C1922" i="85"/>
  <c r="C317" i="85"/>
  <c r="C653" i="85"/>
  <c r="C1724" i="85"/>
  <c r="C230" i="85"/>
  <c r="C1261" i="85"/>
  <c r="C861" i="85"/>
  <c r="C1015" i="85"/>
  <c r="C841" i="85"/>
  <c r="C776" i="85"/>
  <c r="C701" i="85"/>
  <c r="C1602" i="85"/>
  <c r="C925" i="85"/>
  <c r="C1723" i="85"/>
  <c r="C855" i="85"/>
  <c r="C714" i="85"/>
  <c r="C853" i="85"/>
  <c r="C981" i="85"/>
  <c r="C1326" i="85"/>
  <c r="C476" i="85"/>
  <c r="C561" i="85"/>
  <c r="C1034" i="85"/>
  <c r="C786" i="85"/>
  <c r="C1712" i="85"/>
  <c r="C1123" i="85"/>
  <c r="C478" i="85"/>
  <c r="C393" i="85"/>
  <c r="C1473" i="85"/>
  <c r="C816" i="85"/>
  <c r="C1430" i="85"/>
  <c r="C575" i="85"/>
  <c r="C331" i="85"/>
  <c r="C707" i="85"/>
  <c r="C1545" i="85"/>
  <c r="C1594" i="85"/>
  <c r="C1750" i="85"/>
  <c r="C1025" i="85"/>
  <c r="C650" i="85"/>
  <c r="C1653" i="85"/>
  <c r="C1982" i="85"/>
  <c r="C548" i="85"/>
  <c r="C371" i="85"/>
  <c r="C225" i="85"/>
  <c r="C244" i="85"/>
  <c r="C545" i="85"/>
  <c r="C242" i="85"/>
  <c r="C1605" i="85"/>
  <c r="C1646" i="85"/>
  <c r="C1827" i="85"/>
  <c r="C1416" i="85"/>
  <c r="C771" i="85"/>
  <c r="C193" i="85"/>
  <c r="C330" i="85"/>
  <c r="C540" i="85"/>
  <c r="C311" i="85"/>
  <c r="C1299" i="85"/>
  <c r="C1287" i="85"/>
  <c r="C764" i="85"/>
  <c r="C549" i="85"/>
  <c r="C1769" i="85"/>
  <c r="C1972" i="85"/>
  <c r="C810" i="85"/>
  <c r="C1627" i="85"/>
  <c r="C581" i="85"/>
  <c r="C1309" i="85"/>
  <c r="C262" i="85"/>
  <c r="C322" i="85"/>
  <c r="C1732" i="85"/>
  <c r="C1773" i="85"/>
  <c r="C723" i="85"/>
  <c r="C1424" i="85"/>
  <c r="C879" i="85"/>
  <c r="C710" i="85"/>
  <c r="C1998" i="85"/>
  <c r="C1077" i="85"/>
  <c r="C1005" i="85"/>
  <c r="C1338" i="85"/>
  <c r="C1190" i="85"/>
  <c r="C1235" i="85"/>
  <c r="C1877" i="85"/>
  <c r="C238" i="85"/>
  <c r="C490" i="85"/>
  <c r="C827" i="85"/>
  <c r="C202" i="85"/>
  <c r="C1346" i="85"/>
  <c r="C1242" i="85"/>
  <c r="C1256" i="85"/>
  <c r="C825" i="85"/>
  <c r="C543" i="85"/>
  <c r="C531" i="85"/>
  <c r="C375" i="85"/>
  <c r="C536" i="85"/>
  <c r="C410" i="85"/>
  <c r="C1386" i="85"/>
  <c r="C1541" i="85"/>
  <c r="C947" i="85"/>
  <c r="C1184" i="85"/>
  <c r="C751" i="85"/>
  <c r="C1351" i="85"/>
  <c r="C576" i="85"/>
  <c r="C1283" i="85"/>
  <c r="C649" i="85"/>
  <c r="C1215" i="85"/>
  <c r="C1266" i="85"/>
  <c r="C501" i="85"/>
  <c r="C1660" i="85"/>
  <c r="C1369" i="85"/>
  <c r="C1056" i="85"/>
  <c r="C1791" i="85"/>
  <c r="C1003" i="85"/>
  <c r="C1995" i="85"/>
  <c r="C1391" i="85"/>
  <c r="C788" i="85"/>
  <c r="C795" i="85"/>
  <c r="C1563" i="85"/>
  <c r="C1836" i="85"/>
  <c r="C292" i="85"/>
  <c r="C492" i="85"/>
  <c r="C1824" i="85"/>
  <c r="C389" i="85"/>
  <c r="C28" i="85"/>
  <c r="C1232" i="85"/>
  <c r="C363" i="85"/>
  <c r="C792" i="85"/>
  <c r="C813" i="85"/>
  <c r="C1765" i="85"/>
  <c r="C1635" i="85"/>
  <c r="C922" i="85"/>
  <c r="C63" i="85"/>
  <c r="C656" i="85"/>
  <c r="C858" i="85"/>
  <c r="C637" i="85"/>
  <c r="C1919" i="85"/>
  <c r="C921" i="85"/>
  <c r="C1560" i="85"/>
  <c r="C1088" i="85"/>
  <c r="C416" i="85"/>
  <c r="C327" i="85"/>
  <c r="C1819" i="85"/>
  <c r="C56" i="85"/>
  <c r="C1037" i="85"/>
  <c r="C1731" i="85"/>
  <c r="C1592" i="85"/>
  <c r="C587" i="85"/>
  <c r="C852" i="85"/>
  <c r="C1395" i="85"/>
  <c r="C1988" i="85"/>
  <c r="C1543" i="85"/>
  <c r="C258" i="85"/>
  <c r="C1849" i="85"/>
  <c r="C1254" i="85"/>
  <c r="C1202" i="85"/>
  <c r="C1855" i="85"/>
  <c r="C427" i="85"/>
  <c r="C608" i="85"/>
  <c r="C1402" i="85"/>
  <c r="C1360" i="85"/>
  <c r="C358" i="85"/>
  <c r="C1722" i="85"/>
  <c r="C538" i="85"/>
  <c r="C977" i="85"/>
  <c r="C936" i="85"/>
  <c r="C1278" i="85"/>
  <c r="C793" i="85"/>
  <c r="C1997" i="85"/>
  <c r="C290" i="85"/>
  <c r="C1962" i="85"/>
  <c r="C994" i="85"/>
  <c r="C703" i="85"/>
  <c r="C1484" i="85"/>
  <c r="C1776" i="85"/>
  <c r="C839" i="85"/>
  <c r="C1311" i="85"/>
  <c r="C1435" i="85"/>
  <c r="C741" i="85"/>
  <c r="C1268" i="85"/>
  <c r="C661" i="85"/>
  <c r="C1970" i="85"/>
  <c r="C1228" i="85"/>
  <c r="C1783" i="85"/>
  <c r="C1946" i="85"/>
  <c r="C629" i="85"/>
  <c r="C276" i="85"/>
  <c r="C404" i="85"/>
  <c r="C1159" i="85"/>
  <c r="C168" i="85"/>
  <c r="C784" i="85"/>
  <c r="C780" i="85"/>
  <c r="C717" i="85"/>
  <c r="C1112" i="85"/>
  <c r="C782" i="85"/>
  <c r="C1372" i="85"/>
  <c r="C1348" i="85"/>
  <c r="C177" i="85"/>
  <c r="C1942" i="85"/>
  <c r="C1464" i="85"/>
  <c r="C1648" i="85"/>
  <c r="C1498" i="85"/>
  <c r="C1823" i="85"/>
  <c r="C1433" i="85"/>
  <c r="C1976" i="85"/>
  <c r="C612" i="85"/>
  <c r="C711" i="85"/>
  <c r="C83" i="85"/>
  <c r="C621" i="85"/>
  <c r="C1493" i="85"/>
  <c r="C1262" i="85"/>
  <c r="C899" i="85"/>
  <c r="C397" i="85"/>
  <c r="C541" i="85"/>
  <c r="C1007" i="85"/>
  <c r="C1451" i="85"/>
  <c r="C343" i="85"/>
  <c r="C1673" i="85"/>
  <c r="C571" i="85"/>
  <c r="C848" i="85"/>
  <c r="C1017" i="85"/>
  <c r="C1316" i="85"/>
  <c r="C1840" i="85"/>
  <c r="C1060" i="85"/>
  <c r="C727" i="85"/>
  <c r="C429" i="85"/>
  <c r="C1896" i="85"/>
  <c r="C958" i="85"/>
  <c r="C1510" i="85"/>
  <c r="C1556" i="85"/>
  <c r="C902" i="85"/>
  <c r="C1062" i="85"/>
  <c r="C1608" i="85"/>
  <c r="C201" i="85"/>
  <c r="C759" i="85"/>
  <c r="C564" i="85"/>
  <c r="C396" i="85"/>
  <c r="C878" i="85"/>
  <c r="C226" i="85"/>
  <c r="C940" i="85"/>
  <c r="C271" i="85"/>
  <c r="C831" i="85"/>
  <c r="C791" i="85"/>
  <c r="C1010" i="85"/>
  <c r="C1065" i="85"/>
  <c r="C351" i="85"/>
  <c r="C1422" i="85"/>
  <c r="C1345" i="85"/>
  <c r="C626" i="85"/>
  <c r="C1682" i="85"/>
  <c r="C472" i="85"/>
  <c r="C738" i="85"/>
  <c r="C185" i="85"/>
  <c r="C796" i="85"/>
  <c r="C1463" i="85"/>
  <c r="C1209" i="85"/>
  <c r="C1512" i="85"/>
  <c r="C1409" i="85"/>
  <c r="C959" i="85"/>
  <c r="C1191" i="85"/>
  <c r="C681" i="85"/>
  <c r="C491" i="85"/>
  <c r="C1564" i="85"/>
  <c r="C498" i="85"/>
  <c r="C802" i="85"/>
  <c r="C1514" i="85"/>
  <c r="C943" i="85"/>
  <c r="C772" i="85"/>
  <c r="C239" i="85"/>
  <c r="C1745" i="85"/>
  <c r="C1739" i="85"/>
  <c r="C1171" i="85"/>
  <c r="C1244" i="85"/>
  <c r="C1136" i="85"/>
  <c r="C1850" i="85"/>
  <c r="C1237" i="85"/>
  <c r="C377" i="85"/>
  <c r="C918" i="85"/>
  <c r="C1614" i="85"/>
  <c r="C566" i="85"/>
  <c r="C1607" i="85"/>
  <c r="C859" i="85"/>
  <c r="C237" i="85"/>
  <c r="C1021" i="85"/>
  <c r="C1593" i="85"/>
  <c r="C623" i="85"/>
  <c r="C1169" i="85"/>
  <c r="C1267" i="85"/>
  <c r="C1987" i="85"/>
  <c r="C1135" i="85"/>
  <c r="C120" i="85"/>
  <c r="C765" i="85"/>
  <c r="C1116" i="85"/>
  <c r="C368" i="85"/>
  <c r="C768" i="85"/>
  <c r="C877" i="85"/>
  <c r="C1845" i="85"/>
  <c r="C1455" i="85"/>
  <c r="C632" i="85"/>
  <c r="C1636" i="85"/>
  <c r="C1274" i="85"/>
  <c r="C923" i="85"/>
  <c r="C1567" i="85"/>
  <c r="C932" i="85"/>
  <c r="C610" i="85"/>
  <c r="C680" i="85"/>
  <c r="C1120" i="85"/>
  <c r="C1239" i="85"/>
  <c r="C1863" i="85"/>
  <c r="C1324" i="85"/>
  <c r="C1481" i="85"/>
  <c r="C1805" i="85"/>
  <c r="C1796" i="85"/>
  <c r="C1871" i="85"/>
  <c r="C1641" i="85"/>
  <c r="C352" i="85"/>
  <c r="C1720" i="85"/>
  <c r="C1888" i="85"/>
  <c r="C1869" i="85"/>
  <c r="C1477" i="85"/>
  <c r="C1160" i="85"/>
  <c r="C622" i="85"/>
  <c r="C983" i="85"/>
  <c r="C1300" i="85"/>
  <c r="C799" i="85"/>
  <c r="C419" i="85"/>
  <c r="C1714" i="85"/>
  <c r="C600" i="85"/>
  <c r="C1176" i="85"/>
  <c r="C448" i="85"/>
  <c r="C1552" i="85"/>
  <c r="C1562" i="85"/>
  <c r="C1980" i="85"/>
  <c r="C1990" i="85"/>
  <c r="C1511" i="85"/>
  <c r="C272" i="85"/>
  <c r="C383" i="85"/>
  <c r="C964" i="85"/>
  <c r="C214" i="85"/>
  <c r="C1875" i="85"/>
  <c r="C190" i="85"/>
  <c r="C59" i="85"/>
  <c r="C1310" i="85"/>
  <c r="C783" i="85"/>
  <c r="C1382" i="85"/>
  <c r="C1467" i="85"/>
  <c r="C1752" i="85"/>
  <c r="C1363" i="85"/>
  <c r="C949" i="85"/>
  <c r="C883" i="85"/>
  <c r="C1753" i="85"/>
  <c r="C502" i="85"/>
  <c r="C931" i="85"/>
  <c r="C1251" i="85"/>
  <c r="C275" i="85"/>
  <c r="C332" i="85"/>
  <c r="C669" i="85"/>
  <c r="C640" i="85"/>
  <c r="C863" i="85"/>
  <c r="C280" i="85"/>
  <c r="C1675" i="85"/>
  <c r="C1768" i="85"/>
  <c r="C1624" i="85"/>
  <c r="C1097" i="85"/>
  <c r="C1064" i="85"/>
  <c r="C734" i="85"/>
  <c r="C1686" i="85"/>
  <c r="C873" i="85"/>
  <c r="C683" i="85"/>
  <c r="C1231" i="85"/>
  <c r="C1751" i="85"/>
  <c r="C1285" i="85"/>
  <c r="C1408" i="85"/>
  <c r="C1549" i="85"/>
  <c r="C1999" i="85"/>
  <c r="C1085" i="85"/>
  <c r="C1809" i="85"/>
  <c r="C973" i="85"/>
  <c r="C694" i="85"/>
  <c r="C1296" i="85"/>
  <c r="C1612" i="85"/>
  <c r="C1320" i="85"/>
  <c r="C1770" i="85"/>
  <c r="C1520" i="85"/>
  <c r="C554" i="85"/>
  <c r="C265" i="85"/>
  <c r="C1906" i="85"/>
  <c r="C1859" i="85"/>
  <c r="C1710" i="85"/>
  <c r="C963" i="85"/>
  <c r="C1079" i="85"/>
  <c r="C1186" i="85"/>
  <c r="C1361" i="85"/>
  <c r="C378" i="85"/>
  <c r="C208" i="85"/>
  <c r="C1721" i="85"/>
  <c r="C750" i="85"/>
  <c r="C954" i="85"/>
  <c r="C1147" i="85"/>
  <c r="C1930" i="85"/>
  <c r="C652" i="85"/>
  <c r="C779" i="85"/>
  <c r="C1475" i="85"/>
  <c r="C304" i="85"/>
  <c r="C1617" i="85"/>
  <c r="C1944" i="85"/>
  <c r="C1188" i="85"/>
  <c r="C1609" i="85"/>
  <c r="C955" i="85"/>
  <c r="C588" i="85"/>
  <c r="C227" i="85"/>
  <c r="C1496" i="85"/>
  <c r="C601" i="85"/>
  <c r="C598" i="85"/>
  <c r="C1185" i="85"/>
  <c r="C1736" i="85"/>
  <c r="C1864" i="85"/>
  <c r="C1793" i="85"/>
  <c r="C341" i="85"/>
  <c r="C1663" i="85"/>
  <c r="C1055" i="85"/>
  <c r="C511" i="85"/>
  <c r="C392" i="85"/>
  <c r="C1443" i="85"/>
  <c r="C864" i="85"/>
  <c r="C400" i="85"/>
  <c r="C422" i="85"/>
  <c r="C1352" i="85"/>
  <c r="C1529" i="85"/>
  <c r="C128" i="85"/>
  <c r="C43" i="85"/>
  <c r="C1977" i="85"/>
  <c r="C1470" i="85"/>
  <c r="C937" i="85"/>
  <c r="C53" i="85"/>
  <c r="C1897" i="85"/>
  <c r="C946" i="85"/>
  <c r="C466" i="85"/>
  <c r="C763" i="85"/>
  <c r="C1398" i="85"/>
  <c r="C1337" i="85"/>
  <c r="C1748" i="85"/>
  <c r="C68" i="85"/>
  <c r="C1162" i="85"/>
  <c r="C282" i="85"/>
  <c r="C1288" i="85"/>
  <c r="C246" i="85"/>
  <c r="C1029" i="85"/>
  <c r="C42" i="85"/>
  <c r="C1708" i="85"/>
  <c r="C1555" i="85"/>
  <c r="C1150" i="85"/>
  <c r="C1854" i="85"/>
  <c r="C1404" i="85"/>
  <c r="C216" i="85"/>
  <c r="C1800" i="85"/>
  <c r="C199" i="85"/>
  <c r="C842" i="85"/>
  <c r="C670" i="85"/>
  <c r="C417" i="85"/>
  <c r="C385" i="85"/>
  <c r="C798" i="85"/>
  <c r="C722" i="85"/>
  <c r="C1441" i="85"/>
  <c r="C1072" i="85"/>
  <c r="C1070" i="85"/>
  <c r="C789" i="85"/>
  <c r="C967" i="85"/>
  <c r="C673" i="85"/>
  <c r="C1821" i="85"/>
  <c r="C617" i="85"/>
  <c r="C1420" i="85"/>
  <c r="C1915" i="85"/>
  <c r="C804" i="85"/>
  <c r="C708" i="85"/>
  <c r="C1876" i="85"/>
  <c r="C956" i="85"/>
  <c r="C172" i="85"/>
  <c r="C293" i="85"/>
  <c r="C1616" i="85"/>
  <c r="C1305" i="85"/>
  <c r="C236" i="85"/>
  <c r="C616" i="85"/>
  <c r="C345" i="85"/>
  <c r="C399" i="85"/>
  <c r="C1132" i="85"/>
  <c r="C376" i="85"/>
  <c r="C950" i="85"/>
  <c r="C1358" i="85"/>
  <c r="C1685" i="85"/>
  <c r="C1090" i="85"/>
  <c r="C1689" i="85"/>
  <c r="C1319" i="85"/>
  <c r="C712" i="85"/>
  <c r="C299" i="85"/>
  <c r="C1886" i="85"/>
  <c r="C81" i="85"/>
  <c r="C50" i="85"/>
  <c r="C1329" i="85"/>
  <c r="C1257" i="85"/>
  <c r="C1144" i="85"/>
  <c r="C1109" i="85"/>
  <c r="C594" i="85"/>
  <c r="C1762" i="85"/>
  <c r="C1584" i="85"/>
  <c r="C1362" i="85"/>
  <c r="C1450" i="85"/>
  <c r="C1581" i="85"/>
  <c r="C324" i="85"/>
  <c r="C1119" i="85"/>
  <c r="C1916" i="85"/>
  <c r="C221" i="85"/>
  <c r="C1623" i="85"/>
  <c r="C1210" i="85"/>
  <c r="C1000" i="85"/>
  <c r="C1806" i="85"/>
  <c r="C1853" i="85"/>
  <c r="C1006" i="85"/>
  <c r="C913" i="85"/>
  <c r="C876" i="85"/>
  <c r="C40" i="85"/>
  <c r="C487" i="85"/>
  <c r="C1045" i="85"/>
  <c r="C370" i="85"/>
  <c r="C801" i="85"/>
  <c r="C1061" i="85"/>
  <c r="C1490" i="85"/>
  <c r="C1597" i="85"/>
  <c r="C1964" i="85"/>
  <c r="C1155" i="85"/>
  <c r="C1479" i="85"/>
  <c r="C1082" i="85"/>
  <c r="C634" i="85"/>
  <c r="C1639" i="85"/>
  <c r="C1294" i="85"/>
  <c r="C118" i="85"/>
  <c r="C805" i="85"/>
  <c r="C1225" i="85"/>
  <c r="C204" i="85"/>
  <c r="C291" i="85"/>
  <c r="C699" i="85"/>
  <c r="C1670" i="85"/>
  <c r="C1830" i="85"/>
  <c r="C198" i="85"/>
  <c r="C1702" i="85"/>
  <c r="C444" i="85"/>
  <c r="C1374" i="85"/>
  <c r="C580" i="85"/>
  <c r="C1027" i="85"/>
  <c r="C1667" i="85"/>
  <c r="C1679" i="85"/>
  <c r="C432" i="85"/>
  <c r="C1078" i="85"/>
  <c r="C49" i="85"/>
  <c r="C1846" i="85"/>
  <c r="C766" i="85"/>
  <c r="C1515" i="85"/>
  <c r="C1154" i="85"/>
  <c r="C1306" i="85"/>
  <c r="C1385" i="85"/>
  <c r="C1449" i="85"/>
  <c r="C1761" i="85"/>
  <c r="C1223" i="85"/>
  <c r="C1763" i="85"/>
  <c r="C1957" i="85"/>
  <c r="C1628" i="85"/>
  <c r="C406" i="85"/>
  <c r="C1969" i="85"/>
  <c r="C657" i="85"/>
  <c r="C510" i="85"/>
  <c r="C1445" i="85"/>
  <c r="C1350" i="85"/>
  <c r="C731" i="85"/>
  <c r="C1644" i="85"/>
  <c r="C481" i="85"/>
  <c r="C1920" i="85"/>
  <c r="C945" i="85"/>
  <c r="C1908" i="85"/>
  <c r="C1129" i="85"/>
  <c r="C1894" i="85"/>
  <c r="C1741" i="85"/>
  <c r="C1513" i="85"/>
  <c r="C1966" i="85"/>
  <c r="C1271" i="85"/>
  <c r="C1527" i="85"/>
  <c r="C1917" i="85"/>
  <c r="C628" i="85"/>
  <c r="C820" i="85"/>
  <c r="C300" i="85"/>
  <c r="C436" i="85"/>
  <c r="C1181" i="85"/>
  <c r="C965" i="85"/>
  <c r="C1559" i="85"/>
  <c r="C627" i="85"/>
  <c r="C1417" i="85"/>
  <c r="C837" i="85"/>
  <c r="C568" i="85"/>
  <c r="C1960" i="85"/>
  <c r="C1101" i="85"/>
  <c r="C302" i="85"/>
  <c r="C535" i="85"/>
  <c r="C454" i="85"/>
  <c r="C733" i="85"/>
  <c r="C817" i="85"/>
  <c r="C519" i="85"/>
  <c r="C210" i="85"/>
  <c r="C926" i="85"/>
  <c r="C609" i="85"/>
  <c r="C479" i="85"/>
  <c r="C1122" i="85"/>
  <c r="C781" i="85"/>
  <c r="C266" i="85"/>
  <c r="C1811" i="85"/>
  <c r="C1910" i="85"/>
  <c r="C1192" i="85"/>
  <c r="C1167" i="85"/>
  <c r="C1217" i="85"/>
  <c r="C1400" i="85"/>
  <c r="C1414" i="85"/>
  <c r="C1924" i="85"/>
  <c r="C595" i="85"/>
  <c r="C1951" i="85"/>
  <c r="C1353" i="85"/>
  <c r="C1314" i="85"/>
  <c r="C1259" i="85"/>
  <c r="C329" i="85"/>
  <c r="C1570" i="85"/>
  <c r="C774" i="85"/>
  <c r="C1831" i="85"/>
  <c r="C1146" i="85"/>
  <c r="C1981" i="85"/>
  <c r="C1525" i="85"/>
  <c r="C1600" i="85"/>
  <c r="C1364" i="85"/>
  <c r="C1509" i="85"/>
  <c r="C927" i="85"/>
  <c r="C1103" i="85"/>
  <c r="C1812" i="85"/>
  <c r="C349" i="85"/>
  <c r="C757" i="85"/>
  <c r="C539" i="85"/>
  <c r="C644" i="85"/>
  <c r="C1568" i="85"/>
  <c r="C359" i="85"/>
  <c r="C1798" i="85"/>
  <c r="C431" i="85"/>
  <c r="C1892" i="85"/>
  <c r="C459" i="85"/>
  <c r="C865" i="85"/>
  <c r="C1704" i="85"/>
  <c r="C1437" i="85"/>
  <c r="C1574" i="85"/>
  <c r="C908" i="85"/>
  <c r="C1622" i="85"/>
  <c r="C169" i="85"/>
  <c r="C547" i="85"/>
  <c r="C441" i="85"/>
  <c r="C1780" i="85"/>
  <c r="C306" i="85"/>
  <c r="C1985" i="85"/>
  <c r="C1073" i="85"/>
  <c r="C1909" i="85"/>
  <c r="C1336" i="85"/>
  <c r="C1591" i="85"/>
  <c r="C726" i="85"/>
  <c r="C1694" i="85"/>
  <c r="C1373" i="85"/>
  <c r="C894" i="85"/>
  <c r="C1954" i="85"/>
  <c r="C1837" i="85"/>
  <c r="C86" i="85"/>
  <c r="C735" i="8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K30" authorId="1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 612/2021 - base dez/20 atualizado para o mês anterior ao reajuste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tc={9B22C5CE-6B55-472A-8EE9-509EFFC75186}</author>
  </authors>
  <commentList>
    <comment ref="G45" authorId="0" shapeId="0" xr:uid="{9B22C5CE-6B55-472A-8EE9-509EFFC75186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Érika, aqui estava como parcela B e mudei para Energia genérico. Precisa confirmar ok?
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12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6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D41" authorId="0" shapeId="0" xr:uid="{3436AD5C-B4C0-4807-9908-1A9433F30F6C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<sst xmlns="http://schemas.openxmlformats.org/spreadsheetml/2006/main" count="16822" uniqueCount="2453">
  <si>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</si>
  <si>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</si>
  <si>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</si>
  <si>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</si>
  <si>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</si>
  <si>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</si>
  <si>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</si>
  <si>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</si>
  <si>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</si>
  <si>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</si>
  <si>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</si>
  <si>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</si>
  <si>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</si>
  <si>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</si>
  <si>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</si>
  <si>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</si>
  <si>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</si>
  <si>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</si>
  <si>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</si>
  <si>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</si>
  <si>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</si>
  <si>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</si>
  <si>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</si>
  <si>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</si>
  <si>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</si>
  <si>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</si>
  <si>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</si>
  <si>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</si>
  <si>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</si>
  <si>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</si>
  <si>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</si>
  <si>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</si>
  <si>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</si>
  <si>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</si>
  <si>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</si>
  <si>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</si>
  <si>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</si>
  <si>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</si>
  <si>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</si>
  <si>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</si>
  <si>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</si>
  <si>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</si>
  <si>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</si>
  <si>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</si>
  <si>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</si>
  <si>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</si>
  <si>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</si>
  <si>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</si>
  <si>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</si>
  <si>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</si>
  <si>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</si>
  <si>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</si>
  <si>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</si>
  <si>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</si>
  <si>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</si>
  <si>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</si>
  <si>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</si>
  <si>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</si>
  <si>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</si>
  <si>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</si>
  <si>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</si>
  <si>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</si>
  <si>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</si>
  <si>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</si>
  <si>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</si>
  <si>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</si>
  <si>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</si>
  <si>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</si>
  <si>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</si>
  <si>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</si>
  <si>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</si>
  <si>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</si>
  <si>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</si>
  <si>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</si>
  <si>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</si>
  <si>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</si>
  <si>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</si>
  <si>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</si>
  <si>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</si>
  <si>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</si>
  <si>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</si>
  <si>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</si>
  <si>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</si>
  <si>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</si>
  <si>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</si>
  <si>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</si>
  <si>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</si>
  <si>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</si>
  <si>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</si>
  <si>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</si>
  <si>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</si>
  <si>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</si>
  <si>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</si>
  <si>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</si>
  <si>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</si>
  <si>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</si>
  <si>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</si>
  <si>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</si>
  <si>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</si>
  <si>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</si>
  <si>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</si>
  <si>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</si>
  <si>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</si>
  <si>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</si>
  <si>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Parcela B</t>
  </si>
  <si>
    <t>Diferimentos</t>
  </si>
  <si>
    <t>Empresa</t>
  </si>
  <si>
    <t>Neutralidade</t>
  </si>
  <si>
    <t>Energia</t>
  </si>
  <si>
    <t>Proinfa</t>
  </si>
  <si>
    <t>RB</t>
  </si>
  <si>
    <t>ESS</t>
  </si>
  <si>
    <t>CFURH</t>
  </si>
  <si>
    <t>Eletroacre</t>
  </si>
  <si>
    <t/>
  </si>
  <si>
    <t>CEA</t>
  </si>
  <si>
    <t>ETO</t>
  </si>
  <si>
    <t>Cemar</t>
  </si>
  <si>
    <t>Cepisa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</si>
  <si>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</si>
  <si>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</si>
  <si>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</si>
  <si>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</si>
  <si>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</si>
  <si>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</si>
  <si>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</si>
  <si>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</si>
  <si>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</si>
  <si>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</si>
  <si>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</si>
  <si>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</si>
  <si>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</si>
  <si>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Celpa</t>
  </si>
  <si>
    <t>ELFSM</t>
  </si>
  <si>
    <t>Light</t>
  </si>
  <si>
    <t>Enel RJ</t>
  </si>
  <si>
    <t>Elektro</t>
  </si>
  <si>
    <t>Eletrocar</t>
  </si>
  <si>
    <t>Hidropan</t>
  </si>
  <si>
    <t>Uhenpal</t>
  </si>
  <si>
    <t>MuxEnergia</t>
  </si>
  <si>
    <t xml:space="preserve">EMS </t>
  </si>
  <si>
    <t>EMT</t>
  </si>
  <si>
    <t>Creluz</t>
  </si>
  <si>
    <t>Ceriluz</t>
  </si>
  <si>
    <t>Copel-DIS</t>
  </si>
  <si>
    <t>CPFL Piratininga</t>
  </si>
  <si>
    <t>Cemig-D</t>
  </si>
  <si>
    <t>CEB-DIS</t>
  </si>
  <si>
    <t>Ceres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</si>
  <si>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</si>
  <si>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</si>
  <si>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</si>
  <si>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</si>
  <si>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</si>
  <si>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</si>
  <si>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</si>
  <si>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</si>
  <si>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EMG</t>
  </si>
  <si>
    <t>ESE</t>
  </si>
  <si>
    <t>EPB</t>
  </si>
  <si>
    <t>Ceral Araruama</t>
  </si>
  <si>
    <t>EBO</t>
  </si>
  <si>
    <t>ENF</t>
  </si>
  <si>
    <t>AmE</t>
  </si>
  <si>
    <t>Certel</t>
  </si>
  <si>
    <t>CPFL Santa Cruz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</si>
  <si>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</si>
  <si>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</si>
  <si>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</si>
  <si>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</si>
  <si>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</si>
  <si>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</si>
  <si>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</si>
  <si>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</si>
  <si>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</si>
  <si>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</si>
  <si>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</si>
  <si>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</si>
  <si>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</si>
  <si>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</si>
  <si>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</si>
  <si>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</si>
  <si>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</si>
  <si>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</si>
  <si>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</si>
  <si>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</si>
  <si>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</si>
  <si>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</si>
  <si>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</si>
  <si>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</si>
  <si>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</si>
  <si>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</si>
  <si>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</si>
  <si>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</si>
  <si>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</si>
  <si>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</si>
  <si>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</si>
  <si>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</si>
  <si>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</si>
  <si>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</si>
  <si>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</si>
  <si>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</si>
  <si>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</si>
  <si>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</si>
  <si>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</si>
  <si>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</si>
  <si>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</si>
  <si>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</si>
  <si>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Beta</t>
  </si>
  <si>
    <t>Contrato Permissão</t>
  </si>
  <si>
    <t>Data Contrato</t>
  </si>
  <si>
    <t>Próxima Revisão</t>
  </si>
  <si>
    <t>Densidade Cooperativa</t>
  </si>
  <si>
    <t>Densidade Principal Supridora</t>
  </si>
  <si>
    <t>Geração Própria</t>
  </si>
  <si>
    <t>Data de referência da Geração Própria</t>
  </si>
  <si>
    <t>Data original</t>
  </si>
  <si>
    <t>Regularização</t>
  </si>
  <si>
    <t>=&gt; Lista ordem alfabetica</t>
  </si>
  <si>
    <t>Cedrap</t>
  </si>
  <si>
    <t>Cooperativa de Eletrificação e Desenvolvimento Rural do Alto Paraíba Ltda</t>
  </si>
  <si>
    <t>C01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</si>
  <si>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</si>
  <si>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</si>
  <si>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</si>
  <si>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</si>
  <si>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</si>
  <si>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</si>
  <si>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</si>
  <si>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</si>
  <si>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</si>
  <si>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</si>
  <si>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</si>
  <si>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</si>
  <si>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</si>
  <si>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</si>
  <si>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</si>
  <si>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</si>
  <si>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</si>
  <si>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</si>
  <si>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Ceripa</t>
  </si>
  <si>
    <t>Cooperativa de Eletrificação Rural de Itaí-Paranapanema-Avaré</t>
  </si>
  <si>
    <t>C06</t>
  </si>
  <si>
    <t>Itaí</t>
  </si>
  <si>
    <t>04/2008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</si>
  <si>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</si>
  <si>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</si>
  <si>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</si>
  <si>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</si>
  <si>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</si>
  <si>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</si>
  <si>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</si>
  <si>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</si>
  <si>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</si>
  <si>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</si>
  <si>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</si>
  <si>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</si>
  <si>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</si>
  <si>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</si>
  <si>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</si>
  <si>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</si>
  <si>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</si>
  <si>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</si>
  <si>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</si>
  <si>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</si>
  <si>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</si>
  <si>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</si>
  <si>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</si>
  <si>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</si>
  <si>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</si>
  <si>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</si>
  <si>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</si>
  <si>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</si>
  <si>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</si>
  <si>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</si>
  <si>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</si>
  <si>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</si>
  <si>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</si>
  <si>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</si>
  <si>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</si>
  <si>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</si>
  <si>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</si>
  <si>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</si>
  <si>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</si>
  <si>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</si>
  <si>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</si>
  <si>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</si>
  <si>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</si>
  <si>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</si>
  <si>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</si>
  <si>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</si>
  <si>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</si>
  <si>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</si>
  <si>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</si>
  <si>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</si>
  <si>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</si>
  <si>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</si>
  <si>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</si>
  <si>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</si>
  <si>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</si>
  <si>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</si>
  <si>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</si>
  <si>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</si>
  <si>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</si>
  <si>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</si>
  <si>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</si>
  <si>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</si>
  <si>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</si>
  <si>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</si>
  <si>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</si>
  <si>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</si>
  <si>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</si>
  <si>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</si>
  <si>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</si>
  <si>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</si>
  <si>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</si>
  <si>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</si>
  <si>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</si>
  <si>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</si>
  <si>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</si>
  <si>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</si>
  <si>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</si>
  <si>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</si>
  <si>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</si>
  <si>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</si>
  <si>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</si>
  <si>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</si>
  <si>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</si>
  <si>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</si>
  <si>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</si>
  <si>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</si>
  <si>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</si>
  <si>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</si>
  <si>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</si>
  <si>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</si>
  <si>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</si>
  <si>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</si>
  <si>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</si>
  <si>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</si>
  <si>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</si>
  <si>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</si>
  <si>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</si>
  <si>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</si>
  <si>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</si>
  <si>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</si>
  <si>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</si>
  <si>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</si>
  <si>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</si>
  <si>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</si>
  <si>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</si>
  <si>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</si>
  <si>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</si>
  <si>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</si>
  <si>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</si>
  <si>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</si>
  <si>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</si>
  <si>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</si>
  <si>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</si>
  <si>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</si>
  <si>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</si>
  <si>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</si>
  <si>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</si>
  <si>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</si>
  <si>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</si>
  <si>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</si>
  <si>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</si>
  <si>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</si>
  <si>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</si>
  <si>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</si>
  <si>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</si>
  <si>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</si>
  <si>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</si>
  <si>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</si>
  <si>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</si>
  <si>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</si>
  <si>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</si>
  <si>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</si>
  <si>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</si>
  <si>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</si>
  <si>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</si>
  <si>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</si>
  <si>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</si>
  <si>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</si>
  <si>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</si>
  <si>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</si>
  <si>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</si>
  <si>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</si>
  <si>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</si>
  <si>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</si>
  <si>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</si>
  <si>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</si>
  <si>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</si>
  <si>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</si>
  <si>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</si>
  <si>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</si>
  <si>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</si>
  <si>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</si>
  <si>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</si>
  <si>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</si>
  <si>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</si>
  <si>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</si>
  <si>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</si>
  <si>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</si>
  <si>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</si>
  <si>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</si>
  <si>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</si>
  <si>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</si>
  <si>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</si>
  <si>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</si>
  <si>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</si>
  <si>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</si>
  <si>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</si>
  <si>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</si>
  <si>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</si>
  <si>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</si>
  <si>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</si>
  <si>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</si>
  <si>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</si>
  <si>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</si>
  <si>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</si>
  <si>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</si>
  <si>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</si>
  <si>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</si>
  <si>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</si>
  <si>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</si>
  <si>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</si>
  <si>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</si>
  <si>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</si>
  <si>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</si>
  <si>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</si>
  <si>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</si>
  <si>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</si>
  <si>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</si>
  <si>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</si>
  <si>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</si>
  <si>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</si>
  <si>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</si>
  <si>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</si>
  <si>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</si>
  <si>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</si>
  <si>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</si>
  <si>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</si>
  <si>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</si>
  <si>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</si>
  <si>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</si>
  <si>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</si>
  <si>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</si>
  <si>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</si>
  <si>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</si>
  <si>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</si>
  <si>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</si>
  <si>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</si>
  <si>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</si>
  <si>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</si>
  <si>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</si>
  <si>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</si>
  <si>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</si>
  <si>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</si>
  <si>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</si>
  <si>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</si>
  <si>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</si>
  <si>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</si>
  <si>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</si>
  <si>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</si>
  <si>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</si>
  <si>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</si>
  <si>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</si>
  <si>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</si>
  <si>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</si>
  <si>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</si>
  <si>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</si>
  <si>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</si>
  <si>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</si>
  <si>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</si>
  <si>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</si>
  <si>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</si>
  <si>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</si>
  <si>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</si>
  <si>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</si>
  <si>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</si>
  <si>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</si>
  <si>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</si>
  <si>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</si>
  <si>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</si>
  <si>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</si>
  <si>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</si>
  <si>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</si>
  <si>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</si>
  <si>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</si>
  <si>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</si>
  <si>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</si>
  <si>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</si>
  <si>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</si>
  <si>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</si>
  <si>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</si>
  <si>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</si>
  <si>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</si>
  <si>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</si>
  <si>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</si>
  <si>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</si>
  <si>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</si>
  <si>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</si>
  <si>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</si>
  <si>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</si>
  <si>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</si>
  <si>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</si>
  <si>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</si>
  <si>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</si>
  <si>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</si>
  <si>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</si>
  <si>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</si>
  <si>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</si>
  <si>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</si>
  <si>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</si>
  <si>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</si>
  <si>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</si>
  <si>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</si>
  <si>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</si>
  <si>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</si>
  <si>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</si>
  <si>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</si>
  <si>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</si>
  <si>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</si>
  <si>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</si>
  <si>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</si>
  <si>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</si>
  <si>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</si>
  <si>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</si>
  <si>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</si>
  <si>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</si>
  <si>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</si>
  <si>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</si>
  <si>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</si>
  <si>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</si>
  <si>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</si>
  <si>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</si>
  <si>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</si>
  <si>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</si>
  <si>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</si>
  <si>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</si>
  <si>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</si>
  <si>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</si>
  <si>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</si>
  <si>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</si>
  <si>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</si>
  <si>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</si>
  <si>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</si>
  <si>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</si>
  <si>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</si>
  <si>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</si>
  <si>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</si>
  <si>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</si>
  <si>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</si>
  <si>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</si>
  <si>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</si>
  <si>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</si>
  <si>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</si>
  <si>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</si>
  <si>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</si>
  <si>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</si>
  <si>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</si>
  <si>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</si>
  <si>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</si>
  <si>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</si>
  <si>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</si>
  <si>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</si>
  <si>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</si>
  <si>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</si>
  <si>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</si>
  <si>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</si>
  <si>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</si>
  <si>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</si>
  <si>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</si>
  <si>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</si>
  <si>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</si>
  <si>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</si>
  <si>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</si>
  <si>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</si>
  <si>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</si>
  <si>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</si>
  <si>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</si>
  <si>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</si>
  <si>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</si>
  <si>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</si>
  <si>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</si>
  <si>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</si>
  <si>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</si>
  <si>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</si>
  <si>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</si>
  <si>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</si>
  <si>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</si>
  <si>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</si>
  <si>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</si>
  <si>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</si>
  <si>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</si>
  <si>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</si>
  <si>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</si>
  <si>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</si>
  <si>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</si>
  <si>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</si>
  <si>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</si>
  <si>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</si>
  <si>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</si>
  <si>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</si>
  <si>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</si>
  <si>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</si>
  <si>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</si>
  <si>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</si>
  <si>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</si>
  <si>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</si>
  <si>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</si>
  <si>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</si>
  <si>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</si>
  <si>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</si>
  <si>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</si>
  <si>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</si>
  <si>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</si>
  <si>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</si>
  <si>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</si>
  <si>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</si>
  <si>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</si>
  <si>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</si>
  <si>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</si>
  <si>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</si>
  <si>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</si>
  <si>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</si>
  <si>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</si>
  <si>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</si>
  <si>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</si>
  <si>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</si>
  <si>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</si>
  <si>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Mercado MWh</t>
  </si>
  <si>
    <t>Fator X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</si>
  <si>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</si>
  <si>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</si>
  <si>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</si>
  <si>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</si>
  <si>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</si>
  <si>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</si>
  <si>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</si>
  <si>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</si>
  <si>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</si>
  <si>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</si>
  <si>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</si>
  <si>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</si>
  <si>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</si>
  <si>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</si>
  <si>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</si>
  <si>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</si>
  <si>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</si>
  <si>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</si>
  <si>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</si>
  <si>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</si>
  <si>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</si>
  <si>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</si>
  <si>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</si>
  <si>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</si>
  <si>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</si>
  <si>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</si>
  <si>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</si>
  <si>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</si>
  <si>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</si>
  <si>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</si>
  <si>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</si>
  <si>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</si>
  <si>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</si>
  <si>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</si>
  <si>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</si>
  <si>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</si>
  <si>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</si>
  <si>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</si>
  <si>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</si>
  <si>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</si>
  <si>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</si>
  <si>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</si>
  <si>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</si>
  <si>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</si>
  <si>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</si>
  <si>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</si>
  <si>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</si>
  <si>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</si>
  <si>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</si>
  <si>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</si>
  <si>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</si>
  <si>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</si>
  <si>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</si>
  <si>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</si>
  <si>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</si>
  <si>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</si>
  <si>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</si>
  <si>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</si>
  <si>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</si>
  <si>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</si>
  <si>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</si>
  <si>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</si>
  <si>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</si>
  <si>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</si>
  <si>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</si>
  <si>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</si>
  <si>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</si>
  <si>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</si>
  <si>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</si>
  <si>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</si>
  <si>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</si>
  <si>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</si>
  <si>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</si>
  <si>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</si>
  <si>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</si>
  <si>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</si>
  <si>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</si>
  <si>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</si>
  <si>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</si>
  <si>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</si>
  <si>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</si>
  <si>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</si>
  <si>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</si>
  <si>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</si>
  <si>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</si>
  <si>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</si>
  <si>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</si>
  <si>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</si>
  <si>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</si>
  <si>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</si>
  <si>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</si>
  <si>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</si>
  <si>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</si>
  <si>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</si>
  <si>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</si>
  <si>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</si>
  <si>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</si>
  <si>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</si>
  <si>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</si>
  <si>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</si>
  <si>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</si>
  <si>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</si>
  <si>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</si>
  <si>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</si>
  <si>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</si>
  <si>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</si>
  <si>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</si>
  <si>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</si>
  <si>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</si>
  <si>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</si>
  <si>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</si>
  <si>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</si>
  <si>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</si>
  <si>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</si>
  <si>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</si>
  <si>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</si>
  <si>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</si>
  <si>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</si>
  <si>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</si>
  <si>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</si>
  <si>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</si>
  <si>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</si>
  <si>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</si>
  <si>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</si>
  <si>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</si>
  <si>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</si>
  <si>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</si>
  <si>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</si>
  <si>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</si>
  <si>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</si>
  <si>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</si>
  <si>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</si>
  <si>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</si>
  <si>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</si>
  <si>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</si>
  <si>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</si>
  <si>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</si>
  <si>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</si>
  <si>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</si>
  <si>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</si>
  <si>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</si>
  <si>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</si>
  <si>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</si>
  <si>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</si>
  <si>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</si>
  <si>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</si>
  <si>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</si>
  <si>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</si>
  <si>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</si>
  <si>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</si>
  <si>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</si>
  <si>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</si>
  <si>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</si>
  <si>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</si>
  <si>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</si>
  <si>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</si>
  <si>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</si>
  <si>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</si>
  <si>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</si>
  <si>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</si>
  <si>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</si>
  <si>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</si>
  <si>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</si>
  <si>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</si>
  <si>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</si>
  <si>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</si>
  <si>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</si>
  <si>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</si>
  <si>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</si>
  <si>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</si>
  <si>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</si>
  <si>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</si>
  <si>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</si>
  <si>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</si>
  <si>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</si>
  <si>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</si>
  <si>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</si>
  <si>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</si>
  <si>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</si>
  <si>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</si>
  <si>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</si>
  <si>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</si>
  <si>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</si>
  <si>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</si>
  <si>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</si>
  <si>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</si>
  <si>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</si>
  <si>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</si>
  <si>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</si>
  <si>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</si>
  <si>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</si>
  <si>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</si>
  <si>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</si>
  <si>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</si>
  <si>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</si>
  <si>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</si>
  <si>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</si>
  <si>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</si>
  <si>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</si>
  <si>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</si>
  <si>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</si>
  <si>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</si>
  <si>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</si>
  <si>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</si>
  <si>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</si>
  <si>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</si>
  <si>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</si>
  <si>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</si>
  <si>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</si>
  <si>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</si>
  <si>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</si>
  <si>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</si>
  <si>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</si>
  <si>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</si>
  <si>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</si>
  <si>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</si>
  <si>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</si>
  <si>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</si>
  <si>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</si>
  <si>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</si>
  <si>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</si>
  <si>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</si>
  <si>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</si>
  <si>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</si>
  <si>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</si>
  <si>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</si>
  <si>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</si>
  <si>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</si>
  <si>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</si>
  <si>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</si>
  <si>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</si>
  <si>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</si>
  <si>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</si>
  <si>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</si>
  <si>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</si>
  <si>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</si>
  <si>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</si>
  <si>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</si>
  <si>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</si>
  <si>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</si>
  <si>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</si>
  <si>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</si>
  <si>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</si>
  <si>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</si>
  <si>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</si>
  <si>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</si>
  <si>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</si>
  <si>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</si>
  <si>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</si>
  <si>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</si>
  <si>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</si>
  <si>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</si>
  <si>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</si>
  <si>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</si>
  <si>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</si>
  <si>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</si>
  <si>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</si>
  <si>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</si>
  <si>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</si>
  <si>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</si>
  <si>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</si>
  <si>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</si>
  <si>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</si>
  <si>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</si>
  <si>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</si>
  <si>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</si>
  <si>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</si>
  <si>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</si>
  <si>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</si>
  <si>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</si>
  <si>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</si>
  <si>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</si>
  <si>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</si>
  <si>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</si>
  <si>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</si>
  <si>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</si>
  <si>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</si>
  <si>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</si>
  <si>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</si>
  <si>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</si>
  <si>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</si>
  <si>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</si>
  <si>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</si>
  <si>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</si>
  <si>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</si>
  <si>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</si>
  <si>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</si>
  <si>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</si>
  <si>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</si>
  <si>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</si>
  <si>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</si>
  <si>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</si>
  <si>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</si>
  <si>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</si>
  <si>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</si>
  <si>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</si>
  <si>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</si>
  <si>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</si>
  <si>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</si>
  <si>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</si>
  <si>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</si>
  <si>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</si>
  <si>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</si>
  <si>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</si>
  <si>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</si>
  <si>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</si>
  <si>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</si>
  <si>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</si>
  <si>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</si>
  <si>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</si>
  <si>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</si>
  <si>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</si>
  <si>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</si>
  <si>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</si>
  <si>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</si>
  <si>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</si>
  <si>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</si>
  <si>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</si>
  <si>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</si>
  <si>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</si>
  <si>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</si>
  <si>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</si>
  <si>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</si>
  <si>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</si>
  <si>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</si>
  <si>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</si>
  <si>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</si>
  <si>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</si>
  <si>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</si>
  <si>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</si>
  <si>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</si>
  <si>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</si>
  <si>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</si>
  <si>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</si>
  <si>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</si>
  <si>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</si>
  <si>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</si>
  <si>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</si>
  <si>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</si>
  <si>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</si>
  <si>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</si>
  <si>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</si>
  <si>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</si>
  <si>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</si>
  <si>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</si>
  <si>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</si>
  <si>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</si>
  <si>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</si>
  <si>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</si>
  <si>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</si>
  <si>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</si>
  <si>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</si>
  <si>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</si>
  <si>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</si>
  <si>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</si>
  <si>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</si>
  <si>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</si>
  <si>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</si>
  <si>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</si>
  <si>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</si>
  <si>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</si>
  <si>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</si>
  <si>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</si>
  <si>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</si>
  <si>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</si>
  <si>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</si>
  <si>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</si>
  <si>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</si>
  <si>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</si>
  <si>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</si>
  <si>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</si>
  <si>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</si>
  <si>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</si>
  <si>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</si>
  <si>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</si>
  <si>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</si>
  <si>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</si>
  <si>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</si>
  <si>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</si>
  <si>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</si>
  <si>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</si>
  <si>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</si>
  <si>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</si>
  <si>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</si>
  <si>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</si>
  <si>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</si>
  <si>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</si>
  <si>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</si>
  <si>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</si>
  <si>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</si>
  <si>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</si>
  <si>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</si>
  <si>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</si>
  <si>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</si>
  <si>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</si>
  <si>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</si>
  <si>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</si>
  <si>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</si>
  <si>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</si>
  <si>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</si>
  <si>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</si>
  <si>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</si>
  <si>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</si>
  <si>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</si>
  <si>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</si>
  <si>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</si>
  <si>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</si>
  <si>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</si>
  <si>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</si>
  <si>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</si>
  <si>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</si>
  <si>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</si>
  <si>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</si>
  <si>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</si>
  <si>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</si>
  <si>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</si>
  <si>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</si>
  <si>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</si>
  <si>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</si>
  <si>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</si>
  <si>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</si>
  <si>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</si>
  <si>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</si>
  <si>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</si>
  <si>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</si>
  <si>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</si>
  <si>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</si>
  <si>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</si>
  <si>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</si>
  <si>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</si>
  <si>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</si>
  <si>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</si>
  <si>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</si>
  <si>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</si>
  <si>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</si>
  <si>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</si>
  <si>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</si>
  <si>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</si>
  <si>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</si>
  <si>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</si>
  <si>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</si>
  <si>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</si>
  <si>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</si>
  <si>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</si>
  <si>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</si>
  <si>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</si>
  <si>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</si>
  <si>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</si>
  <si>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</si>
  <si>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</si>
  <si>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</si>
  <si>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</si>
  <si>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</si>
  <si>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</si>
  <si>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</si>
  <si>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</si>
  <si>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</si>
  <si>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</si>
  <si>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</si>
  <si>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</si>
  <si>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</si>
  <si>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</si>
  <si>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</si>
  <si>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</si>
  <si>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</si>
  <si>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</si>
  <si>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</si>
  <si>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</si>
  <si>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</si>
  <si>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</si>
  <si>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</si>
  <si>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</si>
  <si>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</si>
  <si>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</si>
  <si>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</si>
  <si>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</si>
  <si>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</si>
  <si>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</si>
  <si>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</si>
  <si>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</si>
  <si>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</si>
  <si>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</si>
  <si>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</si>
  <si>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</si>
  <si>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</si>
  <si>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</si>
  <si>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</si>
  <si>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</si>
  <si>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</si>
  <si>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</si>
  <si>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</si>
  <si>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</si>
  <si>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</si>
  <si>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</si>
  <si>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</si>
  <si>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</si>
  <si>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</si>
  <si>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</si>
  <si>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</si>
  <si>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</si>
  <si>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</si>
  <si>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</si>
  <si>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</si>
  <si>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</si>
  <si>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</si>
  <si>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</si>
  <si>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</si>
  <si>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</si>
  <si>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</si>
  <si>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</si>
  <si>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</si>
  <si>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</si>
  <si>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</si>
  <si>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</si>
  <si>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</si>
  <si>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</si>
  <si>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</si>
  <si>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</si>
  <si>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</si>
  <si>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</si>
  <si>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</si>
  <si>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</si>
  <si>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</si>
  <si>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</si>
  <si>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</si>
  <si>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</si>
  <si>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</si>
  <si>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</si>
  <si>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</si>
  <si>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</si>
  <si>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</si>
  <si>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</si>
  <si>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</si>
  <si>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</si>
  <si>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</si>
  <si>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</si>
  <si>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</si>
  <si>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</si>
  <si>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</si>
  <si>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</si>
  <si>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</si>
  <si>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</si>
  <si>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</si>
  <si>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</si>
  <si>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</si>
  <si>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</si>
  <si>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</si>
  <si>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</si>
  <si>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</si>
  <si>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</si>
  <si>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</si>
  <si>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</si>
  <si>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</si>
  <si>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</si>
  <si>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</si>
  <si>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</si>
  <si>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</si>
  <si>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</si>
  <si>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</si>
  <si>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</si>
  <si>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</si>
  <si>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</si>
  <si>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</si>
  <si>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</si>
  <si>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</si>
  <si>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</si>
  <si>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</si>
  <si>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</si>
  <si>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</si>
  <si>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</si>
  <si>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</si>
  <si>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</si>
  <si>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</si>
  <si>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</si>
  <si>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</si>
  <si>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</si>
  <si>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</si>
  <si>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</si>
  <si>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</si>
  <si>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</si>
  <si>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</si>
  <si>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</si>
  <si>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</si>
  <si>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</si>
  <si>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</si>
  <si>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</si>
  <si>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</si>
  <si>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</si>
  <si>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</si>
  <si>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</si>
  <si>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</si>
  <si>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</si>
  <si>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</si>
  <si>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</si>
  <si>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</si>
  <si>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</si>
  <si>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</si>
  <si>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</si>
  <si>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</si>
  <si>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</si>
  <si>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</si>
  <si>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</si>
  <si>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</si>
  <si>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</si>
  <si>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</si>
  <si>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</si>
  <si>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</si>
  <si>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</si>
  <si>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</si>
  <si>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</si>
  <si>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</si>
  <si>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</si>
  <si>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</si>
  <si>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</si>
  <si>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</si>
  <si>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</si>
  <si>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</si>
  <si>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</si>
  <si>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</si>
  <si>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</si>
  <si>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</si>
  <si>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</si>
  <si>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</si>
  <si>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</si>
  <si>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</si>
  <si>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</si>
  <si>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</si>
  <si>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</si>
  <si>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</si>
  <si>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</si>
  <si>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</si>
  <si>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</si>
  <si>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</si>
  <si>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</si>
  <si>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</si>
  <si>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</si>
  <si>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</si>
  <si>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</si>
  <si>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</si>
  <si>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</si>
  <si>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</si>
  <si>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</si>
  <si>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Total encargos</t>
  </si>
  <si>
    <t>Valores arrecadados</t>
  </si>
  <si>
    <t>Base de divisão p/Financeiros</t>
  </si>
  <si>
    <t>Financeiros Estrutura</t>
  </si>
  <si>
    <t>Total dos financeiros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</si>
  <si>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</si>
  <si>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</si>
  <si>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</si>
  <si>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</si>
  <si>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</si>
  <si>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</si>
  <si>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</si>
  <si>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</si>
  <si>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 CUSD</t>
  </si>
  <si>
    <t>Financeiro</t>
  </si>
  <si>
    <t>Ajuste CUST RB + PIS Cofins RB</t>
  </si>
  <si>
    <t>Ajuste CUST RB Fronteira + PIS Cofins RB Fronteira</t>
  </si>
  <si>
    <t>Manual de Contabilidade do Setor Elétrico</t>
  </si>
  <si>
    <t>Compensação DIC FIC</t>
  </si>
  <si>
    <t>Subvenção CDE</t>
  </si>
  <si>
    <t>Retenção de Adicionais de Bandeiras Tarifárias</t>
  </si>
  <si>
    <t>Multa LPT</t>
  </si>
  <si>
    <t>Repasse de ICMS CUSD</t>
  </si>
  <si>
    <t>Repasse de ICMS TE</t>
  </si>
  <si>
    <t>Ressarcimento P&amp;D</t>
  </si>
  <si>
    <t>Efeito Conta COVID</t>
  </si>
  <si>
    <t>Efeito COVID da Supridora</t>
  </si>
  <si>
    <t>Crédito de Pis Cofins sobre ICMS</t>
  </si>
  <si>
    <t>Diferimento Pis Cofins TUSD</t>
  </si>
  <si>
    <t>Diferimento Pis Cofins TE</t>
  </si>
  <si>
    <t>Financeiros associados ao §7º do Art. 88 da Ren 414/2021</t>
  </si>
  <si>
    <t>Reversão de Risco Hidrológico</t>
  </si>
  <si>
    <t>CVA em Processamento e Saldo a Compensar</t>
  </si>
  <si>
    <t>Delta   (R$)</t>
  </si>
  <si>
    <t>5° Dia Útil Anterior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</si>
  <si>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</si>
  <si>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</si>
  <si>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</si>
  <si>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</si>
  <si>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</si>
  <si>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</si>
  <si>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</si>
  <si>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</si>
  <si>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</si>
  <si>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</si>
  <si>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</si>
  <si>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Fator Selic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</si>
  <si>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</si>
  <si>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</si>
  <si>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</si>
  <si>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</si>
  <si>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</si>
  <si>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</si>
  <si>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</si>
  <si>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</si>
  <si>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</si>
  <si>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</si>
  <si>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</si>
  <si>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</si>
  <si>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</si>
  <si>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</si>
  <si>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</si>
  <si>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</si>
  <si>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</si>
  <si>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</si>
  <si>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</si>
  <si>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</si>
  <si>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</si>
  <si>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</si>
  <si>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</si>
  <si>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</si>
  <si>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</si>
  <si>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</si>
  <si>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</si>
  <si>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</si>
  <si>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</si>
  <si>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</si>
  <si>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</si>
  <si>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</si>
  <si>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</si>
  <si>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</si>
  <si>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</si>
  <si>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</si>
  <si>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</si>
  <si>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</si>
  <si>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</si>
  <si>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</si>
  <si>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</si>
  <si>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</si>
  <si>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</si>
  <si>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</si>
  <si>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</si>
  <si>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</si>
  <si>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</si>
  <si>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</si>
  <si>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</si>
  <si>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</si>
  <si>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</si>
  <si>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</si>
  <si>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</si>
  <si>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</si>
  <si>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</si>
  <si>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</si>
  <si>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</si>
  <si>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</si>
  <si>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</si>
  <si>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</si>
  <si>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</si>
  <si>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</si>
  <si>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</si>
  <si>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</si>
  <si>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</si>
  <si>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</si>
  <si>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</si>
  <si>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</si>
  <si>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</si>
  <si>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</si>
  <si>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</si>
  <si>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</si>
  <si>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</si>
  <si>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</si>
  <si>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</si>
  <si>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</si>
  <si>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</si>
  <si>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</si>
  <si>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</si>
  <si>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</si>
  <si>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</si>
  <si>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</si>
  <si>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</si>
  <si>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</si>
  <si>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</si>
  <si>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</si>
  <si>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</si>
  <si>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</si>
  <si>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</si>
  <si>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</si>
  <si>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</si>
  <si>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</si>
  <si>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</si>
  <si>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</si>
  <si>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</si>
  <si>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</si>
  <si>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</si>
  <si>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</si>
  <si>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</si>
  <si>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</si>
  <si>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</si>
  <si>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</si>
  <si>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</si>
  <si>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</si>
  <si>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</si>
  <si>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</si>
  <si>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</si>
  <si>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</si>
  <si>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</si>
  <si>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</si>
  <si>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</si>
  <si>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</si>
  <si>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</si>
  <si>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</si>
  <si>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</si>
  <si>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</si>
  <si>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</si>
  <si>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</si>
  <si>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</si>
  <si>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</si>
  <si>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</si>
  <si>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</si>
  <si>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</si>
  <si>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</si>
  <si>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</si>
  <si>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</si>
  <si>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</si>
  <si>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</si>
  <si>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</si>
  <si>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</si>
  <si>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</si>
  <si>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</si>
  <si>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</si>
  <si>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</si>
  <si>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</si>
  <si>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</si>
  <si>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</si>
  <si>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</si>
  <si>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</si>
  <si>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</si>
  <si>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</si>
  <si>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</si>
  <si>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</si>
  <si>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</si>
  <si>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</si>
  <si>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</si>
  <si>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</si>
  <si>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</si>
  <si>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</si>
  <si>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</si>
  <si>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</si>
  <si>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</si>
  <si>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</si>
  <si>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</si>
  <si>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</si>
  <si>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</si>
  <si>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</si>
  <si>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</si>
  <si>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</si>
  <si>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</si>
  <si>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</si>
  <si>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</si>
  <si>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</si>
  <si>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</si>
  <si>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</si>
  <si>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</si>
  <si>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</si>
  <si>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</si>
  <si>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</si>
  <si>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</si>
  <si>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</si>
  <si>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</si>
  <si>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</si>
  <si>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</si>
  <si>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</si>
  <si>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</si>
  <si>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</si>
  <si>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</si>
  <si>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</si>
  <si>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</si>
  <si>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</si>
  <si>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</si>
  <si>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</si>
  <si>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</si>
  <si>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</si>
  <si>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</si>
  <si>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</si>
  <si>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</si>
  <si>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</si>
  <si>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</si>
  <si>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</si>
  <si>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</si>
  <si>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</si>
  <si>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</si>
  <si>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</si>
  <si>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</si>
  <si>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</si>
  <si>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</si>
  <si>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</si>
  <si>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</si>
  <si>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</si>
  <si>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</si>
  <si>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</si>
  <si>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</si>
  <si>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</si>
  <si>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</si>
  <si>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</si>
  <si>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</si>
  <si>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</si>
  <si>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</si>
  <si>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</si>
  <si>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</si>
  <si>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</si>
  <si>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</si>
  <si>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</si>
  <si>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</si>
  <si>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</si>
  <si>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</si>
  <si>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</si>
  <si>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</si>
  <si>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</si>
  <si>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</si>
  <si>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</si>
  <si>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</si>
  <si>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</si>
  <si>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</si>
  <si>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</si>
  <si>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</si>
  <si>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</si>
  <si>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</si>
  <si>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</si>
  <si>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</si>
  <si>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</si>
  <si>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</si>
  <si>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</si>
  <si>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</si>
  <si>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</si>
  <si>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</si>
  <si>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</si>
  <si>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</si>
  <si>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</si>
  <si>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</si>
  <si>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</si>
  <si>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</si>
  <si>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</si>
  <si>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</si>
  <si>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</si>
  <si>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</si>
  <si>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</si>
  <si>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</si>
  <si>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</si>
  <si>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</si>
  <si>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</si>
  <si>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</si>
  <si>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</si>
  <si>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</si>
  <si>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</si>
  <si>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</si>
  <si>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</si>
  <si>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</si>
  <si>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</si>
  <si>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</si>
  <si>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</si>
  <si>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</si>
  <si>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</si>
  <si>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</si>
  <si>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</si>
  <si>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</si>
  <si>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</si>
  <si>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</si>
  <si>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</si>
  <si>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</si>
  <si>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</si>
  <si>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</si>
  <si>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</si>
  <si>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</si>
  <si>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</si>
  <si>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</si>
  <si>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</si>
  <si>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</si>
  <si>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</si>
  <si>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</si>
  <si>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</si>
  <si>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</si>
  <si>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</si>
  <si>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</si>
  <si>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</si>
  <si>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</si>
  <si>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</si>
  <si>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</si>
  <si>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</si>
  <si>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</si>
  <si>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</si>
  <si>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</si>
  <si>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</si>
  <si>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</si>
  <si>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</si>
  <si>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</si>
  <si>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</si>
  <si>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</si>
  <si>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</si>
  <si>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</si>
  <si>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</si>
  <si>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</si>
  <si>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</si>
  <si>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</si>
  <si>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</si>
  <si>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</si>
  <si>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</si>
  <si>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</si>
  <si>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</si>
  <si>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</si>
  <si>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</si>
  <si>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</si>
  <si>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</si>
  <si>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</si>
  <si>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</si>
  <si>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</si>
  <si>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</si>
  <si>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</si>
  <si>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</si>
  <si>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</si>
  <si>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</si>
  <si>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</si>
  <si>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</si>
  <si>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</si>
  <si>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</si>
  <si>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</si>
  <si>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</si>
  <si>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</si>
  <si>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</si>
  <si>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</si>
  <si>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</si>
  <si>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</si>
  <si>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</si>
  <si>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</si>
  <si>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</si>
  <si>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</si>
  <si>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</si>
  <si>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</si>
  <si>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</si>
  <si>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</si>
  <si>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</si>
  <si>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</si>
  <si>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</si>
  <si>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</si>
  <si>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</si>
  <si>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</si>
  <si>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</si>
  <si>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</si>
  <si>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</si>
  <si>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</si>
  <si>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</si>
  <si>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</si>
  <si>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</si>
  <si>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</si>
  <si>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</si>
  <si>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</si>
  <si>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</si>
  <si>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</si>
  <si>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</si>
  <si>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</si>
  <si>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</si>
  <si>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</si>
  <si>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</si>
  <si>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</si>
  <si>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</si>
  <si>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</si>
  <si>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</si>
  <si>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</si>
  <si>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</si>
  <si>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</si>
  <si>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</si>
  <si>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</si>
  <si>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</si>
  <si>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</si>
  <si>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</si>
  <si>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</si>
  <si>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</si>
  <si>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</si>
  <si>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</si>
  <si>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</si>
  <si>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</si>
  <si>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</si>
  <si>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</si>
  <si>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</si>
  <si>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</si>
  <si>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</si>
  <si>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</si>
  <si>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</si>
  <si>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</si>
  <si>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</si>
  <si>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</si>
  <si>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</si>
  <si>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</si>
  <si>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</si>
  <si>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</si>
  <si>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</si>
  <si>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</si>
  <si>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</si>
  <si>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</si>
  <si>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</si>
  <si>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</si>
  <si>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</si>
  <si>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</si>
  <si>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</si>
  <si>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</si>
  <si>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</si>
  <si>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</si>
  <si>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</si>
  <si>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</si>
  <si>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</si>
  <si>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</si>
  <si>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</si>
  <si>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</si>
  <si>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</si>
  <si>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</si>
  <si>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</si>
  <si>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</si>
  <si>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</si>
  <si>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</si>
  <si>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</si>
  <si>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</si>
  <si>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</si>
  <si>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</si>
  <si>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</si>
  <si>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</si>
  <si>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</si>
  <si>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</si>
  <si>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</si>
  <si>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</si>
  <si>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</si>
  <si>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</si>
  <si>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</si>
  <si>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</si>
  <si>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</si>
  <si>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</si>
  <si>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</si>
  <si>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</si>
  <si>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</si>
  <si>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</si>
  <si>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</si>
  <si>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</si>
  <si>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</si>
  <si>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</si>
  <si>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</si>
  <si>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</si>
  <si>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</si>
  <si>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</si>
  <si>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</si>
  <si>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</si>
  <si>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</si>
  <si>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</si>
  <si>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</si>
  <si>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</si>
  <si>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</si>
  <si>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</si>
  <si>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</si>
  <si>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</si>
  <si>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</si>
  <si>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</si>
  <si>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</si>
  <si>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</si>
  <si>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</si>
  <si>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</si>
  <si>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</si>
  <si>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</si>
  <si>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</si>
  <si>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</si>
  <si>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</si>
  <si>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</si>
  <si>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</si>
  <si>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</si>
  <si>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</si>
  <si>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</si>
  <si>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</si>
  <si>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</si>
  <si>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</si>
  <si>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</si>
  <si>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</si>
  <si>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</si>
  <si>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</si>
  <si>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</si>
  <si>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</si>
  <si>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</si>
  <si>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</si>
  <si>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</si>
  <si>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</si>
  <si>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</si>
  <si>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</si>
  <si>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</si>
  <si>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</si>
  <si>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</si>
  <si>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</si>
  <si>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</si>
  <si>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</si>
  <si>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</si>
  <si>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</si>
  <si>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</si>
  <si>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</si>
  <si>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</si>
  <si>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</si>
  <si>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</si>
  <si>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</si>
  <si>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</si>
  <si>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</si>
  <si>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</si>
  <si>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</si>
  <si>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</si>
  <si>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</si>
  <si>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</si>
  <si>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</si>
  <si>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</si>
  <si>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</si>
  <si>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</si>
  <si>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</si>
  <si>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</si>
  <si>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</si>
  <si>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</si>
  <si>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</si>
  <si>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</si>
  <si>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</si>
  <si>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</si>
  <si>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</si>
  <si>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</si>
  <si>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</si>
  <si>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</si>
  <si>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</si>
  <si>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</si>
  <si>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</si>
  <si>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</si>
  <si>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</si>
  <si>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</si>
  <si>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</si>
  <si>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</si>
  <si>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</si>
  <si>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</si>
  <si>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</si>
  <si>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</si>
  <si>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</si>
  <si>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</si>
  <si>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</si>
  <si>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</si>
  <si>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</si>
  <si>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</si>
  <si>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</si>
  <si>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</si>
  <si>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</si>
  <si>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</si>
  <si>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</si>
  <si>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</si>
  <si>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</si>
  <si>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</si>
  <si>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</si>
  <si>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</si>
  <si>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</si>
  <si>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</si>
  <si>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</si>
  <si>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</si>
  <si>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</si>
  <si>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</si>
  <si>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</si>
  <si>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</si>
  <si>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</si>
  <si>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</si>
  <si>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</si>
  <si>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</si>
  <si>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</si>
  <si>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</si>
  <si>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</si>
  <si>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</si>
  <si>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</si>
  <si>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</si>
  <si>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</si>
  <si>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</si>
  <si>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</si>
  <si>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</si>
  <si>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</si>
  <si>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</si>
  <si>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</si>
  <si>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</si>
  <si>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</si>
  <si>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</si>
  <si>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</si>
  <si>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</si>
  <si>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</si>
  <si>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</si>
  <si>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</si>
  <si>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</si>
  <si>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</si>
  <si>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</si>
  <si>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</si>
  <si>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</si>
  <si>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</si>
  <si>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</si>
  <si>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</si>
  <si>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</si>
  <si>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</si>
  <si>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</si>
  <si>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</si>
  <si>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</si>
  <si>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</si>
  <si>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</si>
  <si>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</si>
  <si>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</si>
  <si>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</si>
  <si>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</si>
  <si>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</si>
  <si>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</si>
  <si>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</si>
  <si>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</si>
  <si>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</si>
  <si>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</si>
  <si>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</si>
  <si>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</si>
  <si>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</si>
  <si>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</si>
  <si>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</si>
  <si>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</si>
  <si>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</si>
  <si>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</si>
  <si>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</si>
  <si>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</si>
  <si>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</si>
  <si>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</si>
  <si>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</si>
  <si>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</si>
  <si>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</si>
  <si>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</si>
  <si>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</si>
  <si>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</si>
  <si>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</si>
  <si>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</si>
  <si>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</si>
  <si>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</si>
  <si>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</si>
  <si>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</si>
  <si>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</si>
  <si>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</si>
  <si>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</si>
  <si>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</si>
  <si>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</si>
  <si>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</si>
  <si>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</si>
  <si>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</si>
  <si>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</si>
  <si>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</si>
  <si>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</si>
  <si>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</si>
  <si>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</si>
  <si>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</si>
  <si>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</si>
  <si>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</si>
  <si>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</si>
  <si>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</si>
  <si>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</si>
  <si>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</si>
  <si>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</si>
  <si>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</si>
  <si>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</si>
  <si>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</si>
  <si>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</si>
  <si>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</si>
  <si>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</si>
  <si>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</si>
  <si>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</si>
  <si>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</si>
  <si>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</si>
  <si>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</si>
  <si>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</si>
  <si>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</si>
  <si>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</si>
  <si>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</si>
  <si>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</si>
  <si>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</si>
  <si>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</si>
  <si>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</si>
  <si>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</si>
  <si>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</si>
  <si>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</si>
  <si>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</si>
  <si>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</si>
  <si>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</si>
  <si>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</si>
  <si>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</si>
  <si>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</si>
  <si>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</si>
  <si>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</si>
  <si>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</si>
  <si>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</si>
  <si>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</si>
  <si>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</si>
  <si>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</si>
  <si>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</si>
  <si>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</si>
  <si>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</si>
  <si>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</si>
  <si>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</si>
  <si>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</si>
  <si>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</si>
  <si>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</si>
  <si>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proinfa</t>
  </si>
  <si>
    <t>cde conta covid</t>
  </si>
  <si>
    <t>Nota Técnica Ex: 00/2022-SGT/ANEEL</t>
  </si>
  <si>
    <t>Data NT Ex: 01 de janeiro de 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</si>
  <si>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</si>
  <si>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</si>
  <si>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</si>
  <si>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</si>
  <si>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</si>
  <si>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</si>
  <si>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</si>
  <si>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</si>
  <si>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</si>
  <si>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</si>
  <si>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A4 (2,3 a 25 kV)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</si>
  <si>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</si>
  <si>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</si>
  <si>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</si>
  <si>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</si>
  <si>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</si>
  <si>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</si>
  <si>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</si>
  <si>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</si>
  <si>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Reversão Previsão ano anterior atualizada</t>
  </si>
  <si>
    <t>Ajustes Processos anteriores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</si>
  <si>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</si>
  <si>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</si>
  <si>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</si>
  <si>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</si>
  <si>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</si>
  <si>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</si>
  <si>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>Parcela EER</t>
  </si>
  <si>
    <t>CDE Eletrobrás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</si>
  <si>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</si>
  <si>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</si>
  <si>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</si>
  <si>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</si>
  <si>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</si>
  <si>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</si>
  <si>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</si>
  <si>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</si>
  <si>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</si>
  <si>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</si>
  <si>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</si>
  <si>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</si>
  <si>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</si>
  <si>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</si>
  <si>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</si>
  <si>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</si>
  <si>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</si>
  <si>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</si>
  <si>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</si>
  <si>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</si>
  <si>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</si>
  <si>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</si>
  <si>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</si>
  <si>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</si>
  <si>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</si>
  <si>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EUSD</t>
  </si>
  <si>
    <t>CDE COVID</t>
  </si>
  <si>
    <t>Financeiro Covid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</si>
  <si>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</si>
  <si>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</si>
  <si>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</si>
  <si>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</si>
  <si>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</si>
  <si>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</si>
  <si>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</si>
  <si>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</si>
  <si>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</si>
  <si>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</si>
  <si>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</si>
  <si>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</si>
  <si>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</si>
  <si>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</si>
  <si>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</si>
  <si>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</si>
  <si>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</si>
  <si>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</si>
  <si>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</si>
  <si>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</si>
  <si>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</si>
  <si>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</si>
  <si>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</si>
  <si>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</si>
  <si>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</si>
  <si>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</si>
  <si>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</si>
  <si>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</si>
  <si>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</si>
  <si>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</si>
  <si>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</si>
  <si>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</si>
  <si>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</si>
  <si>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</si>
  <si>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</si>
  <si>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</si>
  <si>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</si>
  <si>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</si>
  <si>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</si>
  <si>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</si>
  <si>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</si>
  <si>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</si>
  <si>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</si>
  <si>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</si>
  <si>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</si>
  <si>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</si>
  <si>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Importação de Energia</t>
  </si>
  <si>
    <t>Bônus de redução voluntária</t>
  </si>
  <si>
    <t>Financeiros Mitigação</t>
  </si>
  <si>
    <t>CVE</t>
  </si>
  <si>
    <t xml:space="preserve"> Dados da CVE em Processamento</t>
  </si>
  <si>
    <t>Situação
Ação</t>
  </si>
  <si>
    <t>Valor Ação
(inclui depósitos judiciais, se for o caso)</t>
  </si>
  <si>
    <t>Situação
Ação 2</t>
  </si>
  <si>
    <t>Valor
Ação 2</t>
  </si>
  <si>
    <t>Valor total</t>
  </si>
  <si>
    <t>Aproveitamento Mensal Estimado</t>
  </si>
  <si>
    <t>Creditos já aproveitados
(inclui depósitos judiciais, se for o caso)</t>
  </si>
  <si>
    <t>Valores revertidos PIS/COFINS
IRT 2020</t>
  </si>
  <si>
    <t>Valores 2020
Atualizados</t>
  </si>
  <si>
    <t>Valores revertidos
PIS/COFINS
IRT 2021</t>
  </si>
  <si>
    <t>Valores 2021
Atualizados</t>
  </si>
  <si>
    <t>Tributos e demais descontos</t>
  </si>
  <si>
    <t>Valor Disponível para IRT
(A)</t>
  </si>
  <si>
    <t xml:space="preserve">Previsão 12 meses pós IRT
(B) </t>
  </si>
  <si>
    <t>Valor Disponível + 
Previsão 12 meses
(A + B)</t>
  </si>
  <si>
    <t>Trânsito em Julgado habilitado</t>
  </si>
  <si>
    <t xml:space="preserve">Previsão mensal </t>
  </si>
  <si>
    <t>Compensações COFINS e PIS e levantamento de depósitos judiciais</t>
  </si>
  <si>
    <t>Tributos Incidentes
(PIS/COFINS sobre atualização financeira)</t>
  </si>
  <si>
    <t>IR/CSLL</t>
  </si>
  <si>
    <t>Compensações Atualizadas
(SELIC mês)</t>
  </si>
  <si>
    <t>Tributos Incidentes
Atualizados</t>
  </si>
  <si>
    <t>IR/CSLL
Atualizados</t>
  </si>
  <si>
    <t>Reversão Risco Hidrológico</t>
  </si>
  <si>
    <t>PERSAS 125</t>
  </si>
  <si>
    <t>Neutralidades Crédito de Pis cofins</t>
  </si>
  <si>
    <t>Empresas com ID agente diferente</t>
  </si>
  <si>
    <t>Informações para o cálculo da Sobrecontratação</t>
  </si>
  <si>
    <t>Perdas DRA realizadas</t>
  </si>
  <si>
    <t>NumFatura</t>
  </si>
  <si>
    <t>AnoFatura</t>
  </si>
  <si>
    <t>mesFatura</t>
  </si>
  <si>
    <t>TUSD R$/kW Fora de Ponta</t>
  </si>
  <si>
    <t>TUSD R$/kW Ponta</t>
  </si>
  <si>
    <t>TUSD_E(R$/MWh)</t>
  </si>
  <si>
    <t>TE(R$/MWh)</t>
  </si>
  <si>
    <t>PisCofins</t>
  </si>
  <si>
    <t>TotalFatura</t>
  </si>
  <si>
    <t>Unidade</t>
  </si>
  <si>
    <t>idSupridora</t>
  </si>
  <si>
    <t>Dt</t>
  </si>
  <si>
    <t>Posto_Tarifario</t>
  </si>
  <si>
    <t>Tipo_de_Montante</t>
  </si>
  <si>
    <t>descontoCusd</t>
  </si>
  <si>
    <t>descontoEnergia</t>
  </si>
  <si>
    <t>PerdasDitFinal</t>
  </si>
  <si>
    <t>QT_TRC</t>
  </si>
  <si>
    <t>QT_PERDAS_C</t>
  </si>
  <si>
    <t>QT_PERDAS_DITC</t>
  </si>
  <si>
    <t>Competencia</t>
  </si>
  <si>
    <t>GeracaoPropria_kWh</t>
  </si>
  <si>
    <t>geracaoPropria</t>
  </si>
  <si>
    <t>Supridora1</t>
  </si>
  <si>
    <t>idsreagsupridora1</t>
  </si>
  <si>
    <t>Limite_PB</t>
  </si>
  <si>
    <t>Despacho</t>
  </si>
  <si>
    <t>Data Base Limite_PB</t>
  </si>
  <si>
    <t>Subvencao Anual</t>
  </si>
  <si>
    <t>Data_Referencia Subvencao</t>
  </si>
  <si>
    <t>Data_aniversario supridora</t>
  </si>
  <si>
    <t>Receita CUSD</t>
  </si>
  <si>
    <t>Receita TE</t>
  </si>
  <si>
    <t>Proporção</t>
  </si>
  <si>
    <t>Receita TUSD</t>
  </si>
  <si>
    <t>Proporção Tributos Faturas de Suprimento</t>
  </si>
  <si>
    <t>Periodo de Referência</t>
  </si>
  <si>
    <t>Mercado TE</t>
  </si>
  <si>
    <t>TIPO TARIFA</t>
  </si>
  <si>
    <t>GRUPO DE CUSTO</t>
  </si>
  <si>
    <t>CUSTO</t>
  </si>
  <si>
    <t>LIMINAR 1</t>
  </si>
  <si>
    <t>SUBTOTAL</t>
  </si>
  <si>
    <t>FIO A</t>
  </si>
  <si>
    <t>TUSD RB</t>
  </si>
  <si>
    <t>TUSD FR</t>
  </si>
  <si>
    <t>CONEXAO T</t>
  </si>
  <si>
    <t>CONEXAO D</t>
  </si>
  <si>
    <t>TUSDG-T</t>
  </si>
  <si>
    <t>TUSDG-ONS</t>
  </si>
  <si>
    <t>FIO B</t>
  </si>
  <si>
    <t>Nao se aplica</t>
  </si>
  <si>
    <t>SUBSIDIO</t>
  </si>
  <si>
    <t>PERDAS</t>
  </si>
  <si>
    <t>PERDAS TECNICAS</t>
  </si>
  <si>
    <t>PERDAS RB/ PERDAS D</t>
  </si>
  <si>
    <t>PERDAS NAO TECNICAS</t>
  </si>
  <si>
    <t>CDE Covid TE</t>
  </si>
  <si>
    <t>ENERGIA REVENDA</t>
  </si>
  <si>
    <t>TUST ITAIPU</t>
  </si>
  <si>
    <t>TUST CI</t>
  </si>
  <si>
    <t>PERDAS RB/C</t>
  </si>
  <si>
    <t>Diferença</t>
  </si>
  <si>
    <t>Total badnet</t>
  </si>
  <si>
    <t>BASE FINANCEIRA</t>
  </si>
  <si>
    <t>BASE ECONÔMICA</t>
  </si>
  <si>
    <t>Covid Demais Componentes Financeiros</t>
  </si>
  <si>
    <t>Covid Neutralidade</t>
  </si>
  <si>
    <t>Custos de implantação da contabilidade regulatória - REN 396/2010</t>
  </si>
  <si>
    <t xml:space="preserve">CVE </t>
  </si>
  <si>
    <t>Déficit - Programa Luz Para Todos</t>
  </si>
  <si>
    <t>Escassez Hidrica</t>
  </si>
  <si>
    <t>Financeiro Créditos Pis/Cofins (Redução tarifária equilibrada)</t>
  </si>
  <si>
    <t>Genérico</t>
  </si>
  <si>
    <t>Neutralidade Créditos Pis/Cofins (Redução tarifária equilibrada)</t>
  </si>
  <si>
    <t>Repasse de compensação DIC/FIC</t>
  </si>
  <si>
    <t>Sobrecontratação</t>
  </si>
  <si>
    <t>Conta Covid - Postergação TE</t>
  </si>
  <si>
    <t>Conta Covid - Postergação TUSD</t>
  </si>
  <si>
    <t>Créditos de Pis/Cofins</t>
  </si>
  <si>
    <t>Encargo  - ESS/EER</t>
  </si>
  <si>
    <t>Encargo - CCC</t>
  </si>
  <si>
    <t>Encargo - CDE - TE</t>
  </si>
  <si>
    <t>Encargo - CDE - TUSD</t>
  </si>
  <si>
    <t>Encargo - CDE Covid - TE</t>
  </si>
  <si>
    <t>Encargo - CDE Covid - TUSD</t>
  </si>
  <si>
    <t>Encargo - CDE Elet</t>
  </si>
  <si>
    <t>Encargo - CFURH</t>
  </si>
  <si>
    <t>Encargo - ONS</t>
  </si>
  <si>
    <t>Encargo - P&amp;D</t>
  </si>
  <si>
    <t>Encargo - PROINFA</t>
  </si>
  <si>
    <t>Encargo - RGR</t>
  </si>
  <si>
    <t>Encargo - TFSEE</t>
  </si>
  <si>
    <t>Energia - Energia de Revenda</t>
  </si>
  <si>
    <t>Energia - Genérico</t>
  </si>
  <si>
    <t>Energia - Perda Não Técnica</t>
  </si>
  <si>
    <t>Energia - Perda Rede Básica sobre Dist.</t>
  </si>
  <si>
    <t>Energia - Perda Rede Básica sobre mercado Cat.</t>
  </si>
  <si>
    <t>Energia - Perda Técnica</t>
  </si>
  <si>
    <t>Liminar - Parcela A</t>
  </si>
  <si>
    <t>Receita Irrecuperável</t>
  </si>
  <si>
    <t>Rede Básica - Genérico</t>
  </si>
  <si>
    <t>Transporte - CI</t>
  </si>
  <si>
    <t>Transporte - Conexão D</t>
  </si>
  <si>
    <t>Transporte - Conexão T</t>
  </si>
  <si>
    <t>Transporte - EUSD</t>
  </si>
  <si>
    <t>Transporte - EUST Itaipu</t>
  </si>
  <si>
    <t>Transporte - Fronteira</t>
  </si>
  <si>
    <t>Transporte - Rede Básica</t>
  </si>
  <si>
    <t>Transporte - Tranporte Itaipu</t>
  </si>
  <si>
    <t>Transporte - TUSDg ONS</t>
  </si>
  <si>
    <t>Transporte - TUSDg T</t>
  </si>
  <si>
    <t>Grupo Tarifário</t>
  </si>
  <si>
    <t>Spread Conta Covid</t>
  </si>
  <si>
    <t>Previsão de Risco Hidrológico</t>
  </si>
  <si>
    <t>Data de aniversário supridora</t>
  </si>
  <si>
    <t>Repasse de Pis Cofins</t>
  </si>
  <si>
    <t>Total PERSAS</t>
  </si>
  <si>
    <t>Perdas de Energia</t>
  </si>
  <si>
    <t>Preencher  para as permissionárias que possuem ICMS na fatura de suprimento. Atualmente, apenas as permissionárias do Estado Rio de Janeiro possuem.</t>
  </si>
  <si>
    <t>Informações Tributos de Suprimento</t>
  </si>
  <si>
    <t>Inicio de vigência das tarifas</t>
  </si>
  <si>
    <t>Data de Aniversário</t>
  </si>
  <si>
    <t>Data de aniversário Contratual</t>
  </si>
  <si>
    <t>Repasse de PIS COFINS TE - Energia - Energia de Revenda</t>
  </si>
  <si>
    <t>Repasse de PIS COFINS TE - Energia - Perda Não Técnica</t>
  </si>
  <si>
    <t>Repasse de PIS COFINS TE - Energia - Perda Técnica</t>
  </si>
  <si>
    <t>Repasse de PIS COFINS TE - Energia - Perda Rede Básica sobre Dist.</t>
  </si>
  <si>
    <t>Repasse de PIS COFINS TE - Energia - Perda Rede Básica sobre mercado Cat.</t>
  </si>
  <si>
    <t>Reversão de Risco Hidrológico - Energia de Revenda</t>
  </si>
  <si>
    <t>Reversão de Risco Hidrológico - Perda Não Técnica</t>
  </si>
  <si>
    <t>Reversão de Risco Hidrológico - Perda Técnica</t>
  </si>
  <si>
    <t>Reversão de Risco Hidrológico - Perda Rede Básica sobre Dist.</t>
  </si>
  <si>
    <t>Reversão de Risco Hidrológico - Perda Rede Básica sobre mercado Cat.</t>
  </si>
  <si>
    <t>Previsão de Risco Hidrologico - Energia de Revenda</t>
  </si>
  <si>
    <t>Previsão de Risco Hidrologico - Perda Não Técnica</t>
  </si>
  <si>
    <t>Previsão de Risco Hidrologico - Perda Técnica</t>
  </si>
  <si>
    <t>Previsão de Risco Hidrologico - Perda Rede Básica sobre Dist.</t>
  </si>
  <si>
    <t>Previsão de Risco Hidrologico - Perda Rede Básica sobre mercado Cat.</t>
  </si>
  <si>
    <t>CDE - Eletrobras</t>
  </si>
  <si>
    <t>Repasse de PIS COFINS</t>
  </si>
  <si>
    <t>Ajuste CUST RB + PIS Cofins</t>
  </si>
  <si>
    <t>Mercado Mwh</t>
  </si>
  <si>
    <t>Ajustes Processo Anterior</t>
  </si>
  <si>
    <t>CVE - Energia</t>
  </si>
  <si>
    <t>CVE - Encargos</t>
  </si>
  <si>
    <t>Previsão de Risco Hidrologico</t>
  </si>
  <si>
    <t>Sobrecontratação/Exposição de Energia</t>
  </si>
  <si>
    <t>Sobrecontratação/Exposição de Energia - Energia de Revenda</t>
  </si>
  <si>
    <t>Sobrecontratação/Exposição de Energia - Perda Não Técnica</t>
  </si>
  <si>
    <t>Sobrecontratação/Exposição de Energia - Perda Técnica</t>
  </si>
  <si>
    <t>Sobrecontratação/Exposição de Energia - Perda Rede Básica sobre Dist.</t>
  </si>
  <si>
    <t>Sobrecontratação/Exposição de Energia - Perda Rede Básica sobre mercado Cat.</t>
  </si>
  <si>
    <t>Variação econômica</t>
  </si>
  <si>
    <t>Variação econômica e financeira</t>
  </si>
  <si>
    <t>EER</t>
  </si>
  <si>
    <t>CDE Covid</t>
  </si>
  <si>
    <t>DSP  939/2021</t>
  </si>
  <si>
    <t>CDE Covid TUSD%</t>
  </si>
  <si>
    <t>CDE Covid TE%</t>
  </si>
  <si>
    <t>Desp. 521/2022</t>
  </si>
  <si>
    <t>Fora ponta</t>
  </si>
  <si>
    <t>COOPERATIVA DE ELETRIFICAÇÃO E DISTRIBUIÇÃO DA REGIÃO DE ITARIRI</t>
  </si>
  <si>
    <t>ELEKTRO REDES S.A.</t>
  </si>
  <si>
    <t>53512</t>
  </si>
  <si>
    <t>53514</t>
  </si>
  <si>
    <t>53515</t>
  </si>
  <si>
    <t>53516</t>
  </si>
  <si>
    <t>53559</t>
  </si>
  <si>
    <t>55393</t>
  </si>
  <si>
    <t>55397</t>
  </si>
  <si>
    <t>55405</t>
  </si>
  <si>
    <t>55415</t>
  </si>
  <si>
    <t>55423</t>
  </si>
  <si>
    <t>57385</t>
  </si>
  <si>
    <t>57386</t>
  </si>
  <si>
    <t>57387</t>
  </si>
  <si>
    <t>57400</t>
  </si>
  <si>
    <t>57405</t>
  </si>
  <si>
    <t>59275</t>
  </si>
  <si>
    <t>59276</t>
  </si>
  <si>
    <t>59277</t>
  </si>
  <si>
    <t>59294</t>
  </si>
  <si>
    <t>59301</t>
  </si>
  <si>
    <t>61321</t>
  </si>
  <si>
    <t>61323</t>
  </si>
  <si>
    <t>61324</t>
  </si>
  <si>
    <t>61332</t>
  </si>
  <si>
    <t>63225</t>
  </si>
  <si>
    <t>63352</t>
  </si>
  <si>
    <t>63355</t>
  </si>
  <si>
    <t>63356</t>
  </si>
  <si>
    <t>63357</t>
  </si>
  <si>
    <t>63365</t>
  </si>
  <si>
    <t>65514</t>
  </si>
  <si>
    <t>65523</t>
  </si>
  <si>
    <t>65524</t>
  </si>
  <si>
    <t>65535</t>
  </si>
  <si>
    <t>65541</t>
  </si>
  <si>
    <t>67338</t>
  </si>
  <si>
    <t>67351</t>
  </si>
  <si>
    <t>67357</t>
  </si>
  <si>
    <t>67384</t>
  </si>
  <si>
    <t>67389</t>
  </si>
  <si>
    <t>69586</t>
  </si>
  <si>
    <t>69589</t>
  </si>
  <si>
    <t>69590</t>
  </si>
  <si>
    <t>69591</t>
  </si>
  <si>
    <t>69593</t>
  </si>
  <si>
    <t>71887</t>
  </si>
  <si>
    <t>71888</t>
  </si>
  <si>
    <t>71892</t>
  </si>
  <si>
    <t>71983</t>
  </si>
  <si>
    <t>73141</t>
  </si>
  <si>
    <t>74614</t>
  </si>
  <si>
    <t>74615</t>
  </si>
  <si>
    <t>74616</t>
  </si>
  <si>
    <t>74619</t>
  </si>
  <si>
    <t>74628</t>
  </si>
  <si>
    <t>77300</t>
  </si>
  <si>
    <t>77301</t>
  </si>
  <si>
    <t>77302</t>
  </si>
  <si>
    <t>77311</t>
  </si>
  <si>
    <t>77318</t>
  </si>
  <si>
    <t>79673</t>
  </si>
  <si>
    <t>79674</t>
  </si>
  <si>
    <t>79675</t>
  </si>
  <si>
    <t>79678</t>
  </si>
  <si>
    <t>79694</t>
  </si>
  <si>
    <t>81924</t>
  </si>
  <si>
    <t>81926</t>
  </si>
  <si>
    <t>81927</t>
  </si>
  <si>
    <t>81929</t>
  </si>
  <si>
    <t>81939</t>
  </si>
  <si>
    <t>Verde</t>
  </si>
  <si>
    <t>CATIVO</t>
  </si>
  <si>
    <t>Água, esgoto e saneamento</t>
  </si>
  <si>
    <t>Convencional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</si>
  <si>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</si>
  <si>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</si>
  <si>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</si>
  <si>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</si>
  <si>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</si>
  <si>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</si>
  <si>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Branca</t>
  </si>
  <si>
    <t>Intermediário</t>
  </si>
  <si>
    <t>B2</t>
  </si>
  <si>
    <t>Poder público</t>
  </si>
  <si>
    <t>B4</t>
  </si>
  <si>
    <t>Iluminação pública</t>
  </si>
  <si>
    <t>Iluminação pública – B4a</t>
  </si>
  <si>
    <t>Fonte incentivada</t>
  </si>
  <si>
    <t>LIVRE</t>
  </si>
  <si>
    <t>ELEKTRO Redes S/A</t>
  </si>
  <si>
    <t>R$/MWh</t>
  </si>
  <si>
    <t>PERDAS NA RB (sobre as perdas na D)</t>
  </si>
  <si>
    <t>%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</si>
  <si>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</si>
  <si>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</si>
  <si>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</si>
  <si>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</si>
  <si>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</si>
  <si>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</si>
  <si>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</si>
  <si>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</si>
  <si>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</si>
  <si>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>84078</t>
  </si>
  <si>
    <t>84750</t>
  </si>
  <si>
    <t>84752</t>
  </si>
  <si>
    <t>84753</t>
  </si>
  <si>
    <t>85253</t>
  </si>
  <si>
    <t>RESOLUÇÃO HOMOLOGATÓRIA Nº 3.100, DE 23 DE AGOSTO DE 2022</t>
  </si>
  <si>
    <t>Energia suprimento permissionária</t>
  </si>
  <si>
    <t>Ver Dif Energia</t>
  </si>
  <si>
    <t>OF/CEDRI/604/2022 de 31/08/2022</t>
  </si>
  <si>
    <t>48500.004970/2021-11</t>
  </si>
  <si>
    <t>Hélvio Neves Guerra</t>
  </si>
  <si>
    <t>Diferimento de Parcela B</t>
  </si>
  <si>
    <t>Repasse de ICMS</t>
  </si>
  <si>
    <t xml:space="preserve">Diferimento de PIS COFINS </t>
  </si>
  <si>
    <t xml:space="preserve">Reversão do Diferimento de Compra de Energia </t>
  </si>
  <si>
    <t>Reversão do Diferimento de Parcela B</t>
  </si>
  <si>
    <t>Reversão do Diferimento de Pis Cofins TUSD</t>
  </si>
  <si>
    <t>Reversão do Diferimento de Pis Cofins TE</t>
  </si>
  <si>
    <t>Diferimento Compra de Energia</t>
  </si>
  <si>
    <t>Reversão do Diferimento de Pis Cofins</t>
  </si>
  <si>
    <t>Subvenção Baixa Densidade Carga</t>
  </si>
  <si>
    <t>Diferimento CUSD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</si>
</sst>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0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#,##0_ ;[Red]\-#,##0\ "/>
    <numFmt numFmtId="278" formatCode="_(&quot;R$&quot;* #,##0.00_);_(&quot;R$&quot;* \(#,##0.00\);_(&quot;R$&quot;* &quot;-&quot;??_);_(@_)"/>
    <numFmt numFmtId="279" formatCode="[$-409]dd/mm/yyyy"/>
    <numFmt numFmtId="280" formatCode="mmm/yyyy"/>
  </numFmts>
  <fonts count="335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b/>
      <sz val="11"/>
      <color theme="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Arial Narrow"/>
      <family val="2"/>
    </font>
    <font>
      <sz val="10"/>
      <name val="Arial Narrow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sz val="12"/>
      <color theme="1"/>
      <name val="Arial Narrow"/>
      <family val="2"/>
    </font>
    <font>
      <sz val="11"/>
      <name val="Microsoft New Tai Lue"/>
      <family val="2"/>
    </font>
    <font>
      <b/>
      <sz val="12"/>
      <color theme="5" tint="-0.249977111117893"/>
      <name val="Calibri"/>
      <family val="2"/>
      <scheme val="minor"/>
    </font>
    <font>
      <sz val="10"/>
      <color indexed="23"/>
      <name val="Calibri"/>
      <family val="2"/>
      <scheme val="minor"/>
    </font>
    <font>
      <u/>
      <sz val="10"/>
      <color indexed="12"/>
      <name val="Calibri"/>
      <family val="2"/>
      <scheme val="minor"/>
    </font>
    <font>
      <sz val="11"/>
      <color rgb="FFFF0000"/>
      <name val="Microsoft New Tai Lue"/>
      <family val="2"/>
    </font>
    <font>
      <b/>
      <sz val="11"/>
      <color theme="4" tint="-0.499984740745262"/>
      <name val="Microsoft New Tai Lue"/>
      <family val="2"/>
    </font>
    <font>
      <sz val="9"/>
      <name val="Calibri"/>
      <family val="2"/>
    </font>
    <font>
      <sz val="10"/>
      <name val="Microsoft New Tai Lue"/>
      <family val="2"/>
    </font>
  </fonts>
  <fills count="132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E6E6E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65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CECFF"/>
        <bgColor indexed="64"/>
      </patternFill>
    </fill>
  </fills>
  <borders count="2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444">
    <xf numFmtId="0" fontId="0" fillId="0" borderId="0"/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3" fillId="0" borderId="0"/>
    <xf numFmtId="0" fontId="33" fillId="0" borderId="0"/>
    <xf numFmtId="0" fontId="33" fillId="0" borderId="0"/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3" fillId="0" borderId="0"/>
    <xf numFmtId="0" fontId="33" fillId="0" borderId="0"/>
    <xf numFmtId="0" fontId="33" fillId="0" borderId="0"/>
    <xf numFmtId="3" fontId="50" fillId="2" borderId="0">
      <alignment horizontal="left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3" fontId="52" fillId="9" borderId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4" fillId="0" borderId="0"/>
    <xf numFmtId="0" fontId="55" fillId="0" borderId="0"/>
    <xf numFmtId="0" fontId="55" fillId="0" borderId="0"/>
    <xf numFmtId="37" fontId="56" fillId="0" borderId="0"/>
    <xf numFmtId="0" fontId="56" fillId="0" borderId="1" applyBorder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7" fontId="34" fillId="22" borderId="2">
      <alignment horizontal="center" vertical="center"/>
    </xf>
    <xf numFmtId="0" fontId="43" fillId="0" borderId="0"/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3" fontId="57" fillId="0" borderId="0" applyNumberFormat="0" applyFill="0" applyBorder="0" applyAlignment="0" applyProtection="0"/>
    <xf numFmtId="3" fontId="58" fillId="0" borderId="0" applyNumberFormat="0" applyFill="0" applyBorder="0" applyAlignment="0" applyProtection="0"/>
    <xf numFmtId="0" fontId="59" fillId="4" borderId="0" applyNumberFormat="0" applyBorder="0" applyAlignment="0" applyProtection="0"/>
    <xf numFmtId="0" fontId="60" fillId="0" borderId="0" applyNumberFormat="0" applyFill="0" applyBorder="0" applyAlignment="0" applyProtection="0"/>
    <xf numFmtId="0" fontId="33" fillId="0" borderId="0" applyNumberFormat="0" applyFill="0" applyBorder="0" applyAlignment="0"/>
    <xf numFmtId="178" fontId="61" fillId="0" borderId="0">
      <alignment vertical="top"/>
    </xf>
    <xf numFmtId="179" fontId="62" fillId="0" borderId="3"/>
    <xf numFmtId="0" fontId="63" fillId="5" borderId="0" applyNumberFormat="0" applyBorder="0" applyAlignment="0" applyProtection="0"/>
    <xf numFmtId="0" fontId="64" fillId="0" borderId="0">
      <protection locked="0"/>
    </xf>
    <xf numFmtId="0" fontId="64" fillId="0" borderId="0">
      <protection locked="0"/>
    </xf>
    <xf numFmtId="14" fontId="65" fillId="24" borderId="4" applyBorder="0" applyAlignment="0">
      <alignment horizontal="center" vertical="center"/>
    </xf>
    <xf numFmtId="0" fontId="65" fillId="25" borderId="4" applyNumberFormat="0" applyBorder="0" applyAlignment="0">
      <alignment horizontal="center" vertical="center"/>
    </xf>
    <xf numFmtId="180" fontId="43" fillId="0" borderId="0" applyFill="0" applyBorder="0" applyAlignment="0"/>
    <xf numFmtId="178" fontId="66" fillId="0" borderId="0" applyFill="0" applyBorder="0" applyAlignment="0"/>
    <xf numFmtId="174" fontId="66" fillId="0" borderId="0" applyFill="0" applyBorder="0" applyAlignment="0"/>
    <xf numFmtId="175" fontId="48" fillId="0" borderId="0" applyFill="0" applyBorder="0" applyAlignment="0"/>
    <xf numFmtId="181" fontId="33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7" fillId="26" borderId="5" applyNumberFormat="0" applyAlignment="0" applyProtection="0"/>
    <xf numFmtId="0" fontId="67" fillId="26" borderId="5" applyNumberFormat="0" applyAlignment="0" applyProtection="0"/>
    <xf numFmtId="40" fontId="66" fillId="23" borderId="6">
      <alignment vertical="center"/>
    </xf>
    <xf numFmtId="0" fontId="68" fillId="27" borderId="7" applyNumberFormat="0" applyAlignment="0" applyProtection="0"/>
    <xf numFmtId="0" fontId="69" fillId="0" borderId="8" applyNumberFormat="0" applyFill="0" applyAlignment="0" applyProtection="0"/>
    <xf numFmtId="0" fontId="68" fillId="27" borderId="7" applyNumberFormat="0" applyAlignment="0" applyProtection="0"/>
    <xf numFmtId="0" fontId="70" fillId="28" borderId="9" applyFont="0" applyFill="0" applyBorder="0"/>
    <xf numFmtId="0" fontId="45" fillId="0" borderId="10"/>
    <xf numFmtId="0" fontId="71" fillId="0" borderId="11"/>
    <xf numFmtId="41" fontId="115" fillId="0" borderId="0" applyFont="0" applyFill="0" applyBorder="0" applyAlignment="0" applyProtection="0"/>
    <xf numFmtId="180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43" fontId="115" fillId="0" borderId="0" applyFont="0" applyFill="0" applyBorder="0" applyAlignment="0" applyProtection="0"/>
    <xf numFmtId="3" fontId="72" fillId="0" borderId="0" applyFont="0" applyFill="0" applyBorder="0" applyAlignment="0" applyProtection="0"/>
    <xf numFmtId="168" fontId="33" fillId="29" borderId="0" applyNumberFormat="0" applyFont="0" applyBorder="0" applyAlignment="0" applyProtection="0"/>
    <xf numFmtId="0" fontId="71" fillId="0" borderId="11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198" fontId="115" fillId="0" borderId="0" applyFont="0" applyFill="0" applyBorder="0" applyAlignment="0" applyProtection="0"/>
    <xf numFmtId="178" fontId="66" fillId="0" borderId="0" applyFont="0" applyFill="0" applyBorder="0" applyAlignment="0" applyProtection="0"/>
    <xf numFmtId="199" fontId="115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64" fillId="0" borderId="0">
      <protection locked="0"/>
    </xf>
    <xf numFmtId="169" fontId="74" fillId="0" borderId="0">
      <protection locked="0"/>
    </xf>
    <xf numFmtId="14" fontId="42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39" fontId="71" fillId="0" borderId="0" applyFont="0" applyFill="0" applyBorder="0" applyAlignment="0" applyProtection="0"/>
    <xf numFmtId="0" fontId="73" fillId="0" borderId="0" applyFont="0" applyFill="0" applyBorder="0" applyAlignment="0"/>
    <xf numFmtId="183" fontId="4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75" fillId="8" borderId="5" applyNumberFormat="0" applyAlignment="0" applyProtection="0"/>
    <xf numFmtId="0" fontId="47" fillId="0" borderId="0">
      <alignment vertical="center"/>
    </xf>
    <xf numFmtId="184" fontId="33" fillId="0" borderId="0" applyFont="0" applyFill="0" applyBorder="0" applyAlignment="0" applyProtection="0"/>
    <xf numFmtId="3" fontId="41" fillId="0" borderId="13" applyFill="0" applyBorder="0"/>
    <xf numFmtId="0" fontId="76" fillId="0" borderId="0" applyNumberFormat="0" applyFill="0" applyBorder="0" applyAlignment="0" applyProtection="0"/>
    <xf numFmtId="37" fontId="77" fillId="0" borderId="0" applyBorder="0" applyAlignment="0"/>
    <xf numFmtId="185" fontId="33" fillId="0" borderId="0">
      <protection locked="0"/>
    </xf>
    <xf numFmtId="186" fontId="64" fillId="0" borderId="0">
      <protection locked="0"/>
    </xf>
    <xf numFmtId="0" fontId="116" fillId="0" borderId="0" applyNumberFormat="0" applyFill="0" applyBorder="0" applyAlignment="0" applyProtection="0">
      <alignment vertical="top"/>
      <protection locked="0"/>
    </xf>
    <xf numFmtId="0" fontId="78" fillId="23" borderId="0" applyNumberFormat="0" applyFont="0" applyBorder="0" applyAlignment="0" applyProtection="0">
      <alignment horizontal="centerContinuous"/>
    </xf>
    <xf numFmtId="0" fontId="78" fillId="30" borderId="0" applyNumberFormat="0" applyFont="0" applyBorder="0" applyAlignment="0" applyProtection="0">
      <alignment horizontal="centerContinuous"/>
    </xf>
    <xf numFmtId="0" fontId="79" fillId="9" borderId="14" applyNumberFormat="0" applyFont="0" applyBorder="0" applyAlignment="0"/>
    <xf numFmtId="0" fontId="43" fillId="23" borderId="15" applyNumberFormat="0" applyFont="0" applyBorder="0" applyAlignment="0" applyProtection="0"/>
    <xf numFmtId="10" fontId="33" fillId="23" borderId="0" applyNumberFormat="0" applyFont="0" applyBorder="0" applyAlignment="0"/>
    <xf numFmtId="0" fontId="63" fillId="5" borderId="0" applyNumberFormat="0" applyBorder="0" applyAlignment="0" applyProtection="0"/>
    <xf numFmtId="38" fontId="80" fillId="9" borderId="0" applyNumberFormat="0" applyBorder="0" applyAlignment="0" applyProtection="0"/>
    <xf numFmtId="0" fontId="81" fillId="0" borderId="0" applyNumberFormat="0" applyFill="0" applyBorder="0" applyAlignment="0" applyProtection="0"/>
    <xf numFmtId="0" fontId="82" fillId="0" borderId="16" applyNumberFormat="0" applyAlignment="0" applyProtection="0">
      <alignment horizontal="left" vertical="center"/>
    </xf>
    <xf numFmtId="0" fontId="82" fillId="0" borderId="17">
      <alignment horizontal="left" vertical="center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0" fontId="86" fillId="0" borderId="19" applyNumberFormat="0" applyFill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47" fillId="0" borderId="0"/>
    <xf numFmtId="37" fontId="87" fillId="0" borderId="0" applyFill="0" applyBorder="0" applyAlignment="0">
      <protection locked="0"/>
    </xf>
    <xf numFmtId="0" fontId="87" fillId="0" borderId="20" applyFill="0" applyBorder="0" applyAlignment="0">
      <alignment horizontal="center"/>
      <protection locked="0"/>
    </xf>
    <xf numFmtId="10" fontId="80" fillId="23" borderId="6" applyNumberFormat="0" applyBorder="0" applyAlignment="0" applyProtection="0"/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9" fillId="0" borderId="8" applyNumberFormat="0" applyFill="0" applyAlignment="0" applyProtection="0"/>
    <xf numFmtId="167" fontId="31" fillId="0" borderId="0" applyFont="0" applyFill="0" applyBorder="0" applyAlignment="0" applyProtection="0"/>
    <xf numFmtId="188" fontId="64" fillId="0" borderId="0">
      <protection locked="0"/>
    </xf>
    <xf numFmtId="0" fontId="33" fillId="0" borderId="0" applyFont="0" applyFill="0" applyBorder="0" applyAlignment="0" applyProtection="0"/>
    <xf numFmtId="3" fontId="88" fillId="2" borderId="1">
      <alignment horizontal="center"/>
    </xf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37" fontId="90" fillId="0" borderId="0"/>
    <xf numFmtId="189" fontId="91" fillId="0" borderId="0"/>
    <xf numFmtId="190" fontId="92" fillId="0" borderId="0"/>
    <xf numFmtId="191" fontId="92" fillId="0" borderId="0"/>
    <xf numFmtId="0" fontId="33" fillId="0" borderId="0" applyFill="0" applyBorder="0" applyAlignment="0"/>
    <xf numFmtId="0" fontId="33" fillId="0" borderId="0">
      <alignment vertical="top"/>
    </xf>
    <xf numFmtId="0" fontId="43" fillId="0" borderId="0"/>
    <xf numFmtId="0" fontId="43" fillId="0" borderId="0"/>
    <xf numFmtId="0" fontId="33" fillId="0" borderId="0"/>
    <xf numFmtId="0" fontId="43" fillId="0" borderId="0"/>
    <xf numFmtId="0" fontId="33" fillId="0" borderId="0"/>
    <xf numFmtId="0" fontId="43" fillId="0" borderId="0"/>
    <xf numFmtId="0" fontId="43" fillId="0" borderId="0"/>
    <xf numFmtId="0" fontId="33" fillId="0" borderId="0" applyProtection="0"/>
    <xf numFmtId="0" fontId="43" fillId="32" borderId="21" applyNumberFormat="0" applyFont="0" applyAlignment="0" applyProtection="0"/>
    <xf numFmtId="0" fontId="33" fillId="32" borderId="21" applyNumberFormat="0" applyFont="0" applyAlignment="0" applyProtection="0"/>
    <xf numFmtId="0" fontId="93" fillId="26" borderId="22" applyNumberFormat="0" applyAlignment="0" applyProtection="0"/>
    <xf numFmtId="0" fontId="94" fillId="33" borderId="0"/>
    <xf numFmtId="0" fontId="33" fillId="0" borderId="23" applyFont="0" applyFill="0" applyBorder="0" applyAlignment="0" applyProtection="0">
      <alignment horizontal="right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4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1" fillId="22" borderId="24" applyNumberFormat="0" applyFon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14" fontId="65" fillId="34" borderId="19" applyNumberFormat="0" applyFont="0" applyBorder="0" applyAlignment="0" applyProtection="0">
      <alignment horizontal="center" vertical="center"/>
    </xf>
    <xf numFmtId="3" fontId="95" fillId="0" borderId="0" applyFill="0" applyBorder="0" applyAlignment="0" applyProtection="0"/>
    <xf numFmtId="3" fontId="46" fillId="0" borderId="0" applyFill="0" applyBorder="0" applyAlignment="0" applyProtection="0"/>
    <xf numFmtId="3" fontId="95" fillId="0" borderId="0" applyFill="0" applyBorder="0" applyAlignment="0" applyProtection="0"/>
    <xf numFmtId="0" fontId="93" fillId="26" borderId="22" applyNumberFormat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68" fontId="3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4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3" fontId="97" fillId="36" borderId="0">
      <alignment horizontal="left"/>
    </xf>
    <xf numFmtId="0" fontId="49" fillId="0" borderId="0">
      <alignment vertical="top"/>
    </xf>
    <xf numFmtId="0" fontId="98" fillId="0" borderId="0"/>
    <xf numFmtId="0" fontId="98" fillId="0" borderId="0"/>
    <xf numFmtId="0" fontId="98" fillId="0" borderId="0"/>
    <xf numFmtId="0" fontId="98" fillId="0" borderId="0"/>
    <xf numFmtId="38" fontId="99" fillId="0" borderId="0" applyFill="0" applyBorder="0" applyAlignment="0" applyProtection="0"/>
    <xf numFmtId="0" fontId="33" fillId="0" borderId="0" applyFill="0" applyBorder="0" applyAlignment="0" applyProtection="0"/>
    <xf numFmtId="49" fontId="42" fillId="0" borderId="0" applyFill="0" applyBorder="0" applyAlignment="0"/>
    <xf numFmtId="0" fontId="43" fillId="0" borderId="0" applyFill="0" applyBorder="0" applyAlignment="0"/>
    <xf numFmtId="0" fontId="4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" fontId="101" fillId="0" borderId="0" applyFont="0" applyFill="0" applyBorder="0" applyAlignment="0" applyProtection="0">
      <alignment horizontal="left"/>
    </xf>
    <xf numFmtId="0" fontId="102" fillId="0" borderId="0" applyNumberFormat="0" applyFill="0" applyBorder="0" applyAlignment="0" applyProtection="0"/>
    <xf numFmtId="3" fontId="103" fillId="36" borderId="0">
      <alignment horizontal="center"/>
    </xf>
    <xf numFmtId="0" fontId="102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3" fontId="107" fillId="36" borderId="0">
      <alignment horizontal="left"/>
    </xf>
    <xf numFmtId="187" fontId="33" fillId="0" borderId="27">
      <protection locked="0"/>
    </xf>
    <xf numFmtId="3" fontId="52" fillId="37" borderId="0">
      <alignment horizontal="right"/>
    </xf>
    <xf numFmtId="10" fontId="108" fillId="0" borderId="28" applyNumberFormat="0" applyFont="0" applyFill="0" applyAlignment="0" applyProtection="0"/>
    <xf numFmtId="37" fontId="80" fillId="29" borderId="0" applyNumberFormat="0" applyBorder="0" applyAlignment="0" applyProtection="0"/>
    <xf numFmtId="37" fontId="45" fillId="0" borderId="0"/>
    <xf numFmtId="3" fontId="109" fillId="0" borderId="19" applyProtection="0"/>
    <xf numFmtId="193" fontId="64" fillId="0" borderId="0">
      <protection locked="0"/>
    </xf>
    <xf numFmtId="194" fontId="64" fillId="0" borderId="0">
      <protection locked="0"/>
    </xf>
    <xf numFmtId="0" fontId="100" fillId="0" borderId="0" applyNumberFormat="0" applyFill="0" applyBorder="0" applyAlignment="0" applyProtection="0"/>
    <xf numFmtId="0" fontId="33" fillId="0" borderId="17" applyFont="0" applyFill="0" applyBorder="0" applyAlignment="0" applyProtection="0"/>
    <xf numFmtId="167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38" fillId="0" borderId="0">
      <alignment vertical="top"/>
    </xf>
    <xf numFmtId="0" fontId="33" fillId="0" borderId="0"/>
    <xf numFmtId="9" fontId="33" fillId="0" borderId="0" applyFont="0" applyFill="0" applyBorder="0" applyAlignment="0" applyProtection="0"/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6" fillId="0" borderId="30" applyBorder="0"/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0" fontId="33" fillId="0" borderId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31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80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85" fillId="0" borderId="0" applyNumberFormat="0" applyFill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31" applyNumberFormat="0" applyAlignment="0" applyProtection="0"/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0" fontId="33" fillId="23" borderId="33" applyNumberFormat="0" applyFon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3" fontId="88" fillId="2" borderId="30">
      <alignment horizontal="center"/>
    </xf>
    <xf numFmtId="0" fontId="89" fillId="31" borderId="0" applyNumberFormat="0" applyBorder="0" applyAlignment="0" applyProtection="0"/>
    <xf numFmtId="203" fontId="33" fillId="0" borderId="0"/>
    <xf numFmtId="203" fontId="33" fillId="0" borderId="0"/>
    <xf numFmtId="203" fontId="33" fillId="0" borderId="0"/>
    <xf numFmtId="203" fontId="33" fillId="0" borderId="0"/>
    <xf numFmtId="190" fontId="119" fillId="0" borderId="0"/>
    <xf numFmtId="191" fontId="119" fillId="0" borderId="0"/>
    <xf numFmtId="0" fontId="73" fillId="0" borderId="0"/>
    <xf numFmtId="0" fontId="38" fillId="0" borderId="0"/>
    <xf numFmtId="0" fontId="33" fillId="0" borderId="0">
      <alignment vertical="top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0" fillId="0" borderId="0"/>
    <xf numFmtId="0" fontId="120" fillId="0" borderId="0"/>
    <xf numFmtId="0" fontId="120" fillId="0" borderId="0"/>
    <xf numFmtId="0" fontId="120" fillId="0" borderId="0"/>
    <xf numFmtId="0" fontId="33" fillId="0" borderId="0"/>
    <xf numFmtId="0" fontId="33" fillId="0" borderId="0"/>
    <xf numFmtId="184" fontId="73" fillId="0" borderId="0"/>
    <xf numFmtId="184" fontId="73" fillId="0" borderId="0"/>
    <xf numFmtId="0" fontId="33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70" fontId="33" fillId="0" borderId="0"/>
    <xf numFmtId="0" fontId="121" fillId="0" borderId="0"/>
    <xf numFmtId="0" fontId="33" fillId="0" borderId="0"/>
    <xf numFmtId="0" fontId="30" fillId="0" borderId="0"/>
    <xf numFmtId="170" fontId="33" fillId="0" borderId="0"/>
    <xf numFmtId="0" fontId="33" fillId="0" borderId="0">
      <alignment vertical="center"/>
    </xf>
    <xf numFmtId="0" fontId="33" fillId="0" borderId="0"/>
    <xf numFmtId="0" fontId="33" fillId="0" borderId="0"/>
    <xf numFmtId="0" fontId="51" fillId="0" borderId="0"/>
    <xf numFmtId="0" fontId="51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0" borderId="23" applyFont="0" applyFill="0" applyBorder="0" applyAlignment="0" applyProtection="0">
      <alignment horizontal="right"/>
    </xf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22" fillId="0" borderId="0" applyNumberFormat="0" applyFill="0" applyBorder="0" applyAlignment="0" applyProtection="0"/>
    <xf numFmtId="0" fontId="93" fillId="26" borderId="37" applyNumberFormat="0" applyAlignment="0" applyProtection="0"/>
    <xf numFmtId="0" fontId="93" fillId="26" borderId="37" applyNumberFormat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20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5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73" fillId="0" borderId="0" applyFont="0" applyFill="0" applyBorder="0" applyAlignment="0" applyProtection="0"/>
    <xf numFmtId="0" fontId="123" fillId="0" borderId="38" applyProtection="0">
      <alignment horizontal="centerContinuous"/>
    </xf>
    <xf numFmtId="0" fontId="46" fillId="0" borderId="0"/>
    <xf numFmtId="0" fontId="46" fillId="0" borderId="0"/>
    <xf numFmtId="0" fontId="46" fillId="0" borderId="0"/>
    <xf numFmtId="0" fontId="46" fillId="0" borderId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39" applyNumberFormat="0" applyFill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54" fillId="0" borderId="0"/>
    <xf numFmtId="0" fontId="54" fillId="0" borderId="0"/>
    <xf numFmtId="0" fontId="29" fillId="0" borderId="0"/>
    <xf numFmtId="168" fontId="44" fillId="0" borderId="0" applyFont="0" applyFill="0" applyBorder="0" applyAlignment="0" applyProtection="0"/>
    <xf numFmtId="0" fontId="44" fillId="0" borderId="0"/>
    <xf numFmtId="9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206" fontId="127" fillId="0" borderId="0" applyFill="0" applyBorder="0" applyProtection="0">
      <alignment horizontal="right"/>
      <protection locked="0"/>
    </xf>
    <xf numFmtId="207" fontId="127" fillId="0" borderId="0" applyFill="0" applyBorder="0" applyProtection="0">
      <alignment horizontal="right"/>
      <protection locked="0"/>
    </xf>
    <xf numFmtId="208" fontId="127" fillId="0" borderId="0" applyFill="0" applyBorder="0" applyProtection="0">
      <alignment horizontal="right"/>
      <protection locked="0"/>
    </xf>
    <xf numFmtId="207" fontId="127" fillId="0" borderId="0" applyFont="0" applyFill="0" applyBorder="0" applyAlignment="0"/>
    <xf numFmtId="208" fontId="127" fillId="0" borderId="0" applyFont="0" applyFill="0" applyBorder="0" applyAlignment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209" fontId="119" fillId="0" borderId="0" applyFill="0" applyBorder="0" applyProtection="0">
      <alignment horizontal="right"/>
      <protection locked="0"/>
    </xf>
    <xf numFmtId="210" fontId="127" fillId="0" borderId="41" applyFont="0" applyFill="0" applyBorder="0" applyAlignment="0"/>
    <xf numFmtId="211" fontId="127" fillId="0" borderId="0" applyFill="0" applyBorder="0" applyProtection="0">
      <alignment horizontal="right"/>
      <protection locked="0"/>
    </xf>
    <xf numFmtId="212" fontId="119" fillId="0" borderId="0" applyFill="0" applyBorder="0" applyProtection="0">
      <alignment horizontal="right"/>
      <protection locked="0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33" fillId="0" borderId="0"/>
    <xf numFmtId="168" fontId="33" fillId="0" borderId="0" applyFont="0" applyFill="0" applyBorder="0" applyAlignment="0" applyProtection="0">
      <alignment wrapText="1"/>
    </xf>
    <xf numFmtId="17" fontId="70" fillId="0" borderId="0" applyFill="0" applyBorder="0">
      <alignment horizontal="right"/>
    </xf>
    <xf numFmtId="169" fontId="74" fillId="0" borderId="0">
      <protection locked="0"/>
    </xf>
    <xf numFmtId="0" fontId="128" fillId="47" borderId="0" applyNumberFormat="0" applyBorder="0" applyProtection="0">
      <alignment horizontal="center"/>
      <protection locked="0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29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3" fontId="130" fillId="0" borderId="42" applyFill="0" applyBorder="0" applyAlignment="0">
      <alignment horizontal="center"/>
    </xf>
    <xf numFmtId="167" fontId="28" fillId="0" borderId="0" applyFont="0" applyFill="0" applyBorder="0" applyAlignment="0" applyProtection="0"/>
    <xf numFmtId="0" fontId="47" fillId="0" borderId="0"/>
    <xf numFmtId="0" fontId="33" fillId="0" borderId="0"/>
    <xf numFmtId="0" fontId="33" fillId="0" borderId="0"/>
    <xf numFmtId="0" fontId="33" fillId="0" borderId="0">
      <alignment vertical="top"/>
    </xf>
    <xf numFmtId="0" fontId="33" fillId="0" borderId="0"/>
    <xf numFmtId="0" fontId="33" fillId="0" borderId="0"/>
    <xf numFmtId="0" fontId="33" fillId="0" borderId="0"/>
    <xf numFmtId="0" fontId="28" fillId="0" borderId="0">
      <alignment vertical="center"/>
    </xf>
    <xf numFmtId="213" fontId="70" fillId="0" borderId="0" applyNumberFormat="0" applyFill="0" applyBorder="0" applyAlignment="0" applyProtection="0"/>
    <xf numFmtId="9" fontId="44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31" fillId="40" borderId="43">
      <alignment horizontal="left"/>
    </xf>
    <xf numFmtId="4" fontId="52" fillId="0" borderId="44" applyNumberFormat="0" applyProtection="0">
      <alignment vertical="center"/>
    </xf>
    <xf numFmtId="4" fontId="132" fillId="29" borderId="44" applyNumberFormat="0" applyProtection="0">
      <alignment vertical="center"/>
    </xf>
    <xf numFmtId="4" fontId="52" fillId="0" borderId="44" applyNumberFormat="0" applyProtection="0">
      <alignment horizontal="left" vertical="center" indent="1"/>
    </xf>
    <xf numFmtId="0" fontId="52" fillId="0" borderId="44" applyNumberFormat="0" applyProtection="0">
      <alignment horizontal="left" vertical="top" indent="1"/>
    </xf>
    <xf numFmtId="4" fontId="52" fillId="0" borderId="0" applyNumberFormat="0" applyProtection="0">
      <alignment horizontal="left" vertical="center" indent="1"/>
    </xf>
    <xf numFmtId="4" fontId="38" fillId="4" borderId="44" applyNumberFormat="0" applyProtection="0">
      <alignment horizontal="right" vertical="center"/>
    </xf>
    <xf numFmtId="4" fontId="38" fillId="11" borderId="44" applyNumberFormat="0" applyProtection="0">
      <alignment horizontal="right" vertical="center"/>
    </xf>
    <xf numFmtId="4" fontId="38" fillId="19" borderId="44" applyNumberFormat="0" applyProtection="0">
      <alignment horizontal="right" vertical="center"/>
    </xf>
    <xf numFmtId="4" fontId="38" fillId="13" borderId="44" applyNumberFormat="0" applyProtection="0">
      <alignment horizontal="right" vertical="center"/>
    </xf>
    <xf numFmtId="4" fontId="38" fillId="17" borderId="44" applyNumberFormat="0" applyProtection="0">
      <alignment horizontal="right" vertical="center"/>
    </xf>
    <xf numFmtId="4" fontId="38" fillId="21" borderId="44" applyNumberFormat="0" applyProtection="0">
      <alignment horizontal="right" vertical="center"/>
    </xf>
    <xf numFmtId="4" fontId="38" fillId="20" borderId="44" applyNumberFormat="0" applyProtection="0">
      <alignment horizontal="right" vertical="center"/>
    </xf>
    <xf numFmtId="4" fontId="38" fillId="48" borderId="44" applyNumberFormat="0" applyProtection="0">
      <alignment horizontal="right" vertical="center"/>
    </xf>
    <xf numFmtId="4" fontId="38" fillId="12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49" borderId="0" applyNumberFormat="0" applyProtection="0">
      <alignment horizontal="left" vertical="center" indent="1"/>
    </xf>
    <xf numFmtId="4" fontId="38" fillId="50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0" borderId="41" applyNumberFormat="0" applyProtection="0">
      <alignment horizontal="left" vertical="center" indent="1"/>
    </xf>
    <xf numFmtId="0" fontId="33" fillId="49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51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22" borderId="44" applyNumberFormat="0" applyProtection="0">
      <alignment horizontal="left" vertical="top" indent="1"/>
    </xf>
    <xf numFmtId="0" fontId="33" fillId="52" borderId="44" applyNumberFormat="0" applyProtection="0">
      <alignment horizontal="left" vertical="center" indent="1"/>
    </xf>
    <xf numFmtId="0" fontId="33" fillId="52" borderId="44" applyNumberFormat="0" applyProtection="0">
      <alignment horizontal="left" vertical="top" indent="1"/>
    </xf>
    <xf numFmtId="4" fontId="38" fillId="23" borderId="44" applyNumberFormat="0" applyProtection="0">
      <alignment vertical="center"/>
    </xf>
    <xf numFmtId="4" fontId="134" fillId="23" borderId="44" applyNumberFormat="0" applyProtection="0">
      <alignment vertical="center"/>
    </xf>
    <xf numFmtId="4" fontId="38" fillId="23" borderId="44" applyNumberFormat="0" applyProtection="0">
      <alignment horizontal="left" vertical="center" indent="1"/>
    </xf>
    <xf numFmtId="0" fontId="38" fillId="23" borderId="44" applyNumberFormat="0" applyProtection="0">
      <alignment horizontal="left" vertical="top" indent="1"/>
    </xf>
    <xf numFmtId="4" fontId="38" fillId="0" borderId="41" applyNumberFormat="0" applyProtection="0">
      <alignment horizontal="right" vertical="center"/>
    </xf>
    <xf numFmtId="4" fontId="134" fillId="0" borderId="44" applyNumberFormat="0" applyProtection="0">
      <alignment horizontal="right" vertical="center"/>
    </xf>
    <xf numFmtId="4" fontId="38" fillId="0" borderId="45" applyNumberFormat="0" applyProtection="0">
      <alignment horizontal="left" vertical="center" indent="1"/>
    </xf>
    <xf numFmtId="0" fontId="52" fillId="0" borderId="41" applyNumberFormat="0" applyProtection="0">
      <alignment horizontal="left" vertical="top" indent="1"/>
    </xf>
    <xf numFmtId="4" fontId="123" fillId="0" borderId="0" applyNumberFormat="0" applyProtection="0">
      <alignment horizontal="left" vertical="center" indent="1"/>
    </xf>
    <xf numFmtId="4" fontId="33" fillId="0" borderId="44" applyNumberFormat="0" applyProtection="0">
      <alignment horizontal="right" vertical="center"/>
    </xf>
    <xf numFmtId="168" fontId="44" fillId="0" borderId="0" applyFont="0" applyFill="0" applyBorder="0" applyAlignment="0" applyProtection="0"/>
    <xf numFmtId="168" fontId="44" fillId="0" borderId="0" applyFont="0" applyFill="0" applyBorder="0" applyAlignment="0" applyProtection="0"/>
    <xf numFmtId="213" fontId="45" fillId="53" borderId="0" applyNumberFormat="0" applyFont="0" applyBorder="0" applyAlignment="0">
      <protection hidden="1"/>
    </xf>
    <xf numFmtId="0" fontId="135" fillId="0" borderId="0" applyFill="0" applyBorder="0" applyAlignment="0" applyProtection="0">
      <protection locked="0"/>
    </xf>
    <xf numFmtId="0" fontId="136" fillId="0" borderId="0" applyBorder="0" applyAlignment="0" applyProtection="0">
      <protection locked="0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27" fillId="0" borderId="0"/>
    <xf numFmtId="167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47" fillId="0" borderId="0">
      <alignment vertical="center"/>
    </xf>
    <xf numFmtId="168" fontId="31" fillId="0" borderId="0" applyFont="0" applyFill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46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46" applyNumberFormat="0" applyAlignment="0" applyProtection="0"/>
    <xf numFmtId="0" fontId="75" fillId="8" borderId="46" applyNumberFormat="0" applyAlignment="0" applyProtection="0"/>
    <xf numFmtId="0" fontId="59" fillId="4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7" fontId="27" fillId="0" borderId="0" applyFont="0" applyFill="0" applyBorder="0" applyAlignment="0" applyProtection="0"/>
    <xf numFmtId="0" fontId="89" fillId="31" borderId="0" applyNumberFormat="0" applyBorder="0" applyAlignment="0" applyProtection="0"/>
    <xf numFmtId="190" fontId="119" fillId="0" borderId="0"/>
    <xf numFmtId="190" fontId="119" fillId="0" borderId="0"/>
    <xf numFmtId="191" fontId="119" fillId="0" borderId="0"/>
    <xf numFmtId="191" fontId="119" fillId="0" borderId="0"/>
    <xf numFmtId="0" fontId="33" fillId="0" borderId="0">
      <alignment vertical="top"/>
    </xf>
    <xf numFmtId="0" fontId="33" fillId="0" borderId="0">
      <alignment vertical="top"/>
    </xf>
    <xf numFmtId="0" fontId="31" fillId="0" borderId="0"/>
    <xf numFmtId="0" fontId="51" fillId="32" borderId="47" applyNumberFormat="0" applyFon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93" fillId="26" borderId="48" applyNumberFormat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49" applyNumberFormat="0" applyFill="0" applyAlignment="0" applyProtection="0"/>
    <xf numFmtId="0" fontId="124" fillId="0" borderId="49" applyNumberFormat="0" applyFill="0" applyAlignment="0" applyProtection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3" fillId="0" borderId="0" applyFont="0" applyFill="0" applyBorder="0" applyAlignment="0" applyProtection="0"/>
    <xf numFmtId="167" fontId="38" fillId="0" borderId="0" applyFont="0" applyFill="0" applyBorder="0" applyAlignment="0" applyProtection="0"/>
    <xf numFmtId="0" fontId="33" fillId="0" borderId="0"/>
    <xf numFmtId="0" fontId="38" fillId="0" borderId="0">
      <alignment vertical="top"/>
    </xf>
    <xf numFmtId="0" fontId="141" fillId="0" borderId="0" applyNumberFormat="0" applyFill="0" applyBorder="0" applyAlignment="0" applyProtection="0"/>
    <xf numFmtId="0" fontId="75" fillId="8" borderId="31" applyNumberFormat="0" applyAlignment="0" applyProtection="0"/>
    <xf numFmtId="0" fontId="67" fillId="26" borderId="31" applyNumberFormat="0" applyAlignment="0" applyProtection="0"/>
    <xf numFmtId="0" fontId="68" fillId="27" borderId="32" applyNumberFormat="0" applyAlignment="0" applyProtection="0"/>
    <xf numFmtId="218" fontId="45" fillId="0" borderId="0" applyFont="0" applyFill="0" applyBorder="0" applyAlignment="0" applyProtection="0"/>
    <xf numFmtId="0" fontId="142" fillId="0" borderId="0" applyNumberFormat="0" applyFill="0" applyBorder="0" applyAlignment="0" applyProtection="0">
      <alignment vertical="top"/>
      <protection locked="0"/>
    </xf>
    <xf numFmtId="0" fontId="75" fillId="8" borderId="31" applyNumberFormat="0" applyAlignment="0" applyProtection="0"/>
    <xf numFmtId="0" fontId="143" fillId="32" borderId="35" applyNumberFormat="0" applyFont="0" applyAlignment="0" applyProtection="0"/>
    <xf numFmtId="0" fontId="93" fillId="26" borderId="48" applyNumberFormat="0" applyAlignment="0" applyProtection="0"/>
    <xf numFmtId="0" fontId="26" fillId="0" borderId="0"/>
    <xf numFmtId="0" fontId="75" fillId="8" borderId="31" applyNumberFormat="0" applyAlignment="0" applyProtection="0"/>
    <xf numFmtId="0" fontId="75" fillId="8" borderId="31" applyNumberFormat="0" applyAlignment="0" applyProtection="0"/>
    <xf numFmtId="0" fontId="26" fillId="0" borderId="0"/>
    <xf numFmtId="0" fontId="26" fillId="0" borderId="0"/>
    <xf numFmtId="0" fontId="31" fillId="0" borderId="0"/>
    <xf numFmtId="0" fontId="56" fillId="0" borderId="55" applyBorder="0"/>
    <xf numFmtId="0" fontId="67" fillId="26" borderId="46" applyNumberFormat="0" applyAlignment="0" applyProtection="0"/>
    <xf numFmtId="40" fontId="66" fillId="23" borderId="56">
      <alignment vertical="center"/>
    </xf>
    <xf numFmtId="0" fontId="82" fillId="0" borderId="52">
      <alignment horizontal="left" vertical="center"/>
    </xf>
    <xf numFmtId="10" fontId="45" fillId="23" borderId="56" applyNumberFormat="0" applyBorder="0" applyAlignment="0" applyProtection="0"/>
    <xf numFmtId="3" fontId="88" fillId="2" borderId="55">
      <alignment horizontal="center"/>
    </xf>
    <xf numFmtId="0" fontId="33" fillId="32" borderId="35" applyNumberFormat="0" applyFont="0" applyAlignment="0" applyProtection="0"/>
    <xf numFmtId="0" fontId="33" fillId="0" borderId="54" applyFont="0" applyFill="0" applyBorder="0" applyAlignment="0" applyProtection="0">
      <alignment horizontal="right"/>
    </xf>
    <xf numFmtId="9" fontId="33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187" fontId="33" fillId="0" borderId="51">
      <protection locked="0"/>
    </xf>
    <xf numFmtId="0" fontId="33" fillId="0" borderId="52" applyFont="0" applyFill="0" applyBorder="0" applyAlignment="0" applyProtection="0"/>
    <xf numFmtId="0" fontId="56" fillId="0" borderId="55" applyBorder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3" fontId="88" fillId="2" borderId="55">
      <alignment horizontal="center"/>
    </xf>
    <xf numFmtId="0" fontId="25" fillId="0" borderId="0"/>
    <xf numFmtId="0" fontId="25" fillId="0" borderId="0"/>
    <xf numFmtId="0" fontId="33" fillId="0" borderId="54" applyFont="0" applyFill="0" applyBorder="0" applyAlignment="0" applyProtection="0">
      <alignment horizontal="right"/>
    </xf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0" fontId="93" fillId="26" borderId="48" applyNumberFormat="0" applyAlignment="0" applyProtection="0"/>
    <xf numFmtId="0" fontId="93" fillId="26" borderId="48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0" fontId="123" fillId="0" borderId="50" applyProtection="0">
      <alignment horizontal="centerContinuous"/>
    </xf>
    <xf numFmtId="0" fontId="124" fillId="0" borderId="49" applyNumberFormat="0" applyFill="0" applyAlignment="0" applyProtection="0"/>
    <xf numFmtId="0" fontId="25" fillId="0" borderId="0"/>
    <xf numFmtId="210" fontId="127" fillId="0" borderId="56" applyFont="0" applyFill="0" applyBorder="0" applyAlignment="0"/>
    <xf numFmtId="167" fontId="25" fillId="0" borderId="0" applyFont="0" applyFill="0" applyBorder="0" applyAlignment="0" applyProtection="0"/>
    <xf numFmtId="0" fontId="25" fillId="0" borderId="0">
      <alignment vertical="center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4" fontId="38" fillId="0" borderId="56" applyNumberFormat="0" applyProtection="0">
      <alignment horizontal="right" vertical="center"/>
    </xf>
    <xf numFmtId="4" fontId="38" fillId="0" borderId="58" applyNumberFormat="0" applyProtection="0">
      <alignment horizontal="left" vertical="center" indent="1"/>
    </xf>
    <xf numFmtId="0" fontId="52" fillId="0" borderId="56" applyNumberFormat="0" applyProtection="0">
      <alignment horizontal="left" vertical="top" indent="1"/>
    </xf>
    <xf numFmtId="0" fontId="25" fillId="0" borderId="0"/>
    <xf numFmtId="0" fontId="68" fillId="27" borderId="57" applyNumberFormat="0" applyAlignment="0" applyProtection="0"/>
    <xf numFmtId="167" fontId="25" fillId="0" borderId="0" applyFont="0" applyFill="0" applyBorder="0" applyAlignment="0" applyProtection="0"/>
    <xf numFmtId="0" fontId="51" fillId="32" borderId="35" applyNumberFormat="0" applyFont="0" applyAlignment="0" applyProtection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5" fillId="8" borderId="46" applyNumberFormat="0" applyAlignment="0" applyProtection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0" fontId="25" fillId="0" borderId="0"/>
    <xf numFmtId="0" fontId="75" fillId="8" borderId="46" applyNumberFormat="0" applyAlignment="0" applyProtection="0"/>
    <xf numFmtId="0" fontId="75" fillId="8" borderId="46" applyNumberFormat="0" applyAlignment="0" applyProtection="0"/>
    <xf numFmtId="0" fontId="25" fillId="0" borderId="0"/>
    <xf numFmtId="0" fontId="25" fillId="0" borderId="0"/>
    <xf numFmtId="0" fontId="31" fillId="0" borderId="0"/>
    <xf numFmtId="9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1" fillId="0" borderId="0"/>
    <xf numFmtId="0" fontId="31" fillId="0" borderId="0"/>
    <xf numFmtId="4" fontId="33" fillId="0" borderId="72" applyNumberFormat="0" applyProtection="0">
      <alignment horizontal="right" vertical="center"/>
    </xf>
    <xf numFmtId="4" fontId="134" fillId="0" borderId="72" applyNumberFormat="0" applyProtection="0">
      <alignment horizontal="right" vertical="center"/>
    </xf>
    <xf numFmtId="4" fontId="38" fillId="23" borderId="72" applyNumberFormat="0" applyProtection="0">
      <alignment horizontal="left" vertical="center" indent="1"/>
    </xf>
    <xf numFmtId="4" fontId="38" fillId="23" borderId="72" applyNumberFormat="0" applyProtection="0">
      <alignment vertical="center"/>
    </xf>
    <xf numFmtId="0" fontId="33" fillId="52" borderId="72" applyNumberFormat="0" applyProtection="0">
      <alignment horizontal="left" vertical="top" indent="1"/>
    </xf>
    <xf numFmtId="0" fontId="33" fillId="49" borderId="72" applyNumberFormat="0" applyProtection="0">
      <alignment horizontal="left" vertical="top" indent="1"/>
    </xf>
    <xf numFmtId="4" fontId="38" fillId="12" borderId="72" applyNumberFormat="0" applyProtection="0">
      <alignment horizontal="right" vertical="center"/>
    </xf>
    <xf numFmtId="4" fontId="38" fillId="20" borderId="72" applyNumberFormat="0" applyProtection="0">
      <alignment horizontal="right" vertical="center"/>
    </xf>
    <xf numFmtId="4" fontId="38" fillId="17" borderId="72" applyNumberFormat="0" applyProtection="0">
      <alignment horizontal="right" vertical="center"/>
    </xf>
    <xf numFmtId="4" fontId="38" fillId="13" borderId="72" applyNumberFormat="0" applyProtection="0">
      <alignment horizontal="right" vertical="center"/>
    </xf>
    <xf numFmtId="0" fontId="52" fillId="0" borderId="72" applyNumberFormat="0" applyProtection="0">
      <alignment horizontal="left" vertical="top" indent="1"/>
    </xf>
    <xf numFmtId="4" fontId="52" fillId="0" borderId="72" applyNumberFormat="0" applyProtection="0">
      <alignment horizontal="left" vertical="center" indent="1"/>
    </xf>
    <xf numFmtId="4" fontId="52" fillId="0" borderId="72" applyNumberFormat="0" applyProtection="0">
      <alignment vertical="center"/>
    </xf>
    <xf numFmtId="0" fontId="67" fillId="26" borderId="65" applyNumberFormat="0" applyAlignment="0" applyProtection="0"/>
    <xf numFmtId="0" fontId="67" fillId="26" borderId="65" applyNumberFormat="0" applyAlignment="0" applyProtection="0"/>
    <xf numFmtId="40" fontId="66" fillId="23" borderId="62">
      <alignment vertical="center"/>
    </xf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0" fontId="82" fillId="0" borderId="59">
      <alignment horizontal="left" vertical="center"/>
    </xf>
    <xf numFmtId="10" fontId="45" fillId="23" borderId="62" applyNumberFormat="0" applyBorder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0" fontId="31" fillId="0" borderId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51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4" fontId="38" fillId="0" borderId="73" applyNumberFormat="0" applyProtection="0">
      <alignment horizontal="left" vertical="center" indent="1"/>
    </xf>
    <xf numFmtId="4" fontId="134" fillId="23" borderId="72" applyNumberFormat="0" applyProtection="0">
      <alignment vertical="center"/>
    </xf>
    <xf numFmtId="4" fontId="38" fillId="50" borderId="72" applyNumberFormat="0" applyProtection="0">
      <alignment horizontal="right" vertical="center"/>
    </xf>
    <xf numFmtId="4" fontId="38" fillId="21" borderId="72" applyNumberFormat="0" applyProtection="0">
      <alignment horizontal="right" vertical="center"/>
    </xf>
    <xf numFmtId="4" fontId="132" fillId="29" borderId="72" applyNumberFormat="0" applyProtection="0">
      <alignment vertical="center"/>
    </xf>
    <xf numFmtId="0" fontId="24" fillId="0" borderId="0"/>
    <xf numFmtId="0" fontId="38" fillId="23" borderId="72" applyNumberFormat="0" applyProtection="0">
      <alignment horizontal="left" vertical="top" indent="1"/>
    </xf>
    <xf numFmtId="0" fontId="33" fillId="52" borderId="72" applyNumberFormat="0" applyProtection="0">
      <alignment horizontal="left" vertical="center" indent="1"/>
    </xf>
    <xf numFmtId="0" fontId="33" fillId="22" borderId="72" applyNumberFormat="0" applyProtection="0">
      <alignment horizontal="left" vertical="top" indent="1"/>
    </xf>
    <xf numFmtId="0" fontId="33" fillId="51" borderId="72" applyNumberFormat="0" applyProtection="0">
      <alignment horizontal="left" vertical="top" indent="1"/>
    </xf>
    <xf numFmtId="4" fontId="38" fillId="48" borderId="72" applyNumberFormat="0" applyProtection="0">
      <alignment horizontal="right" vertical="center"/>
    </xf>
    <xf numFmtId="4" fontId="38" fillId="19" borderId="72" applyNumberFormat="0" applyProtection="0">
      <alignment horizontal="right" vertical="center"/>
    </xf>
    <xf numFmtId="4" fontId="38" fillId="11" borderId="72" applyNumberFormat="0" applyProtection="0">
      <alignment horizontal="right" vertical="center"/>
    </xf>
    <xf numFmtId="4" fontId="38" fillId="4" borderId="72" applyNumberFormat="0" applyProtection="0">
      <alignment horizontal="right" vertical="center"/>
    </xf>
    <xf numFmtId="210" fontId="127" fillId="0" borderId="62" applyFont="0" applyFill="0" applyBorder="0" applyAlignment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52" fillId="0" borderId="70" applyNumberFormat="0" applyProtection="0">
      <alignment vertical="center"/>
    </xf>
    <xf numFmtId="4" fontId="132" fillId="29" borderId="70" applyNumberFormat="0" applyProtection="0">
      <alignment vertical="center"/>
    </xf>
    <xf numFmtId="4" fontId="52" fillId="0" borderId="70" applyNumberFormat="0" applyProtection="0">
      <alignment horizontal="left" vertical="center" indent="1"/>
    </xf>
    <xf numFmtId="0" fontId="52" fillId="0" borderId="70" applyNumberFormat="0" applyProtection="0">
      <alignment horizontal="left" vertical="top" indent="1"/>
    </xf>
    <xf numFmtId="4" fontId="38" fillId="4" borderId="70" applyNumberFormat="0" applyProtection="0">
      <alignment horizontal="right" vertical="center"/>
    </xf>
    <xf numFmtId="4" fontId="38" fillId="11" borderId="70" applyNumberFormat="0" applyProtection="0">
      <alignment horizontal="right" vertical="center"/>
    </xf>
    <xf numFmtId="4" fontId="38" fillId="19" borderId="70" applyNumberFormat="0" applyProtection="0">
      <alignment horizontal="right" vertical="center"/>
    </xf>
    <xf numFmtId="4" fontId="38" fillId="13" borderId="70" applyNumberFormat="0" applyProtection="0">
      <alignment horizontal="right" vertical="center"/>
    </xf>
    <xf numFmtId="4" fontId="38" fillId="17" borderId="70" applyNumberFormat="0" applyProtection="0">
      <alignment horizontal="right" vertical="center"/>
    </xf>
    <xf numFmtId="4" fontId="38" fillId="21" borderId="70" applyNumberFormat="0" applyProtection="0">
      <alignment horizontal="right" vertical="center"/>
    </xf>
    <xf numFmtId="4" fontId="38" fillId="20" borderId="70" applyNumberFormat="0" applyProtection="0">
      <alignment horizontal="right" vertical="center"/>
    </xf>
    <xf numFmtId="4" fontId="38" fillId="48" borderId="70" applyNumberFormat="0" applyProtection="0">
      <alignment horizontal="right" vertical="center"/>
    </xf>
    <xf numFmtId="4" fontId="38" fillId="12" borderId="70" applyNumberFormat="0" applyProtection="0">
      <alignment horizontal="right" vertical="center"/>
    </xf>
    <xf numFmtId="4" fontId="38" fillId="50" borderId="70" applyNumberFormat="0" applyProtection="0">
      <alignment horizontal="right" vertical="center"/>
    </xf>
    <xf numFmtId="0" fontId="33" fillId="0" borderId="62" applyNumberFormat="0" applyProtection="0">
      <alignment horizontal="left" vertical="center" indent="1"/>
    </xf>
    <xf numFmtId="0" fontId="33" fillId="49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51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22" borderId="70" applyNumberFormat="0" applyProtection="0">
      <alignment horizontal="left" vertical="top" indent="1"/>
    </xf>
    <xf numFmtId="0" fontId="33" fillId="52" borderId="70" applyNumberFormat="0" applyProtection="0">
      <alignment horizontal="left" vertical="center" indent="1"/>
    </xf>
    <xf numFmtId="0" fontId="33" fillId="52" borderId="70" applyNumberFormat="0" applyProtection="0">
      <alignment horizontal="left" vertical="top" indent="1"/>
    </xf>
    <xf numFmtId="4" fontId="38" fillId="23" borderId="70" applyNumberFormat="0" applyProtection="0">
      <alignment vertical="center"/>
    </xf>
    <xf numFmtId="4" fontId="134" fillId="23" borderId="70" applyNumberFormat="0" applyProtection="0">
      <alignment vertical="center"/>
    </xf>
    <xf numFmtId="4" fontId="38" fillId="23" borderId="70" applyNumberFormat="0" applyProtection="0">
      <alignment horizontal="left" vertical="center" indent="1"/>
    </xf>
    <xf numFmtId="0" fontId="38" fillId="23" borderId="70" applyNumberFormat="0" applyProtection="0">
      <alignment horizontal="left" vertical="top" indent="1"/>
    </xf>
    <xf numFmtId="4" fontId="38" fillId="0" borderId="62" applyNumberFormat="0" applyProtection="0">
      <alignment horizontal="right" vertical="center"/>
    </xf>
    <xf numFmtId="4" fontId="134" fillId="0" borderId="70" applyNumberFormat="0" applyProtection="0">
      <alignment horizontal="right" vertical="center"/>
    </xf>
    <xf numFmtId="4" fontId="38" fillId="0" borderId="71" applyNumberFormat="0" applyProtection="0">
      <alignment horizontal="left" vertical="center" indent="1"/>
    </xf>
    <xf numFmtId="0" fontId="52" fillId="0" borderId="62" applyNumberFormat="0" applyProtection="0">
      <alignment horizontal="left" vertical="top" indent="1"/>
    </xf>
    <xf numFmtId="4" fontId="33" fillId="0" borderId="70" applyNumberFormat="0" applyProtection="0">
      <alignment horizontal="right" vertical="center"/>
    </xf>
    <xf numFmtId="0" fontId="24" fillId="0" borderId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93" fillId="26" borderId="68" applyNumberFormat="0" applyAlignment="0" applyProtection="0"/>
    <xf numFmtId="0" fontId="124" fillId="0" borderId="69" applyNumberFormat="0" applyFill="0" applyAlignment="0" applyProtection="0"/>
    <xf numFmtId="0" fontId="124" fillId="0" borderId="6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143" fillId="32" borderId="67" applyNumberFormat="0" applyFont="0" applyAlignment="0" applyProtection="0"/>
    <xf numFmtId="0" fontId="93" fillId="26" borderId="68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65" applyNumberFormat="0" applyAlignment="0" applyProtection="0"/>
    <xf numFmtId="0" fontId="82" fillId="0" borderId="59">
      <alignment horizontal="left" vertical="center"/>
    </xf>
    <xf numFmtId="0" fontId="33" fillId="32" borderId="67" applyNumberFormat="0" applyFont="0" applyAlignment="0" applyProtection="0"/>
    <xf numFmtId="0" fontId="34" fillId="22" borderId="36" applyNumberFormat="0" applyFont="0" applyBorder="0" applyAlignment="0" applyProtection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0" fontId="24" fillId="0" borderId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38" fillId="0" borderId="71" applyNumberFormat="0" applyProtection="0">
      <alignment horizontal="left" vertical="center" indent="1"/>
    </xf>
    <xf numFmtId="0" fontId="24" fillId="0" borderId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51" fillId="32" borderId="76" applyNumberFormat="0" applyFont="0" applyAlignment="0" applyProtection="0"/>
    <xf numFmtId="0" fontId="93" fillId="26" borderId="77" applyNumberFormat="0" applyAlignment="0" applyProtection="0"/>
    <xf numFmtId="0" fontId="124" fillId="0" borderId="78" applyNumberFormat="0" applyFill="0" applyAlignment="0" applyProtection="0"/>
    <xf numFmtId="0" fontId="124" fillId="0" borderId="78" applyNumberFormat="0" applyFill="0" applyAlignment="0" applyProtection="0"/>
    <xf numFmtId="0" fontId="93" fillId="26" borderId="77" applyNumberFormat="0" applyAlignment="0" applyProtection="0"/>
    <xf numFmtId="0" fontId="67" fillId="26" borderId="75" applyNumberFormat="0" applyAlignment="0" applyProtection="0"/>
    <xf numFmtId="40" fontId="66" fillId="23" borderId="74">
      <alignment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87" fontId="33" fillId="0" borderId="80">
      <protection locked="0"/>
    </xf>
    <xf numFmtId="0" fontId="33" fillId="0" borderId="81" applyFont="0" applyFill="0" applyBorder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93" fillId="26" borderId="77" applyNumberFormat="0" applyAlignment="0" applyProtection="0"/>
    <xf numFmtId="0" fontId="93" fillId="26" borderId="77" applyNumberFormat="0" applyAlignment="0" applyProtection="0"/>
    <xf numFmtId="0" fontId="123" fillId="0" borderId="79" applyProtection="0">
      <alignment horizontal="centerContinuous"/>
    </xf>
    <xf numFmtId="0" fontId="124" fillId="0" borderId="78" applyNumberFormat="0" applyFill="0" applyAlignment="0" applyProtection="0"/>
    <xf numFmtId="210" fontId="127" fillId="0" borderId="74" applyFont="0" applyFill="0" applyBorder="0" applyAlignment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4" fontId="38" fillId="0" borderId="73" applyNumberFormat="0" applyProtection="0">
      <alignment horizontal="left" vertical="center" indent="1"/>
    </xf>
    <xf numFmtId="0" fontId="52" fillId="0" borderId="74" applyNumberFormat="0" applyProtection="0">
      <alignment horizontal="left" vertical="top" indent="1"/>
    </xf>
    <xf numFmtId="0" fontId="68" fillId="27" borderId="82" applyNumberFormat="0" applyAlignment="0" applyProtection="0"/>
    <xf numFmtId="0" fontId="75" fillId="8" borderId="75" applyNumberFormat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31" fillId="0" borderId="0"/>
    <xf numFmtId="0" fontId="75" fillId="8" borderId="86" applyNumberFormat="0" applyAlignment="0" applyProtection="0"/>
    <xf numFmtId="0" fontId="67" fillId="26" borderId="86" applyNumberFormat="0" applyAlignment="0" applyProtection="0"/>
    <xf numFmtId="0" fontId="33" fillId="0" borderId="92" applyFont="0" applyFill="0" applyBorder="0" applyAlignment="0" applyProtection="0"/>
    <xf numFmtId="10" fontId="45" fillId="23" borderId="85" applyNumberFormat="0" applyBorder="0" applyAlignment="0" applyProtection="0"/>
    <xf numFmtId="0" fontId="82" fillId="0" borderId="92">
      <alignment horizontal="left" vertical="center"/>
    </xf>
    <xf numFmtId="0" fontId="52" fillId="0" borderId="94" applyNumberFormat="0" applyProtection="0">
      <alignment horizontal="left" vertical="top" indent="1"/>
    </xf>
    <xf numFmtId="0" fontId="124" fillId="0" borderId="89" applyNumberFormat="0" applyFill="0" applyAlignment="0" applyProtection="0"/>
    <xf numFmtId="0" fontId="124" fillId="0" borderId="89" applyNumberFormat="0" applyFill="0" applyAlignment="0" applyProtection="0"/>
    <xf numFmtId="0" fontId="93" fillId="26" borderId="88" applyNumberFormat="0" applyAlignment="0" applyProtection="0"/>
    <xf numFmtId="0" fontId="51" fillId="32" borderId="87" applyNumberFormat="0" applyFont="0" applyAlignment="0" applyProtection="0"/>
    <xf numFmtId="0" fontId="75" fillId="8" borderId="86" applyNumberFormat="0" applyAlignment="0" applyProtection="0"/>
    <xf numFmtId="0" fontId="93" fillId="26" borderId="98" applyNumberFormat="0" applyAlignment="0" applyProtection="0"/>
    <xf numFmtId="4" fontId="38" fillId="23" borderId="83" applyNumberFormat="0" applyProtection="0">
      <alignment horizontal="left" vertical="center" indent="1"/>
    </xf>
    <xf numFmtId="4" fontId="134" fillId="23" borderId="83" applyNumberFormat="0" applyProtection="0">
      <alignment vertical="center"/>
    </xf>
    <xf numFmtId="4" fontId="38" fillId="23" borderId="83" applyNumberFormat="0" applyProtection="0">
      <alignment vertical="center"/>
    </xf>
    <xf numFmtId="0" fontId="33" fillId="52" borderId="83" applyNumberFormat="0" applyProtection="0">
      <alignment horizontal="left" vertical="center" indent="1"/>
    </xf>
    <xf numFmtId="0" fontId="33" fillId="51" borderId="83" applyNumberFormat="0" applyProtection="0">
      <alignment horizontal="left" vertical="top" indent="1"/>
    </xf>
    <xf numFmtId="0" fontId="33" fillId="49" borderId="83" applyNumberFormat="0" applyProtection="0">
      <alignment horizontal="left" vertical="top" indent="1"/>
    </xf>
    <xf numFmtId="4" fontId="38" fillId="50" borderId="83" applyNumberFormat="0" applyProtection="0">
      <alignment horizontal="right" vertical="center"/>
    </xf>
    <xf numFmtId="4" fontId="38" fillId="12" borderId="83" applyNumberFormat="0" applyProtection="0">
      <alignment horizontal="right" vertical="center"/>
    </xf>
    <xf numFmtId="4" fontId="38" fillId="48" borderId="83" applyNumberFormat="0" applyProtection="0">
      <alignment horizontal="right" vertical="center"/>
    </xf>
    <xf numFmtId="4" fontId="38" fillId="21" borderId="83" applyNumberFormat="0" applyProtection="0">
      <alignment horizontal="right" vertical="center"/>
    </xf>
    <xf numFmtId="4" fontId="38" fillId="17" borderId="83" applyNumberFormat="0" applyProtection="0">
      <alignment horizontal="right" vertical="center"/>
    </xf>
    <xf numFmtId="4" fontId="38" fillId="13" borderId="83" applyNumberFormat="0" applyProtection="0">
      <alignment horizontal="right" vertical="center"/>
    </xf>
    <xf numFmtId="4" fontId="38" fillId="11" borderId="83" applyNumberFormat="0" applyProtection="0">
      <alignment horizontal="right" vertical="center"/>
    </xf>
    <xf numFmtId="4" fontId="38" fillId="4" borderId="83" applyNumberFormat="0" applyProtection="0">
      <alignment horizontal="right" vertical="center"/>
    </xf>
    <xf numFmtId="4" fontId="52" fillId="0" borderId="83" applyNumberFormat="0" applyProtection="0">
      <alignment horizontal="left" vertical="center" indent="1"/>
    </xf>
    <xf numFmtId="4" fontId="132" fillId="29" borderId="83" applyNumberFormat="0" applyProtection="0">
      <alignment vertical="center"/>
    </xf>
    <xf numFmtId="4" fontId="52" fillId="0" borderId="83" applyNumberFormat="0" applyProtection="0">
      <alignment vertical="center"/>
    </xf>
    <xf numFmtId="0" fontId="93" fillId="26" borderId="98" applyNumberFormat="0" applyAlignment="0" applyProtection="0"/>
    <xf numFmtId="4" fontId="38" fillId="13" borderId="102" applyNumberFormat="0" applyProtection="0">
      <alignment horizontal="right" vertical="center"/>
    </xf>
    <xf numFmtId="0" fontId="67" fillId="26" borderId="93" applyNumberFormat="0" applyAlignment="0" applyProtection="0"/>
    <xf numFmtId="0" fontId="75" fillId="8" borderId="93" applyNumberFormat="0" applyAlignment="0" applyProtection="0"/>
    <xf numFmtId="0" fontId="123" fillId="0" borderId="100" applyProtection="0">
      <alignment horizontal="centerContinuous"/>
    </xf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33" fillId="32" borderId="97" applyNumberFormat="0" applyFont="0" applyAlignment="0" applyProtection="0"/>
    <xf numFmtId="0" fontId="123" fillId="0" borderId="100" applyProtection="0">
      <alignment horizontal="centerContinuous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33" fillId="0" borderId="94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8" fillId="23" borderId="102" applyNumberFormat="0" applyProtection="0">
      <alignment horizontal="left" vertical="top" indent="1"/>
    </xf>
    <xf numFmtId="0" fontId="52" fillId="0" borderId="94" applyNumberFormat="0" applyProtection="0">
      <alignment horizontal="left" vertical="top" indent="1"/>
    </xf>
    <xf numFmtId="0" fontId="75" fillId="8" borderId="93" applyNumberFormat="0" applyAlignment="0" applyProtection="0"/>
    <xf numFmtId="0" fontId="93" fillId="26" borderId="98" applyNumberFormat="0" applyAlignment="0" applyProtection="0"/>
    <xf numFmtId="0" fontId="124" fillId="0" borderId="101" applyNumberFormat="0" applyFill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75" fillId="8" borderId="93" applyNumberFormat="0" applyAlignment="0" applyProtection="0"/>
    <xf numFmtId="10" fontId="45" fillId="23" borderId="94" applyNumberFormat="0" applyBorder="0" applyAlignment="0" applyProtection="0"/>
    <xf numFmtId="187" fontId="33" fillId="0" borderId="99">
      <protection locked="0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1" fillId="0" borderId="0"/>
    <xf numFmtId="40" fontId="66" fillId="23" borderId="94">
      <alignment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4" fontId="52" fillId="0" borderId="102" applyNumberFormat="0" applyProtection="0">
      <alignment horizontal="left" vertical="center" indent="1"/>
    </xf>
    <xf numFmtId="4" fontId="38" fillId="19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0" fontId="33" fillId="0" borderId="94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0" borderId="94" applyNumberFormat="0" applyProtection="0">
      <alignment horizontal="left" vertical="center" indent="1"/>
    </xf>
    <xf numFmtId="4" fontId="38" fillId="23" borderId="102" applyNumberFormat="0" applyProtection="0">
      <alignment vertical="center"/>
    </xf>
    <xf numFmtId="0" fontId="33" fillId="0" borderId="94" applyNumberFormat="0" applyProtection="0">
      <alignment horizontal="left" vertical="center" indent="1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67" fillId="26" borderId="93" applyNumberFormat="0" applyAlignment="0" applyProtection="0"/>
    <xf numFmtId="210" fontId="127" fillId="0" borderId="94" applyFont="0" applyFill="0" applyBorder="0" applyAlignment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123" fillId="0" borderId="100" applyProtection="0">
      <alignment horizontal="centerContinuous"/>
    </xf>
    <xf numFmtId="0" fontId="75" fillId="8" borderId="93" applyNumberFormat="0" applyAlignment="0" applyProtection="0"/>
    <xf numFmtId="0" fontId="67" fillId="26" borderId="93" applyNumberFormat="0" applyAlignment="0" applyProtection="0"/>
    <xf numFmtId="187" fontId="33" fillId="0" borderId="99">
      <protection locked="0"/>
    </xf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23" fillId="0" borderId="0"/>
    <xf numFmtId="0" fontId="23" fillId="0" borderId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210" fontId="127" fillId="0" borderId="94" applyFont="0" applyFill="0" applyBorder="0" applyAlignment="0"/>
    <xf numFmtId="9" fontId="23" fillId="0" borderId="0" applyFont="0" applyFill="0" applyBorder="0" applyAlignment="0" applyProtection="0"/>
    <xf numFmtId="0" fontId="52" fillId="0" borderId="102" applyNumberFormat="0" applyProtection="0">
      <alignment horizontal="left" vertical="top" indent="1"/>
    </xf>
    <xf numFmtId="4" fontId="38" fillId="21" borderId="102" applyNumberFormat="0" applyProtection="0">
      <alignment horizontal="right" vertical="center"/>
    </xf>
    <xf numFmtId="0" fontId="33" fillId="52" borderId="102" applyNumberFormat="0" applyProtection="0">
      <alignment horizontal="left" vertical="center" indent="1"/>
    </xf>
    <xf numFmtId="4" fontId="134" fillId="23" borderId="102" applyNumberFormat="0" applyProtection="0">
      <alignment vertical="center"/>
    </xf>
    <xf numFmtId="4" fontId="134" fillId="0" borderId="102" applyNumberFormat="0" applyProtection="0">
      <alignment horizontal="right" vertical="center"/>
    </xf>
    <xf numFmtId="0" fontId="124" fillId="0" borderId="101" applyNumberFormat="0" applyFill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75" fillId="8" borderId="93" applyNumberFormat="0" applyAlignment="0" applyProtection="0"/>
    <xf numFmtId="0" fontId="143" fillId="32" borderId="97" applyNumberFormat="0" applyFont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0" borderId="103" applyNumberFormat="0" applyProtection="0">
      <alignment horizontal="left" vertical="center" indent="1"/>
    </xf>
    <xf numFmtId="0" fontId="75" fillId="8" borderId="93" applyNumberFormat="0" applyAlignment="0" applyProtection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1">
      <protection locked="0"/>
    </xf>
    <xf numFmtId="0" fontId="93" fillId="26" borderId="88" applyNumberFormat="0" applyAlignment="0" applyProtection="0"/>
    <xf numFmtId="0" fontId="75" fillId="8" borderId="86" applyNumberFormat="0" applyAlignment="0" applyProtection="0"/>
    <xf numFmtId="0" fontId="33" fillId="32" borderId="97" applyNumberFormat="0" applyFont="0" applyAlignment="0" applyProtection="0"/>
    <xf numFmtId="4" fontId="33" fillId="0" borderId="83" applyNumberFormat="0" applyProtection="0">
      <alignment horizontal="right" vertical="center"/>
    </xf>
    <xf numFmtId="0" fontId="38" fillId="23" borderId="83" applyNumberFormat="0" applyProtection="0">
      <alignment horizontal="left" vertical="top" indent="1"/>
    </xf>
    <xf numFmtId="0" fontId="33" fillId="52" borderId="83" applyNumberFormat="0" applyProtection="0">
      <alignment horizontal="left" vertical="top" indent="1"/>
    </xf>
    <xf numFmtId="0" fontId="33" fillId="22" borderId="83" applyNumberFormat="0" applyProtection="0">
      <alignment horizontal="left" vertical="top" indent="1"/>
    </xf>
    <xf numFmtId="4" fontId="38" fillId="20" borderId="83" applyNumberFormat="0" applyProtection="0">
      <alignment horizontal="right" vertical="center"/>
    </xf>
    <xf numFmtId="4" fontId="38" fillId="19" borderId="83" applyNumberFormat="0" applyProtection="0">
      <alignment horizontal="right" vertical="center"/>
    </xf>
    <xf numFmtId="0" fontId="52" fillId="0" borderId="83" applyNumberFormat="0" applyProtection="0">
      <alignment horizontal="left" vertical="top" indent="1"/>
    </xf>
    <xf numFmtId="210" fontId="127" fillId="0" borderId="94" applyFont="0" applyFill="0" applyBorder="0" applyAlignment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11" borderId="102" applyNumberFormat="0" applyProtection="0">
      <alignment horizontal="right" vertical="center"/>
    </xf>
    <xf numFmtId="0" fontId="33" fillId="22" borderId="102" applyNumberFormat="0" applyProtection="0">
      <alignment horizontal="left" vertical="top" indent="1"/>
    </xf>
    <xf numFmtId="0" fontId="67" fillId="26" borderId="93" applyNumberFormat="0" applyAlignment="0" applyProtection="0"/>
    <xf numFmtId="0" fontId="33" fillId="32" borderId="97" applyNumberFormat="0" applyFon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210" fontId="127" fillId="0" borderId="94" applyFont="0" applyFill="0" applyBorder="0" applyAlignment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23" fillId="0" borderId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75" fillId="8" borderId="86" applyNumberFormat="0" applyAlignment="0" applyProtection="0"/>
    <xf numFmtId="40" fontId="66" fillId="23" borderId="85">
      <alignment vertical="center"/>
    </xf>
    <xf numFmtId="0" fontId="67" fillId="26" borderId="86" applyNumberFormat="0" applyAlignment="0" applyProtection="0"/>
    <xf numFmtId="0" fontId="67" fillId="26" borderId="86" applyNumberFormat="0" applyAlignment="0" applyProtection="0"/>
    <xf numFmtId="4" fontId="38" fillId="0" borderId="84" applyNumberFormat="0" applyProtection="0">
      <alignment horizontal="left" vertical="center" indent="1"/>
    </xf>
    <xf numFmtId="4" fontId="134" fillId="0" borderId="83" applyNumberFormat="0" applyProtection="0">
      <alignment horizontal="right" vertical="center"/>
    </xf>
    <xf numFmtId="0" fontId="51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0" fontId="67" fillId="26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4" fontId="132" fillId="29" borderId="102" applyNumberFormat="0" applyProtection="0">
      <alignment vertical="center"/>
    </xf>
    <xf numFmtId="4" fontId="38" fillId="20" borderId="102" applyNumberFormat="0" applyProtection="0">
      <alignment horizontal="right" vertical="center"/>
    </xf>
    <xf numFmtId="0" fontId="33" fillId="23" borderId="95" applyNumberFormat="0" applyFont="0" applyBorder="0" applyAlignment="0" applyProtection="0"/>
    <xf numFmtId="0" fontId="33" fillId="32" borderId="97" applyNumberFormat="0" applyFont="0" applyAlignment="0" applyProtection="0"/>
    <xf numFmtId="167" fontId="23" fillId="0" borderId="0" applyFont="0" applyFill="0" applyBorder="0" applyAlignment="0" applyProtection="0"/>
    <xf numFmtId="0" fontId="23" fillId="0" borderId="0">
      <alignment vertical="center"/>
    </xf>
    <xf numFmtId="4" fontId="33" fillId="0" borderId="102" applyNumberFormat="0" applyProtection="0">
      <alignment horizontal="right"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23" fillId="0" borderId="0"/>
    <xf numFmtId="0" fontId="67" fillId="26" borderId="93" applyNumberFormat="0" applyAlignment="0" applyProtection="0"/>
    <xf numFmtId="0" fontId="67" fillId="26" borderId="93" applyNumberFormat="0" applyAlignment="0" applyProtection="0"/>
    <xf numFmtId="0" fontId="33" fillId="23" borderId="95" applyNumberFormat="0" applyFont="0" applyBorder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123" fillId="0" borderId="100" applyProtection="0">
      <alignment horizontal="centerContinuous"/>
    </xf>
    <xf numFmtId="167" fontId="23" fillId="0" borderId="0" applyFont="0" applyFill="0" applyBorder="0" applyAlignment="0" applyProtection="0"/>
    <xf numFmtId="4" fontId="38" fillId="4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50" borderId="102" applyNumberFormat="0" applyProtection="0">
      <alignment horizontal="right" vertical="center"/>
    </xf>
    <xf numFmtId="4" fontId="38" fillId="0" borderId="94" applyNumberFormat="0" applyProtection="0">
      <alignment horizontal="right" vertical="center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0" borderId="94" applyNumberFormat="0" applyProtection="0">
      <alignment horizontal="left" vertical="center" indent="1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43" fillId="32" borderId="76" applyNumberFormat="0" applyFont="0" applyAlignment="0" applyProtection="0"/>
    <xf numFmtId="0" fontId="23" fillId="0" borderId="0"/>
    <xf numFmtId="0" fontId="23" fillId="0" borderId="0"/>
    <xf numFmtId="0" fontId="23" fillId="0" borderId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33" fillId="32" borderId="76" applyNumberFormat="0" applyFont="0" applyAlignment="0" applyProtection="0"/>
    <xf numFmtId="0" fontId="51" fillId="32" borderId="97" applyNumberFormat="0" applyFont="0" applyAlignment="0" applyProtection="0"/>
    <xf numFmtId="0" fontId="31" fillId="0" borderId="0"/>
    <xf numFmtId="0" fontId="75" fillId="8" borderId="93" applyNumberFormat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" fontId="38" fillId="23" borderId="102" applyNumberFormat="0" applyProtection="0">
      <alignment horizontal="left" vertical="center" indent="1"/>
    </xf>
    <xf numFmtId="4" fontId="38" fillId="0" borderId="103" applyNumberFormat="0" applyProtection="0">
      <alignment horizontal="left" vertical="center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0" fontId="66" fillId="23" borderId="94">
      <alignment vertical="center"/>
    </xf>
    <xf numFmtId="0" fontId="23" fillId="0" borderId="0"/>
    <xf numFmtId="167" fontId="23" fillId="0" borderId="0" applyFont="0" applyFill="0" applyBorder="0" applyAlignment="0" applyProtection="0"/>
    <xf numFmtId="0" fontId="23" fillId="0" borderId="0">
      <alignment vertical="center"/>
    </xf>
    <xf numFmtId="0" fontId="67" fillId="26" borderId="93" applyNumberFormat="0" applyAlignment="0" applyProtection="0"/>
    <xf numFmtId="0" fontId="51" fillId="32" borderId="97" applyNumberFormat="0" applyFont="0" applyAlignment="0" applyProtection="0"/>
    <xf numFmtId="0" fontId="23" fillId="0" borderId="0"/>
    <xf numFmtId="167" fontId="23" fillId="0" borderId="0" applyFont="0" applyFill="0" applyBorder="0" applyAlignment="0" applyProtection="0"/>
    <xf numFmtId="0" fontId="51" fillId="32" borderId="76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0" fontId="45" fillId="23" borderId="94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210" fontId="127" fillId="0" borderId="74" applyFont="0" applyFill="0" applyBorder="0" applyAlignment="0"/>
    <xf numFmtId="40" fontId="66" fillId="23" borderId="74">
      <alignment vertical="center"/>
    </xf>
    <xf numFmtId="0" fontId="75" fillId="8" borderId="93" applyNumberFormat="0" applyAlignment="0" applyProtection="0"/>
    <xf numFmtId="0" fontId="82" fillId="0" borderId="81">
      <alignment horizontal="left"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/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0" fontId="52" fillId="0" borderId="74" applyNumberFormat="0" applyProtection="0">
      <alignment horizontal="left" vertical="top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3" fillId="0" borderId="79" applyProtection="0">
      <alignment horizontal="centerContinuous"/>
    </xf>
    <xf numFmtId="0" fontId="123" fillId="0" borderId="79" applyProtection="0">
      <alignment horizontal="centerContinuous"/>
    </xf>
    <xf numFmtId="0" fontId="33" fillId="0" borderId="81" applyFont="0" applyFill="0" applyBorder="0" applyAlignment="0" applyProtection="0"/>
    <xf numFmtId="0" fontId="33" fillId="0" borderId="81" applyFont="0" applyFill="0" applyBorder="0" applyAlignment="0" applyProtection="0"/>
    <xf numFmtId="209" fontId="92" fillId="0" borderId="0" applyFill="0" applyBorder="0" applyProtection="0">
      <alignment horizontal="right"/>
      <protection locked="0"/>
    </xf>
    <xf numFmtId="212" fontId="92" fillId="0" borderId="0" applyFill="0" applyBorder="0" applyProtection="0">
      <alignment horizontal="right"/>
      <protection locked="0"/>
    </xf>
    <xf numFmtId="0" fontId="56" fillId="0" borderId="55" applyBorder="0"/>
    <xf numFmtId="0" fontId="56" fillId="0" borderId="55" applyBorder="0"/>
    <xf numFmtId="0" fontId="56" fillId="0" borderId="55" applyBorder="0"/>
    <xf numFmtId="0" fontId="56" fillId="0" borderId="55" applyBorder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167" fontId="3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0" fontId="44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33" fillId="0" borderId="0"/>
    <xf numFmtId="0" fontId="33" fillId="0" borderId="0">
      <alignment vertical="top"/>
    </xf>
    <xf numFmtId="0" fontId="23" fillId="0" borderId="0"/>
    <xf numFmtId="0" fontId="3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33" fillId="0" borderId="0">
      <alignment vertical="top"/>
    </xf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4" fontId="52" fillId="0" borderId="102" applyNumberFormat="0" applyProtection="0">
      <alignment vertical="center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87" fontId="33" fillId="0" borderId="80">
      <protection locked="0"/>
    </xf>
    <xf numFmtId="0" fontId="93" fillId="26" borderId="88" applyNumberFormat="0" applyAlignment="0" applyProtection="0"/>
    <xf numFmtId="0" fontId="93" fillId="26" borderId="88" applyNumberFormat="0" applyAlignment="0" applyProtection="0"/>
    <xf numFmtId="0" fontId="123" fillId="0" borderId="90" applyProtection="0">
      <alignment horizontal="centerContinuous"/>
    </xf>
    <xf numFmtId="0" fontId="124" fillId="0" borderId="89" applyNumberFormat="0" applyFill="0" applyAlignment="0" applyProtection="0"/>
    <xf numFmtId="210" fontId="127" fillId="0" borderId="85" applyFont="0" applyFill="0" applyBorder="0" applyAlignment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4" applyNumberFormat="0" applyProtection="0">
      <alignment horizontal="left" vertical="center" indent="1"/>
    </xf>
    <xf numFmtId="0" fontId="52" fillId="0" borderId="85" applyNumberFormat="0" applyProtection="0">
      <alignment horizontal="left" vertical="top" indent="1"/>
    </xf>
    <xf numFmtId="0" fontId="75" fillId="8" borderId="86" applyNumberFormat="0" applyAlignment="0" applyProtection="0"/>
    <xf numFmtId="0" fontId="67" fillId="26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210" fontId="127" fillId="0" borderId="85" applyFont="0" applyFill="0" applyBorder="0" applyAlignment="0"/>
    <xf numFmtId="210" fontId="127" fillId="0" borderId="85" applyFont="0" applyFill="0" applyBorder="0" applyAlignment="0"/>
    <xf numFmtId="40" fontId="66" fillId="23" borderId="85">
      <alignment vertical="center"/>
    </xf>
    <xf numFmtId="40" fontId="66" fillId="23" borderId="85">
      <alignment vertical="center"/>
    </xf>
    <xf numFmtId="0" fontId="82" fillId="0" borderId="92">
      <alignment horizontal="left" vertical="center"/>
    </xf>
    <xf numFmtId="0" fontId="82" fillId="0" borderId="92">
      <alignment horizontal="left" vertical="center"/>
    </xf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5" applyNumberFormat="0" applyProtection="0">
      <alignment horizontal="right" vertical="center"/>
    </xf>
    <xf numFmtId="0" fontId="52" fillId="0" borderId="85" applyNumberFormat="0" applyProtection="0">
      <alignment horizontal="left" vertical="top" indent="1"/>
    </xf>
    <xf numFmtId="0" fontId="52" fillId="0" borderId="85" applyNumberFormat="0" applyProtection="0">
      <alignment horizontal="left" vertical="top" indent="1"/>
    </xf>
    <xf numFmtId="0" fontId="123" fillId="0" borderId="90" applyProtection="0">
      <alignment horizontal="centerContinuous"/>
    </xf>
    <xf numFmtId="0" fontId="123" fillId="0" borderId="90" applyProtection="0">
      <alignment horizontal="centerContinuous"/>
    </xf>
    <xf numFmtId="0" fontId="33" fillId="0" borderId="92" applyFont="0" applyFill="0" applyBorder="0" applyAlignment="0" applyProtection="0"/>
    <xf numFmtId="0" fontId="33" fillId="0" borderId="92" applyFont="0" applyFill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32" borderId="87" applyNumberFormat="0" applyFont="0" applyAlignment="0" applyProtection="0"/>
    <xf numFmtId="187" fontId="33" fillId="0" borderId="91">
      <protection locked="0"/>
    </xf>
    <xf numFmtId="0" fontId="51" fillId="32" borderId="97" applyNumberFormat="0" applyFon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9">
      <protection locked="0"/>
    </xf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48" fillId="0" borderId="0" applyNumberFormat="0" applyFill="0" applyBorder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37" fontId="5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9" fillId="0" borderId="0"/>
    <xf numFmtId="0" fontId="149" fillId="0" borderId="0"/>
    <xf numFmtId="0" fontId="149" fillId="0" borderId="0"/>
    <xf numFmtId="0" fontId="149" fillId="0" borderId="0"/>
    <xf numFmtId="0" fontId="71" fillId="0" borderId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7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9" fontId="33" fillId="53" borderId="0"/>
    <xf numFmtId="9" fontId="33" fillId="53" borderId="0"/>
    <xf numFmtId="9" fontId="33" fillId="53" borderId="0"/>
    <xf numFmtId="9" fontId="33" fillId="53" borderId="0"/>
    <xf numFmtId="192" fontId="64" fillId="0" borderId="0">
      <protection locked="0"/>
    </xf>
    <xf numFmtId="192" fontId="64" fillId="0" borderId="0">
      <protection locked="0"/>
    </xf>
    <xf numFmtId="192" fontId="64" fillId="0" borderId="0">
      <protection locked="0"/>
    </xf>
    <xf numFmtId="0" fontId="33" fillId="0" borderId="0"/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150" fillId="0" borderId="0">
      <alignment horizontal="left"/>
    </xf>
    <xf numFmtId="3" fontId="50" fillId="2" borderId="0">
      <alignment horizontal="left"/>
    </xf>
    <xf numFmtId="3" fontId="50" fillId="2" borderId="0">
      <alignment horizontal="left"/>
    </xf>
    <xf numFmtId="0" fontId="151" fillId="3" borderId="0" applyNumberFormat="0" applyBorder="0" applyAlignment="0" applyProtection="0"/>
    <xf numFmtId="0" fontId="151" fillId="4" borderId="0" applyNumberFormat="0" applyBorder="0" applyAlignment="0" applyProtection="0"/>
    <xf numFmtId="0" fontId="151" fillId="5" borderId="0" applyNumberFormat="0" applyBorder="0" applyAlignment="0" applyProtection="0"/>
    <xf numFmtId="0" fontId="151" fillId="6" borderId="0" applyNumberFormat="0" applyBorder="0" applyAlignment="0" applyProtection="0"/>
    <xf numFmtId="0" fontId="151" fillId="7" borderId="0" applyNumberFormat="0" applyBorder="0" applyAlignment="0" applyProtection="0"/>
    <xf numFmtId="0" fontId="151" fillId="8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0" fontId="151" fillId="10" borderId="0" applyNumberFormat="0" applyBorder="0" applyAlignment="0" applyProtection="0"/>
    <xf numFmtId="0" fontId="151" fillId="11" borderId="0" applyNumberFormat="0" applyBorder="0" applyAlignment="0" applyProtection="0"/>
    <xf numFmtId="0" fontId="151" fillId="12" borderId="0" applyNumberFormat="0" applyBorder="0" applyAlignment="0" applyProtection="0"/>
    <xf numFmtId="0" fontId="151" fillId="6" borderId="0" applyNumberFormat="0" applyBorder="0" applyAlignment="0" applyProtection="0"/>
    <xf numFmtId="0" fontId="151" fillId="10" borderId="0" applyNumberFormat="0" applyBorder="0" applyAlignment="0" applyProtection="0"/>
    <xf numFmtId="0" fontId="151" fillId="13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0" fontId="152" fillId="14" borderId="0" applyNumberFormat="0" applyBorder="0" applyAlignment="0" applyProtection="0"/>
    <xf numFmtId="0" fontId="152" fillId="11" borderId="0" applyNumberFormat="0" applyBorder="0" applyAlignment="0" applyProtection="0"/>
    <xf numFmtId="0" fontId="152" fillId="12" borderId="0" applyNumberFormat="0" applyBorder="0" applyAlignment="0" applyProtection="0"/>
    <xf numFmtId="0" fontId="152" fillId="15" borderId="0" applyNumberFormat="0" applyBorder="0" applyAlignment="0" applyProtection="0"/>
    <xf numFmtId="0" fontId="152" fillId="16" borderId="0" applyNumberFormat="0" applyBorder="0" applyAlignment="0" applyProtection="0"/>
    <xf numFmtId="0" fontId="152" fillId="17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4" borderId="0" applyNumberFormat="0" applyBorder="0" applyAlignment="0" applyProtection="0"/>
    <xf numFmtId="221" fontId="53" fillId="11" borderId="0" applyNumberFormat="0" applyBorder="0" applyAlignment="0" applyProtection="0"/>
    <xf numFmtId="221" fontId="53" fillId="12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17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5" borderId="0" applyNumberFormat="0" applyBorder="0" applyAlignment="0" applyProtection="0"/>
    <xf numFmtId="0" fontId="152" fillId="18" borderId="0" applyNumberFormat="0" applyBorder="0" applyAlignment="0" applyProtection="0"/>
    <xf numFmtId="0" fontId="53" fillId="66" borderId="0" applyNumberFormat="0" applyBorder="0" applyAlignment="0" applyProtection="0"/>
    <xf numFmtId="0" fontId="51" fillId="67" borderId="0" applyNumberFormat="0" applyBorder="0" applyAlignment="0" applyProtection="0"/>
    <xf numFmtId="0" fontId="51" fillId="68" borderId="0" applyNumberFormat="0" applyBorder="0" applyAlignment="0" applyProtection="0"/>
    <xf numFmtId="0" fontId="53" fillId="69" borderId="0" applyNumberFormat="0" applyBorder="0" applyAlignment="0" applyProtection="0"/>
    <xf numFmtId="184" fontId="139" fillId="70" borderId="0" applyNumberFormat="0" applyBorder="0" applyAlignment="0" applyProtection="0"/>
    <xf numFmtId="0" fontId="152" fillId="19" borderId="0" applyNumberFormat="0" applyBorder="0" applyAlignment="0" applyProtection="0"/>
    <xf numFmtId="0" fontId="53" fillId="71" borderId="0" applyNumberFormat="0" applyBorder="0" applyAlignment="0" applyProtection="0"/>
    <xf numFmtId="0" fontId="51" fillId="72" borderId="0" applyNumberFormat="0" applyBorder="0" applyAlignment="0" applyProtection="0"/>
    <xf numFmtId="0" fontId="51" fillId="73" borderId="0" applyNumberFormat="0" applyBorder="0" applyAlignment="0" applyProtection="0"/>
    <xf numFmtId="0" fontId="53" fillId="74" borderId="0" applyNumberFormat="0" applyBorder="0" applyAlignment="0" applyProtection="0"/>
    <xf numFmtId="184" fontId="139" fillId="75" borderId="0" applyNumberFormat="0" applyBorder="0" applyAlignment="0" applyProtection="0"/>
    <xf numFmtId="0" fontId="152" fillId="20" borderId="0" applyNumberFormat="0" applyBorder="0" applyAlignment="0" applyProtection="0"/>
    <xf numFmtId="0" fontId="53" fillId="69" borderId="0" applyNumberFormat="0" applyBorder="0" applyAlignment="0" applyProtection="0"/>
    <xf numFmtId="0" fontId="51" fillId="73" borderId="0" applyNumberFormat="0" applyBorder="0" applyAlignment="0" applyProtection="0"/>
    <xf numFmtId="0" fontId="51" fillId="74" borderId="0" applyNumberFormat="0" applyBorder="0" applyAlignment="0" applyProtection="0"/>
    <xf numFmtId="0" fontId="53" fillId="74" borderId="0" applyNumberFormat="0" applyBorder="0" applyAlignment="0" applyProtection="0"/>
    <xf numFmtId="0" fontId="152" fillId="15" borderId="0" applyNumberFormat="0" applyBorder="0" applyAlignment="0" applyProtection="0"/>
    <xf numFmtId="0" fontId="53" fillId="76" borderId="0" applyNumberFormat="0" applyBorder="0" applyAlignment="0" applyProtection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4" borderId="0" applyNumberFormat="0" applyBorder="0" applyAlignment="0" applyProtection="0"/>
    <xf numFmtId="0" fontId="152" fillId="16" borderId="0" applyNumberFormat="0" applyBorder="0" applyAlignment="0" applyProtection="0"/>
    <xf numFmtId="0" fontId="53" fillId="77" borderId="0" applyNumberFormat="0" applyBorder="0" applyAlignment="0" applyProtection="0"/>
    <xf numFmtId="0" fontId="51" fillId="78" borderId="0" applyNumberFormat="0" applyBorder="0" applyAlignment="0" applyProtection="0"/>
    <xf numFmtId="0" fontId="51" fillId="68" borderId="0" applyNumberFormat="0" applyBorder="0" applyAlignment="0" applyProtection="0"/>
    <xf numFmtId="0" fontId="53" fillId="79" borderId="0" applyNumberFormat="0" applyBorder="0" applyAlignment="0" applyProtection="0"/>
    <xf numFmtId="0" fontId="152" fillId="21" borderId="0" applyNumberFormat="0" applyBorder="0" applyAlignment="0" applyProtection="0"/>
    <xf numFmtId="0" fontId="53" fillId="80" borderId="0" applyNumberFormat="0" applyBorder="0" applyAlignment="0" applyProtection="0"/>
    <xf numFmtId="177" fontId="34" fillId="22" borderId="2">
      <alignment horizontal="center" vertical="center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84" fontId="33" fillId="0" borderId="0"/>
    <xf numFmtId="181" fontId="33" fillId="0" borderId="0"/>
    <xf numFmtId="0" fontId="33" fillId="0" borderId="0"/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3" fontId="50" fillId="0" borderId="0" applyNumberFormat="0" applyFill="0" applyBorder="0" applyAlignment="0" applyProtection="0"/>
    <xf numFmtId="0" fontId="153" fillId="0" borderId="10">
      <protection hidden="1"/>
    </xf>
    <xf numFmtId="0" fontId="150" fillId="26" borderId="10" applyNumberFormat="0" applyFont="0" applyBorder="0" applyAlignment="0" applyProtection="0">
      <protection hidden="1"/>
    </xf>
    <xf numFmtId="0" fontId="153" fillId="0" borderId="10">
      <protection hidden="1"/>
    </xf>
    <xf numFmtId="0" fontId="154" fillId="81" borderId="0"/>
    <xf numFmtId="0" fontId="155" fillId="4" borderId="0" applyNumberFormat="0" applyBorder="0" applyAlignment="0" applyProtection="0"/>
    <xf numFmtId="0" fontId="156" fillId="0" borderId="0" applyFont="0" applyFill="0" applyBorder="0" applyAlignment="0" applyProtection="0">
      <alignment horizontal="right"/>
    </xf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157" fillId="0" borderId="55" applyNumberFormat="0" applyFill="0" applyAlignment="0" applyProtection="0"/>
    <xf numFmtId="178" fontId="158" fillId="0" borderId="0">
      <alignment horizontal="right"/>
    </xf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2" fontId="122" fillId="0" borderId="63" applyAlignment="0" applyProtection="0"/>
    <xf numFmtId="221" fontId="63" fillId="5" borderId="0" applyNumberFormat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220" fontId="67" fillId="26" borderId="93" applyNumberFormat="0" applyAlignment="0" applyProtection="0"/>
    <xf numFmtId="221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3" fontId="33" fillId="0" borderId="0" applyFont="0" applyFill="0" applyBorder="0" applyAlignment="0" applyProtection="0"/>
    <xf numFmtId="224" fontId="33" fillId="0" borderId="0" applyFont="0" applyFill="0" applyBorder="0" applyAlignment="0" applyProtection="0"/>
    <xf numFmtId="0" fontId="68" fillId="27" borderId="82" applyNumberFormat="0" applyAlignment="0" applyProtection="0"/>
    <xf numFmtId="0" fontId="69" fillId="0" borderId="8" applyNumberFormat="0" applyFill="0" applyAlignment="0" applyProtection="0"/>
    <xf numFmtId="0" fontId="69" fillId="0" borderId="8" applyNumberFormat="0" applyFill="0" applyAlignment="0" applyProtection="0"/>
    <xf numFmtId="37" fontId="159" fillId="29" borderId="94" applyProtection="0">
      <alignment horizontal="center"/>
    </xf>
    <xf numFmtId="0" fontId="68" fillId="69" borderId="82" applyNumberFormat="0" applyAlignment="0" applyProtection="0"/>
    <xf numFmtId="0" fontId="70" fillId="28" borderId="9" applyFont="0" applyFill="0" applyBorder="0"/>
    <xf numFmtId="0" fontId="45" fillId="0" borderId="10"/>
    <xf numFmtId="0" fontId="45" fillId="0" borderId="10"/>
    <xf numFmtId="0" fontId="45" fillId="0" borderId="10"/>
    <xf numFmtId="0" fontId="32" fillId="0" borderId="0" applyNumberFormat="0" applyFill="0" applyBorder="0" applyAlignment="0" applyProtection="0">
      <alignment vertical="top"/>
      <protection locked="0"/>
    </xf>
    <xf numFmtId="0" fontId="160" fillId="0" borderId="0"/>
    <xf numFmtId="0" fontId="160" fillId="0" borderId="0"/>
    <xf numFmtId="0" fontId="160" fillId="0" borderId="0"/>
    <xf numFmtId="0" fontId="160" fillId="0" borderId="0"/>
    <xf numFmtId="0" fontId="160" fillId="0" borderId="0"/>
    <xf numFmtId="225" fontId="161" fillId="0" borderId="0"/>
    <xf numFmtId="225" fontId="161" fillId="0" borderId="0"/>
    <xf numFmtId="213" fontId="127" fillId="0" borderId="0" applyFill="0" applyBorder="0" applyAlignment="0" applyProtection="0"/>
    <xf numFmtId="40" fontId="127" fillId="0" borderId="0" applyFill="0" applyBorder="0" applyAlignment="0" applyProtection="0"/>
    <xf numFmtId="226" fontId="127" fillId="82" borderId="0" applyFill="0" applyBorder="0" applyAlignment="0">
      <alignment vertical="top"/>
    </xf>
    <xf numFmtId="227" fontId="127" fillId="0" borderId="0" applyFill="0" applyBorder="0" applyAlignment="0" applyProtection="0"/>
    <xf numFmtId="18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6" fontId="38" fillId="0" borderId="0" applyProtection="0"/>
    <xf numFmtId="223" fontId="38" fillId="0" borderId="0" applyProtection="0"/>
    <xf numFmtId="168" fontId="38" fillId="0" borderId="0" applyProtection="0"/>
    <xf numFmtId="166" fontId="86" fillId="0" borderId="0" applyProtection="0"/>
    <xf numFmtId="223" fontId="86" fillId="0" borderId="0" applyProtection="0"/>
    <xf numFmtId="168" fontId="86" fillId="0" borderId="0" applyProtection="0"/>
    <xf numFmtId="0" fontId="71" fillId="0" borderId="0"/>
    <xf numFmtId="0" fontId="56" fillId="0" borderId="0"/>
    <xf numFmtId="0" fontId="163" fillId="0" borderId="0"/>
    <xf numFmtId="0" fontId="71" fillId="0" borderId="0"/>
    <xf numFmtId="3" fontId="72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56" fillId="0" borderId="0"/>
    <xf numFmtId="0" fontId="163" fillId="0" borderId="0"/>
    <xf numFmtId="0" fontId="71" fillId="0" borderId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228" fontId="127" fillId="82" borderId="99" applyFill="0" applyBorder="0" applyAlignment="0">
      <alignment horizontal="right"/>
    </xf>
    <xf numFmtId="0" fontId="162" fillId="0" borderId="0" applyFont="0" applyFill="0" applyBorder="0" applyAlignment="0" applyProtection="0">
      <alignment horizontal="right"/>
    </xf>
    <xf numFmtId="0" fontId="162" fillId="0" borderId="0" applyFont="0" applyFill="0" applyBorder="0" applyAlignment="0" applyProtection="0">
      <alignment horizontal="right"/>
    </xf>
    <xf numFmtId="182" fontId="72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162" fillId="0" borderId="0" applyFont="0" applyFill="0" applyBorder="0" applyAlignment="0" applyProtection="0"/>
    <xf numFmtId="14" fontId="38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73" fillId="0" borderId="0" applyFont="0" applyFill="0" applyBorder="0" applyAlignment="0"/>
    <xf numFmtId="183" fontId="33" fillId="0" borderId="12">
      <alignment vertical="center"/>
    </xf>
    <xf numFmtId="0" fontId="164" fillId="9" borderId="64" applyNumberFormat="0" applyBorder="0" applyAlignment="0">
      <alignment horizontal="center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0" fontId="64" fillId="0" borderId="0">
      <protection locked="0"/>
    </xf>
    <xf numFmtId="0" fontId="162" fillId="0" borderId="105" applyNumberFormat="0" applyFont="0" applyFill="0" applyAlignment="0" applyProtection="0"/>
    <xf numFmtId="0" fontId="127" fillId="0" borderId="0" applyNumberFormat="0" applyFill="0" applyBorder="0" applyAlignment="0" applyProtection="0"/>
    <xf numFmtId="0" fontId="124" fillId="83" borderId="0" applyNumberFormat="0" applyBorder="0" applyAlignment="0" applyProtection="0"/>
    <xf numFmtId="0" fontId="124" fillId="84" borderId="0" applyNumberFormat="0" applyBorder="0" applyAlignment="0" applyProtection="0"/>
    <xf numFmtId="0" fontId="124" fillId="85" borderId="0" applyNumberFormat="0" applyBorder="0" applyAlignment="0" applyProtection="0"/>
    <xf numFmtId="0" fontId="165" fillId="0" borderId="0">
      <protection locked="0"/>
    </xf>
    <xf numFmtId="0" fontId="165" fillId="0" borderId="0">
      <protection locked="0"/>
    </xf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18" borderId="0" applyNumberFormat="0" applyBorder="0" applyAlignment="0" applyProtection="0"/>
    <xf numFmtId="221" fontId="53" fillId="19" borderId="0" applyNumberFormat="0" applyBorder="0" applyAlignment="0" applyProtection="0"/>
    <xf numFmtId="221" fontId="53" fillId="20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184" fontId="33" fillId="0" borderId="0" applyFont="0" applyFill="0" applyBorder="0" applyAlignment="0" applyProtection="0"/>
    <xf numFmtId="220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229" fontId="33" fillId="0" borderId="0" applyFill="0" applyBorder="0" applyAlignment="0" applyProtection="0"/>
    <xf numFmtId="0" fontId="166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7" fontId="77" fillId="0" borderId="0" applyBorder="0" applyAlignment="0"/>
    <xf numFmtId="37" fontId="77" fillId="0" borderId="0" applyBorder="0" applyAlignment="0"/>
    <xf numFmtId="0" fontId="64" fillId="0" borderId="0">
      <protection locked="0"/>
    </xf>
    <xf numFmtId="3" fontId="72" fillId="0" borderId="0" applyFont="0" applyFill="0" applyBorder="0" applyAlignment="0" applyProtection="0"/>
    <xf numFmtId="0" fontId="64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6" fontId="64" fillId="0" borderId="0">
      <protection locked="0"/>
    </xf>
    <xf numFmtId="186" fontId="64" fillId="0" borderId="0">
      <protection locked="0"/>
    </xf>
    <xf numFmtId="0" fontId="167" fillId="0" borderId="0" applyFill="0" applyBorder="0" applyProtection="0">
      <alignment horizontal="left"/>
    </xf>
    <xf numFmtId="0" fontId="140" fillId="0" borderId="0"/>
    <xf numFmtId="38" fontId="164" fillId="0" borderId="10" applyBorder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2" fontId="33" fillId="0" borderId="0"/>
    <xf numFmtId="2" fontId="33" fillId="0" borderId="0"/>
    <xf numFmtId="2" fontId="33" fillId="0" borderId="0"/>
    <xf numFmtId="2" fontId="33" fillId="0" borderId="0"/>
    <xf numFmtId="0" fontId="168" fillId="5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62" fillId="0" borderId="0" applyFont="0" applyFill="0" applyBorder="0" applyAlignment="0" applyProtection="0">
      <alignment horizontal="right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69" fillId="0" borderId="0" applyProtection="0">
      <alignment horizontal="left"/>
    </xf>
    <xf numFmtId="184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230" fontId="127" fillId="0" borderId="0" applyFill="0" applyBorder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170" fillId="0" borderId="0" applyNumberFormat="0" applyFill="0" applyBorder="0" applyAlignment="0" applyProtection="0">
      <alignment vertical="top"/>
      <protection locked="0"/>
    </xf>
    <xf numFmtId="0" fontId="170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0" fontId="47" fillId="0" borderId="0"/>
    <xf numFmtId="231" fontId="33" fillId="0" borderId="0" applyNumberFormat="0" applyFill="0" applyBorder="0" applyAlignment="0" applyProtection="0"/>
    <xf numFmtId="231" fontId="33" fillId="0" borderId="0" applyNumberFormat="0" applyFill="0" applyBorder="0" applyAlignment="0" applyProtection="0"/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232" fontId="141" fillId="0" borderId="0"/>
    <xf numFmtId="232" fontId="141" fillId="0" borderId="0"/>
    <xf numFmtId="232" fontId="141" fillId="0" borderId="0"/>
    <xf numFmtId="233" fontId="141" fillId="0" borderId="0"/>
    <xf numFmtId="233" fontId="141" fillId="0" borderId="0"/>
    <xf numFmtId="233" fontId="141" fillId="0" borderId="0"/>
    <xf numFmtId="234" fontId="141" fillId="0" borderId="0"/>
    <xf numFmtId="234" fontId="141" fillId="0" borderId="0"/>
    <xf numFmtId="234" fontId="141" fillId="0" borderId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0" fontId="171" fillId="86" borderId="0" applyNumberFormat="0" applyBorder="0" applyAlignment="0">
      <protection locked="0"/>
    </xf>
    <xf numFmtId="0" fontId="75" fillId="8" borderId="93" applyNumberFormat="0" applyAlignment="0" applyProtection="0"/>
    <xf numFmtId="235" fontId="172" fillId="0" borderId="0"/>
    <xf numFmtId="0" fontId="32" fillId="0" borderId="0" applyNumberFormat="0" applyFill="0" applyBorder="0" applyAlignment="0" applyProtection="0">
      <alignment vertical="top"/>
      <protection locked="0"/>
    </xf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73" fillId="0" borderId="8" applyNumberFormat="0" applyFill="0" applyAlignment="0" applyProtection="0"/>
    <xf numFmtId="0" fontId="174" fillId="0" borderId="10">
      <alignment horizontal="left"/>
      <protection locked="0"/>
    </xf>
    <xf numFmtId="236" fontId="175" fillId="0" borderId="0" applyFont="0" applyFill="0" applyBorder="0" applyAlignment="0" applyProtection="0"/>
    <xf numFmtId="38" fontId="73" fillId="0" borderId="0" applyFont="0" applyFill="0" applyBorder="0" applyAlignment="0" applyProtection="0"/>
    <xf numFmtId="40" fontId="73" fillId="0" borderId="0" applyFont="0" applyFill="0" applyBorder="0" applyAlignment="0" applyProtection="0"/>
    <xf numFmtId="0" fontId="176" fillId="0" borderId="0" applyBorder="0"/>
    <xf numFmtId="237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88" fontId="64" fillId="0" borderId="0">
      <protection locked="0"/>
    </xf>
    <xf numFmtId="188" fontId="64" fillId="0" borderId="0">
      <protection locked="0"/>
    </xf>
    <xf numFmtId="239" fontId="33" fillId="0" borderId="0" applyFont="0" applyFill="0" applyBorder="0" applyAlignment="0" applyProtection="0"/>
    <xf numFmtId="24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4" fillId="0" borderId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9" fontId="147" fillId="0" borderId="0" applyProtection="0"/>
    <xf numFmtId="241" fontId="147" fillId="0" borderId="0" applyProtection="0"/>
    <xf numFmtId="242" fontId="147" fillId="0" borderId="0" applyProtection="0"/>
    <xf numFmtId="169" fontId="147" fillId="0" borderId="0" applyProtection="0"/>
    <xf numFmtId="241" fontId="147" fillId="0" borderId="0" applyProtection="0"/>
    <xf numFmtId="242" fontId="147" fillId="0" borderId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0" fontId="177" fillId="31" borderId="0" applyNumberFormat="0" applyBorder="0" applyAlignment="0" applyProtection="0"/>
    <xf numFmtId="0" fontId="33" fillId="0" borderId="0" applyNumberFormat="0" applyFill="0" applyBorder="0" applyAlignment="0" applyProtection="0"/>
    <xf numFmtId="37" fontId="90" fillId="0" borderId="0"/>
    <xf numFmtId="37" fontId="90" fillId="0" borderId="0"/>
    <xf numFmtId="0" fontId="47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33" fontId="141" fillId="0" borderId="0"/>
    <xf numFmtId="233" fontId="141" fillId="0" borderId="0"/>
    <xf numFmtId="233" fontId="141" fillId="0" borderId="0"/>
    <xf numFmtId="244" fontId="141" fillId="0" borderId="0">
      <alignment horizontal="right"/>
    </xf>
    <xf numFmtId="244" fontId="141" fillId="0" borderId="0">
      <alignment horizontal="right"/>
    </xf>
    <xf numFmtId="244" fontId="141" fillId="0" borderId="0">
      <alignment horizontal="right"/>
    </xf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0" fontId="31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 applyFill="0" applyBorder="0" applyAlignment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44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1" fillId="0" borderId="0"/>
    <xf numFmtId="0" fontId="31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33" fillId="0" borderId="0"/>
    <xf numFmtId="221" fontId="33" fillId="0" borderId="0"/>
    <xf numFmtId="221" fontId="33" fillId="0" borderId="0"/>
    <xf numFmtId="221" fontId="33" fillId="0" borderId="0"/>
    <xf numFmtId="0" fontId="3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2" fillId="0" borderId="0"/>
    <xf numFmtId="0" fontId="22" fillId="0" borderId="0"/>
    <xf numFmtId="0" fontId="33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0" fontId="33" fillId="0" borderId="0"/>
    <xf numFmtId="0" fontId="33" fillId="0" borderId="0"/>
    <xf numFmtId="221" fontId="33" fillId="0" borderId="0"/>
    <xf numFmtId="0" fontId="33" fillId="0" borderId="0"/>
    <xf numFmtId="0" fontId="33" fillId="0" borderId="0"/>
    <xf numFmtId="220" fontId="33" fillId="0" borderId="0"/>
    <xf numFmtId="221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33" fillId="0" borderId="0">
      <alignment vertical="top"/>
    </xf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73" fillId="0" borderId="0"/>
    <xf numFmtId="221" fontId="73" fillId="0" borderId="0"/>
    <xf numFmtId="220" fontId="33" fillId="0" borderId="0"/>
    <xf numFmtId="0" fontId="33" fillId="0" borderId="0"/>
    <xf numFmtId="221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184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79" fillId="0" borderId="0"/>
    <xf numFmtId="0" fontId="147" fillId="0" borderId="0"/>
    <xf numFmtId="0" fontId="175" fillId="0" borderId="0"/>
    <xf numFmtId="0" fontId="149" fillId="0" borderId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1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0" fontId="180" fillId="0" borderId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81" fillId="33" borderId="29"/>
    <xf numFmtId="1" fontId="182" fillId="0" borderId="0" applyProtection="0">
      <alignment horizontal="right" vertical="center"/>
    </xf>
    <xf numFmtId="178" fontId="183" fillId="0" borderId="55">
      <alignment vertical="center"/>
    </xf>
    <xf numFmtId="0" fontId="71" fillId="0" borderId="0"/>
    <xf numFmtId="0" fontId="56" fillId="0" borderId="0"/>
    <xf numFmtId="0" fontId="33" fillId="0" borderId="54" applyFont="0" applyFill="0" applyBorder="0" applyAlignment="0" applyProtection="0">
      <alignment horizontal="right"/>
    </xf>
    <xf numFmtId="245" fontId="127" fillId="82" borderId="0" applyFill="0" applyBorder="0" applyAlignment="0" applyProtection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46" fontId="127" fillId="82" borderId="0" applyFill="0" applyBorder="0" applyAlignment="0" applyProtection="0">
      <alignment vertical="top"/>
    </xf>
    <xf numFmtId="247" fontId="127" fillId="0" borderId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10" fontId="72" fillId="0" borderId="0" applyFont="0" applyFill="0" applyBorder="0" applyAlignment="0" applyProtection="0"/>
    <xf numFmtId="250" fontId="64" fillId="0" borderId="0">
      <protection locked="0"/>
    </xf>
    <xf numFmtId="193" fontId="64" fillId="0" borderId="0">
      <protection locked="0"/>
    </xf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64" fillId="0" borderId="0">
      <protection locked="0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10" fontId="72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84" fillId="0" borderId="0" applyNumberFormat="0">
      <alignment horizontal="left"/>
    </xf>
    <xf numFmtId="231" fontId="33" fillId="0" borderId="0" applyNumberFormat="0" applyAlignment="0">
      <alignment horizontal="left"/>
    </xf>
    <xf numFmtId="0" fontId="73" fillId="0" borderId="0" applyNumberFormat="0" applyFont="0" applyFill="0" applyBorder="0" applyAlignment="0" applyProtection="0">
      <alignment horizontal="left"/>
    </xf>
    <xf numFmtId="15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0" fontId="122" fillId="0" borderId="106">
      <alignment horizontal="center"/>
    </xf>
    <xf numFmtId="3" fontId="73" fillId="0" borderId="0" applyFont="0" applyFill="0" applyBorder="0" applyAlignment="0" applyProtection="0"/>
    <xf numFmtId="0" fontId="73" fillId="28" borderId="0" applyNumberFormat="0" applyFont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0" fontId="185" fillId="0" borderId="94">
      <alignment horizontal="center" vertical="center"/>
    </xf>
    <xf numFmtId="0" fontId="186" fillId="0" borderId="107" applyBorder="0">
      <alignment vertical="top"/>
      <protection locked="0"/>
    </xf>
    <xf numFmtId="3" fontId="46" fillId="0" borderId="0" applyFill="0" applyBorder="0" applyAlignment="0" applyProtection="0"/>
    <xf numFmtId="3" fontId="46" fillId="0" borderId="0" applyFill="0" applyBorder="0" applyAlignment="0" applyProtection="0"/>
    <xf numFmtId="0" fontId="187" fillId="0" borderId="10" applyNumberFormat="0" applyFill="0" applyBorder="0" applyAlignment="0" applyProtection="0">
      <protection hidden="1"/>
    </xf>
    <xf numFmtId="38" fontId="184" fillId="0" borderId="0"/>
    <xf numFmtId="220" fontId="93" fillId="26" borderId="98" applyNumberFormat="0" applyAlignment="0" applyProtection="0"/>
    <xf numFmtId="221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4" fontId="52" fillId="0" borderId="102" applyNumberFormat="0" applyProtection="0">
      <alignment vertical="center"/>
    </xf>
    <xf numFmtId="4" fontId="132" fillId="29" borderId="102" applyNumberFormat="0" applyProtection="0">
      <alignment vertical="center"/>
    </xf>
    <xf numFmtId="4" fontId="52" fillId="0" borderId="102" applyNumberFormat="0" applyProtection="0">
      <alignment horizontal="left" vertical="center" indent="1"/>
    </xf>
    <xf numFmtId="0" fontId="52" fillId="0" borderId="102" applyNumberFormat="0" applyProtection="0">
      <alignment horizontal="left" vertical="top" indent="1"/>
    </xf>
    <xf numFmtId="0" fontId="33" fillId="87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4" fontId="52" fillId="50" borderId="0" applyNumberFormat="0" applyProtection="0">
      <alignment horizontal="left" vertical="center" indent="1"/>
    </xf>
    <xf numFmtId="4" fontId="38" fillId="4" borderId="102" applyNumberFormat="0" applyProtection="0">
      <alignment horizontal="right" vertical="center"/>
    </xf>
    <xf numFmtId="4" fontId="38" fillId="11" borderId="102" applyNumberFormat="0" applyProtection="0">
      <alignment horizontal="right" vertical="center"/>
    </xf>
    <xf numFmtId="4" fontId="38" fillId="19" borderId="102" applyNumberFormat="0" applyProtection="0">
      <alignment horizontal="right" vertical="center"/>
    </xf>
    <xf numFmtId="4" fontId="38" fillId="13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21" borderId="102" applyNumberFormat="0" applyProtection="0">
      <alignment horizontal="right" vertical="center"/>
    </xf>
    <xf numFmtId="4" fontId="38" fillId="20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88" borderId="0" applyNumberFormat="0" applyProtection="0">
      <alignment horizontal="left" vertical="center" indent="1"/>
    </xf>
    <xf numFmtId="4" fontId="38" fillId="50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89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22" borderId="102" applyNumberFormat="0" applyProtection="0">
      <alignment horizontal="left" vertical="top" indent="1"/>
    </xf>
    <xf numFmtId="0" fontId="33" fillId="52" borderId="102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3" fillId="82" borderId="94" applyNumberFormat="0">
      <protection locked="0"/>
    </xf>
    <xf numFmtId="4" fontId="38" fillId="23" borderId="102" applyNumberFormat="0" applyProtection="0">
      <alignment vertical="center"/>
    </xf>
    <xf numFmtId="4" fontId="134" fillId="23" borderId="102" applyNumberFormat="0" applyProtection="0">
      <alignment vertical="center"/>
    </xf>
    <xf numFmtId="4" fontId="38" fillId="23" borderId="102" applyNumberFormat="0" applyProtection="0">
      <alignment horizontal="left" vertical="center" indent="1"/>
    </xf>
    <xf numFmtId="0" fontId="38" fillId="23" borderId="102" applyNumberFormat="0" applyProtection="0">
      <alignment horizontal="left" vertical="top" indent="1"/>
    </xf>
    <xf numFmtId="4" fontId="134" fillId="0" borderId="102" applyNumberFormat="0" applyProtection="0">
      <alignment horizontal="right" vertical="center"/>
    </xf>
    <xf numFmtId="0" fontId="188" fillId="0" borderId="0"/>
    <xf numFmtId="4" fontId="123" fillId="0" borderId="0" applyNumberFormat="0" applyProtection="0">
      <alignment horizontal="left" vertical="center" indent="1"/>
    </xf>
    <xf numFmtId="4" fontId="189" fillId="90" borderId="98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189" fillId="90" borderId="98" applyNumberFormat="0" applyProtection="0">
      <alignment horizontal="right" vertical="center"/>
    </xf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92" fontId="96" fillId="0" borderId="0">
      <protection locked="0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44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0" fontId="106" fillId="0" borderId="0" applyNumberFormat="0" applyFill="0" applyBorder="0" applyAlignment="0" applyProtection="0"/>
    <xf numFmtId="0" fontId="33" fillId="0" borderId="108"/>
    <xf numFmtId="0" fontId="38" fillId="0" borderId="0">
      <alignment vertical="top"/>
    </xf>
    <xf numFmtId="0" fontId="38" fillId="0" borderId="0">
      <alignment vertical="top"/>
    </xf>
    <xf numFmtId="0" fontId="33" fillId="0" borderId="94" applyNumberFormat="0" applyFont="0" applyFill="0" applyProtection="0">
      <alignment horizontal="center"/>
    </xf>
    <xf numFmtId="22" fontId="33" fillId="0" borderId="94" applyFont="0" applyFill="0" applyProtection="0">
      <alignment horizontal="center"/>
    </xf>
    <xf numFmtId="0" fontId="34" fillId="9" borderId="94" applyNumberFormat="0" applyProtection="0">
      <alignment horizontal="center"/>
    </xf>
    <xf numFmtId="0" fontId="190" fillId="38" borderId="94" applyNumberFormat="0" applyProtection="0">
      <alignment horizontal="right"/>
    </xf>
    <xf numFmtId="4" fontId="33" fillId="0" borderId="94" applyFont="0" applyFill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3" fillId="91" borderId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166" fontId="33" fillId="0" borderId="0"/>
    <xf numFmtId="0" fontId="33" fillId="0" borderId="109"/>
    <xf numFmtId="0" fontId="191" fillId="0" borderId="0" applyBorder="0" applyProtection="0">
      <alignment vertical="center"/>
    </xf>
    <xf numFmtId="0" fontId="147" fillId="0" borderId="53" applyBorder="0" applyProtection="0">
      <alignment horizontal="right" vertical="center"/>
    </xf>
    <xf numFmtId="0" fontId="192" fillId="92" borderId="0" applyBorder="0" applyProtection="0">
      <alignment horizontal="centerContinuous" vertical="center"/>
    </xf>
    <xf numFmtId="0" fontId="192" fillId="93" borderId="53" applyBorder="0" applyProtection="0">
      <alignment horizontal="centerContinuous" vertical="center"/>
    </xf>
    <xf numFmtId="0" fontId="193" fillId="0" borderId="0" applyFill="0" applyBorder="0" applyProtection="0">
      <alignment horizontal="left"/>
    </xf>
    <xf numFmtId="0" fontId="167" fillId="0" borderId="20" applyFill="0" applyBorder="0" applyProtection="0">
      <alignment horizontal="left" vertical="top"/>
    </xf>
    <xf numFmtId="0" fontId="194" fillId="0" borderId="0"/>
    <xf numFmtId="0" fontId="47" fillId="0" borderId="0"/>
    <xf numFmtId="0" fontId="195" fillId="0" borderId="0" applyNumberFormat="0" applyFill="0" applyBorder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40" fontId="196" fillId="0" borderId="0"/>
    <xf numFmtId="184" fontId="102" fillId="0" borderId="0" applyNumberFormat="0" applyFill="0" applyBorder="0" applyAlignment="0" applyProtection="0"/>
    <xf numFmtId="220" fontId="104" fillId="0" borderId="25" applyNumberFormat="0" applyFill="0" applyAlignment="0" applyProtection="0"/>
    <xf numFmtId="221" fontId="104" fillId="0" borderId="25" applyNumberFormat="0" applyFill="0" applyAlignment="0" applyProtection="0"/>
    <xf numFmtId="0" fontId="83" fillId="0" borderId="0" applyNumberFormat="0" applyFill="0" applyBorder="0" applyAlignment="0" applyProtection="0"/>
    <xf numFmtId="221" fontId="104" fillId="0" borderId="25" applyNumberFormat="0" applyFill="0" applyAlignment="0" applyProtection="0"/>
    <xf numFmtId="221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5" fillId="0" borderId="26" applyNumberFormat="0" applyFill="0" applyAlignment="0" applyProtection="0"/>
    <xf numFmtId="221" fontId="105" fillId="0" borderId="26" applyNumberFormat="0" applyFill="0" applyAlignment="0" applyProtection="0"/>
    <xf numFmtId="0" fontId="84" fillId="0" borderId="0" applyNumberFormat="0" applyFill="0" applyBorder="0" applyAlignment="0" applyProtection="0"/>
    <xf numFmtId="221" fontId="105" fillId="0" borderId="26" applyNumberFormat="0" applyFill="0" applyAlignment="0" applyProtection="0"/>
    <xf numFmtId="221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192" fontId="165" fillId="0" borderId="0">
      <protection locked="0"/>
    </xf>
    <xf numFmtId="192" fontId="165" fillId="0" borderId="0">
      <protection locked="0"/>
    </xf>
    <xf numFmtId="0" fontId="33" fillId="91" borderId="0"/>
    <xf numFmtId="0" fontId="184" fillId="26" borderId="10"/>
    <xf numFmtId="178" fontId="197" fillId="0" borderId="0">
      <alignment horizontal="left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3" fontId="34" fillId="0" borderId="63" applyFont="0" applyFill="0" applyBorder="0" applyProtection="0">
      <alignment horizontal="center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0" borderId="0"/>
    <xf numFmtId="37" fontId="45" fillId="0" borderId="0"/>
    <xf numFmtId="37" fontId="45" fillId="0" borderId="0"/>
    <xf numFmtId="37" fontId="45" fillId="29" borderId="0" applyNumberFormat="0" applyBorder="0" applyAlignment="0" applyProtection="0"/>
    <xf numFmtId="0" fontId="198" fillId="0" borderId="0">
      <alignment vertical="top"/>
    </xf>
    <xf numFmtId="37" fontId="199" fillId="0" borderId="0">
      <protection locked="0"/>
    </xf>
    <xf numFmtId="193" fontId="64" fillId="0" borderId="0">
      <protection locked="0"/>
    </xf>
    <xf numFmtId="193" fontId="64" fillId="0" borderId="0">
      <protection locked="0"/>
    </xf>
    <xf numFmtId="194" fontId="64" fillId="0" borderId="0">
      <protection locked="0"/>
    </xf>
    <xf numFmtId="194" fontId="64" fillId="0" borderId="0">
      <protection locked="0"/>
    </xf>
    <xf numFmtId="189" fontId="147" fillId="0" borderId="0" applyFont="0" applyFill="0" applyBorder="0" applyAlignment="0" applyProtection="0"/>
    <xf numFmtId="189" fontId="147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51" fillId="0" borderId="0" applyFont="0" applyFill="0" applyBorder="0" applyAlignment="0" applyProtection="0"/>
    <xf numFmtId="3" fontId="33" fillId="0" borderId="0" applyFont="0" applyFill="0" applyBorder="0" applyAlignment="0" applyProtection="0"/>
    <xf numFmtId="2" fontId="72" fillId="0" borderId="0" applyFont="0" applyFill="0" applyBorder="0" applyAlignment="0" applyProtection="0"/>
    <xf numFmtId="235" fontId="119" fillId="0" borderId="0" applyFill="0"/>
    <xf numFmtId="0" fontId="200" fillId="0" borderId="0" applyNumberForma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2" fillId="0" borderId="0"/>
    <xf numFmtId="0" fontId="202" fillId="0" borderId="0" applyFont="0" applyFill="0" applyBorder="0" applyAlignment="0" applyProtection="0"/>
    <xf numFmtId="0" fontId="202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03" fillId="0" borderId="0"/>
    <xf numFmtId="43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43" fontId="5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3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5" fillId="0" borderId="0"/>
    <xf numFmtId="0" fontId="20" fillId="0" borderId="0"/>
    <xf numFmtId="0" fontId="114" fillId="0" borderId="0"/>
    <xf numFmtId="0" fontId="19" fillId="0" borderId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8" fillId="0" borderId="0"/>
    <xf numFmtId="0" fontId="31" fillId="0" borderId="0"/>
    <xf numFmtId="0" fontId="17" fillId="0" borderId="0"/>
    <xf numFmtId="210" fontId="127" fillId="0" borderId="110" applyFont="0" applyFill="0" applyBorder="0" applyAlignment="0"/>
    <xf numFmtId="210" fontId="127" fillId="0" borderId="110" applyFont="0" applyFill="0" applyBorder="0" applyAlignment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40" fontId="66" fillId="23" borderId="110">
      <alignment vertical="center"/>
    </xf>
    <xf numFmtId="40" fontId="66" fillId="23" borderId="110">
      <alignment vertical="center"/>
    </xf>
    <xf numFmtId="43" fontId="33" fillId="0" borderId="0" applyFont="0" applyFill="0" applyBorder="0" applyAlignment="0" applyProtection="0">
      <alignment wrapText="1"/>
    </xf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29" borderId="0" applyNumberFormat="0" applyFont="0" applyBorder="0" applyAlignment="0" applyProtection="0"/>
    <xf numFmtId="0" fontId="82" fillId="0" borderId="112">
      <alignment horizontal="left" vertical="center"/>
    </xf>
    <xf numFmtId="0" fontId="82" fillId="0" borderId="112">
      <alignment horizontal="left" vertical="center"/>
    </xf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43" fontId="3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4" fontId="38" fillId="0" borderId="110" applyNumberFormat="0" applyProtection="0">
      <alignment horizontal="right" vertical="center"/>
    </xf>
    <xf numFmtId="4" fontId="38" fillId="0" borderId="110" applyNumberFormat="0" applyProtection="0">
      <alignment horizontal="right" vertical="center"/>
    </xf>
    <xf numFmtId="0" fontId="52" fillId="0" borderId="110" applyNumberFormat="0" applyProtection="0">
      <alignment horizontal="left" vertical="top" indent="1"/>
    </xf>
    <xf numFmtId="0" fontId="52" fillId="0" borderId="110" applyNumberFormat="0" applyProtection="0">
      <alignment horizontal="left" vertical="top" indent="1"/>
    </xf>
    <xf numFmtId="43" fontId="38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23" fillId="0" borderId="111" applyProtection="0">
      <alignment horizontal="centerContinuous"/>
    </xf>
    <xf numFmtId="0" fontId="123" fillId="0" borderId="111" applyProtection="0">
      <alignment horizontal="centerContinuous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31" fillId="0" borderId="0"/>
    <xf numFmtId="0" fontId="33" fillId="0" borderId="112" applyFont="0" applyFill="0" applyBorder="0" applyAlignment="0" applyProtection="0"/>
    <xf numFmtId="0" fontId="33" fillId="0" borderId="112" applyFont="0" applyFill="0" applyBorder="0" applyAlignment="0" applyProtection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1" fillId="0" borderId="0"/>
    <xf numFmtId="0" fontId="16" fillId="0" borderId="0"/>
    <xf numFmtId="43" fontId="16" fillId="0" borderId="0" applyFont="0" applyFill="0" applyBorder="0" applyAlignment="0" applyProtection="0"/>
    <xf numFmtId="0" fontId="15" fillId="0" borderId="0"/>
    <xf numFmtId="43" fontId="31" fillId="0" borderId="0" applyFont="0" applyFill="0" applyBorder="0" applyAlignment="0" applyProtection="0"/>
    <xf numFmtId="0" fontId="14" fillId="0" borderId="0"/>
    <xf numFmtId="0" fontId="13" fillId="0" borderId="0"/>
    <xf numFmtId="0" fontId="267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43" fontId="8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71" fillId="110" borderId="158" applyNumberFormat="0" applyAlignment="0" applyProtection="0"/>
    <xf numFmtId="9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0"/>
    <xf numFmtId="0" fontId="299" fillId="0" borderId="0" applyNumberFormat="0" applyFill="0" applyBorder="0" applyAlignment="0" applyProtection="0"/>
    <xf numFmtId="0" fontId="300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33" fillId="0" borderId="0"/>
    <xf numFmtId="0" fontId="33" fillId="0" borderId="0"/>
    <xf numFmtId="168" fontId="3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1" fillId="0" borderId="0"/>
  </cellStyleXfs>
  <cellXfs count="1878">
    <xf numFmtId="0" fontId="0" fillId="0" borderId="0" xfId="0"/>
    <xf numFmtId="0" fontId="33" fillId="0" borderId="0" xfId="831"/>
    <xf numFmtId="0" fontId="33" fillId="33" borderId="0" xfId="831" applyFill="1"/>
    <xf numFmtId="0" fontId="32" fillId="33" borderId="0" xfId="801" applyFill="1" applyBorder="1" applyAlignment="1" applyProtection="1">
      <alignment horizontal="right"/>
    </xf>
    <xf numFmtId="14" fontId="33" fillId="0" borderId="0" xfId="831" applyNumberFormat="1"/>
    <xf numFmtId="0" fontId="36" fillId="33" borderId="0" xfId="831" applyFont="1" applyFill="1" applyAlignment="1">
      <alignment horizontal="left"/>
    </xf>
    <xf numFmtId="0" fontId="40" fillId="39" borderId="29" xfId="831" applyFont="1" applyFill="1" applyBorder="1" applyAlignment="1">
      <alignment horizontal="center" vertical="center"/>
    </xf>
    <xf numFmtId="14" fontId="110" fillId="0" borderId="0" xfId="831" applyNumberFormat="1" applyFont="1"/>
    <xf numFmtId="14" fontId="0" fillId="0" borderId="0" xfId="0" applyNumberFormat="1"/>
    <xf numFmtId="0" fontId="31" fillId="0" borderId="0" xfId="0" applyFont="1"/>
    <xf numFmtId="168" fontId="33" fillId="0" borderId="0" xfId="863" applyFont="1"/>
    <xf numFmtId="10" fontId="33" fillId="0" borderId="0" xfId="847" applyNumberFormat="1" applyFont="1"/>
    <xf numFmtId="0" fontId="0" fillId="41" borderId="0" xfId="0" applyFill="1"/>
    <xf numFmtId="0" fontId="44" fillId="0" borderId="0" xfId="0" applyFont="1" applyAlignment="1">
      <alignment vertical="center"/>
    </xf>
    <xf numFmtId="0" fontId="126" fillId="0" borderId="0" xfId="0" applyFont="1"/>
    <xf numFmtId="0" fontId="117" fillId="41" borderId="0" xfId="0" applyFont="1" applyFill="1"/>
    <xf numFmtId="0" fontId="31" fillId="0" borderId="0" xfId="1891" applyAlignment="1">
      <alignment vertical="top"/>
    </xf>
    <xf numFmtId="14" fontId="31" fillId="0" borderId="0" xfId="0" applyNumberFormat="1" applyFont="1"/>
    <xf numFmtId="0" fontId="31" fillId="0" borderId="0" xfId="2697"/>
    <xf numFmtId="10" fontId="44" fillId="41" borderId="0" xfId="847" applyNumberFormat="1" applyFont="1" applyFill="1" applyBorder="1"/>
    <xf numFmtId="10" fontId="44" fillId="0" borderId="0" xfId="847" applyNumberFormat="1" applyFont="1"/>
    <xf numFmtId="10" fontId="145" fillId="41" borderId="0" xfId="847" applyNumberFormat="1" applyFont="1" applyFill="1" applyBorder="1" applyAlignment="1">
      <alignment horizontal="center" vertical="center"/>
    </xf>
    <xf numFmtId="3" fontId="44" fillId="41" borderId="0" xfId="907" applyNumberFormat="1" applyFont="1" applyFill="1" applyAlignment="1">
      <alignment horizontal="center"/>
    </xf>
    <xf numFmtId="0" fontId="44" fillId="41" borderId="0" xfId="907" applyFont="1" applyFill="1"/>
    <xf numFmtId="4" fontId="44" fillId="41" borderId="0" xfId="907" applyNumberFormat="1" applyFont="1" applyFill="1"/>
    <xf numFmtId="10" fontId="44" fillId="41" borderId="0" xfId="907" applyNumberFormat="1" applyFont="1" applyFill="1"/>
    <xf numFmtId="167" fontId="44" fillId="41" borderId="0" xfId="907" applyNumberFormat="1" applyFont="1" applyFill="1"/>
    <xf numFmtId="167" fontId="138" fillId="41" borderId="0" xfId="1033" applyFont="1" applyFill="1" applyBorder="1"/>
    <xf numFmtId="167" fontId="44" fillId="41" borderId="0" xfId="815" applyFont="1" applyFill="1" applyBorder="1"/>
    <xf numFmtId="0" fontId="144" fillId="41" borderId="0" xfId="907" applyFont="1" applyFill="1"/>
    <xf numFmtId="0" fontId="111" fillId="41" borderId="0" xfId="907" applyFont="1" applyFill="1"/>
    <xf numFmtId="167" fontId="44" fillId="41" borderId="0" xfId="815" applyFont="1" applyFill="1" applyBorder="1" applyAlignment="1" applyProtection="1"/>
    <xf numFmtId="167" fontId="39" fillId="41" borderId="0" xfId="907" applyNumberFormat="1" applyFont="1" applyFill="1" applyProtection="1">
      <protection hidden="1"/>
    </xf>
    <xf numFmtId="167" fontId="39" fillId="41" borderId="0" xfId="907" applyNumberFormat="1" applyFont="1" applyFill="1" applyAlignment="1" applyProtection="1">
      <alignment horizontal="center"/>
      <protection hidden="1"/>
    </xf>
    <xf numFmtId="10" fontId="39" fillId="41" borderId="0" xfId="847" applyNumberFormat="1" applyFont="1" applyFill="1" applyBorder="1" applyAlignment="1" applyProtection="1">
      <alignment horizontal="center"/>
      <protection hidden="1"/>
    </xf>
    <xf numFmtId="0" fontId="44" fillId="41" borderId="0" xfId="43187" quotePrefix="1" applyFont="1" applyFill="1" applyAlignment="1">
      <alignment horizontal="left"/>
    </xf>
    <xf numFmtId="10" fontId="44" fillId="41" borderId="0" xfId="847" applyNumberFormat="1" applyFont="1" applyFill="1" applyBorder="1" applyAlignment="1" applyProtection="1">
      <alignment horizontal="center"/>
    </xf>
    <xf numFmtId="0" fontId="44" fillId="41" borderId="0" xfId="43187" applyFont="1" applyFill="1" applyAlignment="1">
      <alignment horizontal="left"/>
    </xf>
    <xf numFmtId="0" fontId="118" fillId="41" borderId="0" xfId="907" applyFont="1" applyFill="1" applyAlignment="1">
      <alignment horizontal="center"/>
    </xf>
    <xf numFmtId="167" fontId="144" fillId="41" borderId="0" xfId="815" applyFont="1" applyFill="1" applyBorder="1"/>
    <xf numFmtId="0" fontId="204" fillId="41" borderId="0" xfId="907" applyFont="1" applyFill="1"/>
    <xf numFmtId="10" fontId="204" fillId="41" borderId="0" xfId="847" applyNumberFormat="1" applyFont="1" applyFill="1" applyBorder="1" applyAlignment="1" applyProtection="1">
      <alignment horizontal="center"/>
      <protection hidden="1"/>
    </xf>
    <xf numFmtId="167" fontId="44" fillId="41" borderId="0" xfId="815" applyFont="1" applyFill="1" applyBorder="1" applyAlignment="1">
      <alignment horizontal="left"/>
    </xf>
    <xf numFmtId="10" fontId="111" fillId="41" borderId="0" xfId="847" applyNumberFormat="1" applyFont="1" applyFill="1" applyBorder="1" applyAlignment="1">
      <alignment horizontal="center"/>
    </xf>
    <xf numFmtId="0" fontId="44" fillId="41" borderId="0" xfId="43187" applyFont="1" applyFill="1"/>
    <xf numFmtId="10" fontId="44" fillId="41" borderId="0" xfId="847" applyNumberFormat="1" applyFont="1" applyFill="1" applyBorder="1" applyAlignment="1">
      <alignment horizontal="right"/>
    </xf>
    <xf numFmtId="167" fontId="44" fillId="41" borderId="0" xfId="815" applyFont="1" applyFill="1" applyBorder="1" applyAlignment="1">
      <alignment horizontal="left" indent="1"/>
    </xf>
    <xf numFmtId="0" fontId="44" fillId="33" borderId="0" xfId="776" applyFont="1" applyFill="1" applyAlignment="1">
      <alignment wrapText="1"/>
    </xf>
    <xf numFmtId="10" fontId="44" fillId="33" borderId="0" xfId="847" applyNumberFormat="1" applyFont="1" applyFill="1" applyBorder="1" applyAlignment="1">
      <alignment horizontal="center" wrapText="1"/>
    </xf>
    <xf numFmtId="0" fontId="44" fillId="0" borderId="0" xfId="907" applyFont="1"/>
    <xf numFmtId="0" fontId="111" fillId="0" borderId="0" xfId="907" applyFont="1" applyAlignment="1">
      <alignment horizontal="center"/>
    </xf>
    <xf numFmtId="9" fontId="39" fillId="0" borderId="0" xfId="1823" applyFont="1" applyFill="1" applyBorder="1" applyAlignment="1">
      <alignment horizontal="center" vertical="center" wrapText="1"/>
    </xf>
    <xf numFmtId="9" fontId="44" fillId="41" borderId="0" xfId="1823" applyFont="1" applyFill="1" applyBorder="1" applyAlignment="1">
      <alignment horizontal="left" vertical="center" wrapText="1"/>
    </xf>
    <xf numFmtId="37" fontId="44" fillId="41" borderId="0" xfId="905" applyNumberFormat="1" applyFont="1" applyFill="1" applyAlignment="1">
      <alignment horizontal="left"/>
    </xf>
    <xf numFmtId="167" fontId="111" fillId="41" borderId="0" xfId="815" applyFont="1" applyFill="1" applyBorder="1"/>
    <xf numFmtId="217" fontId="44" fillId="33" borderId="0" xfId="1095" applyNumberFormat="1" applyFont="1" applyFill="1" applyBorder="1" applyAlignment="1">
      <alignment horizontal="center"/>
    </xf>
    <xf numFmtId="167" fontId="44" fillId="33" borderId="0" xfId="815" applyFont="1" applyFill="1" applyBorder="1"/>
    <xf numFmtId="217" fontId="44" fillId="33" borderId="0" xfId="1718" applyNumberFormat="1" applyFont="1" applyFill="1" applyBorder="1" applyAlignment="1">
      <alignment horizontal="center"/>
    </xf>
    <xf numFmtId="10" fontId="44" fillId="33" borderId="0" xfId="1718" applyNumberFormat="1" applyFont="1" applyFill="1" applyBorder="1" applyAlignment="1">
      <alignment horizontal="center"/>
    </xf>
    <xf numFmtId="0" fontId="44" fillId="0" borderId="0" xfId="2544" applyFont="1"/>
    <xf numFmtId="167" fontId="39" fillId="38" borderId="0" xfId="815" applyFont="1" applyFill="1" applyBorder="1" applyAlignment="1">
      <alignment horizontal="center" vertical="center" wrapText="1"/>
    </xf>
    <xf numFmtId="0" fontId="44" fillId="0" borderId="0" xfId="776" applyFont="1" applyAlignment="1">
      <alignment wrapText="1"/>
    </xf>
    <xf numFmtId="217" fontId="44" fillId="0" borderId="0" xfId="1718" applyNumberFormat="1" applyFont="1" applyFill="1" applyBorder="1" applyAlignment="1">
      <alignment horizontal="center"/>
    </xf>
    <xf numFmtId="0" fontId="32" fillId="0" borderId="0" xfId="801" applyAlignment="1" applyProtection="1"/>
    <xf numFmtId="0" fontId="32" fillId="0" borderId="0" xfId="801" quotePrefix="1" applyAlignment="1" applyProtection="1"/>
    <xf numFmtId="0" fontId="44" fillId="0" borderId="0" xfId="2697" applyFont="1" applyAlignment="1">
      <alignment vertical="center"/>
    </xf>
    <xf numFmtId="172" fontId="33" fillId="0" borderId="0" xfId="863" applyNumberFormat="1" applyFont="1"/>
    <xf numFmtId="255" fontId="33" fillId="0" borderId="0" xfId="863" applyNumberFormat="1" applyFont="1"/>
    <xf numFmtId="0" fontId="206" fillId="0" borderId="0" xfId="0" applyFont="1"/>
    <xf numFmtId="168" fontId="206" fillId="0" borderId="0" xfId="863" applyFont="1"/>
    <xf numFmtId="0" fontId="206" fillId="33" borderId="0" xfId="829" applyFont="1" applyFill="1"/>
    <xf numFmtId="0" fontId="209" fillId="0" borderId="0" xfId="0" applyFont="1"/>
    <xf numFmtId="0" fontId="206" fillId="41" borderId="0" xfId="0" applyFont="1" applyFill="1"/>
    <xf numFmtId="0" fontId="210" fillId="0" borderId="0" xfId="0" applyFont="1" applyAlignment="1">
      <alignment horizontal="center"/>
    </xf>
    <xf numFmtId="0" fontId="210" fillId="0" borderId="0" xfId="0" applyFont="1"/>
    <xf numFmtId="0" fontId="212" fillId="0" borderId="0" xfId="0" applyFont="1" applyAlignment="1">
      <alignment horizontal="right" vertical="center"/>
    </xf>
    <xf numFmtId="0" fontId="206" fillId="60" borderId="0" xfId="0" applyFont="1" applyFill="1" applyAlignment="1" applyProtection="1">
      <alignment horizontal="left" wrapText="1"/>
      <protection hidden="1"/>
    </xf>
    <xf numFmtId="167" fontId="206" fillId="0" borderId="0" xfId="815" applyFont="1" applyBorder="1"/>
    <xf numFmtId="0" fontId="206" fillId="0" borderId="0" xfId="0" applyFont="1" applyAlignment="1">
      <alignment horizontal="left" indent="1"/>
    </xf>
    <xf numFmtId="10" fontId="206" fillId="0" borderId="0" xfId="847" applyNumberFormat="1" applyFont="1"/>
    <xf numFmtId="167" fontId="206" fillId="0" borderId="0" xfId="815" applyFont="1" applyFill="1" applyBorder="1"/>
    <xf numFmtId="0" fontId="206" fillId="0" borderId="0" xfId="907" applyFont="1" applyAlignment="1">
      <alignment horizontal="left" indent="1"/>
    </xf>
    <xf numFmtId="37" fontId="206" fillId="0" borderId="0" xfId="0" applyNumberFormat="1" applyFont="1"/>
    <xf numFmtId="0" fontId="207" fillId="33" borderId="0" xfId="829" applyFont="1" applyFill="1" applyAlignment="1">
      <alignment vertical="top"/>
    </xf>
    <xf numFmtId="10" fontId="212" fillId="0" borderId="0" xfId="0" applyNumberFormat="1" applyFont="1" applyAlignment="1">
      <alignment horizontal="right" vertical="top"/>
    </xf>
    <xf numFmtId="174" fontId="212" fillId="0" borderId="0" xfId="0" applyNumberFormat="1" applyFont="1" applyAlignment="1">
      <alignment horizontal="right"/>
    </xf>
    <xf numFmtId="10" fontId="212" fillId="0" borderId="0" xfId="0" applyNumberFormat="1" applyFont="1" applyAlignment="1">
      <alignment horizontal="right"/>
    </xf>
    <xf numFmtId="168" fontId="206" fillId="45" borderId="0" xfId="863" applyFont="1" applyFill="1" applyBorder="1"/>
    <xf numFmtId="168" fontId="206" fillId="41" borderId="0" xfId="863" applyFont="1" applyFill="1" applyBorder="1"/>
    <xf numFmtId="168" fontId="206" fillId="41" borderId="0" xfId="863" applyFont="1" applyFill="1" applyBorder="1" applyAlignment="1">
      <alignment horizontal="center"/>
    </xf>
    <xf numFmtId="0" fontId="210" fillId="41" borderId="0" xfId="0" applyFont="1" applyFill="1"/>
    <xf numFmtId="0" fontId="206" fillId="41" borderId="0" xfId="0" applyFont="1" applyFill="1" applyAlignment="1">
      <alignment horizontal="center"/>
    </xf>
    <xf numFmtId="168" fontId="206" fillId="0" borderId="0" xfId="0" applyNumberFormat="1" applyFont="1"/>
    <xf numFmtId="0" fontId="206" fillId="41" borderId="0" xfId="0" applyFont="1" applyFill="1" applyAlignment="1" applyProtection="1">
      <alignment horizontal="left"/>
      <protection hidden="1"/>
    </xf>
    <xf numFmtId="0" fontId="206" fillId="0" borderId="0" xfId="2697" applyFont="1"/>
    <xf numFmtId="0" fontId="215" fillId="0" borderId="0" xfId="801" applyFont="1" applyAlignment="1" applyProtection="1"/>
    <xf numFmtId="0" fontId="206" fillId="41" borderId="0" xfId="2697" applyFont="1" applyFill="1"/>
    <xf numFmtId="0" fontId="206" fillId="33" borderId="0" xfId="2697" applyFont="1" applyFill="1"/>
    <xf numFmtId="168" fontId="206" fillId="41" borderId="0" xfId="43185" applyNumberFormat="1" applyFont="1" applyFill="1" applyBorder="1" applyAlignment="1" applyProtection="1">
      <alignment horizontal="right"/>
      <protection locked="0"/>
    </xf>
    <xf numFmtId="167" fontId="206" fillId="41" borderId="29" xfId="815" applyFont="1" applyFill="1" applyBorder="1"/>
    <xf numFmtId="0" fontId="206" fillId="0" borderId="0" xfId="907" applyFont="1"/>
    <xf numFmtId="0" fontId="209" fillId="58" borderId="20" xfId="834" applyFont="1" applyFill="1" applyBorder="1" applyAlignment="1" applyProtection="1">
      <alignment horizontal="left" vertical="center"/>
    </xf>
    <xf numFmtId="0" fontId="209" fillId="58" borderId="29" xfId="834" applyFont="1" applyFill="1" applyBorder="1" applyAlignment="1" applyProtection="1">
      <alignment horizontal="left" vertical="center"/>
    </xf>
    <xf numFmtId="165" fontId="206" fillId="0" borderId="0" xfId="43184" applyFont="1" applyBorder="1"/>
    <xf numFmtId="43" fontId="206" fillId="0" borderId="0" xfId="2697" applyNumberFormat="1" applyFont="1"/>
    <xf numFmtId="165" fontId="206" fillId="0" borderId="0" xfId="2697" applyNumberFormat="1" applyFont="1"/>
    <xf numFmtId="165" fontId="210" fillId="0" borderId="0" xfId="2697" applyNumberFormat="1" applyFont="1"/>
    <xf numFmtId="167" fontId="206" fillId="0" borderId="0" xfId="815" applyFont="1"/>
    <xf numFmtId="167" fontId="206" fillId="0" borderId="0" xfId="815" applyFont="1" applyAlignment="1">
      <alignment horizontal="right"/>
    </xf>
    <xf numFmtId="10" fontId="206" fillId="0" borderId="0" xfId="847" applyNumberFormat="1" applyFont="1" applyAlignment="1">
      <alignment horizontal="right"/>
    </xf>
    <xf numFmtId="167" fontId="206" fillId="0" borderId="0" xfId="2697" applyNumberFormat="1" applyFont="1"/>
    <xf numFmtId="0" fontId="209" fillId="0" borderId="0" xfId="907" applyFont="1" applyAlignment="1">
      <alignment horizontal="left"/>
    </xf>
    <xf numFmtId="0" fontId="206" fillId="41" borderId="0" xfId="834" applyFont="1" applyFill="1" applyAlignment="1" applyProtection="1">
      <alignment horizontal="left" vertical="center" indent="2"/>
    </xf>
    <xf numFmtId="165" fontId="206" fillId="41" borderId="0" xfId="43184" applyFont="1" applyFill="1" applyBorder="1" applyAlignment="1" applyProtection="1">
      <alignment horizontal="right"/>
      <protection locked="0"/>
    </xf>
    <xf numFmtId="0" fontId="216" fillId="41" borderId="0" xfId="834" applyFont="1" applyFill="1" applyAlignment="1" applyProtection="1">
      <alignment horizontal="left" vertical="center" indent="1"/>
    </xf>
    <xf numFmtId="167" fontId="206" fillId="41" borderId="0" xfId="815" applyFont="1" applyFill="1" applyBorder="1"/>
    <xf numFmtId="10" fontId="206" fillId="0" borderId="0" xfId="847" applyNumberFormat="1" applyFont="1" applyFill="1" applyBorder="1"/>
    <xf numFmtId="0" fontId="206" fillId="97" borderId="0" xfId="0" applyFont="1" applyFill="1" applyAlignment="1" applyProtection="1">
      <alignment horizontal="left"/>
      <protection hidden="1"/>
    </xf>
    <xf numFmtId="14" fontId="206" fillId="0" borderId="0" xfId="2697" applyNumberFormat="1" applyFont="1" applyAlignment="1">
      <alignment horizontal="left"/>
    </xf>
    <xf numFmtId="165" fontId="206" fillId="45" borderId="0" xfId="863" applyNumberFormat="1" applyFont="1" applyFill="1" applyBorder="1"/>
    <xf numFmtId="0" fontId="207" fillId="33" borderId="0" xfId="829" applyFont="1" applyFill="1" applyAlignment="1">
      <alignment horizontal="right" vertical="top"/>
    </xf>
    <xf numFmtId="10" fontId="212" fillId="0" borderId="0" xfId="0" applyNumberFormat="1" applyFont="1" applyAlignment="1">
      <alignment horizontal="left" vertical="top"/>
    </xf>
    <xf numFmtId="43" fontId="206" fillId="41" borderId="0" xfId="863" applyNumberFormat="1" applyFont="1" applyFill="1" applyBorder="1" applyAlignment="1">
      <alignment horizontal="right"/>
    </xf>
    <xf numFmtId="0" fontId="206" fillId="0" borderId="0" xfId="0" applyFont="1" applyAlignment="1">
      <alignment horizontal="right"/>
    </xf>
    <xf numFmtId="0" fontId="220" fillId="0" borderId="0" xfId="0" applyFont="1"/>
    <xf numFmtId="9" fontId="208" fillId="0" borderId="0" xfId="847" applyFont="1" applyFill="1" applyBorder="1" applyAlignment="1">
      <alignment horizontal="right"/>
    </xf>
    <xf numFmtId="0" fontId="220" fillId="41" borderId="0" xfId="0" applyFont="1" applyFill="1"/>
    <xf numFmtId="43" fontId="206" fillId="41" borderId="0" xfId="0" applyNumberFormat="1" applyFont="1" applyFill="1" applyAlignment="1">
      <alignment horizontal="center"/>
    </xf>
    <xf numFmtId="0" fontId="209" fillId="0" borderId="0" xfId="907" applyFont="1"/>
    <xf numFmtId="170" fontId="206" fillId="0" borderId="0" xfId="863" applyNumberFormat="1" applyFont="1" applyBorder="1"/>
    <xf numFmtId="43" fontId="206" fillId="57" borderId="0" xfId="863" applyNumberFormat="1" applyFont="1" applyFill="1" applyBorder="1"/>
    <xf numFmtId="167" fontId="206" fillId="0" borderId="29" xfId="815" applyFont="1" applyBorder="1"/>
    <xf numFmtId="2" fontId="209" fillId="0" borderId="0" xfId="0" applyNumberFormat="1" applyFont="1"/>
    <xf numFmtId="9" fontId="206" fillId="41" borderId="0" xfId="847" applyFont="1" applyFill="1"/>
    <xf numFmtId="256" fontId="209" fillId="0" borderId="0" xfId="907" applyNumberFormat="1" applyFont="1"/>
    <xf numFmtId="168" fontId="220" fillId="0" borderId="0" xfId="0" applyNumberFormat="1" applyFont="1"/>
    <xf numFmtId="0" fontId="209" fillId="33" borderId="0" xfId="829" applyFont="1" applyFill="1" applyAlignment="1">
      <alignment horizontal="left" vertical="top"/>
    </xf>
    <xf numFmtId="0" fontId="209" fillId="0" borderId="0" xfId="0" applyFont="1" applyAlignment="1">
      <alignment horizontal="left" indent="1"/>
    </xf>
    <xf numFmtId="0" fontId="212" fillId="41" borderId="0" xfId="0" applyFont="1" applyFill="1" applyAlignment="1">
      <alignment horizontal="right" vertical="center"/>
    </xf>
    <xf numFmtId="168" fontId="206" fillId="0" borderId="0" xfId="863" applyFont="1" applyBorder="1"/>
    <xf numFmtId="43" fontId="206" fillId="0" borderId="0" xfId="0" applyNumberFormat="1" applyFont="1"/>
    <xf numFmtId="165" fontId="206" fillId="0" borderId="0" xfId="0" applyNumberFormat="1" applyFont="1"/>
    <xf numFmtId="167" fontId="206" fillId="0" borderId="0" xfId="0" applyNumberFormat="1" applyFont="1"/>
    <xf numFmtId="0" fontId="206" fillId="0" borderId="0" xfId="907" applyFont="1" applyAlignment="1">
      <alignment horizontal="left" indent="2"/>
    </xf>
    <xf numFmtId="219" fontId="219" fillId="41" borderId="0" xfId="863" applyNumberFormat="1" applyFont="1" applyFill="1" applyBorder="1"/>
    <xf numFmtId="0" fontId="211" fillId="43" borderId="0" xfId="0" applyFont="1" applyFill="1"/>
    <xf numFmtId="10" fontId="212" fillId="0" borderId="0" xfId="0" applyNumberFormat="1" applyFont="1" applyAlignment="1">
      <alignment horizontal="center" vertical="top"/>
    </xf>
    <xf numFmtId="168" fontId="206" fillId="45" borderId="0" xfId="863" applyFont="1" applyFill="1" applyBorder="1" applyAlignment="1"/>
    <xf numFmtId="10" fontId="206" fillId="41" borderId="0" xfId="847" applyNumberFormat="1" applyFont="1" applyFill="1" applyBorder="1" applyAlignment="1">
      <alignment horizontal="center"/>
    </xf>
    <xf numFmtId="0" fontId="206" fillId="33" borderId="0" xfId="831" applyFont="1" applyFill="1" applyAlignment="1">
      <alignment vertical="center"/>
    </xf>
    <xf numFmtId="10" fontId="212" fillId="0" borderId="0" xfId="2697" applyNumberFormat="1" applyFont="1" applyAlignment="1">
      <alignment horizontal="right" vertical="top"/>
    </xf>
    <xf numFmtId="0" fontId="207" fillId="33" borderId="0" xfId="831" applyFont="1" applyFill="1" applyAlignment="1">
      <alignment horizontal="left" vertical="center"/>
    </xf>
    <xf numFmtId="170" fontId="206" fillId="33" borderId="0" xfId="863" applyNumberFormat="1" applyFont="1" applyFill="1" applyAlignment="1">
      <alignment vertical="center"/>
    </xf>
    <xf numFmtId="170" fontId="206" fillId="33" borderId="0" xfId="863" applyNumberFormat="1" applyFont="1" applyFill="1" applyBorder="1" applyAlignment="1">
      <alignment vertical="center"/>
    </xf>
    <xf numFmtId="0" fontId="224" fillId="33" borderId="0" xfId="831" applyFont="1" applyFill="1" applyAlignment="1">
      <alignment horizontal="left" vertical="center"/>
    </xf>
    <xf numFmtId="0" fontId="206" fillId="33" borderId="0" xfId="831" applyFont="1" applyFill="1" applyAlignment="1">
      <alignment vertical="center" wrapText="1"/>
    </xf>
    <xf numFmtId="0" fontId="206" fillId="0" borderId="0" xfId="831" applyFont="1" applyAlignment="1">
      <alignment vertical="center"/>
    </xf>
    <xf numFmtId="176" fontId="206" fillId="0" borderId="0" xfId="863" applyNumberFormat="1" applyFont="1" applyFill="1" applyBorder="1" applyAlignment="1">
      <alignment vertical="center"/>
    </xf>
    <xf numFmtId="168" fontId="209" fillId="33" borderId="0" xfId="831" applyNumberFormat="1" applyFont="1" applyFill="1" applyAlignment="1">
      <alignment vertical="center"/>
    </xf>
    <xf numFmtId="170" fontId="209" fillId="33" borderId="0" xfId="863" applyNumberFormat="1" applyFont="1" applyFill="1" applyBorder="1" applyAlignment="1">
      <alignment vertical="center"/>
    </xf>
    <xf numFmtId="168" fontId="209" fillId="33" borderId="0" xfId="863" applyFont="1" applyFill="1" applyBorder="1" applyAlignment="1">
      <alignment vertical="center"/>
    </xf>
    <xf numFmtId="176" fontId="206" fillId="33" borderId="0" xfId="831" applyNumberFormat="1" applyFont="1" applyFill="1" applyAlignment="1">
      <alignment vertical="center"/>
    </xf>
    <xf numFmtId="0" fontId="224" fillId="0" borderId="0" xfId="831" applyFont="1" applyAlignment="1">
      <alignment horizontal="left" vertical="center"/>
    </xf>
    <xf numFmtId="0" fontId="209" fillId="0" borderId="0" xfId="831" applyFont="1" applyAlignment="1">
      <alignment horizontal="center" vertical="center"/>
    </xf>
    <xf numFmtId="4" fontId="209" fillId="0" borderId="0" xfId="831" applyNumberFormat="1" applyFont="1" applyAlignment="1">
      <alignment horizontal="right" vertical="center"/>
    </xf>
    <xf numFmtId="0" fontId="206" fillId="41" borderId="0" xfId="831" applyFont="1" applyFill="1" applyAlignment="1">
      <alignment vertical="center"/>
    </xf>
    <xf numFmtId="170" fontId="206" fillId="41" borderId="0" xfId="863" applyNumberFormat="1" applyFont="1" applyFill="1" applyBorder="1" applyAlignment="1">
      <alignment vertical="center"/>
    </xf>
    <xf numFmtId="0" fontId="206" fillId="61" borderId="0" xfId="831" applyFont="1" applyFill="1" applyAlignment="1">
      <alignment vertical="center"/>
    </xf>
    <xf numFmtId="0" fontId="225" fillId="95" borderId="113" xfId="2697" applyFont="1" applyFill="1" applyBorder="1" applyAlignment="1">
      <alignment vertical="top"/>
    </xf>
    <xf numFmtId="0" fontId="225" fillId="95" borderId="114" xfId="2697" applyFont="1" applyFill="1" applyBorder="1" applyAlignment="1">
      <alignment horizontal="right" vertical="top"/>
    </xf>
    <xf numFmtId="0" fontId="225" fillId="95" borderId="115" xfId="2697" applyFont="1" applyFill="1" applyBorder="1" applyAlignment="1">
      <alignment vertical="top"/>
    </xf>
    <xf numFmtId="0" fontId="225" fillId="95" borderId="116" xfId="2697" applyFont="1" applyFill="1" applyBorder="1" applyAlignment="1">
      <alignment vertical="top"/>
    </xf>
    <xf numFmtId="0" fontId="225" fillId="95" borderId="117" xfId="2697" applyFont="1" applyFill="1" applyBorder="1" applyAlignment="1">
      <alignment horizontal="right" vertical="top"/>
    </xf>
    <xf numFmtId="0" fontId="225" fillId="95" borderId="118" xfId="2697" applyFont="1" applyFill="1" applyBorder="1" applyAlignment="1">
      <alignment vertical="top"/>
    </xf>
    <xf numFmtId="0" fontId="209" fillId="41" borderId="0" xfId="2697" applyFont="1" applyFill="1"/>
    <xf numFmtId="2" fontId="206" fillId="41" borderId="0" xfId="0" applyNumberFormat="1" applyFont="1" applyFill="1"/>
    <xf numFmtId="170" fontId="206" fillId="41" borderId="0" xfId="863" applyNumberFormat="1" applyFont="1" applyFill="1" applyBorder="1"/>
    <xf numFmtId="0" fontId="206" fillId="41" borderId="0" xfId="0" applyFont="1" applyFill="1" applyAlignment="1">
      <alignment vertical="center"/>
    </xf>
    <xf numFmtId="168" fontId="209" fillId="41" borderId="0" xfId="863" applyFont="1" applyFill="1" applyBorder="1"/>
    <xf numFmtId="168" fontId="206" fillId="33" borderId="0" xfId="863" applyFont="1" applyFill="1" applyBorder="1" applyAlignment="1" applyProtection="1">
      <alignment horizontal="center" vertical="center"/>
      <protection locked="0"/>
    </xf>
    <xf numFmtId="0" fontId="206" fillId="0" borderId="0" xfId="831" applyFont="1"/>
    <xf numFmtId="170" fontId="226" fillId="0" borderId="0" xfId="863" applyNumberFormat="1" applyFont="1" applyAlignment="1">
      <alignment horizontal="right"/>
    </xf>
    <xf numFmtId="0" fontId="225" fillId="95" borderId="0" xfId="2697" applyFont="1" applyFill="1" applyAlignment="1">
      <alignment vertical="top"/>
    </xf>
    <xf numFmtId="0" fontId="225" fillId="95" borderId="0" xfId="2697" applyFont="1" applyFill="1" applyAlignment="1">
      <alignment horizontal="right" vertical="top"/>
    </xf>
    <xf numFmtId="0" fontId="225" fillId="95" borderId="119" xfId="2697" applyFont="1" applyFill="1" applyBorder="1" applyAlignment="1">
      <alignment vertical="top"/>
    </xf>
    <xf numFmtId="0" fontId="225" fillId="95" borderId="120" xfId="2697" applyFont="1" applyFill="1" applyBorder="1" applyAlignment="1">
      <alignment horizontal="right" vertical="top"/>
    </xf>
    <xf numFmtId="0" fontId="225" fillId="95" borderId="121" xfId="2697" applyFont="1" applyFill="1" applyBorder="1" applyAlignment="1">
      <alignment vertical="top"/>
    </xf>
    <xf numFmtId="14" fontId="206" fillId="33" borderId="0" xfId="831" applyNumberFormat="1" applyFont="1" applyFill="1" applyAlignment="1">
      <alignment vertical="center"/>
    </xf>
    <xf numFmtId="168" fontId="209" fillId="33" borderId="0" xfId="863" applyFont="1" applyFill="1" applyBorder="1" applyAlignment="1">
      <alignment horizontal="center" vertical="center"/>
    </xf>
    <xf numFmtId="4" fontId="206" fillId="33" borderId="0" xfId="831" applyNumberFormat="1" applyFont="1" applyFill="1" applyAlignment="1">
      <alignment horizontal="center" vertical="center"/>
    </xf>
    <xf numFmtId="4" fontId="206" fillId="46" borderId="0" xfId="831" applyNumberFormat="1" applyFont="1" applyFill="1" applyAlignment="1">
      <alignment horizontal="center" vertical="center"/>
    </xf>
    <xf numFmtId="168" fontId="209" fillId="54" borderId="0" xfId="903" applyFont="1" applyFill="1" applyBorder="1" applyAlignment="1">
      <alignment horizontal="right"/>
    </xf>
    <xf numFmtId="168" fontId="209" fillId="54" borderId="0" xfId="903" applyFont="1" applyFill="1" applyBorder="1" applyAlignment="1">
      <alignment horizontal="left" vertical="top" wrapText="1"/>
    </xf>
    <xf numFmtId="0" fontId="215" fillId="0" borderId="0" xfId="801" applyFont="1" applyFill="1" applyBorder="1" applyAlignment="1" applyProtection="1">
      <alignment horizontal="right" vertical="center"/>
    </xf>
    <xf numFmtId="0" fontId="215" fillId="33" borderId="0" xfId="801" applyFont="1" applyFill="1" applyBorder="1" applyAlignment="1" applyProtection="1">
      <alignment horizontal="right" vertical="center"/>
    </xf>
    <xf numFmtId="0" fontId="206" fillId="33" borderId="0" xfId="0" applyFont="1" applyFill="1" applyAlignment="1">
      <alignment vertical="center"/>
    </xf>
    <xf numFmtId="14" fontId="206" fillId="0" borderId="0" xfId="0" applyNumberFormat="1" applyFont="1"/>
    <xf numFmtId="0" fontId="206" fillId="0" borderId="20" xfId="0" applyFont="1" applyBorder="1"/>
    <xf numFmtId="167" fontId="206" fillId="0" borderId="0" xfId="815" applyFont="1" applyFill="1"/>
    <xf numFmtId="168" fontId="206" fillId="54" borderId="0" xfId="903" applyFont="1" applyFill="1" applyBorder="1" applyAlignment="1">
      <alignment horizontal="left" vertical="top"/>
    </xf>
    <xf numFmtId="215" fontId="206" fillId="54" borderId="0" xfId="903" applyNumberFormat="1" applyFont="1" applyFill="1" applyBorder="1" applyAlignment="1">
      <alignment horizontal="right"/>
    </xf>
    <xf numFmtId="168" fontId="206" fillId="41" borderId="0" xfId="903" applyFont="1" applyFill="1" applyBorder="1" applyAlignment="1">
      <alignment horizontal="left" vertical="top" wrapText="1"/>
    </xf>
    <xf numFmtId="167" fontId="206" fillId="0" borderId="0" xfId="815" applyFont="1" applyFill="1" applyBorder="1" applyAlignment="1">
      <alignment horizontal="right"/>
    </xf>
    <xf numFmtId="167" fontId="206" fillId="41" borderId="0" xfId="815" applyFont="1" applyFill="1" applyBorder="1" applyAlignment="1">
      <alignment horizontal="right"/>
    </xf>
    <xf numFmtId="0" fontId="206" fillId="0" borderId="0" xfId="832" applyFont="1"/>
    <xf numFmtId="0" fontId="207" fillId="33" borderId="0" xfId="0" applyFont="1" applyFill="1" applyAlignment="1">
      <alignment horizontal="left"/>
    </xf>
    <xf numFmtId="167" fontId="206" fillId="0" borderId="0" xfId="815" applyFont="1" applyAlignment="1">
      <alignment vertical="center"/>
    </xf>
    <xf numFmtId="167" fontId="206" fillId="41" borderId="20" xfId="815" applyFont="1" applyFill="1" applyBorder="1"/>
    <xf numFmtId="197" fontId="206" fillId="0" borderId="0" xfId="0" applyNumberFormat="1" applyFont="1"/>
    <xf numFmtId="0" fontId="212" fillId="33" borderId="0" xfId="0" applyFont="1" applyFill="1" applyAlignment="1">
      <alignment horizontal="right"/>
    </xf>
    <xf numFmtId="9" fontId="206" fillId="0" borderId="0" xfId="847" applyFont="1"/>
    <xf numFmtId="0" fontId="206" fillId="33" borderId="0" xfId="0" applyFont="1" applyFill="1"/>
    <xf numFmtId="0" fontId="206" fillId="33" borderId="20" xfId="789" applyFont="1" applyFill="1" applyBorder="1"/>
    <xf numFmtId="0" fontId="206" fillId="33" borderId="29" xfId="789" applyFont="1" applyFill="1" applyBorder="1"/>
    <xf numFmtId="10" fontId="206" fillId="33" borderId="29" xfId="847" applyNumberFormat="1" applyFont="1" applyFill="1" applyBorder="1"/>
    <xf numFmtId="17" fontId="206" fillId="0" borderId="29" xfId="0" applyNumberFormat="1" applyFont="1" applyBorder="1"/>
    <xf numFmtId="0" fontId="212" fillId="0" borderId="0" xfId="0" applyFont="1" applyAlignment="1">
      <alignment horizontal="right"/>
    </xf>
    <xf numFmtId="168" fontId="206" fillId="41" borderId="0" xfId="863" applyFont="1" applyFill="1"/>
    <xf numFmtId="168" fontId="206" fillId="41" borderId="0" xfId="863" applyFont="1" applyFill="1" applyAlignment="1">
      <alignment vertical="center"/>
    </xf>
    <xf numFmtId="167" fontId="206" fillId="41" borderId="0" xfId="815" applyFont="1" applyFill="1"/>
    <xf numFmtId="43" fontId="206" fillId="41" borderId="0" xfId="0" applyNumberFormat="1" applyFont="1" applyFill="1"/>
    <xf numFmtId="10" fontId="206" fillId="0" borderId="20" xfId="847" applyNumberFormat="1" applyFont="1" applyBorder="1" applyAlignment="1">
      <alignment horizontal="right"/>
    </xf>
    <xf numFmtId="10" fontId="206" fillId="0" borderId="20" xfId="847" applyNumberFormat="1" applyFont="1" applyFill="1" applyBorder="1" applyAlignment="1">
      <alignment horizontal="right"/>
    </xf>
    <xf numFmtId="167" fontId="206" fillId="0" borderId="20" xfId="815" applyFont="1" applyBorder="1"/>
    <xf numFmtId="167" fontId="206" fillId="0" borderId="20" xfId="815" applyFont="1" applyFill="1" applyBorder="1"/>
    <xf numFmtId="167" fontId="206" fillId="0" borderId="29" xfId="815" applyFont="1" applyFill="1" applyBorder="1"/>
    <xf numFmtId="0" fontId="209" fillId="0" borderId="0" xfId="2697" applyFont="1"/>
    <xf numFmtId="0" fontId="230" fillId="0" borderId="0" xfId="2697" applyFont="1"/>
    <xf numFmtId="10" fontId="44" fillId="41" borderId="0" xfId="847" applyNumberFormat="1" applyFont="1" applyFill="1" applyBorder="1" applyAlignment="1">
      <alignment horizontal="center"/>
    </xf>
    <xf numFmtId="0" fontId="39" fillId="55" borderId="0" xfId="834" applyFont="1" applyFill="1" applyAlignment="1" applyProtection="1">
      <alignment horizontal="center" vertical="center"/>
    </xf>
    <xf numFmtId="0" fontId="206" fillId="46" borderId="0" xfId="2697" applyFont="1" applyFill="1"/>
    <xf numFmtId="165" fontId="206" fillId="46" borderId="0" xfId="2697" applyNumberFormat="1" applyFont="1" applyFill="1"/>
    <xf numFmtId="168" fontId="0" fillId="0" borderId="0" xfId="863" applyFont="1"/>
    <xf numFmtId="168" fontId="31" fillId="0" borderId="0" xfId="863" applyFont="1"/>
    <xf numFmtId="168" fontId="232" fillId="0" borderId="0" xfId="863" applyFont="1"/>
    <xf numFmtId="0" fontId="233" fillId="0" borderId="122" xfId="0" applyFont="1" applyBorder="1"/>
    <xf numFmtId="168" fontId="233" fillId="0" borderId="122" xfId="863" applyFont="1" applyBorder="1"/>
    <xf numFmtId="14" fontId="233" fillId="0" borderId="122" xfId="0" applyNumberFormat="1" applyFont="1" applyBorder="1"/>
    <xf numFmtId="0" fontId="233" fillId="62" borderId="122" xfId="0" applyFont="1" applyFill="1" applyBorder="1"/>
    <xf numFmtId="168" fontId="233" fillId="62" borderId="122" xfId="863" applyFont="1" applyFill="1" applyBorder="1"/>
    <xf numFmtId="14" fontId="233" fillId="62" borderId="122" xfId="0" applyNumberFormat="1" applyFont="1" applyFill="1" applyBorder="1"/>
    <xf numFmtId="168" fontId="234" fillId="0" borderId="0" xfId="863" applyFont="1"/>
    <xf numFmtId="0" fontId="234" fillId="0" borderId="0" xfId="0" applyFont="1"/>
    <xf numFmtId="0" fontId="234" fillId="41" borderId="0" xfId="0" applyFont="1" applyFill="1"/>
    <xf numFmtId="0" fontId="235" fillId="41" borderId="0" xfId="0" applyFont="1" applyFill="1"/>
    <xf numFmtId="168" fontId="234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6" fillId="0" borderId="0" xfId="847" applyNumberFormat="1" applyFont="1" applyAlignment="1">
      <alignment horizontal="left"/>
    </xf>
    <xf numFmtId="257" fontId="206" fillId="0" borderId="0" xfId="847" applyNumberFormat="1" applyFont="1" applyAlignment="1">
      <alignment horizontal="left"/>
    </xf>
    <xf numFmtId="170" fontId="206" fillId="0" borderId="0" xfId="863" applyNumberFormat="1" applyFont="1" applyAlignment="1">
      <alignment horizontal="left" vertical="top"/>
    </xf>
    <xf numFmtId="170" fontId="206" fillId="41" borderId="0" xfId="863" applyNumberFormat="1" applyFont="1" applyFill="1" applyBorder="1" applyAlignment="1">
      <alignment horizontal="right"/>
    </xf>
    <xf numFmtId="262" fontId="206" fillId="0" borderId="0" xfId="847" applyNumberFormat="1" applyFont="1" applyBorder="1"/>
    <xf numFmtId="262" fontId="206" fillId="0" borderId="0" xfId="847" applyNumberFormat="1" applyFont="1" applyFill="1" applyBorder="1" applyAlignment="1">
      <alignment horizontal="right"/>
    </xf>
    <xf numFmtId="262" fontId="206" fillId="0" borderId="0" xfId="847" applyNumberFormat="1" applyFont="1" applyBorder="1" applyAlignment="1">
      <alignment horizontal="right"/>
    </xf>
    <xf numFmtId="0" fontId="31" fillId="0" borderId="0" xfId="0" applyFont="1" applyAlignment="1">
      <alignment horizontal="right" vertical="center"/>
    </xf>
    <xf numFmtId="0" fontId="238" fillId="0" borderId="0" xfId="0" applyFont="1" applyAlignment="1">
      <alignment horizontal="right" vertical="center"/>
    </xf>
    <xf numFmtId="0" fontId="206" fillId="0" borderId="0" xfId="0" applyFont="1" applyAlignment="1">
      <alignment horizontal="left"/>
    </xf>
    <xf numFmtId="0" fontId="230" fillId="0" borderId="0" xfId="832" applyFont="1"/>
    <xf numFmtId="253" fontId="117" fillId="0" borderId="0" xfId="0" applyNumberFormat="1" applyFont="1"/>
    <xf numFmtId="4" fontId="117" fillId="0" borderId="0" xfId="0" applyNumberFormat="1" applyFont="1"/>
    <xf numFmtId="0" fontId="117" fillId="0" borderId="0" xfId="0" applyFont="1"/>
    <xf numFmtId="167" fontId="206" fillId="0" borderId="0" xfId="801" applyNumberFormat="1" applyFont="1" applyBorder="1" applyAlignment="1" applyProtection="1"/>
    <xf numFmtId="167" fontId="206" fillId="0" borderId="0" xfId="815" applyFont="1" applyFill="1" applyBorder="1" applyAlignment="1">
      <alignment horizontal="right" indent="2"/>
    </xf>
    <xf numFmtId="167" fontId="206" fillId="0" borderId="0" xfId="815" applyFont="1" applyFill="1" applyBorder="1" applyAlignment="1">
      <alignment horizontal="right" indent="5"/>
    </xf>
    <xf numFmtId="167" fontId="206" fillId="0" borderId="0" xfId="801" applyNumberFormat="1" applyFont="1" applyFill="1" applyBorder="1" applyAlignment="1" applyProtection="1"/>
    <xf numFmtId="0" fontId="209" fillId="0" borderId="0" xfId="0" applyFont="1" applyAlignment="1">
      <alignment horizontal="center"/>
    </xf>
    <xf numFmtId="171" fontId="206" fillId="0" borderId="0" xfId="0" applyNumberFormat="1" applyFont="1"/>
    <xf numFmtId="0" fontId="213" fillId="0" borderId="0" xfId="0" applyFont="1" applyAlignment="1">
      <alignment horizontal="center" vertical="center" wrapText="1"/>
    </xf>
    <xf numFmtId="167" fontId="209" fillId="0" borderId="0" xfId="0" applyNumberFormat="1" applyFont="1"/>
    <xf numFmtId="0" fontId="31" fillId="0" borderId="0" xfId="907"/>
    <xf numFmtId="171" fontId="31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40" fillId="0" borderId="0" xfId="905" applyNumberFormat="1" applyFont="1" applyAlignment="1">
      <alignment horizontal="center" vertical="center" wrapText="1"/>
    </xf>
    <xf numFmtId="0" fontId="34" fillId="0" borderId="0" xfId="907" applyFont="1"/>
    <xf numFmtId="167" fontId="34" fillId="0" borderId="0" xfId="815" applyFont="1" applyFill="1" applyBorder="1" applyAlignment="1">
      <alignment horizontal="right"/>
    </xf>
    <xf numFmtId="17" fontId="40" fillId="0" borderId="0" xfId="905" applyNumberFormat="1" applyFont="1" applyAlignment="1">
      <alignment horizontal="left" vertical="center" indent="6"/>
    </xf>
    <xf numFmtId="17" fontId="40" fillId="38" borderId="29" xfId="905" applyNumberFormat="1" applyFont="1" applyFill="1" applyBorder="1" applyAlignment="1">
      <alignment horizontal="center" vertical="center" wrapText="1"/>
    </xf>
    <xf numFmtId="0" fontId="37" fillId="0" borderId="0" xfId="907" applyFont="1"/>
    <xf numFmtId="168" fontId="31" fillId="0" borderId="10" xfId="863" applyBorder="1"/>
    <xf numFmtId="0" fontId="225" fillId="0" borderId="0" xfId="2697" applyFont="1" applyAlignment="1">
      <alignment vertical="top"/>
    </xf>
    <xf numFmtId="0" fontId="225" fillId="0" borderId="0" xfId="2697" applyFont="1" applyAlignment="1">
      <alignment horizontal="right" vertical="top"/>
    </xf>
    <xf numFmtId="17" fontId="40" fillId="0" borderId="0" xfId="905" applyNumberFormat="1" applyFont="1" applyAlignment="1">
      <alignment horizontal="left" vertical="center" indent="11"/>
    </xf>
    <xf numFmtId="167" fontId="34" fillId="0" borderId="0" xfId="815" applyFont="1" applyFill="1" applyBorder="1"/>
    <xf numFmtId="171" fontId="34" fillId="0" borderId="0" xfId="907" applyNumberFormat="1" applyFont="1"/>
    <xf numFmtId="0" fontId="147" fillId="41" borderId="0" xfId="907" applyFont="1" applyFill="1"/>
    <xf numFmtId="168" fontId="117" fillId="0" borderId="0" xfId="863" applyFont="1"/>
    <xf numFmtId="168" fontId="206" fillId="0" borderId="0" xfId="863" applyFont="1" applyFill="1" applyBorder="1"/>
    <xf numFmtId="0" fontId="229" fillId="0" borderId="0" xfId="830" applyFont="1"/>
    <xf numFmtId="0" fontId="227" fillId="0" borderId="0" xfId="831" applyFont="1"/>
    <xf numFmtId="0" fontId="206" fillId="0" borderId="0" xfId="0" applyFont="1" applyAlignment="1">
      <alignment horizontal="center"/>
    </xf>
    <xf numFmtId="14" fontId="206" fillId="0" borderId="0" xfId="0" applyNumberFormat="1" applyFont="1" applyAlignment="1">
      <alignment horizontal="center"/>
    </xf>
    <xf numFmtId="0" fontId="226" fillId="0" borderId="0" xfId="0" applyFont="1"/>
    <xf numFmtId="167" fontId="206" fillId="0" borderId="10" xfId="815" applyFont="1" applyFill="1" applyBorder="1"/>
    <xf numFmtId="0" fontId="242" fillId="33" borderId="0" xfId="831" applyFont="1" applyFill="1" applyAlignment="1">
      <alignment horizontal="right" vertical="center"/>
    </xf>
    <xf numFmtId="0" fontId="111" fillId="41" borderId="0" xfId="907" applyFont="1" applyFill="1" applyAlignment="1">
      <alignment horizontal="center"/>
    </xf>
    <xf numFmtId="9" fontId="39" fillId="38" borderId="0" xfId="1823" applyFont="1" applyFill="1" applyBorder="1" applyAlignment="1">
      <alignment horizontal="center" vertical="center" wrapText="1"/>
    </xf>
    <xf numFmtId="0" fontId="44" fillId="41" borderId="0" xfId="907" applyFont="1" applyFill="1" applyAlignment="1">
      <alignment horizontal="left" indent="1"/>
    </xf>
    <xf numFmtId="0" fontId="243" fillId="41" borderId="106" xfId="831" applyFont="1" applyFill="1" applyBorder="1" applyAlignment="1">
      <alignment horizontal="left"/>
    </xf>
    <xf numFmtId="0" fontId="32" fillId="41" borderId="0" xfId="801" applyFill="1" applyBorder="1" applyAlignment="1" applyProtection="1">
      <alignment horizontal="left"/>
    </xf>
    <xf numFmtId="0" fontId="44" fillId="41" borderId="0" xfId="2697" applyFont="1" applyFill="1"/>
    <xf numFmtId="0" fontId="32" fillId="41" borderId="0" xfId="801" applyFill="1" applyBorder="1" applyAlignment="1" applyProtection="1"/>
    <xf numFmtId="0" fontId="244" fillId="41" borderId="0" xfId="907" applyFont="1" applyFill="1" applyAlignment="1">
      <alignment horizontal="left"/>
    </xf>
    <xf numFmtId="0" fontId="32" fillId="41" borderId="0" xfId="801" applyFill="1" applyBorder="1" applyAlignment="1" applyProtection="1">
      <alignment horizontal="right"/>
    </xf>
    <xf numFmtId="0" fontId="118" fillId="100" borderId="0" xfId="2697" applyFont="1" applyFill="1" applyAlignment="1">
      <alignment horizontal="center" vertical="center" wrapText="1"/>
    </xf>
    <xf numFmtId="0" fontId="44" fillId="41" borderId="0" xfId="2697" applyFont="1" applyFill="1" applyAlignment="1">
      <alignment horizontal="left" vertical="center"/>
    </xf>
    <xf numFmtId="43" fontId="44" fillId="41" borderId="0" xfId="43199" applyFont="1" applyFill="1" applyBorder="1" applyAlignment="1"/>
    <xf numFmtId="43" fontId="44" fillId="41" borderId="0" xfId="43199" applyFont="1" applyFill="1" applyBorder="1"/>
    <xf numFmtId="167" fontId="44" fillId="41" borderId="0" xfId="815" quotePrefix="1" applyFont="1" applyFill="1" applyBorder="1"/>
    <xf numFmtId="10" fontId="44" fillId="41" borderId="0" xfId="847" applyNumberFormat="1" applyFont="1" applyFill="1" applyBorder="1" applyAlignment="1">
      <alignment horizontal="right" vertical="center"/>
    </xf>
    <xf numFmtId="43" fontId="44" fillId="41" borderId="0" xfId="907" applyNumberFormat="1" applyFont="1" applyFill="1"/>
    <xf numFmtId="167" fontId="111" fillId="41" borderId="0" xfId="815" applyFont="1" applyFill="1" applyBorder="1" applyAlignment="1"/>
    <xf numFmtId="43" fontId="111" fillId="41" borderId="0" xfId="907" applyNumberFormat="1" applyFont="1" applyFill="1"/>
    <xf numFmtId="0" fontId="31" fillId="41" borderId="0" xfId="2697" applyFill="1" applyAlignment="1">
      <alignment horizontal="center"/>
    </xf>
    <xf numFmtId="167" fontId="244" fillId="41" borderId="0" xfId="815" applyFont="1" applyFill="1" applyBorder="1" applyAlignment="1"/>
    <xf numFmtId="43" fontId="44" fillId="41" borderId="0" xfId="43200" applyFont="1" applyFill="1" applyBorder="1" applyAlignment="1" applyProtection="1">
      <alignment horizontal="center"/>
    </xf>
    <xf numFmtId="43" fontId="204" fillId="41" borderId="0" xfId="43199" applyFont="1" applyFill="1" applyBorder="1"/>
    <xf numFmtId="43" fontId="111" fillId="41" borderId="0" xfId="43199" applyFont="1" applyFill="1" applyBorder="1"/>
    <xf numFmtId="0" fontId="44" fillId="41" borderId="0" xfId="907" applyFont="1" applyFill="1" applyAlignment="1">
      <alignment horizontal="center"/>
    </xf>
    <xf numFmtId="0" fontId="233" fillId="41" borderId="123" xfId="2697" applyFont="1" applyFill="1" applyBorder="1" applyAlignment="1">
      <alignment horizontal="center"/>
    </xf>
    <xf numFmtId="0" fontId="233" fillId="41" borderId="124" xfId="2697" applyFont="1" applyFill="1" applyBorder="1" applyAlignment="1">
      <alignment horizontal="center"/>
    </xf>
    <xf numFmtId="0" fontId="244" fillId="41" borderId="0" xfId="907" applyFont="1" applyFill="1"/>
    <xf numFmtId="170" fontId="44" fillId="33" borderId="0" xfId="43199" applyNumberFormat="1" applyFont="1" applyFill="1" applyBorder="1" applyAlignment="1">
      <alignment horizontal="center" wrapText="1"/>
    </xf>
    <xf numFmtId="43" fontId="44" fillId="41" borderId="0" xfId="43199" applyFont="1" applyFill="1" applyBorder="1" applyAlignment="1">
      <alignment horizontal="center"/>
    </xf>
    <xf numFmtId="0" fontId="44" fillId="41" borderId="0" xfId="2697" applyFont="1" applyFill="1" applyAlignment="1">
      <alignment horizontal="center" vertical="center"/>
    </xf>
    <xf numFmtId="2" fontId="44" fillId="41" borderId="0" xfId="2697" applyNumberFormat="1" applyFont="1" applyFill="1" applyAlignment="1">
      <alignment horizontal="center"/>
    </xf>
    <xf numFmtId="43" fontId="44" fillId="41" borderId="0" xfId="2697" applyNumberFormat="1" applyFont="1" applyFill="1" applyAlignment="1">
      <alignment horizontal="left"/>
    </xf>
    <xf numFmtId="0" fontId="44" fillId="41" borderId="0" xfId="2697" applyFont="1" applyFill="1" applyAlignment="1">
      <alignment horizontal="center"/>
    </xf>
    <xf numFmtId="0" fontId="44" fillId="41" borderId="0" xfId="2697" applyFont="1" applyFill="1" applyAlignment="1">
      <alignment horizontal="left"/>
    </xf>
    <xf numFmtId="0" fontId="144" fillId="41" borderId="125" xfId="907" applyFont="1" applyFill="1" applyBorder="1" applyAlignment="1">
      <alignment horizontal="center"/>
    </xf>
    <xf numFmtId="3" fontId="44" fillId="41" borderId="0" xfId="43199" applyNumberFormat="1" applyFont="1" applyFill="1" applyBorder="1" applyAlignment="1">
      <alignment horizontal="right"/>
    </xf>
    <xf numFmtId="43" fontId="44" fillId="41" borderId="0" xfId="43199" applyFont="1" applyFill="1" applyBorder="1" applyAlignment="1">
      <alignment horizontal="right"/>
    </xf>
    <xf numFmtId="43" fontId="44" fillId="41" borderId="0" xfId="43199" applyFont="1" applyFill="1" applyBorder="1" applyAlignment="1">
      <alignment horizontal="left"/>
    </xf>
    <xf numFmtId="0" fontId="245" fillId="41" borderId="123" xfId="907" applyFont="1" applyFill="1" applyBorder="1" applyAlignment="1">
      <alignment horizontal="center"/>
    </xf>
    <xf numFmtId="43" fontId="44" fillId="0" borderId="0" xfId="43199" applyFont="1" applyFill="1" applyBorder="1" applyAlignment="1">
      <alignment horizontal="left"/>
    </xf>
    <xf numFmtId="0" fontId="245" fillId="41" borderId="124" xfId="907" applyFont="1" applyFill="1" applyBorder="1" applyAlignment="1">
      <alignment horizontal="center"/>
    </xf>
    <xf numFmtId="43" fontId="111" fillId="0" borderId="0" xfId="43199" applyFont="1" applyFill="1" applyBorder="1" applyAlignment="1">
      <alignment horizontal="left"/>
    </xf>
    <xf numFmtId="43" fontId="44" fillId="0" borderId="0" xfId="2697" applyNumberFormat="1" applyFont="1"/>
    <xf numFmtId="43" fontId="111" fillId="0" borderId="0" xfId="2697" applyNumberFormat="1" applyFont="1" applyAlignment="1">
      <alignment horizontal="left"/>
    </xf>
    <xf numFmtId="43" fontId="111" fillId="41" borderId="0" xfId="43199" quotePrefix="1" applyFont="1" applyFill="1" applyBorder="1" applyAlignment="1">
      <alignment horizontal="left"/>
    </xf>
    <xf numFmtId="10" fontId="44" fillId="41" borderId="0" xfId="43199" applyNumberFormat="1" applyFont="1" applyFill="1" applyBorder="1"/>
    <xf numFmtId="0" fontId="146" fillId="41" borderId="0" xfId="2697" applyFont="1" applyFill="1" applyAlignment="1">
      <alignment horizontal="center" vertical="center"/>
    </xf>
    <xf numFmtId="0" fontId="146" fillId="41" borderId="0" xfId="2697" applyFont="1" applyFill="1" applyAlignment="1">
      <alignment horizontal="center" vertical="center" wrapText="1"/>
    </xf>
    <xf numFmtId="0" fontId="145" fillId="41" borderId="0" xfId="2697" applyFont="1" applyFill="1" applyAlignment="1">
      <alignment vertical="center"/>
    </xf>
    <xf numFmtId="3" fontId="145" fillId="41" borderId="0" xfId="2697" applyNumberFormat="1" applyFont="1" applyFill="1" applyAlignment="1">
      <alignment horizontal="center" vertical="center"/>
    </xf>
    <xf numFmtId="10" fontId="145" fillId="41" borderId="0" xfId="2697" applyNumberFormat="1" applyFont="1" applyFill="1" applyAlignment="1">
      <alignment horizontal="center" vertical="center"/>
    </xf>
    <xf numFmtId="0" fontId="145" fillId="41" borderId="0" xfId="2697" applyFont="1" applyFill="1" applyAlignment="1">
      <alignment horizontal="center" vertical="center"/>
    </xf>
    <xf numFmtId="3" fontId="145" fillId="41" borderId="0" xfId="2697" applyNumberFormat="1" applyFont="1" applyFill="1" applyAlignment="1">
      <alignment vertical="center"/>
    </xf>
    <xf numFmtId="10" fontId="145" fillId="41" borderId="0" xfId="2697" applyNumberFormat="1" applyFont="1" applyFill="1" applyAlignment="1">
      <alignment horizontal="right" vertical="center"/>
    </xf>
    <xf numFmtId="0" fontId="147" fillId="41" borderId="0" xfId="2697" applyFont="1" applyFill="1"/>
    <xf numFmtId="9" fontId="39" fillId="38" borderId="0" xfId="1095" applyFont="1" applyFill="1" applyBorder="1" applyAlignment="1">
      <alignment horizontal="center" vertical="center" wrapText="1"/>
    </xf>
    <xf numFmtId="0" fontId="144" fillId="41" borderId="0" xfId="2697" applyFont="1" applyFill="1" applyAlignment="1">
      <alignment horizontal="center" vertical="center"/>
    </xf>
    <xf numFmtId="43" fontId="44" fillId="0" borderId="0" xfId="43199" applyFont="1" applyAlignment="1">
      <alignment vertical="center"/>
    </xf>
    <xf numFmtId="0" fontId="44" fillId="0" borderId="0" xfId="2697" applyFont="1"/>
    <xf numFmtId="0" fontId="111" fillId="0" borderId="0" xfId="2697" applyFont="1"/>
    <xf numFmtId="43" fontId="44" fillId="0" borderId="0" xfId="43201" applyFont="1" applyFill="1" applyBorder="1" applyAlignment="1">
      <alignment horizontal="right" vertical="center"/>
    </xf>
    <xf numFmtId="0" fontId="147" fillId="0" borderId="0" xfId="2697" applyFont="1" applyAlignment="1">
      <alignment vertical="center"/>
    </xf>
    <xf numFmtId="0" fontId="147" fillId="0" borderId="0" xfId="2697" applyFont="1"/>
    <xf numFmtId="43" fontId="147" fillId="41" borderId="0" xfId="43199" applyFont="1" applyFill="1" applyBorder="1"/>
    <xf numFmtId="43" fontId="144" fillId="41" borderId="0" xfId="2697" applyNumberFormat="1" applyFont="1" applyFill="1" applyAlignment="1">
      <alignment horizontal="center" vertical="center"/>
    </xf>
    <xf numFmtId="9" fontId="44" fillId="0" borderId="0" xfId="2697" applyNumberFormat="1" applyFont="1"/>
    <xf numFmtId="10" fontId="44" fillId="0" borderId="0" xfId="2697" applyNumberFormat="1" applyFont="1"/>
    <xf numFmtId="0" fontId="44" fillId="41" borderId="0" xfId="2697" applyFont="1" applyFill="1" applyAlignment="1">
      <alignment vertical="center"/>
    </xf>
    <xf numFmtId="43" fontId="44" fillId="41" borderId="0" xfId="43199" applyFont="1" applyFill="1" applyBorder="1" applyAlignment="1">
      <alignment vertical="center"/>
    </xf>
    <xf numFmtId="217" fontId="44" fillId="33" borderId="0" xfId="2697" applyNumberFormat="1" applyFont="1" applyFill="1" applyAlignment="1">
      <alignment horizontal="center"/>
    </xf>
    <xf numFmtId="0" fontId="125" fillId="41" borderId="0" xfId="43202" applyFont="1" applyFill="1" applyAlignment="1">
      <alignment horizontal="center" wrapText="1"/>
    </xf>
    <xf numFmtId="0" fontId="125" fillId="41" borderId="0" xfId="43202" applyFont="1" applyFill="1" applyAlignment="1">
      <alignment horizontal="center"/>
    </xf>
    <xf numFmtId="0" fontId="138" fillId="41" borderId="0" xfId="43202" applyFont="1" applyFill="1"/>
    <xf numFmtId="43" fontId="138" fillId="41" borderId="0" xfId="43199" applyFont="1" applyFill="1" applyBorder="1"/>
    <xf numFmtId="167" fontId="31" fillId="0" borderId="0" xfId="815" applyFont="1" applyFill="1" applyBorder="1" applyAlignment="1">
      <alignment horizontal="left"/>
    </xf>
    <xf numFmtId="3" fontId="31" fillId="0" borderId="0" xfId="0" applyNumberFormat="1" applyFont="1"/>
    <xf numFmtId="49" fontId="31" fillId="0" borderId="0" xfId="847" applyNumberFormat="1" applyFont="1" applyFill="1" applyBorder="1" applyAlignment="1">
      <alignment horizontal="center"/>
    </xf>
    <xf numFmtId="168" fontId="206" fillId="0" borderId="0" xfId="863" applyFont="1" applyFill="1" applyBorder="1" applyAlignment="1"/>
    <xf numFmtId="168" fontId="206" fillId="0" borderId="0" xfId="863" applyFont="1" applyFill="1" applyBorder="1" applyAlignment="1">
      <alignment horizontal="left"/>
    </xf>
    <xf numFmtId="0" fontId="111" fillId="101" borderId="0" xfId="0" applyFont="1" applyFill="1"/>
    <xf numFmtId="0" fontId="33" fillId="45" borderId="0" xfId="10225" applyFill="1" applyAlignment="1"/>
    <xf numFmtId="0" fontId="44" fillId="0" borderId="0" xfId="0" applyFont="1"/>
    <xf numFmtId="174" fontId="0" fillId="0" borderId="0" xfId="0" applyNumberFormat="1"/>
    <xf numFmtId="0" fontId="111" fillId="101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4" fillId="0" borderId="0" xfId="0" applyFont="1" applyAlignment="1">
      <alignment wrapText="1"/>
    </xf>
    <xf numFmtId="0" fontId="44" fillId="0" borderId="0" xfId="2697" applyFont="1" applyAlignment="1">
      <alignment horizontal="center" vertical="center"/>
    </xf>
    <xf numFmtId="170" fontId="39" fillId="55" borderId="137" xfId="863" applyNumberFormat="1" applyFont="1" applyFill="1" applyBorder="1" applyAlignment="1">
      <alignment horizontal="center" vertical="center"/>
    </xf>
    <xf numFmtId="170" fontId="39" fillId="55" borderId="138" xfId="863" applyNumberFormat="1" applyFont="1" applyFill="1" applyBorder="1" applyAlignment="1">
      <alignment horizontal="center" vertical="center"/>
    </xf>
    <xf numFmtId="170" fontId="39" fillId="55" borderId="139" xfId="863" applyNumberFormat="1" applyFont="1" applyFill="1" applyBorder="1" applyAlignment="1">
      <alignment horizontal="center" vertical="center"/>
    </xf>
    <xf numFmtId="17" fontId="39" fillId="55" borderId="140" xfId="905" applyNumberFormat="1" applyFont="1" applyFill="1" applyBorder="1" applyAlignment="1">
      <alignment horizontal="center" vertical="center"/>
    </xf>
    <xf numFmtId="17" fontId="39" fillId="55" borderId="138" xfId="905" applyNumberFormat="1" applyFont="1" applyFill="1" applyBorder="1" applyAlignment="1">
      <alignment horizontal="center" vertical="center"/>
    </xf>
    <xf numFmtId="17" fontId="39" fillId="55" borderId="141" xfId="905" applyNumberFormat="1" applyFont="1" applyFill="1" applyBorder="1" applyAlignment="1">
      <alignment horizontal="center" vertical="center"/>
    </xf>
    <xf numFmtId="168" fontId="209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vertical="center"/>
    </xf>
    <xf numFmtId="10" fontId="44" fillId="33" borderId="0" xfId="2697" applyNumberFormat="1" applyFont="1" applyFill="1" applyAlignment="1">
      <alignment horizontal="center"/>
    </xf>
    <xf numFmtId="10" fontId="206" fillId="0" borderId="0" xfId="0" applyNumberFormat="1" applyFont="1"/>
    <xf numFmtId="49" fontId="31" fillId="0" borderId="0" xfId="847" applyNumberFormat="1" applyFont="1" applyFill="1" applyBorder="1" applyAlignment="1">
      <alignment vertical="center" wrapText="1"/>
    </xf>
    <xf numFmtId="10" fontId="206" fillId="103" borderId="0" xfId="847" applyNumberFormat="1" applyFont="1" applyFill="1" applyBorder="1" applyAlignment="1">
      <alignment horizontal="right"/>
    </xf>
    <xf numFmtId="170" fontId="44" fillId="0" borderId="0" xfId="43199" applyNumberFormat="1" applyFont="1" applyFill="1" applyBorder="1" applyAlignment="1">
      <alignment horizontal="right"/>
    </xf>
    <xf numFmtId="2" fontId="44" fillId="0" borderId="0" xfId="2697" applyNumberFormat="1" applyFont="1" applyAlignment="1">
      <alignment horizontal="center"/>
    </xf>
    <xf numFmtId="0" fontId="44" fillId="0" borderId="0" xfId="907" applyFont="1" applyAlignment="1">
      <alignment horizontal="center"/>
    </xf>
    <xf numFmtId="4" fontId="0" fillId="0" borderId="0" xfId="0" applyNumberFormat="1"/>
    <xf numFmtId="9" fontId="44" fillId="41" borderId="0" xfId="847" applyFont="1" applyFill="1" applyBorder="1"/>
    <xf numFmtId="43" fontId="44" fillId="0" borderId="0" xfId="43199" applyFont="1" applyFill="1" applyBorder="1" applyAlignment="1">
      <alignment horizontal="left" vertical="center"/>
    </xf>
    <xf numFmtId="43" fontId="44" fillId="41" borderId="0" xfId="43199" applyFont="1" applyFill="1" applyBorder="1" applyAlignment="1">
      <alignment horizontal="center" vertical="center"/>
    </xf>
    <xf numFmtId="0" fontId="118" fillId="41" borderId="142" xfId="907" applyFont="1" applyFill="1" applyBorder="1" applyAlignment="1">
      <alignment horizontal="center"/>
    </xf>
    <xf numFmtId="0" fontId="147" fillId="41" borderId="0" xfId="907" applyFont="1" applyFill="1" applyProtection="1">
      <protection locked="0"/>
    </xf>
    <xf numFmtId="43" fontId="147" fillId="41" borderId="0" xfId="43199" applyFont="1" applyFill="1" applyBorder="1" applyProtection="1">
      <protection locked="0"/>
    </xf>
    <xf numFmtId="0" fontId="44" fillId="0" borderId="0" xfId="2697" applyFont="1" applyProtection="1">
      <protection locked="0"/>
    </xf>
    <xf numFmtId="167" fontId="206" fillId="44" borderId="20" xfId="815" applyFont="1" applyFill="1" applyBorder="1"/>
    <xf numFmtId="0" fontId="0" fillId="61" borderId="0" xfId="0" applyFill="1"/>
    <xf numFmtId="0" fontId="245" fillId="41" borderId="125" xfId="907" applyFont="1" applyFill="1" applyBorder="1" applyAlignment="1">
      <alignment horizontal="center"/>
    </xf>
    <xf numFmtId="0" fontId="31" fillId="61" borderId="0" xfId="0" applyFont="1" applyFill="1"/>
    <xf numFmtId="168" fontId="44" fillId="41" borderId="0" xfId="863" applyFont="1" applyFill="1" applyBorder="1" applyAlignment="1">
      <alignment horizontal="right"/>
    </xf>
    <xf numFmtId="0" fontId="221" fillId="0" borderId="0" xfId="0" applyFont="1"/>
    <xf numFmtId="168" fontId="44" fillId="41" borderId="0" xfId="863" applyFont="1" applyFill="1" applyBorder="1"/>
    <xf numFmtId="0" fontId="248" fillId="0" borderId="0" xfId="0" applyFont="1" applyAlignment="1">
      <alignment horizontal="right" vertical="center"/>
    </xf>
    <xf numFmtId="43" fontId="44" fillId="0" borderId="0" xfId="43185" applyFont="1" applyFill="1" applyBorder="1" applyAlignment="1" applyProtection="1">
      <alignment horizontal="right"/>
      <protection locked="0"/>
    </xf>
    <xf numFmtId="0" fontId="213" fillId="43" borderId="0" xfId="0" applyFont="1" applyFill="1" applyAlignment="1">
      <alignment horizontal="center"/>
    </xf>
    <xf numFmtId="0" fontId="118" fillId="0" borderId="0" xfId="907" applyFont="1"/>
    <xf numFmtId="0" fontId="44" fillId="0" borderId="0" xfId="2697" applyFont="1" applyAlignment="1">
      <alignment horizontal="left" vertical="center"/>
    </xf>
    <xf numFmtId="43" fontId="44" fillId="0" borderId="0" xfId="43199" applyFont="1" applyFill="1" applyBorder="1" applyAlignment="1"/>
    <xf numFmtId="10" fontId="44" fillId="41" borderId="0" xfId="43199" applyNumberFormat="1" applyFont="1" applyFill="1" applyBorder="1" applyAlignment="1"/>
    <xf numFmtId="0" fontId="245" fillId="0" borderId="0" xfId="43405" applyFont="1"/>
    <xf numFmtId="10" fontId="245" fillId="0" borderId="0" xfId="847" applyNumberFormat="1" applyFont="1" applyFill="1" applyBorder="1"/>
    <xf numFmtId="0" fontId="251" fillId="0" borderId="0" xfId="7308" applyFont="1"/>
    <xf numFmtId="0" fontId="252" fillId="0" borderId="0" xfId="7308" applyFont="1" applyAlignment="1">
      <alignment horizontal="center"/>
    </xf>
    <xf numFmtId="2" fontId="251" fillId="0" borderId="0" xfId="7308" applyNumberFormat="1" applyFont="1"/>
    <xf numFmtId="0" fontId="252" fillId="0" borderId="0" xfId="7308" applyFont="1"/>
    <xf numFmtId="0" fontId="253" fillId="0" borderId="0" xfId="7308" applyFont="1" applyAlignment="1">
      <alignment horizontal="center"/>
    </xf>
    <xf numFmtId="0" fontId="254" fillId="0" borderId="0" xfId="7308" applyFont="1"/>
    <xf numFmtId="168" fontId="253" fillId="0" borderId="0" xfId="43165" applyFont="1"/>
    <xf numFmtId="0" fontId="251" fillId="42" borderId="0" xfId="7308" applyFont="1" applyFill="1"/>
    <xf numFmtId="0" fontId="260" fillId="41" borderId="0" xfId="831" applyFont="1" applyFill="1" applyAlignment="1">
      <alignment horizontal="left"/>
    </xf>
    <xf numFmtId="0" fontId="251" fillId="0" borderId="20" xfId="7308" applyFont="1" applyBorder="1"/>
    <xf numFmtId="10" fontId="251" fillId="41" borderId="10" xfId="1095" applyNumberFormat="1" applyFont="1" applyFill="1" applyBorder="1"/>
    <xf numFmtId="0" fontId="261" fillId="55" borderId="0" xfId="834" applyFont="1" applyFill="1" applyAlignment="1" applyProtection="1">
      <alignment horizontal="left" vertical="center"/>
    </xf>
    <xf numFmtId="0" fontId="261" fillId="55" borderId="0" xfId="834" applyFont="1" applyFill="1" applyAlignment="1" applyProtection="1">
      <alignment horizontal="center" vertical="center"/>
    </xf>
    <xf numFmtId="0" fontId="251" fillId="0" borderId="0" xfId="2697" applyFont="1" applyAlignment="1">
      <alignment vertical="center"/>
    </xf>
    <xf numFmtId="191" fontId="251" fillId="0" borderId="0" xfId="1095" applyNumberFormat="1" applyFont="1" applyBorder="1" applyAlignment="1">
      <alignment horizontal="right" vertical="center"/>
    </xf>
    <xf numFmtId="167" fontId="251" fillId="41" borderId="10" xfId="902" applyFont="1" applyFill="1" applyBorder="1"/>
    <xf numFmtId="10" fontId="251" fillId="0" borderId="0" xfId="1095" applyNumberFormat="1" applyFont="1" applyBorder="1" applyAlignment="1">
      <alignment horizontal="right" vertical="center"/>
    </xf>
    <xf numFmtId="43" fontId="251" fillId="0" borderId="0" xfId="7308" applyNumberFormat="1" applyFont="1"/>
    <xf numFmtId="168" fontId="251" fillId="0" borderId="0" xfId="43165" applyFont="1" applyAlignment="1">
      <alignment horizontal="center"/>
    </xf>
    <xf numFmtId="0" fontId="265" fillId="0" borderId="0" xfId="7308" applyFont="1" applyAlignment="1">
      <alignment horizontal="center"/>
    </xf>
    <xf numFmtId="168" fontId="251" fillId="0" borderId="0" xfId="43165" applyFont="1" applyAlignment="1"/>
    <xf numFmtId="168" fontId="251" fillId="0" borderId="0" xfId="43165" applyFont="1" applyAlignment="1">
      <alignment horizontal="left" vertical="center"/>
    </xf>
    <xf numFmtId="168" fontId="252" fillId="0" borderId="0" xfId="43165" applyFont="1" applyAlignment="1"/>
    <xf numFmtId="168" fontId="252" fillId="0" borderId="0" xfId="43165" applyFont="1" applyAlignment="1">
      <alignment horizontal="center"/>
    </xf>
    <xf numFmtId="165" fontId="206" fillId="0" borderId="0" xfId="815" applyNumberFormat="1" applyFont="1" applyBorder="1"/>
    <xf numFmtId="165" fontId="206" fillId="0" borderId="0" xfId="815" applyNumberFormat="1" applyFont="1" applyBorder="1" applyAlignment="1">
      <alignment horizontal="left"/>
    </xf>
    <xf numFmtId="0" fontId="244" fillId="0" borderId="0" xfId="831" applyFont="1" applyAlignment="1">
      <alignment horizontal="left"/>
    </xf>
    <xf numFmtId="0" fontId="39" fillId="0" borderId="0" xfId="834" applyFont="1" applyAlignment="1" applyProtection="1">
      <alignment horizontal="center" vertical="center"/>
    </xf>
    <xf numFmtId="191" fontId="44" fillId="0" borderId="0" xfId="1095" applyNumberFormat="1" applyFont="1" applyFill="1" applyBorder="1" applyAlignment="1">
      <alignment horizontal="right" vertical="center"/>
    </xf>
    <xf numFmtId="0" fontId="264" fillId="0" borderId="0" xfId="7308" applyFont="1"/>
    <xf numFmtId="168" fontId="251" fillId="0" borderId="0" xfId="43165" applyFont="1" applyFill="1" applyBorder="1" applyAlignment="1">
      <alignment horizontal="center"/>
    </xf>
    <xf numFmtId="168" fontId="251" fillId="0" borderId="0" xfId="43165" applyFont="1" applyFill="1" applyBorder="1" applyAlignment="1"/>
    <xf numFmtId="0" fontId="111" fillId="0" borderId="0" xfId="2697" applyFont="1" applyAlignment="1">
      <alignment vertical="center"/>
    </xf>
    <xf numFmtId="4" fontId="111" fillId="0" borderId="0" xfId="2697" applyNumberFormat="1" applyFont="1" applyAlignment="1">
      <alignment vertical="center"/>
    </xf>
    <xf numFmtId="168" fontId="252" fillId="0" borderId="0" xfId="43165" applyFont="1" applyFill="1" applyBorder="1" applyAlignment="1"/>
    <xf numFmtId="10" fontId="262" fillId="61" borderId="150" xfId="1095" applyNumberFormat="1" applyFont="1" applyFill="1" applyBorder="1" applyAlignment="1">
      <alignment vertical="center"/>
    </xf>
    <xf numFmtId="0" fontId="252" fillId="0" borderId="151" xfId="7308" applyFont="1" applyBorder="1" applyAlignment="1">
      <alignment horizontal="center"/>
    </xf>
    <xf numFmtId="167" fontId="251" fillId="101" borderId="10" xfId="902" applyFont="1" applyFill="1" applyBorder="1"/>
    <xf numFmtId="0" fontId="211" fillId="41" borderId="0" xfId="0" applyFont="1" applyFill="1"/>
    <xf numFmtId="0" fontId="204" fillId="41" borderId="125" xfId="907" applyFont="1" applyFill="1" applyBorder="1" applyAlignment="1">
      <alignment horizontal="center"/>
    </xf>
    <xf numFmtId="10" fontId="31" fillId="0" borderId="0" xfId="847" applyNumberFormat="1" applyFont="1" applyFill="1" applyBorder="1" applyAlignment="1">
      <alignment horizontal="right"/>
    </xf>
    <xf numFmtId="10" fontId="206" fillId="106" borderId="0" xfId="847" applyNumberFormat="1" applyFont="1" applyFill="1" applyBorder="1"/>
    <xf numFmtId="168" fontId="206" fillId="106" borderId="0" xfId="863" applyFont="1" applyFill="1" applyBorder="1"/>
    <xf numFmtId="10" fontId="206" fillId="0" borderId="0" xfId="847" applyNumberFormat="1" applyFont="1" applyFill="1" applyBorder="1" applyAlignment="1">
      <alignment horizontal="right"/>
    </xf>
    <xf numFmtId="0" fontId="44" fillId="0" borderId="20" xfId="0" applyFont="1" applyBorder="1"/>
    <xf numFmtId="0" fontId="0" fillId="0" borderId="0" xfId="0" applyAlignment="1">
      <alignment horizontal="center"/>
    </xf>
    <xf numFmtId="0" fontId="266" fillId="0" borderId="0" xfId="43410" applyFont="1"/>
    <xf numFmtId="0" fontId="267" fillId="0" borderId="0" xfId="43411"/>
    <xf numFmtId="10" fontId="212" fillId="0" borderId="0" xfId="847" applyNumberFormat="1" applyFont="1" applyBorder="1" applyAlignment="1">
      <alignment horizontal="right" vertical="center"/>
    </xf>
    <xf numFmtId="168" fontId="31" fillId="0" borderId="0" xfId="863" applyFont="1" applyFill="1" applyBorder="1"/>
    <xf numFmtId="10" fontId="31" fillId="0" borderId="0" xfId="847" applyNumberFormat="1" applyFont="1"/>
    <xf numFmtId="0" fontId="31" fillId="0" borderId="0" xfId="0" applyFont="1" applyAlignment="1">
      <alignment horizontal="center"/>
    </xf>
    <xf numFmtId="10" fontId="31" fillId="0" borderId="0" xfId="0" applyNumberFormat="1" applyFont="1"/>
    <xf numFmtId="14" fontId="37" fillId="0" borderId="0" xfId="0" applyNumberFormat="1" applyFont="1" applyAlignment="1">
      <alignment horizontal="center"/>
    </xf>
    <xf numFmtId="260" fontId="31" fillId="0" borderId="0" xfId="0" applyNumberFormat="1" applyFont="1"/>
    <xf numFmtId="168" fontId="31" fillId="0" borderId="0" xfId="863" applyFont="1" applyFill="1"/>
    <xf numFmtId="171" fontId="31" fillId="0" borderId="0" xfId="0" applyNumberFormat="1" applyFont="1"/>
    <xf numFmtId="0" fontId="37" fillId="0" borderId="0" xfId="0" applyFont="1"/>
    <xf numFmtId="0" fontId="37" fillId="45" borderId="152" xfId="907" applyFont="1" applyFill="1" applyBorder="1" applyAlignment="1">
      <alignment horizontal="center" vertical="center" wrapText="1"/>
    </xf>
    <xf numFmtId="0" fontId="206" fillId="0" borderId="20" xfId="0" applyFont="1" applyBorder="1" applyAlignment="1">
      <alignment horizontal="right"/>
    </xf>
    <xf numFmtId="0" fontId="206" fillId="0" borderId="29" xfId="832" applyFont="1" applyBorder="1" applyAlignment="1">
      <alignment horizontal="left"/>
    </xf>
    <xf numFmtId="0" fontId="206" fillId="41" borderId="20" xfId="0" applyFont="1" applyFill="1" applyBorder="1" applyAlignment="1">
      <alignment horizontal="right"/>
    </xf>
    <xf numFmtId="14" fontId="117" fillId="0" borderId="0" xfId="0" applyNumberFormat="1" applyFont="1"/>
    <xf numFmtId="164" fontId="212" fillId="0" borderId="0" xfId="0" applyNumberFormat="1" applyFont="1" applyAlignment="1">
      <alignment horizontal="right" vertical="center"/>
    </xf>
    <xf numFmtId="168" fontId="31" fillId="44" borderId="0" xfId="863" applyFont="1" applyFill="1" applyBorder="1" applyAlignment="1">
      <alignment horizontal="right"/>
    </xf>
    <xf numFmtId="10" fontId="212" fillId="0" borderId="0" xfId="847" applyNumberFormat="1" applyFont="1" applyFill="1" applyBorder="1" applyAlignment="1">
      <alignment horizontal="right" vertical="center"/>
    </xf>
    <xf numFmtId="10" fontId="206" fillId="0" borderId="0" xfId="847" applyNumberFormat="1" applyFont="1" applyFill="1" applyBorder="1" applyAlignment="1">
      <alignment horizontal="right" vertical="center"/>
    </xf>
    <xf numFmtId="0" fontId="31" fillId="103" borderId="0" xfId="0" applyFont="1" applyFill="1"/>
    <xf numFmtId="14" fontId="33" fillId="0" borderId="0" xfId="831" applyNumberFormat="1" applyAlignment="1">
      <alignment horizontal="center"/>
    </xf>
    <xf numFmtId="10" fontId="206" fillId="0" borderId="0" xfId="847" applyNumberFormat="1" applyFont="1" applyFill="1"/>
    <xf numFmtId="0" fontId="7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8" fillId="102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8" fillId="102" borderId="154" xfId="0" applyFont="1" applyFill="1" applyBorder="1" applyAlignment="1">
      <alignment horizontal="center" vertical="distributed"/>
    </xf>
    <xf numFmtId="14" fontId="268" fillId="102" borderId="154" xfId="0" applyNumberFormat="1" applyFont="1" applyFill="1" applyBorder="1" applyAlignment="1">
      <alignment horizontal="center" vertical="distributed"/>
    </xf>
    <xf numFmtId="0" fontId="268" fillId="102" borderId="10" xfId="0" applyFont="1" applyFill="1" applyBorder="1" applyAlignment="1">
      <alignment horizontal="center"/>
    </xf>
    <xf numFmtId="168" fontId="31" fillId="61" borderId="0" xfId="863" applyFont="1" applyFill="1"/>
    <xf numFmtId="168" fontId="44" fillId="41" borderId="0" xfId="903" applyFont="1" applyFill="1" applyBorder="1" applyAlignment="1">
      <alignment horizontal="left" vertical="top" wrapText="1"/>
    </xf>
    <xf numFmtId="0" fontId="31" fillId="109" borderId="0" xfId="0" applyFont="1" applyFill="1" applyAlignment="1">
      <alignment horizontal="center"/>
    </xf>
    <xf numFmtId="0" fontId="31" fillId="109" borderId="0" xfId="0" applyFont="1" applyFill="1"/>
    <xf numFmtId="14" fontId="31" fillId="109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6" fillId="109" borderId="0" xfId="847" applyNumberFormat="1" applyFont="1" applyFill="1" applyBorder="1"/>
    <xf numFmtId="168" fontId="206" fillId="109" borderId="0" xfId="863" applyFont="1" applyFill="1" applyBorder="1"/>
    <xf numFmtId="168" fontId="206" fillId="109" borderId="0" xfId="0" applyNumberFormat="1" applyFont="1" applyFill="1"/>
    <xf numFmtId="2" fontId="238" fillId="0" borderId="0" xfId="0" applyNumberFormat="1" applyFont="1" applyAlignment="1">
      <alignment horizontal="center" vertical="center" wrapText="1"/>
    </xf>
    <xf numFmtId="168" fontId="238" fillId="0" borderId="0" xfId="863" applyFont="1" applyFill="1" applyBorder="1" applyAlignment="1">
      <alignment horizontal="right" vertical="center" wrapText="1"/>
    </xf>
    <xf numFmtId="168" fontId="238" fillId="0" borderId="0" xfId="863" applyFont="1" applyFill="1" applyBorder="1" applyAlignment="1">
      <alignment horizontal="center" vertical="center" wrapText="1"/>
    </xf>
    <xf numFmtId="0" fontId="249" fillId="0" borderId="0" xfId="0" applyFont="1" applyAlignment="1">
      <alignment horizontal="center" vertical="center" wrapText="1"/>
    </xf>
    <xf numFmtId="0" fontId="126" fillId="0" borderId="0" xfId="0" applyFont="1" applyAlignment="1">
      <alignment horizontal="justify" vertical="center" wrapText="1"/>
    </xf>
    <xf numFmtId="264" fontId="126" fillId="0" borderId="0" xfId="907" applyNumberFormat="1" applyFont="1" applyAlignment="1">
      <alignment horizontal="center"/>
    </xf>
    <xf numFmtId="0" fontId="126" fillId="0" borderId="0" xfId="0" applyFont="1" applyAlignment="1">
      <alignment horizontal="center" vertical="center" wrapText="1"/>
    </xf>
    <xf numFmtId="167" fontId="44" fillId="0" borderId="0" xfId="815" applyFont="1" applyFill="1" applyBorder="1" applyAlignment="1">
      <alignment horizontal="left"/>
    </xf>
    <xf numFmtId="167" fontId="44" fillId="111" borderId="16" xfId="815" applyFont="1" applyFill="1" applyBorder="1" applyAlignment="1">
      <alignment horizontal="left"/>
    </xf>
    <xf numFmtId="3" fontId="31" fillId="111" borderId="16" xfId="0" applyNumberFormat="1" applyFont="1" applyFill="1" applyBorder="1"/>
    <xf numFmtId="167" fontId="31" fillId="42" borderId="0" xfId="815" applyFont="1" applyFill="1" applyBorder="1" applyAlignment="1">
      <alignment horizontal="left"/>
    </xf>
    <xf numFmtId="4" fontId="31" fillId="0" borderId="0" xfId="0" applyNumberFormat="1" applyFont="1"/>
    <xf numFmtId="230" fontId="31" fillId="109" borderId="0" xfId="863" applyNumberFormat="1" applyFont="1" applyFill="1" applyBorder="1" applyAlignment="1">
      <alignment horizontal="left"/>
    </xf>
    <xf numFmtId="230" fontId="31" fillId="109" borderId="0" xfId="0" applyNumberFormat="1" applyFont="1" applyFill="1"/>
    <xf numFmtId="230" fontId="31" fillId="109" borderId="0" xfId="0" applyNumberFormat="1" applyFont="1" applyFill="1" applyAlignment="1">
      <alignment horizontal="left"/>
    </xf>
    <xf numFmtId="230" fontId="117" fillId="109" borderId="0" xfId="0" applyNumberFormat="1" applyFont="1" applyFill="1" applyAlignment="1">
      <alignment horizontal="left"/>
    </xf>
    <xf numFmtId="0" fontId="272" fillId="111" borderId="16" xfId="0" applyFont="1" applyFill="1" applyBorder="1"/>
    <xf numFmtId="165" fontId="31" fillId="0" borderId="0" xfId="863" applyNumberFormat="1" applyFont="1" applyFill="1" applyBorder="1"/>
    <xf numFmtId="168" fontId="31" fillId="109" borderId="0" xfId="863" applyFont="1" applyFill="1" applyBorder="1"/>
    <xf numFmtId="0" fontId="269" fillId="0" borderId="0" xfId="0" applyFont="1"/>
    <xf numFmtId="0" fontId="44" fillId="0" borderId="29" xfId="0" applyFont="1" applyBorder="1"/>
    <xf numFmtId="0" fontId="272" fillId="0" borderId="0" xfId="0" applyFont="1"/>
    <xf numFmtId="0" fontId="44" fillId="33" borderId="0" xfId="829" applyFont="1" applyFill="1"/>
    <xf numFmtId="0" fontId="275" fillId="0" borderId="0" xfId="0" applyFont="1"/>
    <xf numFmtId="0" fontId="264" fillId="0" borderId="0" xfId="0" applyFont="1"/>
    <xf numFmtId="0" fontId="126" fillId="0" borderId="20" xfId="0" applyFont="1" applyBorder="1" applyAlignment="1">
      <alignment horizontal="left"/>
    </xf>
    <xf numFmtId="0" fontId="44" fillId="111" borderId="159" xfId="0" applyFont="1" applyFill="1" applyBorder="1"/>
    <xf numFmtId="0" fontId="44" fillId="111" borderId="16" xfId="0" applyFont="1" applyFill="1" applyBorder="1"/>
    <xf numFmtId="0" fontId="44" fillId="111" borderId="16" xfId="907" applyFont="1" applyFill="1" applyBorder="1"/>
    <xf numFmtId="10" fontId="44" fillId="111" borderId="16" xfId="847" applyNumberFormat="1" applyFont="1" applyFill="1" applyBorder="1" applyAlignment="1"/>
    <xf numFmtId="14" fontId="44" fillId="111" borderId="16" xfId="0" applyNumberFormat="1" applyFont="1" applyFill="1" applyBorder="1"/>
    <xf numFmtId="0" fontId="276" fillId="111" borderId="151" xfId="0" applyFont="1" applyFill="1" applyBorder="1"/>
    <xf numFmtId="0" fontId="126" fillId="0" borderId="0" xfId="0" applyFont="1" applyAlignment="1">
      <alignment horizontal="left"/>
    </xf>
    <xf numFmtId="0" fontId="276" fillId="0" borderId="0" xfId="0" applyFont="1"/>
    <xf numFmtId="0" fontId="277" fillId="0" borderId="0" xfId="0" applyFont="1"/>
    <xf numFmtId="0" fontId="276" fillId="0" borderId="29" xfId="0" applyFont="1" applyBorder="1"/>
    <xf numFmtId="10" fontId="44" fillId="0" borderId="0" xfId="847" applyNumberFormat="1" applyFont="1" applyFill="1" applyBorder="1" applyAlignment="1"/>
    <xf numFmtId="14" fontId="44" fillId="0" borderId="0" xfId="0" applyNumberFormat="1" applyFont="1"/>
    <xf numFmtId="4" fontId="145" fillId="0" borderId="0" xfId="0" applyNumberFormat="1" applyFont="1"/>
    <xf numFmtId="0" fontId="44" fillId="0" borderId="0" xfId="0" quotePrefix="1" applyFont="1"/>
    <xf numFmtId="43" fontId="269" fillId="0" borderId="0" xfId="0" applyNumberFormat="1" applyFont="1"/>
    <xf numFmtId="168" fontId="44" fillId="0" borderId="0" xfId="863" applyFont="1"/>
    <xf numFmtId="0" fontId="31" fillId="0" borderId="29" xfId="0" applyFont="1" applyBorder="1"/>
    <xf numFmtId="0" fontId="276" fillId="0" borderId="153" xfId="0" applyFont="1" applyBorder="1"/>
    <xf numFmtId="168" fontId="44" fillId="0" borderId="0" xfId="863" applyFont="1" applyBorder="1"/>
    <xf numFmtId="0" fontId="44" fillId="0" borderId="0" xfId="0" applyFont="1" applyAlignment="1">
      <alignment horizontal="center"/>
    </xf>
    <xf numFmtId="0" fontId="44" fillId="0" borderId="20" xfId="0" applyFont="1" applyBorder="1" applyAlignment="1">
      <alignment horizontal="left"/>
    </xf>
    <xf numFmtId="168" fontId="44" fillId="0" borderId="0" xfId="863" applyFont="1" applyBorder="1" applyAlignment="1">
      <alignment horizontal="center"/>
    </xf>
    <xf numFmtId="0" fontId="238" fillId="0" borderId="0" xfId="0" applyFont="1" applyAlignment="1">
      <alignment horizontal="center" vertical="center"/>
    </xf>
    <xf numFmtId="0" fontId="238" fillId="0" borderId="20" xfId="0" applyFont="1" applyBorder="1" applyAlignment="1">
      <alignment horizontal="center" vertical="center"/>
    </xf>
    <xf numFmtId="43" fontId="44" fillId="0" borderId="0" xfId="0" applyNumberFormat="1" applyFont="1"/>
    <xf numFmtId="14" fontId="238" fillId="0" borderId="20" xfId="0" applyNumberFormat="1" applyFont="1" applyBorder="1" applyAlignment="1">
      <alignment horizontal="center" vertical="center"/>
    </xf>
    <xf numFmtId="0" fontId="272" fillId="111" borderId="159" xfId="0" applyFont="1" applyFill="1" applyBorder="1"/>
    <xf numFmtId="0" fontId="272" fillId="111" borderId="151" xfId="0" applyFont="1" applyFill="1" applyBorder="1"/>
    <xf numFmtId="14" fontId="238" fillId="0" borderId="0" xfId="0" applyNumberFormat="1" applyFont="1" applyAlignment="1">
      <alignment horizontal="center" vertical="center"/>
    </xf>
    <xf numFmtId="0" fontId="279" fillId="0" borderId="0" xfId="0" applyFont="1"/>
    <xf numFmtId="171" fontId="44" fillId="0" borderId="0" xfId="907" applyNumberFormat="1" applyFont="1"/>
    <xf numFmtId="0" fontId="31" fillId="59" borderId="0" xfId="907" applyFill="1"/>
    <xf numFmtId="43" fontId="31" fillId="0" borderId="0" xfId="0" applyNumberFormat="1" applyFont="1"/>
    <xf numFmtId="0" fontId="31" fillId="0" borderId="0" xfId="907" applyAlignment="1">
      <alignment horizontal="center"/>
    </xf>
    <xf numFmtId="0" fontId="273" fillId="43" borderId="149" xfId="0" applyFont="1" applyFill="1" applyBorder="1" applyAlignment="1">
      <alignment horizontal="center" vertical="center" wrapText="1"/>
    </xf>
    <xf numFmtId="0" fontId="273" fillId="43" borderId="148" xfId="0" applyFont="1" applyFill="1" applyBorder="1" applyAlignment="1">
      <alignment horizontal="center" vertical="center" wrapText="1"/>
    </xf>
    <xf numFmtId="0" fontId="31" fillId="59" borderId="144" xfId="907" applyFill="1" applyBorder="1"/>
    <xf numFmtId="0" fontId="273" fillId="59" borderId="144" xfId="0" applyFont="1" applyFill="1" applyBorder="1"/>
    <xf numFmtId="10" fontId="31" fillId="0" borderId="0" xfId="847" applyNumberFormat="1" applyFont="1" applyFill="1" applyBorder="1" applyAlignment="1"/>
    <xf numFmtId="10" fontId="31" fillId="0" borderId="144" xfId="847" applyNumberFormat="1" applyFont="1" applyFill="1" applyBorder="1" applyAlignment="1"/>
    <xf numFmtId="0" fontId="37" fillId="42" borderId="0" xfId="0" applyFont="1" applyFill="1"/>
    <xf numFmtId="0" fontId="31" fillId="42" borderId="0" xfId="0" applyFont="1" applyFill="1"/>
    <xf numFmtId="165" fontId="31" fillId="0" borderId="0" xfId="0" applyNumberFormat="1" applyFont="1"/>
    <xf numFmtId="168" fontId="31" fillId="0" borderId="0" xfId="863" applyFont="1" applyFill="1" applyBorder="1" applyAlignment="1"/>
    <xf numFmtId="170" fontId="31" fillId="0" borderId="0" xfId="0" applyNumberFormat="1" applyFont="1"/>
    <xf numFmtId="0" fontId="280" fillId="96" borderId="147" xfId="0" applyFont="1" applyFill="1" applyBorder="1" applyAlignment="1">
      <alignment vertical="center"/>
    </xf>
    <xf numFmtId="0" fontId="280" fillId="96" borderId="29" xfId="0" applyFont="1" applyFill="1" applyBorder="1" applyAlignment="1">
      <alignment vertical="center"/>
    </xf>
    <xf numFmtId="14" fontId="31" fillId="0" borderId="0" xfId="0" applyNumberFormat="1" applyFont="1" applyAlignment="1">
      <alignment horizontal="right"/>
    </xf>
    <xf numFmtId="14" fontId="31" fillId="41" borderId="0" xfId="0" applyNumberFormat="1" applyFont="1" applyFill="1" applyAlignment="1">
      <alignment horizontal="right"/>
    </xf>
    <xf numFmtId="14" fontId="31" fillId="41" borderId="0" xfId="0" applyNumberFormat="1" applyFont="1" applyFill="1"/>
    <xf numFmtId="14" fontId="31" fillId="0" borderId="0" xfId="0" applyNumberFormat="1" applyFont="1" applyAlignment="1">
      <alignment horizontal="center"/>
    </xf>
    <xf numFmtId="0" fontId="117" fillId="0" borderId="0" xfId="0" applyFont="1" applyAlignment="1">
      <alignment horizontal="center"/>
    </xf>
    <xf numFmtId="14" fontId="31" fillId="0" borderId="10" xfId="0" applyNumberFormat="1" applyFont="1" applyBorder="1" applyAlignment="1">
      <alignment horizontal="center"/>
    </xf>
    <xf numFmtId="14" fontId="117" fillId="0" borderId="0" xfId="0" applyNumberFormat="1" applyFont="1" applyAlignment="1">
      <alignment horizontal="center"/>
    </xf>
    <xf numFmtId="0" fontId="117" fillId="98" borderId="152" xfId="0" applyFont="1" applyFill="1" applyBorder="1"/>
    <xf numFmtId="0" fontId="31" fillId="98" borderId="152" xfId="0" applyFont="1" applyFill="1" applyBorder="1"/>
    <xf numFmtId="263" fontId="117" fillId="98" borderId="152" xfId="0" applyNumberFormat="1" applyFont="1" applyFill="1" applyBorder="1"/>
    <xf numFmtId="0" fontId="31" fillId="0" borderId="10" xfId="0" applyFont="1" applyBorder="1"/>
    <xf numFmtId="1" fontId="31" fillId="0" borderId="0" xfId="815" applyNumberFormat="1" applyFont="1" applyFill="1" applyBorder="1" applyAlignment="1"/>
    <xf numFmtId="3" fontId="31" fillId="42" borderId="144" xfId="0" applyNumberFormat="1" applyFont="1" applyFill="1" applyBorder="1"/>
    <xf numFmtId="10" fontId="206" fillId="44" borderId="0" xfId="847" applyNumberFormat="1" applyFont="1" applyFill="1" applyBorder="1"/>
    <xf numFmtId="0" fontId="31" fillId="109" borderId="0" xfId="863" applyNumberFormat="1" applyFont="1" applyFill="1" applyBorder="1" applyAlignment="1">
      <alignment horizontal="left"/>
    </xf>
    <xf numFmtId="10" fontId="31" fillId="109" borderId="0" xfId="847" applyNumberFormat="1" applyFont="1" applyFill="1" applyBorder="1" applyAlignment="1">
      <alignment horizontal="left"/>
    </xf>
    <xf numFmtId="260" fontId="31" fillId="109" borderId="0" xfId="0" applyNumberFormat="1" applyFont="1" applyFill="1" applyAlignment="1">
      <alignment horizontal="left"/>
    </xf>
    <xf numFmtId="260" fontId="31" fillId="109" borderId="0" xfId="0" applyNumberFormat="1" applyFont="1" applyFill="1"/>
    <xf numFmtId="257" fontId="31" fillId="109" borderId="0" xfId="863" applyNumberFormat="1" applyFont="1" applyFill="1" applyBorder="1" applyAlignment="1">
      <alignment horizontal="left"/>
    </xf>
    <xf numFmtId="258" fontId="31" fillId="109" borderId="0" xfId="847" applyNumberFormat="1" applyFont="1" applyFill="1" applyBorder="1" applyAlignment="1">
      <alignment horizontal="left"/>
    </xf>
    <xf numFmtId="259" fontId="31" fillId="109" borderId="0" xfId="0" applyNumberFormat="1" applyFont="1" applyFill="1" applyAlignment="1">
      <alignment horizontal="left"/>
    </xf>
    <xf numFmtId="230" fontId="31" fillId="109" borderId="0" xfId="2697" applyNumberFormat="1" applyFill="1"/>
    <xf numFmtId="257" fontId="31" fillId="109" borderId="0" xfId="847" applyNumberFormat="1" applyFont="1" applyFill="1" applyBorder="1" applyAlignment="1">
      <alignment horizontal="left"/>
    </xf>
    <xf numFmtId="4" fontId="31" fillId="109" borderId="0" xfId="863" applyNumberFormat="1" applyFont="1" applyFill="1" applyBorder="1" applyAlignment="1">
      <alignment horizontal="left"/>
    </xf>
    <xf numFmtId="0" fontId="31" fillId="109" borderId="0" xfId="0" applyFont="1" applyFill="1" applyAlignment="1">
      <alignment horizontal="left"/>
    </xf>
    <xf numFmtId="0" fontId="276" fillId="0" borderId="160" xfId="0" applyFont="1" applyBorder="1"/>
    <xf numFmtId="0" fontId="31" fillId="0" borderId="0" xfId="0" applyFont="1" applyAlignment="1">
      <alignment horizontal="center" vertical="distributed"/>
    </xf>
    <xf numFmtId="0" fontId="213" fillId="0" borderId="0" xfId="0" applyFont="1" applyAlignment="1">
      <alignment horizontal="center"/>
    </xf>
    <xf numFmtId="0" fontId="206" fillId="0" borderId="0" xfId="908" applyFont="1">
      <alignment vertical="top"/>
    </xf>
    <xf numFmtId="0" fontId="213" fillId="0" borderId="0" xfId="0" applyFont="1" applyAlignment="1">
      <alignment horizontal="left"/>
    </xf>
    <xf numFmtId="0" fontId="206" fillId="0" borderId="0" xfId="0" applyFont="1" applyAlignment="1" applyProtection="1">
      <alignment horizontal="left"/>
      <protection hidden="1"/>
    </xf>
    <xf numFmtId="168" fontId="206" fillId="0" borderId="0" xfId="43185" applyNumberFormat="1" applyFont="1" applyFill="1" applyBorder="1" applyAlignment="1" applyProtection="1">
      <alignment horizontal="right"/>
      <protection locked="0"/>
    </xf>
    <xf numFmtId="168" fontId="209" fillId="0" borderId="0" xfId="43183" applyNumberFormat="1" applyFont="1" applyFill="1" applyBorder="1" applyAlignment="1" applyProtection="1">
      <alignment vertical="center"/>
    </xf>
    <xf numFmtId="0" fontId="283" fillId="33" borderId="0" xfId="829" applyFont="1" applyFill="1" applyAlignment="1">
      <alignment horizontal="left" vertical="top"/>
    </xf>
    <xf numFmtId="0" fontId="277" fillId="33" borderId="0" xfId="829" applyFont="1" applyFill="1"/>
    <xf numFmtId="0" fontId="284" fillId="33" borderId="0" xfId="829" applyFont="1" applyFill="1"/>
    <xf numFmtId="0" fontId="284" fillId="0" borderId="0" xfId="0" applyFont="1"/>
    <xf numFmtId="0" fontId="285" fillId="33" borderId="0" xfId="829" applyFont="1" applyFill="1" applyAlignment="1">
      <alignment horizontal="left" vertical="top"/>
    </xf>
    <xf numFmtId="167" fontId="284" fillId="42" borderId="0" xfId="815" applyFont="1" applyFill="1" applyBorder="1"/>
    <xf numFmtId="0" fontId="281" fillId="0" borderId="0" xfId="0" applyFont="1"/>
    <xf numFmtId="0" fontId="31" fillId="0" borderId="0" xfId="0" applyFont="1" applyAlignment="1">
      <alignment horizontal="center" vertical="center"/>
    </xf>
    <xf numFmtId="0" fontId="31" fillId="113" borderId="161" xfId="0" applyFont="1" applyFill="1" applyBorder="1" applyAlignment="1">
      <alignment horizontal="center" vertical="distributed"/>
    </xf>
    <xf numFmtId="0" fontId="31" fillId="114" borderId="161" xfId="0" applyFont="1" applyFill="1" applyBorder="1" applyAlignment="1">
      <alignment horizontal="center" vertical="distributed"/>
    </xf>
    <xf numFmtId="0" fontId="31" fillId="114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31" fillId="42" borderId="0" xfId="847" applyNumberFormat="1" applyFont="1" applyFill="1" applyBorder="1" applyAlignment="1">
      <alignment horizontal="left"/>
    </xf>
    <xf numFmtId="230" fontId="31" fillId="42" borderId="0" xfId="863" applyNumberFormat="1" applyFont="1" applyFill="1" applyBorder="1" applyAlignment="1">
      <alignment horizontal="left"/>
    </xf>
    <xf numFmtId="0" fontId="117" fillId="99" borderId="0" xfId="907" applyFont="1" applyFill="1" applyAlignment="1">
      <alignment horizontal="center"/>
    </xf>
    <xf numFmtId="167" fontId="111" fillId="94" borderId="0" xfId="815" applyFont="1" applyFill="1" applyBorder="1" applyAlignment="1">
      <alignment horizontal="center" vertical="center" wrapText="1"/>
    </xf>
    <xf numFmtId="0" fontId="118" fillId="0" borderId="0" xfId="2697" applyFont="1" applyAlignment="1">
      <alignment horizontal="center" vertical="center" wrapText="1"/>
    </xf>
    <xf numFmtId="167" fontId="39" fillId="0" borderId="0" xfId="815" applyFont="1" applyFill="1" applyBorder="1" applyAlignment="1">
      <alignment horizontal="center" vertical="center" wrapText="1"/>
    </xf>
    <xf numFmtId="167" fontId="44" fillId="0" borderId="0" xfId="815" applyFont="1" applyFill="1" applyBorder="1" applyAlignment="1">
      <alignment wrapText="1"/>
    </xf>
    <xf numFmtId="167" fontId="44" fillId="0" borderId="0" xfId="815" applyFont="1" applyFill="1" applyBorder="1" applyAlignment="1"/>
    <xf numFmtId="9" fontId="111" fillId="0" borderId="0" xfId="1823" applyFont="1" applyFill="1" applyBorder="1" applyAlignment="1">
      <alignment horizontal="left" vertical="center" wrapText="1"/>
    </xf>
    <xf numFmtId="217" fontId="111" fillId="0" borderId="0" xfId="1823" applyNumberFormat="1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wrapText="1"/>
    </xf>
    <xf numFmtId="9" fontId="111" fillId="0" borderId="0" xfId="1823" applyFont="1" applyFill="1" applyBorder="1" applyAlignment="1">
      <alignment horizontal="center" vertical="center" wrapText="1"/>
    </xf>
    <xf numFmtId="0" fontId="44" fillId="41" borderId="106" xfId="907" applyFont="1" applyFill="1" applyBorder="1"/>
    <xf numFmtId="0" fontId="44" fillId="41" borderId="106" xfId="2697" applyFont="1" applyFill="1" applyBorder="1"/>
    <xf numFmtId="0" fontId="44" fillId="0" borderId="106" xfId="907" applyFont="1" applyBorder="1"/>
    <xf numFmtId="43" fontId="44" fillId="41" borderId="106" xfId="907" applyNumberFormat="1" applyFont="1" applyFill="1" applyBorder="1"/>
    <xf numFmtId="0" fontId="264" fillId="0" borderId="0" xfId="2697" applyFont="1"/>
    <xf numFmtId="0" fontId="147" fillId="41" borderId="0" xfId="36379" applyFont="1" applyFill="1" applyProtection="1">
      <protection locked="0"/>
    </xf>
    <xf numFmtId="0" fontId="44" fillId="41" borderId="0" xfId="36379" applyFont="1" applyFill="1"/>
    <xf numFmtId="0" fontId="290" fillId="41" borderId="0" xfId="36379" applyFont="1" applyFill="1" applyProtection="1">
      <protection locked="0"/>
    </xf>
    <xf numFmtId="10" fontId="31" fillId="0" borderId="0" xfId="847" applyNumberFormat="1" applyFont="1" applyAlignment="1">
      <alignment horizontal="center"/>
    </xf>
    <xf numFmtId="0" fontId="213" fillId="43" borderId="0" xfId="0" applyFont="1" applyFill="1" applyAlignment="1">
      <alignment horizontal="left"/>
    </xf>
    <xf numFmtId="10" fontId="206" fillId="45" borderId="0" xfId="847" applyNumberFormat="1" applyFont="1" applyFill="1" applyBorder="1"/>
    <xf numFmtId="262" fontId="206" fillId="0" borderId="152" xfId="847" applyNumberFormat="1" applyFont="1" applyFill="1" applyBorder="1"/>
    <xf numFmtId="0" fontId="214" fillId="0" borderId="0" xfId="907" applyFont="1" applyAlignment="1">
      <alignment horizontal="left"/>
    </xf>
    <xf numFmtId="22" fontId="44" fillId="0" borderId="0" xfId="0" applyNumberFormat="1" applyFont="1" applyAlignment="1">
      <alignment horizontal="right"/>
    </xf>
    <xf numFmtId="0" fontId="44" fillId="0" borderId="144" xfId="907" applyFont="1" applyBorder="1"/>
    <xf numFmtId="0" fontId="206" fillId="0" borderId="152" xfId="0" applyFont="1" applyBorder="1" applyAlignment="1">
      <alignment horizontal="center"/>
    </xf>
    <xf numFmtId="0" fontId="213" fillId="43" borderId="144" xfId="0" applyFont="1" applyFill="1" applyBorder="1" applyAlignment="1">
      <alignment horizontal="center"/>
    </xf>
    <xf numFmtId="0" fontId="209" fillId="56" borderId="156" xfId="834" applyFont="1" applyFill="1" applyBorder="1" applyAlignment="1" applyProtection="1">
      <alignment horizontal="left" vertical="center"/>
    </xf>
    <xf numFmtId="0" fontId="209" fillId="56" borderId="155" xfId="834" applyFont="1" applyFill="1" applyBorder="1" applyAlignment="1" applyProtection="1">
      <alignment horizontal="left" vertical="center"/>
    </xf>
    <xf numFmtId="10" fontId="206" fillId="0" borderId="152" xfId="847" applyNumberFormat="1" applyFont="1" applyFill="1" applyBorder="1"/>
    <xf numFmtId="0" fontId="243" fillId="41" borderId="0" xfId="831" applyFont="1" applyFill="1" applyAlignment="1">
      <alignment horizontal="left"/>
    </xf>
    <xf numFmtId="0" fontId="249" fillId="41" borderId="106" xfId="831" applyFont="1" applyFill="1" applyBorder="1" applyAlignment="1">
      <alignment horizontal="left"/>
    </xf>
    <xf numFmtId="0" fontId="244" fillId="41" borderId="0" xfId="831" applyFont="1" applyFill="1" applyAlignment="1">
      <alignment horizontal="left"/>
    </xf>
    <xf numFmtId="0" fontId="44" fillId="0" borderId="0" xfId="2697" applyFont="1" applyAlignment="1">
      <alignment horizontal="center"/>
    </xf>
    <xf numFmtId="0" fontId="118" fillId="55" borderId="163" xfId="2697" applyFont="1" applyFill="1" applyBorder="1" applyAlignment="1">
      <alignment horizontal="center" vertical="center" wrapText="1"/>
    </xf>
    <xf numFmtId="0" fontId="118" fillId="55" borderId="164" xfId="2697" applyFont="1" applyFill="1" applyBorder="1" applyAlignment="1">
      <alignment horizontal="center" vertical="center" wrapText="1"/>
    </xf>
    <xf numFmtId="269" fontId="44" fillId="0" borderId="20" xfId="43183" applyNumberFormat="1" applyFont="1" applyBorder="1" applyAlignment="1">
      <alignment vertical="center"/>
    </xf>
    <xf numFmtId="0" fontId="44" fillId="0" borderId="29" xfId="2697" applyFont="1" applyBorder="1" applyAlignment="1">
      <alignment vertical="center"/>
    </xf>
    <xf numFmtId="269" fontId="44" fillId="0" borderId="20" xfId="2697" applyNumberFormat="1" applyFont="1" applyBorder="1" applyAlignment="1">
      <alignment vertical="center"/>
    </xf>
    <xf numFmtId="269" fontId="44" fillId="0" borderId="10" xfId="2697" applyNumberFormat="1" applyFont="1" applyBorder="1" applyAlignment="1">
      <alignment vertical="center"/>
    </xf>
    <xf numFmtId="0" fontId="44" fillId="0" borderId="155" xfId="2697" applyFont="1" applyBorder="1" applyAlignment="1">
      <alignment vertical="center"/>
    </xf>
    <xf numFmtId="269" fontId="44" fillId="0" borderId="156" xfId="2697" applyNumberFormat="1" applyFont="1" applyBorder="1" applyAlignment="1">
      <alignment vertical="center"/>
    </xf>
    <xf numFmtId="0" fontId="118" fillId="55" borderId="0" xfId="2697" applyFont="1" applyFill="1" applyAlignment="1">
      <alignment horizontal="center" vertical="center" wrapText="1"/>
    </xf>
    <xf numFmtId="171" fontId="118" fillId="43" borderId="0" xfId="2697" applyNumberFormat="1" applyFont="1" applyFill="1" applyAlignment="1">
      <alignment horizontal="center" vertical="center" wrapText="1"/>
    </xf>
    <xf numFmtId="171" fontId="118" fillId="55" borderId="0" xfId="2697" applyNumberFormat="1" applyFont="1" applyFill="1" applyAlignment="1">
      <alignment horizontal="center" vertical="center" wrapText="1"/>
    </xf>
    <xf numFmtId="0" fontId="44" fillId="0" borderId="29" xfId="2697" applyFont="1" applyBorder="1"/>
    <xf numFmtId="0" fontId="44" fillId="0" borderId="10" xfId="2697" applyFont="1" applyBorder="1" applyAlignment="1">
      <alignment vertical="center"/>
    </xf>
    <xf numFmtId="270" fontId="44" fillId="0" borderId="0" xfId="2697" applyNumberFormat="1" applyFont="1" applyAlignment="1">
      <alignment vertical="center"/>
    </xf>
    <xf numFmtId="0" fontId="44" fillId="0" borderId="155" xfId="2697" applyFont="1" applyBorder="1"/>
    <xf numFmtId="0" fontId="44" fillId="0" borderId="20" xfId="2697" applyFont="1" applyBorder="1" applyAlignment="1">
      <alignment vertical="center"/>
    </xf>
    <xf numFmtId="270" fontId="44" fillId="115" borderId="20" xfId="2697" applyNumberFormat="1" applyFont="1" applyFill="1" applyBorder="1" applyAlignment="1">
      <alignment vertical="center"/>
    </xf>
    <xf numFmtId="270" fontId="44" fillId="115" borderId="0" xfId="2697" applyNumberFormat="1" applyFont="1" applyFill="1" applyAlignment="1">
      <alignment vertical="center"/>
    </xf>
    <xf numFmtId="270" fontId="44" fillId="115" borderId="156" xfId="2697" applyNumberFormat="1" applyFont="1" applyFill="1" applyBorder="1" applyAlignment="1">
      <alignment vertical="center"/>
    </xf>
    <xf numFmtId="0" fontId="44" fillId="0" borderId="152" xfId="0" applyFont="1" applyBorder="1"/>
    <xf numFmtId="0" fontId="269" fillId="0" borderId="152" xfId="0" applyFont="1" applyBorder="1"/>
    <xf numFmtId="0" fontId="269" fillId="99" borderId="152" xfId="0" applyFont="1" applyFill="1" applyBorder="1"/>
    <xf numFmtId="14" fontId="31" fillId="109" borderId="0" xfId="0" applyNumberFormat="1" applyFont="1" applyFill="1" applyAlignment="1">
      <alignment horizontal="right"/>
    </xf>
    <xf numFmtId="168" fontId="44" fillId="0" borderId="10" xfId="863" applyFont="1" applyBorder="1" applyAlignment="1">
      <alignment vertical="center"/>
    </xf>
    <xf numFmtId="0" fontId="291" fillId="0" borderId="152" xfId="907" applyFont="1" applyBorder="1" applyAlignment="1">
      <alignment horizontal="left"/>
    </xf>
    <xf numFmtId="10" fontId="44" fillId="0" borderId="152" xfId="907" applyNumberFormat="1" applyFont="1" applyBorder="1"/>
    <xf numFmtId="0" fontId="44" fillId="0" borderId="152" xfId="907" applyFont="1" applyBorder="1"/>
    <xf numFmtId="0" fontId="111" fillId="0" borderId="152" xfId="907" applyFont="1" applyBorder="1" applyAlignment="1">
      <alignment horizontal="left"/>
    </xf>
    <xf numFmtId="0" fontId="292" fillId="0" borderId="152" xfId="907" applyFont="1" applyBorder="1"/>
    <xf numFmtId="168" fontId="292" fillId="0" borderId="152" xfId="863" applyFont="1" applyFill="1" applyBorder="1"/>
    <xf numFmtId="0" fontId="44" fillId="41" borderId="152" xfId="907" applyFont="1" applyFill="1" applyBorder="1"/>
    <xf numFmtId="0" fontId="44" fillId="0" borderId="152" xfId="907" applyFont="1" applyBorder="1" applyAlignment="1">
      <alignment horizontal="center"/>
    </xf>
    <xf numFmtId="4" fontId="44" fillId="0" borderId="152" xfId="815" applyNumberFormat="1" applyFont="1" applyFill="1" applyBorder="1"/>
    <xf numFmtId="22" fontId="44" fillId="0" borderId="0" xfId="907" applyNumberFormat="1" applyFont="1"/>
    <xf numFmtId="22" fontId="44" fillId="0" borderId="152" xfId="907" applyNumberFormat="1" applyFont="1" applyBorder="1"/>
    <xf numFmtId="168" fontId="212" fillId="0" borderId="0" xfId="863" applyFont="1" applyBorder="1" applyAlignment="1">
      <alignment horizontal="right" vertical="center"/>
    </xf>
    <xf numFmtId="0" fontId="206" fillId="0" borderId="166" xfId="0" applyFont="1" applyBorder="1"/>
    <xf numFmtId="0" fontId="213" fillId="0" borderId="166" xfId="0" applyFont="1" applyBorder="1" applyAlignment="1">
      <alignment horizontal="center"/>
    </xf>
    <xf numFmtId="167" fontId="209" fillId="0" borderId="166" xfId="0" applyNumberFormat="1" applyFont="1" applyBorder="1" applyProtection="1">
      <protection hidden="1"/>
    </xf>
    <xf numFmtId="0" fontId="241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14" fontId="31" fillId="0" borderId="0" xfId="0" applyNumberFormat="1" applyFont="1" applyAlignment="1">
      <alignment horizontal="center" vertical="distributed"/>
    </xf>
    <xf numFmtId="0" fontId="236" fillId="42" borderId="0" xfId="0" applyFont="1" applyFill="1"/>
    <xf numFmtId="171" fontId="31" fillId="108" borderId="167" xfId="907" applyNumberFormat="1" applyFill="1" applyBorder="1"/>
    <xf numFmtId="171" fontId="31" fillId="108" borderId="170" xfId="907" applyNumberFormat="1" applyFill="1" applyBorder="1"/>
    <xf numFmtId="171" fontId="31" fillId="59" borderId="170" xfId="907" applyNumberFormat="1" applyFill="1" applyBorder="1"/>
    <xf numFmtId="171" fontId="31" fillId="59" borderId="172" xfId="907" applyNumberFormat="1" applyFill="1" applyBorder="1"/>
    <xf numFmtId="0" fontId="273" fillId="43" borderId="167" xfId="0" applyFont="1" applyFill="1" applyBorder="1" applyAlignment="1">
      <alignment horizontal="center" vertical="center" wrapText="1"/>
    </xf>
    <xf numFmtId="0" fontId="273" fillId="43" borderId="174" xfId="0" applyFont="1" applyFill="1" applyBorder="1" applyAlignment="1">
      <alignment horizontal="center" vertical="center" wrapText="1"/>
    </xf>
    <xf numFmtId="0" fontId="273" fillId="43" borderId="169" xfId="0" applyFont="1" applyFill="1" applyBorder="1" applyAlignment="1">
      <alignment vertical="center" wrapText="1"/>
    </xf>
    <xf numFmtId="171" fontId="31" fillId="108" borderId="172" xfId="907" applyNumberFormat="1" applyFill="1" applyBorder="1"/>
    <xf numFmtId="167" fontId="31" fillId="109" borderId="171" xfId="815" applyFont="1" applyFill="1" applyBorder="1" applyAlignment="1">
      <alignment horizontal="center" vertical="center"/>
    </xf>
    <xf numFmtId="168" fontId="234" fillId="0" borderId="0" xfId="863" quotePrefix="1" applyFont="1"/>
    <xf numFmtId="0" fontId="37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9" fillId="41" borderId="178" xfId="863" applyFont="1" applyFill="1" applyBorder="1"/>
    <xf numFmtId="272" fontId="209" fillId="41" borderId="178" xfId="863" applyNumberFormat="1" applyFont="1" applyFill="1" applyBorder="1"/>
    <xf numFmtId="167" fontId="31" fillId="44" borderId="176" xfId="815" applyFont="1" applyFill="1" applyBorder="1" applyAlignment="1">
      <alignment horizontal="center" vertical="center"/>
    </xf>
    <xf numFmtId="0" fontId="209" fillId="41" borderId="178" xfId="0" applyFont="1" applyFill="1" applyBorder="1" applyAlignment="1">
      <alignment horizontal="right"/>
    </xf>
    <xf numFmtId="0" fontId="209" fillId="41" borderId="178" xfId="0" applyFont="1" applyFill="1" applyBorder="1" applyAlignment="1">
      <alignment horizontal="left"/>
    </xf>
    <xf numFmtId="0" fontId="206" fillId="41" borderId="178" xfId="0" applyFont="1" applyFill="1" applyBorder="1" applyAlignment="1">
      <alignment horizontal="right"/>
    </xf>
    <xf numFmtId="168" fontId="209" fillId="41" borderId="178" xfId="0" applyNumberFormat="1" applyFont="1" applyFill="1" applyBorder="1"/>
    <xf numFmtId="167" fontId="31" fillId="59" borderId="179" xfId="815" applyFont="1" applyFill="1" applyBorder="1" applyAlignment="1">
      <alignment horizontal="center" vertical="center"/>
    </xf>
    <xf numFmtId="167" fontId="31" fillId="59" borderId="173" xfId="815" applyFont="1" applyFill="1" applyBorder="1" applyAlignment="1">
      <alignment horizontal="center" vertical="center"/>
    </xf>
    <xf numFmtId="167" fontId="31" fillId="59" borderId="180" xfId="815" applyFont="1" applyFill="1" applyBorder="1" applyAlignment="1">
      <alignment horizontal="center" vertical="center"/>
    </xf>
    <xf numFmtId="0" fontId="44" fillId="0" borderId="160" xfId="0" applyFont="1" applyBorder="1"/>
    <xf numFmtId="0" fontId="44" fillId="0" borderId="153" xfId="0" applyFont="1" applyBorder="1"/>
    <xf numFmtId="4" fontId="238" fillId="0" borderId="20" xfId="0" applyNumberFormat="1" applyFont="1" applyBorder="1" applyAlignment="1">
      <alignment horizontal="right" vertical="center"/>
    </xf>
    <xf numFmtId="167" fontId="31" fillId="109" borderId="180" xfId="815" applyFont="1" applyFill="1" applyBorder="1" applyAlignment="1">
      <alignment horizontal="center" vertical="center"/>
    </xf>
    <xf numFmtId="0" fontId="31" fillId="59" borderId="166" xfId="907" applyFill="1" applyBorder="1"/>
    <xf numFmtId="0" fontId="31" fillId="59" borderId="178" xfId="907" applyFill="1" applyBorder="1"/>
    <xf numFmtId="217" fontId="44" fillId="41" borderId="0" xfId="847" applyNumberFormat="1" applyFont="1" applyFill="1" applyBorder="1" applyAlignment="1">
      <alignment horizontal="center"/>
    </xf>
    <xf numFmtId="0" fontId="31" fillId="109" borderId="166" xfId="0" applyFont="1" applyFill="1" applyBorder="1" applyAlignment="1">
      <alignment horizontal="left" wrapText="1"/>
    </xf>
    <xf numFmtId="14" fontId="31" fillId="109" borderId="178" xfId="0" applyNumberFormat="1" applyFont="1" applyFill="1" applyBorder="1" applyAlignment="1">
      <alignment horizontal="left" wrapText="1"/>
    </xf>
    <xf numFmtId="0" fontId="31" fillId="109" borderId="144" xfId="0" applyFont="1" applyFill="1" applyBorder="1" applyAlignment="1">
      <alignment horizontal="left" wrapText="1"/>
    </xf>
    <xf numFmtId="0" fontId="206" fillId="0" borderId="0" xfId="863" applyNumberFormat="1" applyFont="1" applyFill="1" applyBorder="1"/>
    <xf numFmtId="0" fontId="206" fillId="0" borderId="0" xfId="815" applyNumberFormat="1" applyFont="1" applyFill="1" applyBorder="1"/>
    <xf numFmtId="168" fontId="0" fillId="0" borderId="0" xfId="0" applyNumberFormat="1"/>
    <xf numFmtId="0" fontId="196" fillId="0" borderId="0" xfId="0" applyFont="1" applyAlignment="1">
      <alignment vertical="center"/>
    </xf>
    <xf numFmtId="0" fontId="31" fillId="0" borderId="178" xfId="0" applyFont="1" applyBorder="1"/>
    <xf numFmtId="167" fontId="31" fillId="42" borderId="178" xfId="815" applyFont="1" applyFill="1" applyBorder="1" applyAlignment="1">
      <alignment horizontal="left"/>
    </xf>
    <xf numFmtId="168" fontId="44" fillId="0" borderId="0" xfId="0" applyNumberFormat="1" applyFont="1"/>
    <xf numFmtId="0" fontId="31" fillId="0" borderId="0" xfId="0" applyFont="1" applyAlignment="1">
      <alignment horizontal="right"/>
    </xf>
    <xf numFmtId="168" fontId="44" fillId="41" borderId="0" xfId="863" applyFont="1" applyFill="1" applyBorder="1" applyAlignment="1"/>
    <xf numFmtId="14" fontId="31" fillId="0" borderId="106" xfId="0" applyNumberFormat="1" applyFont="1" applyBorder="1"/>
    <xf numFmtId="14" fontId="44" fillId="0" borderId="0" xfId="847" applyNumberFormat="1" applyFont="1"/>
    <xf numFmtId="14" fontId="276" fillId="111" borderId="16" xfId="0" applyNumberFormat="1" applyFont="1" applyFill="1" applyBorder="1"/>
    <xf numFmtId="14" fontId="238" fillId="0" borderId="0" xfId="863" applyNumberFormat="1" applyFont="1" applyFill="1" applyBorder="1" applyAlignment="1">
      <alignment horizontal="center" vertical="center" wrapText="1"/>
    </xf>
    <xf numFmtId="14" fontId="247" fillId="0" borderId="0" xfId="43183" applyNumberFormat="1" applyFont="1" applyFill="1" applyBorder="1"/>
    <xf numFmtId="274" fontId="206" fillId="41" borderId="0" xfId="863" applyNumberFormat="1" applyFont="1" applyFill="1" applyBorder="1" applyAlignment="1">
      <alignment horizontal="right"/>
    </xf>
    <xf numFmtId="168" fontId="217" fillId="0" borderId="0" xfId="863" applyFont="1"/>
    <xf numFmtId="168" fontId="220" fillId="0" borderId="0" xfId="863" applyFont="1"/>
    <xf numFmtId="10" fontId="209" fillId="0" borderId="0" xfId="847" applyNumberFormat="1" applyFont="1"/>
    <xf numFmtId="0" fontId="0" fillId="0" borderId="181" xfId="0" applyBorder="1"/>
    <xf numFmtId="0" fontId="0" fillId="0" borderId="182" xfId="0" applyBorder="1"/>
    <xf numFmtId="14" fontId="31" fillId="42" borderId="178" xfId="815" applyNumberFormat="1" applyFont="1" applyFill="1" applyBorder="1" applyAlignment="1">
      <alignment horizontal="left"/>
    </xf>
    <xf numFmtId="43" fontId="0" fillId="102" borderId="152" xfId="0" applyNumberFormat="1" applyFill="1" applyBorder="1"/>
    <xf numFmtId="268" fontId="44" fillId="41" borderId="0" xfId="847" applyNumberFormat="1" applyFont="1" applyFill="1" applyBorder="1"/>
    <xf numFmtId="168" fontId="211" fillId="0" borderId="0" xfId="831" applyNumberFormat="1" applyFont="1" applyAlignment="1">
      <alignment vertical="center"/>
    </xf>
    <xf numFmtId="10" fontId="44" fillId="102" borderId="0" xfId="907" applyNumberFormat="1" applyFont="1" applyFill="1"/>
    <xf numFmtId="0" fontId="273" fillId="0" borderId="144" xfId="0" applyFont="1" applyBorder="1" applyAlignment="1">
      <alignment horizontal="center" vertical="center" wrapText="1"/>
    </xf>
    <xf numFmtId="0" fontId="117" fillId="0" borderId="0" xfId="0" applyFont="1" applyAlignment="1">
      <alignment horizontal="center" vertical="distributed"/>
    </xf>
    <xf numFmtId="10" fontId="117" fillId="0" borderId="0" xfId="847" applyNumberFormat="1" applyFont="1" applyAlignment="1">
      <alignment horizontal="center"/>
    </xf>
    <xf numFmtId="0" fontId="268" fillId="102" borderId="152" xfId="0" applyFont="1" applyFill="1" applyBorder="1" applyAlignment="1">
      <alignment horizontal="center" vertical="distributed"/>
    </xf>
    <xf numFmtId="168" fontId="117" fillId="0" borderId="0" xfId="863" quotePrefix="1" applyFont="1"/>
    <xf numFmtId="2" fontId="31" fillId="0" borderId="0" xfId="0" applyNumberFormat="1" applyFont="1" applyAlignment="1">
      <alignment horizontal="center"/>
    </xf>
    <xf numFmtId="10" fontId="31" fillId="0" borderId="0" xfId="0" applyNumberFormat="1" applyFont="1" applyAlignment="1">
      <alignment horizontal="center"/>
    </xf>
    <xf numFmtId="0" fontId="31" fillId="0" borderId="152" xfId="0" applyFont="1" applyBorder="1" applyAlignment="1">
      <alignment horizontal="center" vertical="distributed"/>
    </xf>
    <xf numFmtId="0" fontId="31" fillId="0" borderId="0" xfId="0" quotePrefix="1" applyFont="1"/>
    <xf numFmtId="168" fontId="31" fillId="61" borderId="144" xfId="863" applyFont="1" applyFill="1" applyBorder="1" applyAlignment="1">
      <alignment horizontal="right"/>
    </xf>
    <xf numFmtId="168" fontId="31" fillId="61" borderId="0" xfId="863" applyFont="1" applyFill="1" applyBorder="1" applyAlignment="1">
      <alignment horizontal="right"/>
    </xf>
    <xf numFmtId="168" fontId="31" fillId="0" borderId="0" xfId="0" applyNumberFormat="1" applyFont="1"/>
    <xf numFmtId="0" fontId="37" fillId="0" borderId="178" xfId="0" applyFont="1" applyBorder="1"/>
    <xf numFmtId="0" fontId="206" fillId="0" borderId="178" xfId="0" applyFont="1" applyBorder="1"/>
    <xf numFmtId="0" fontId="294" fillId="117" borderId="156" xfId="907" applyFont="1" applyFill="1" applyBorder="1"/>
    <xf numFmtId="0" fontId="295" fillId="59" borderId="0" xfId="0" applyFont="1" applyFill="1" applyAlignment="1">
      <alignment horizontal="left"/>
    </xf>
    <xf numFmtId="43" fontId="294" fillId="115" borderId="0" xfId="43408" applyFont="1" applyFill="1"/>
    <xf numFmtId="205" fontId="0" fillId="0" borderId="0" xfId="0" applyNumberFormat="1"/>
    <xf numFmtId="168" fontId="206" fillId="42" borderId="0" xfId="863" applyFont="1" applyFill="1"/>
    <xf numFmtId="167" fontId="206" fillId="109" borderId="0" xfId="815" applyFont="1" applyFill="1"/>
    <xf numFmtId="168" fontId="209" fillId="59" borderId="0" xfId="863" applyFont="1" applyFill="1"/>
    <xf numFmtId="0" fontId="294" fillId="0" borderId="0" xfId="907" applyFont="1"/>
    <xf numFmtId="43" fontId="295" fillId="0" borderId="0" xfId="43408" applyFont="1" applyFill="1" applyBorder="1"/>
    <xf numFmtId="43" fontId="294" fillId="0" borderId="0" xfId="43408" applyFont="1" applyFill="1" applyBorder="1"/>
    <xf numFmtId="167" fontId="295" fillId="0" borderId="0" xfId="815" applyFont="1" applyFill="1" applyBorder="1"/>
    <xf numFmtId="0" fontId="295" fillId="0" borderId="0" xfId="0" applyFont="1"/>
    <xf numFmtId="0" fontId="295" fillId="0" borderId="0" xfId="0" applyFont="1" applyAlignment="1">
      <alignment horizontal="left"/>
    </xf>
    <xf numFmtId="275" fontId="295" fillId="0" borderId="0" xfId="815" applyNumberFormat="1" applyFont="1" applyFill="1" applyBorder="1"/>
    <xf numFmtId="168" fontId="206" fillId="109" borderId="0" xfId="863" applyFont="1" applyFill="1"/>
    <xf numFmtId="0" fontId="294" fillId="0" borderId="20" xfId="907" applyFont="1" applyBorder="1"/>
    <xf numFmtId="217" fontId="295" fillId="0" borderId="0" xfId="847" applyNumberFormat="1" applyFont="1" applyFill="1"/>
    <xf numFmtId="43" fontId="294" fillId="0" borderId="0" xfId="43408" applyFont="1" applyFill="1"/>
    <xf numFmtId="43" fontId="294" fillId="0" borderId="29" xfId="43408" applyFont="1" applyFill="1" applyBorder="1"/>
    <xf numFmtId="0" fontId="294" fillId="0" borderId="156" xfId="907" applyFont="1" applyBorder="1"/>
    <xf numFmtId="43" fontId="206" fillId="42" borderId="0" xfId="863" applyNumberFormat="1" applyFont="1" applyFill="1" applyAlignment="1">
      <alignment horizontal="right"/>
    </xf>
    <xf numFmtId="275" fontId="295" fillId="42" borderId="0" xfId="815" applyNumberFormat="1" applyFont="1" applyFill="1"/>
    <xf numFmtId="168" fontId="209" fillId="0" borderId="0" xfId="863" applyFont="1"/>
    <xf numFmtId="167" fontId="206" fillId="42" borderId="0" xfId="815" applyFont="1" applyFill="1" applyBorder="1"/>
    <xf numFmtId="40" fontId="121" fillId="0" borderId="152" xfId="0" applyNumberFormat="1" applyFont="1" applyBorder="1" applyAlignment="1">
      <alignment horizontal="center" vertical="center"/>
    </xf>
    <xf numFmtId="0" fontId="31" fillId="0" borderId="156" xfId="0" applyFont="1" applyBorder="1" applyAlignment="1">
      <alignment horizontal="right"/>
    </xf>
    <xf numFmtId="0" fontId="44" fillId="0" borderId="152" xfId="43433" quotePrefix="1" applyFont="1" applyBorder="1"/>
    <xf numFmtId="43" fontId="245" fillId="0" borderId="152" xfId="43431" applyFont="1" applyBorder="1"/>
    <xf numFmtId="43" fontId="245" fillId="111" borderId="152" xfId="43431" applyFont="1" applyFill="1" applyBorder="1"/>
    <xf numFmtId="4" fontId="44" fillId="42" borderId="152" xfId="815" applyNumberFormat="1" applyFont="1" applyFill="1" applyBorder="1"/>
    <xf numFmtId="167" fontId="206" fillId="109" borderId="0" xfId="815" applyFont="1" applyFill="1" applyBorder="1"/>
    <xf numFmtId="168" fontId="0" fillId="0" borderId="0" xfId="863" applyFont="1" applyFill="1"/>
    <xf numFmtId="168" fontId="0" fillId="109" borderId="0" xfId="863" applyFont="1" applyFill="1"/>
    <xf numFmtId="0" fontId="301" fillId="0" borderId="0" xfId="0" applyFont="1"/>
    <xf numFmtId="168" fontId="31" fillId="109" borderId="178" xfId="863" applyFont="1" applyFill="1" applyBorder="1"/>
    <xf numFmtId="168" fontId="31" fillId="109" borderId="166" xfId="863" applyFont="1" applyFill="1" applyBorder="1"/>
    <xf numFmtId="14" fontId="0" fillId="0" borderId="0" xfId="0" applyNumberFormat="1" applyAlignment="1">
      <alignment horizontal="center" vertical="distributed"/>
    </xf>
    <xf numFmtId="10" fontId="31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5" fillId="0" borderId="152" xfId="43431" applyFont="1" applyFill="1" applyBorder="1"/>
    <xf numFmtId="167" fontId="31" fillId="109" borderId="183" xfId="815" applyFont="1" applyFill="1" applyBorder="1" applyAlignment="1">
      <alignment horizontal="center" vertical="center"/>
    </xf>
    <xf numFmtId="197" fontId="206" fillId="61" borderId="0" xfId="0" applyNumberFormat="1" applyFont="1" applyFill="1"/>
    <xf numFmtId="171" fontId="206" fillId="61" borderId="0" xfId="0" applyNumberFormat="1" applyFont="1" applyFill="1"/>
    <xf numFmtId="167" fontId="206" fillId="61" borderId="10" xfId="815" applyFont="1" applyFill="1" applyBorder="1"/>
    <xf numFmtId="167" fontId="206" fillId="61" borderId="29" xfId="815" applyFont="1" applyFill="1" applyBorder="1"/>
    <xf numFmtId="167" fontId="206" fillId="61" borderId="20" xfId="815" applyFont="1" applyFill="1" applyBorder="1"/>
    <xf numFmtId="167" fontId="206" fillId="61" borderId="0" xfId="815" applyFont="1" applyFill="1" applyBorder="1"/>
    <xf numFmtId="0" fontId="206" fillId="61" borderId="0" xfId="0" applyFont="1" applyFill="1"/>
    <xf numFmtId="167" fontId="31" fillId="59" borderId="183" xfId="815" applyFont="1" applyFill="1" applyBorder="1" applyAlignment="1">
      <alignment horizontal="center" vertical="center"/>
    </xf>
    <xf numFmtId="0" fontId="31" fillId="0" borderId="152" xfId="0" applyFont="1" applyBorder="1"/>
    <xf numFmtId="255" fontId="44" fillId="41" borderId="0" xfId="863" applyNumberFormat="1" applyFont="1" applyFill="1" applyBorder="1"/>
    <xf numFmtId="4" fontId="206" fillId="0" borderId="0" xfId="0" applyNumberFormat="1" applyFont="1"/>
    <xf numFmtId="171" fontId="118" fillId="0" borderId="0" xfId="2697" applyNumberFormat="1" applyFont="1" applyAlignment="1">
      <alignment horizontal="center" vertical="center" wrapText="1"/>
    </xf>
    <xf numFmtId="0" fontId="303" fillId="0" borderId="0" xfId="0" applyFont="1"/>
    <xf numFmtId="270" fontId="44" fillId="115" borderId="178" xfId="2697" applyNumberFormat="1" applyFont="1" applyFill="1" applyBorder="1" applyAlignment="1">
      <alignment vertical="center"/>
    </xf>
    <xf numFmtId="0" fontId="302" fillId="0" borderId="0" xfId="2697" applyFont="1" applyAlignment="1">
      <alignment horizontal="center" vertical="center" wrapText="1"/>
    </xf>
    <xf numFmtId="168" fontId="44" fillId="0" borderId="0" xfId="863" applyFont="1" applyFill="1" applyBorder="1"/>
    <xf numFmtId="269" fontId="44" fillId="0" borderId="0" xfId="2697" applyNumberFormat="1" applyFont="1" applyAlignment="1">
      <alignment vertical="center"/>
    </xf>
    <xf numFmtId="271" fontId="44" fillId="0" borderId="0" xfId="2697" applyNumberFormat="1" applyFont="1" applyAlignment="1">
      <alignment vertical="center"/>
    </xf>
    <xf numFmtId="270" fontId="111" fillId="0" borderId="0" xfId="43183" applyNumberFormat="1" applyFont="1" applyFill="1" applyBorder="1" applyAlignment="1">
      <alignment vertical="center"/>
    </xf>
    <xf numFmtId="0" fontId="251" fillId="0" borderId="0" xfId="0" applyFont="1"/>
    <xf numFmtId="0" fontId="251" fillId="0" borderId="0" xfId="0" applyFont="1" applyAlignment="1">
      <alignment vertical="center"/>
    </xf>
    <xf numFmtId="0" fontId="251" fillId="115" borderId="0" xfId="0" applyFont="1" applyFill="1" applyAlignment="1">
      <alignment vertical="center"/>
    </xf>
    <xf numFmtId="174" fontId="251" fillId="115" borderId="0" xfId="0" applyNumberFormat="1" applyFont="1" applyFill="1" applyAlignment="1">
      <alignment vertical="center"/>
    </xf>
    <xf numFmtId="0" fontId="251" fillId="0" borderId="0" xfId="907" applyFont="1"/>
    <xf numFmtId="168" fontId="251" fillId="0" borderId="0" xfId="863" applyFont="1"/>
    <xf numFmtId="0" fontId="252" fillId="0" borderId="0" xfId="907" applyFont="1"/>
    <xf numFmtId="0" fontId="206" fillId="0" borderId="0" xfId="0" applyFont="1" applyAlignment="1">
      <alignment vertical="center"/>
    </xf>
    <xf numFmtId="14" fontId="251" fillId="115" borderId="0" xfId="0" applyNumberFormat="1" applyFont="1" applyFill="1" applyAlignment="1">
      <alignment vertical="center"/>
    </xf>
    <xf numFmtId="0" fontId="44" fillId="33" borderId="0" xfId="43437" applyFont="1" applyFill="1" applyAlignment="1">
      <alignment vertical="center"/>
    </xf>
    <xf numFmtId="0" fontId="44" fillId="33" borderId="0" xfId="43437" applyFont="1" applyFill="1" applyAlignment="1">
      <alignment vertical="center" wrapText="1"/>
    </xf>
    <xf numFmtId="0" fontId="304" fillId="33" borderId="178" xfId="43437" applyFont="1" applyFill="1" applyBorder="1" applyAlignment="1">
      <alignment horizontal="left" vertical="center"/>
    </xf>
    <xf numFmtId="0" fontId="251" fillId="33" borderId="178" xfId="43437" applyFont="1" applyFill="1" applyBorder="1" applyAlignment="1">
      <alignment vertical="center" wrapText="1"/>
    </xf>
    <xf numFmtId="0" fontId="44" fillId="33" borderId="178" xfId="43437" applyFont="1" applyFill="1" applyBorder="1" applyAlignment="1">
      <alignment vertical="center"/>
    </xf>
    <xf numFmtId="0" fontId="251" fillId="33" borderId="178" xfId="43437" applyFont="1" applyFill="1" applyBorder="1" applyAlignment="1">
      <alignment horizontal="right" vertical="center"/>
    </xf>
    <xf numFmtId="10" fontId="251" fillId="33" borderId="178" xfId="847" applyNumberFormat="1" applyFont="1" applyFill="1" applyBorder="1" applyAlignment="1">
      <alignment vertical="center"/>
    </xf>
    <xf numFmtId="0" fontId="251" fillId="33" borderId="0" xfId="43437" applyFont="1" applyFill="1" applyAlignment="1">
      <alignment vertical="center"/>
    </xf>
    <xf numFmtId="0" fontId="305" fillId="0" borderId="0" xfId="2697" applyFont="1" applyAlignment="1">
      <alignment vertical="center"/>
    </xf>
    <xf numFmtId="0" fontId="251" fillId="33" borderId="0" xfId="43437" applyFont="1" applyFill="1" applyAlignment="1">
      <alignment vertical="center" wrapText="1"/>
    </xf>
    <xf numFmtId="0" fontId="251" fillId="33" borderId="0" xfId="43437" applyFont="1" applyFill="1" applyAlignment="1">
      <alignment horizontal="right" vertical="center"/>
    </xf>
    <xf numFmtId="10" fontId="251" fillId="33" borderId="0" xfId="847" applyNumberFormat="1" applyFont="1" applyFill="1" applyAlignment="1">
      <alignment vertical="center"/>
    </xf>
    <xf numFmtId="0" fontId="306" fillId="33" borderId="0" xfId="43437" applyFont="1" applyFill="1" applyAlignment="1">
      <alignment horizontal="right" vertical="center"/>
    </xf>
    <xf numFmtId="168" fontId="251" fillId="33" borderId="0" xfId="43437" applyNumberFormat="1" applyFont="1" applyFill="1" applyAlignment="1">
      <alignment vertical="center" wrapText="1"/>
    </xf>
    <xf numFmtId="0" fontId="307" fillId="33" borderId="0" xfId="43437" applyFont="1" applyFill="1" applyAlignment="1">
      <alignment horizontal="right" vertical="center"/>
    </xf>
    <xf numFmtId="0" fontId="308" fillId="33" borderId="0" xfId="43437" applyFont="1" applyFill="1" applyAlignment="1">
      <alignment vertical="center"/>
    </xf>
    <xf numFmtId="0" fontId="308" fillId="33" borderId="0" xfId="43437" applyFont="1" applyFill="1" applyAlignment="1">
      <alignment vertical="center" wrapText="1"/>
    </xf>
    <xf numFmtId="0" fontId="309" fillId="33" borderId="0" xfId="43437" applyFont="1" applyFill="1" applyAlignment="1">
      <alignment vertical="center"/>
    </xf>
    <xf numFmtId="0" fontId="310" fillId="33" borderId="0" xfId="43437" applyFont="1" applyFill="1" applyAlignment="1">
      <alignment vertical="center"/>
    </xf>
    <xf numFmtId="0" fontId="308" fillId="33" borderId="0" xfId="43437" applyFont="1" applyFill="1" applyAlignment="1">
      <alignment horizontal="center" vertical="center" wrapText="1"/>
    </xf>
    <xf numFmtId="0" fontId="308" fillId="33" borderId="0" xfId="43437" applyFont="1" applyFill="1" applyAlignment="1">
      <alignment horizontal="right" vertical="center"/>
    </xf>
    <xf numFmtId="0" fontId="261" fillId="100" borderId="178" xfId="43438" applyFont="1" applyFill="1" applyBorder="1" applyAlignment="1">
      <alignment horizontal="center" vertical="center" wrapText="1"/>
    </xf>
    <xf numFmtId="170" fontId="251" fillId="33" borderId="0" xfId="863" applyNumberFormat="1" applyFont="1" applyFill="1" applyAlignment="1">
      <alignment vertical="center"/>
    </xf>
    <xf numFmtId="0" fontId="251" fillId="0" borderId="0" xfId="43437" quotePrefix="1" applyFont="1" applyAlignment="1">
      <alignment horizontal="left" vertical="center"/>
    </xf>
    <xf numFmtId="277" fontId="251" fillId="41" borderId="0" xfId="43439" applyNumberFormat="1" applyFont="1" applyFill="1" applyBorder="1" applyAlignment="1">
      <alignment vertical="center" wrapText="1"/>
    </xf>
    <xf numFmtId="0" fontId="251" fillId="0" borderId="10" xfId="43437" quotePrefix="1" applyFont="1" applyBorder="1" applyAlignment="1">
      <alignment horizontal="left" vertical="center"/>
    </xf>
    <xf numFmtId="170" fontId="251" fillId="41" borderId="10" xfId="863" applyNumberFormat="1" applyFont="1" applyFill="1" applyBorder="1" applyAlignment="1">
      <alignment vertical="center"/>
    </xf>
    <xf numFmtId="0" fontId="252" fillId="60" borderId="178" xfId="43437" quotePrefix="1" applyFont="1" applyFill="1" applyBorder="1" applyAlignment="1">
      <alignment horizontal="left" vertical="center"/>
    </xf>
    <xf numFmtId="277" fontId="252" fillId="60" borderId="178" xfId="43439" applyNumberFormat="1" applyFont="1" applyFill="1" applyBorder="1" applyAlignment="1">
      <alignment vertical="center" wrapText="1"/>
    </xf>
    <xf numFmtId="170" fontId="251" fillId="41" borderId="0" xfId="863" applyNumberFormat="1" applyFont="1" applyFill="1" applyBorder="1" applyAlignment="1">
      <alignment vertical="center"/>
    </xf>
    <xf numFmtId="170" fontId="251" fillId="0" borderId="0" xfId="863" applyNumberFormat="1" applyFont="1" applyFill="1" applyBorder="1" applyAlignment="1">
      <alignment vertical="center" wrapText="1"/>
    </xf>
    <xf numFmtId="170" fontId="251" fillId="0" borderId="0" xfId="863" applyNumberFormat="1" applyFont="1" applyFill="1" applyBorder="1" applyAlignment="1">
      <alignment vertical="center"/>
    </xf>
    <xf numFmtId="0" fontId="251" fillId="0" borderId="0" xfId="2697" applyFont="1" applyAlignment="1">
      <alignment vertical="center" wrapText="1"/>
    </xf>
    <xf numFmtId="0" fontId="44" fillId="0" borderId="0" xfId="2697" applyFont="1" applyAlignment="1">
      <alignment vertical="center" wrapText="1"/>
    </xf>
    <xf numFmtId="0" fontId="312" fillId="0" borderId="0" xfId="0" applyFont="1"/>
    <xf numFmtId="14" fontId="252" fillId="56" borderId="156" xfId="834" applyNumberFormat="1" applyFont="1" applyFill="1" applyBorder="1" applyAlignment="1" applyProtection="1">
      <alignment horizontal="left" vertical="center"/>
    </xf>
    <xf numFmtId="170" fontId="252" fillId="41" borderId="0" xfId="863" applyNumberFormat="1" applyFont="1" applyFill="1" applyBorder="1" applyAlignment="1">
      <alignment vertical="center"/>
    </xf>
    <xf numFmtId="170" fontId="251" fillId="33" borderId="0" xfId="863" applyNumberFormat="1" applyFont="1" applyFill="1" applyBorder="1" applyAlignment="1">
      <alignment vertical="center"/>
    </xf>
    <xf numFmtId="0" fontId="251" fillId="0" borderId="0" xfId="863" applyNumberFormat="1" applyFont="1" applyFill="1" applyBorder="1" applyAlignment="1">
      <alignment vertical="center"/>
    </xf>
    <xf numFmtId="272" fontId="251" fillId="0" borderId="0" xfId="863" applyNumberFormat="1" applyFont="1" applyBorder="1" applyAlignment="1">
      <alignment vertical="center"/>
    </xf>
    <xf numFmtId="14" fontId="312" fillId="115" borderId="0" xfId="0" applyNumberFormat="1" applyFont="1" applyFill="1" applyAlignment="1">
      <alignment vertical="center"/>
    </xf>
    <xf numFmtId="174" fontId="312" fillId="115" borderId="0" xfId="0" applyNumberFormat="1" applyFont="1" applyFill="1" applyAlignment="1">
      <alignment vertical="center"/>
    </xf>
    <xf numFmtId="0" fontId="250" fillId="0" borderId="0" xfId="0" applyFont="1"/>
    <xf numFmtId="14" fontId="250" fillId="115" borderId="0" xfId="0" applyNumberFormat="1" applyFont="1" applyFill="1" applyAlignment="1">
      <alignment vertical="center"/>
    </xf>
    <xf numFmtId="174" fontId="250" fillId="115" borderId="0" xfId="0" applyNumberFormat="1" applyFont="1" applyFill="1" applyAlignment="1">
      <alignment vertical="center"/>
    </xf>
    <xf numFmtId="43" fontId="295" fillId="59" borderId="0" xfId="0" applyNumberFormat="1" applyFont="1" applyFill="1"/>
    <xf numFmtId="0" fontId="213" fillId="118" borderId="0" xfId="0" applyFont="1" applyFill="1"/>
    <xf numFmtId="0" fontId="31" fillId="0" borderId="152" xfId="0" applyFont="1" applyBorder="1" applyAlignment="1">
      <alignment horizontal="center" vertical="center"/>
    </xf>
    <xf numFmtId="0" fontId="284" fillId="33" borderId="0" xfId="829" applyFont="1" applyFill="1" applyAlignment="1">
      <alignment horizontal="center"/>
    </xf>
    <xf numFmtId="168" fontId="284" fillId="0" borderId="0" xfId="863" applyFont="1" applyAlignment="1">
      <alignment horizontal="center"/>
    </xf>
    <xf numFmtId="10" fontId="284" fillId="0" borderId="0" xfId="847" applyNumberFormat="1" applyFont="1" applyAlignment="1">
      <alignment horizontal="center"/>
    </xf>
    <xf numFmtId="0" fontId="284" fillId="0" borderId="0" xfId="0" applyFont="1" applyAlignment="1">
      <alignment horizontal="center"/>
    </xf>
    <xf numFmtId="10" fontId="206" fillId="0" borderId="0" xfId="847" applyNumberFormat="1" applyFont="1" applyAlignment="1">
      <alignment horizontal="center"/>
    </xf>
    <xf numFmtId="3" fontId="251" fillId="0" borderId="0" xfId="43169" applyFont="1"/>
    <xf numFmtId="174" fontId="251" fillId="0" borderId="0" xfId="0" applyNumberFormat="1" applyFont="1" applyAlignment="1">
      <alignment vertical="center"/>
    </xf>
    <xf numFmtId="279" fontId="0" fillId="0" borderId="0" xfId="0" applyNumberFormat="1"/>
    <xf numFmtId="43" fontId="0" fillId="0" borderId="0" xfId="0" applyNumberFormat="1"/>
    <xf numFmtId="43" fontId="0" fillId="120" borderId="0" xfId="0" applyNumberFormat="1" applyFill="1"/>
    <xf numFmtId="0" fontId="44" fillId="41" borderId="0" xfId="36379" applyFont="1" applyFill="1" applyAlignment="1">
      <alignment horizontal="center"/>
    </xf>
    <xf numFmtId="0" fontId="315" fillId="41" borderId="0" xfId="36379" applyFont="1" applyFill="1"/>
    <xf numFmtId="0" fontId="315" fillId="41" borderId="0" xfId="36379" applyFont="1" applyFill="1" applyAlignment="1">
      <alignment horizontal="center"/>
    </xf>
    <xf numFmtId="9" fontId="261" fillId="38" borderId="0" xfId="1823" applyFont="1" applyFill="1" applyBorder="1" applyAlignment="1">
      <alignment horizontal="center" vertical="center" wrapText="1"/>
    </xf>
    <xf numFmtId="9" fontId="251" fillId="41" borderId="0" xfId="1823" applyFont="1" applyFill="1" applyBorder="1" applyAlignment="1">
      <alignment horizontal="left" vertical="center" wrapText="1"/>
    </xf>
    <xf numFmtId="43" fontId="251" fillId="41" borderId="0" xfId="43199" applyFont="1" applyFill="1" applyBorder="1" applyAlignment="1">
      <alignment horizontal="center" vertical="center" wrapText="1"/>
    </xf>
    <xf numFmtId="262" fontId="251" fillId="41" borderId="0" xfId="1823" applyNumberFormat="1" applyFont="1" applyFill="1" applyBorder="1" applyAlignment="1">
      <alignment horizontal="center" vertical="center" wrapText="1"/>
    </xf>
    <xf numFmtId="0" fontId="251" fillId="33" borderId="0" xfId="905" applyFont="1" applyFill="1"/>
    <xf numFmtId="262" fontId="251" fillId="41" borderId="0" xfId="907" applyNumberFormat="1" applyFont="1" applyFill="1"/>
    <xf numFmtId="262" fontId="251" fillId="33" borderId="0" xfId="905" applyNumberFormat="1" applyFont="1" applyFill="1"/>
    <xf numFmtId="37" fontId="251" fillId="41" borderId="0" xfId="905" applyNumberFormat="1" applyFont="1" applyFill="1" applyAlignment="1">
      <alignment horizontal="left"/>
    </xf>
    <xf numFmtId="168" fontId="251" fillId="41" borderId="0" xfId="863" applyFont="1" applyFill="1" applyBorder="1" applyAlignment="1">
      <alignment horizontal="center" vertical="center" wrapText="1"/>
    </xf>
    <xf numFmtId="262" fontId="251" fillId="41" borderId="0" xfId="847" applyNumberFormat="1" applyFont="1" applyFill="1" applyBorder="1" applyAlignment="1">
      <alignment horizontal="center" vertical="center" wrapText="1"/>
    </xf>
    <xf numFmtId="0" fontId="251" fillId="41" borderId="0" xfId="907" applyFont="1" applyFill="1"/>
    <xf numFmtId="168" fontId="251" fillId="41" borderId="0" xfId="863" applyFont="1" applyFill="1" applyBorder="1"/>
    <xf numFmtId="9" fontId="261" fillId="38" borderId="0" xfId="1095" applyFont="1" applyFill="1" applyBorder="1" applyAlignment="1">
      <alignment horizontal="center" vertical="center" wrapText="1"/>
    </xf>
    <xf numFmtId="43" fontId="251" fillId="0" borderId="0" xfId="43199" applyFont="1" applyAlignment="1">
      <alignment vertical="center"/>
    </xf>
    <xf numFmtId="168" fontId="251" fillId="0" borderId="0" xfId="863" applyFont="1" applyAlignment="1">
      <alignment vertical="center"/>
    </xf>
    <xf numFmtId="0" fontId="223" fillId="0" borderId="178" xfId="907" applyFont="1" applyBorder="1" applyAlignment="1">
      <alignment horizontal="left"/>
    </xf>
    <xf numFmtId="0" fontId="206" fillId="33" borderId="178" xfId="829" applyFont="1" applyFill="1" applyBorder="1"/>
    <xf numFmtId="174" fontId="212" fillId="0" borderId="178" xfId="0" applyNumberFormat="1" applyFont="1" applyBorder="1" applyAlignment="1">
      <alignment horizontal="left"/>
    </xf>
    <xf numFmtId="10" fontId="212" fillId="0" borderId="178" xfId="0" applyNumberFormat="1" applyFont="1" applyBorder="1" applyAlignment="1">
      <alignment horizontal="right"/>
    </xf>
    <xf numFmtId="0" fontId="209" fillId="0" borderId="178" xfId="0" applyFont="1" applyBorder="1"/>
    <xf numFmtId="0" fontId="213" fillId="43" borderId="144" xfId="0" applyFont="1" applyFill="1" applyBorder="1" applyAlignment="1">
      <alignment horizontal="left"/>
    </xf>
    <xf numFmtId="168" fontId="209" fillId="45" borderId="144" xfId="863" applyFont="1" applyFill="1" applyBorder="1"/>
    <xf numFmtId="0" fontId="31" fillId="109" borderId="166" xfId="0" applyFont="1" applyFill="1" applyBorder="1" applyAlignment="1">
      <alignment horizontal="center"/>
    </xf>
    <xf numFmtId="0" fontId="31" fillId="109" borderId="166" xfId="0" applyFont="1" applyFill="1" applyBorder="1"/>
    <xf numFmtId="14" fontId="31" fillId="109" borderId="166" xfId="0" applyNumberFormat="1" applyFont="1" applyFill="1" applyBorder="1"/>
    <xf numFmtId="0" fontId="206" fillId="41" borderId="166" xfId="0" applyFont="1" applyFill="1" applyBorder="1" applyAlignment="1" applyProtection="1">
      <alignment horizontal="left"/>
      <protection hidden="1"/>
    </xf>
    <xf numFmtId="165" fontId="206" fillId="45" borderId="166" xfId="863" applyNumberFormat="1" applyFont="1" applyFill="1" applyBorder="1"/>
    <xf numFmtId="0" fontId="206" fillId="41" borderId="178" xfId="0" applyFont="1" applyFill="1" applyBorder="1" applyAlignment="1" applyProtection="1">
      <alignment horizontal="left"/>
      <protection hidden="1"/>
    </xf>
    <xf numFmtId="165" fontId="206" fillId="45" borderId="178" xfId="863" applyNumberFormat="1" applyFont="1" applyFill="1" applyBorder="1"/>
    <xf numFmtId="165" fontId="213" fillId="43" borderId="144" xfId="863" applyNumberFormat="1" applyFont="1" applyFill="1" applyBorder="1"/>
    <xf numFmtId="165" fontId="209" fillId="45" borderId="144" xfId="863" applyNumberFormat="1" applyFont="1" applyFill="1" applyBorder="1"/>
    <xf numFmtId="168" fontId="209" fillId="0" borderId="178" xfId="863" applyFont="1" applyBorder="1"/>
    <xf numFmtId="0" fontId="213" fillId="43" borderId="166" xfId="0" applyFont="1" applyFill="1" applyBorder="1" applyAlignment="1">
      <alignment horizontal="left"/>
    </xf>
    <xf numFmtId="10" fontId="206" fillId="45" borderId="166" xfId="847" applyNumberFormat="1" applyFont="1" applyFill="1" applyBorder="1"/>
    <xf numFmtId="0" fontId="213" fillId="43" borderId="178" xfId="0" applyFont="1" applyFill="1" applyBorder="1" applyAlignment="1">
      <alignment horizontal="left"/>
    </xf>
    <xf numFmtId="10" fontId="206" fillId="61" borderId="178" xfId="847" applyNumberFormat="1" applyFont="1" applyFill="1" applyBorder="1"/>
    <xf numFmtId="168" fontId="206" fillId="45" borderId="166" xfId="863" applyFont="1" applyFill="1" applyBorder="1"/>
    <xf numFmtId="168" fontId="206" fillId="45" borderId="178" xfId="863" applyFont="1" applyFill="1" applyBorder="1"/>
    <xf numFmtId="14" fontId="31" fillId="0" borderId="166" xfId="0" applyNumberFormat="1" applyFont="1" applyBorder="1"/>
    <xf numFmtId="14" fontId="31" fillId="109" borderId="178" xfId="0" applyNumberFormat="1" applyFont="1" applyFill="1" applyBorder="1"/>
    <xf numFmtId="0" fontId="31" fillId="109" borderId="178" xfId="0" applyFont="1" applyFill="1" applyBorder="1" applyAlignment="1">
      <alignment horizontal="center"/>
    </xf>
    <xf numFmtId="0" fontId="31" fillId="109" borderId="178" xfId="0" applyFont="1" applyFill="1" applyBorder="1"/>
    <xf numFmtId="14" fontId="31" fillId="109" borderId="166" xfId="0" applyNumberFormat="1" applyFont="1" applyFill="1" applyBorder="1" applyAlignment="1">
      <alignment horizontal="right"/>
    </xf>
    <xf numFmtId="14" fontId="31" fillId="109" borderId="178" xfId="0" applyNumberFormat="1" applyFont="1" applyFill="1" applyBorder="1" applyAlignment="1">
      <alignment horizontal="right"/>
    </xf>
    <xf numFmtId="0" fontId="274" fillId="0" borderId="178" xfId="907" applyFont="1" applyBorder="1" applyAlignment="1">
      <alignment horizontal="left"/>
    </xf>
    <xf numFmtId="0" fontId="44" fillId="33" borderId="178" xfId="829" applyFont="1" applyFill="1" applyBorder="1"/>
    <xf numFmtId="0" fontId="37" fillId="33" borderId="152" xfId="834" applyFont="1" applyFill="1" applyBorder="1" applyAlignment="1" applyProtection="1">
      <alignment horizontal="center" vertical="center" wrapText="1"/>
    </xf>
    <xf numFmtId="171" fontId="31" fillId="0" borderId="152" xfId="863" applyNumberFormat="1" applyFont="1" applyFill="1" applyBorder="1" applyAlignment="1">
      <alignment horizontal="center"/>
    </xf>
    <xf numFmtId="171" fontId="31" fillId="0" borderId="152" xfId="863" applyNumberFormat="1" applyFont="1" applyBorder="1" applyAlignment="1">
      <alignment horizontal="center"/>
    </xf>
    <xf numFmtId="171" fontId="31" fillId="102" borderId="152" xfId="863" applyNumberFormat="1" applyFont="1" applyFill="1" applyBorder="1" applyAlignment="1">
      <alignment horizontal="center"/>
    </xf>
    <xf numFmtId="0" fontId="37" fillId="61" borderId="152" xfId="907" applyFont="1" applyFill="1" applyBorder="1" applyAlignment="1">
      <alignment horizontal="center" vertical="center"/>
    </xf>
    <xf numFmtId="0" fontId="37" fillId="61" borderId="152" xfId="907" applyFont="1" applyFill="1" applyBorder="1" applyAlignment="1">
      <alignment horizontal="center" vertical="center" wrapText="1"/>
    </xf>
    <xf numFmtId="0" fontId="31" fillId="60" borderId="166" xfId="0" applyFont="1" applyFill="1" applyBorder="1" applyAlignment="1">
      <alignment horizontal="right"/>
    </xf>
    <xf numFmtId="0" fontId="280" fillId="96" borderId="155" xfId="0" applyFont="1" applyFill="1" applyBorder="1" applyAlignment="1">
      <alignment vertical="center"/>
    </xf>
    <xf numFmtId="14" fontId="31" fillId="0" borderId="178" xfId="0" applyNumberFormat="1" applyFont="1" applyBorder="1" applyAlignment="1">
      <alignment horizontal="right"/>
    </xf>
    <xf numFmtId="0" fontId="31" fillId="0" borderId="146" xfId="0" applyFont="1" applyBorder="1" applyAlignment="1">
      <alignment horizontal="center"/>
    </xf>
    <xf numFmtId="1" fontId="31" fillId="0" borderId="166" xfId="815" applyNumberFormat="1" applyFont="1" applyFill="1" applyBorder="1" applyAlignment="1"/>
    <xf numFmtId="170" fontId="31" fillId="0" borderId="166" xfId="863" applyNumberFormat="1" applyFont="1" applyFill="1" applyBorder="1" applyAlignment="1">
      <alignment horizontal="left"/>
    </xf>
    <xf numFmtId="0" fontId="31" fillId="0" borderId="154" xfId="0" applyFont="1" applyBorder="1"/>
    <xf numFmtId="10" fontId="31" fillId="0" borderId="178" xfId="847" applyNumberFormat="1" applyFont="1" applyFill="1" applyBorder="1" applyAlignment="1"/>
    <xf numFmtId="0" fontId="277" fillId="0" borderId="178" xfId="0" applyFont="1" applyBorder="1"/>
    <xf numFmtId="0" fontId="44" fillId="0" borderId="178" xfId="0" applyFont="1" applyBorder="1"/>
    <xf numFmtId="43" fontId="44" fillId="0" borderId="178" xfId="0" applyNumberFormat="1" applyFont="1" applyBorder="1"/>
    <xf numFmtId="43" fontId="278" fillId="0" borderId="178" xfId="0" applyNumberFormat="1" applyFont="1" applyBorder="1"/>
    <xf numFmtId="2" fontId="277" fillId="0" borderId="178" xfId="0" applyNumberFormat="1" applyFont="1" applyBorder="1"/>
    <xf numFmtId="14" fontId="277" fillId="0" borderId="178" xfId="0" applyNumberFormat="1" applyFont="1" applyBorder="1"/>
    <xf numFmtId="10" fontId="31" fillId="61" borderId="166" xfId="847" applyNumberFormat="1" applyFont="1" applyFill="1" applyBorder="1" applyAlignment="1">
      <alignment horizontal="right"/>
    </xf>
    <xf numFmtId="10" fontId="31" fillId="44" borderId="178" xfId="847" applyNumberFormat="1" applyFont="1" applyFill="1" applyBorder="1" applyAlignment="1">
      <alignment horizontal="right"/>
    </xf>
    <xf numFmtId="0" fontId="31" fillId="42" borderId="166" xfId="907" applyFill="1" applyBorder="1"/>
    <xf numFmtId="10" fontId="31" fillId="42" borderId="166" xfId="847" applyNumberFormat="1" applyFont="1" applyFill="1" applyBorder="1" applyAlignment="1">
      <alignment horizontal="right"/>
    </xf>
    <xf numFmtId="0" fontId="31" fillId="0" borderId="166" xfId="0" applyFont="1" applyBorder="1" applyAlignment="1">
      <alignment horizontal="left"/>
    </xf>
    <xf numFmtId="0" fontId="37" fillId="42" borderId="178" xfId="0" applyFont="1" applyFill="1" applyBorder="1"/>
    <xf numFmtId="0" fontId="31" fillId="42" borderId="178" xfId="0" applyFont="1" applyFill="1" applyBorder="1"/>
    <xf numFmtId="0" fontId="31" fillId="0" borderId="178" xfId="0" applyFont="1" applyBorder="1" applyAlignment="1">
      <alignment horizontal="left"/>
    </xf>
    <xf numFmtId="168" fontId="31" fillId="0" borderId="178" xfId="863" applyFont="1" applyFill="1" applyBorder="1" applyAlignment="1"/>
    <xf numFmtId="168" fontId="31" fillId="44" borderId="178" xfId="863" applyFont="1" applyFill="1" applyBorder="1" applyAlignment="1">
      <alignment horizontal="right"/>
    </xf>
    <xf numFmtId="170" fontId="31" fillId="0" borderId="166" xfId="0" applyNumberFormat="1" applyFont="1" applyBorder="1"/>
    <xf numFmtId="168" fontId="31" fillId="0" borderId="166" xfId="863" applyFont="1" applyFill="1" applyBorder="1" applyAlignment="1"/>
    <xf numFmtId="168" fontId="31" fillId="0" borderId="144" xfId="863" applyFont="1" applyFill="1" applyBorder="1" applyAlignment="1">
      <alignment horizontal="left"/>
    </xf>
    <xf numFmtId="10" fontId="31" fillId="0" borderId="166" xfId="847" applyNumberFormat="1" applyFont="1" applyFill="1" applyBorder="1" applyAlignment="1"/>
    <xf numFmtId="167" fontId="31" fillId="0" borderId="166" xfId="815" applyFont="1" applyFill="1" applyBorder="1" applyAlignment="1">
      <alignment horizontal="left"/>
    </xf>
    <xf numFmtId="167" fontId="31" fillId="0" borderId="178" xfId="815" applyFont="1" applyFill="1" applyBorder="1" applyAlignment="1">
      <alignment horizontal="left"/>
    </xf>
    <xf numFmtId="165" fontId="31" fillId="0" borderId="144" xfId="863" applyNumberFormat="1" applyFont="1" applyFill="1" applyBorder="1"/>
    <xf numFmtId="0" fontId="273" fillId="43" borderId="152" xfId="0" applyFont="1" applyFill="1" applyBorder="1" applyAlignment="1">
      <alignment horizontal="center" vertical="center" wrapText="1"/>
    </xf>
    <xf numFmtId="0" fontId="37" fillId="59" borderId="144" xfId="907" applyFont="1" applyFill="1" applyBorder="1"/>
    <xf numFmtId="0" fontId="31" fillId="59" borderId="144" xfId="907" applyFill="1" applyBorder="1" applyAlignment="1">
      <alignment horizontal="center"/>
    </xf>
    <xf numFmtId="171" fontId="31" fillId="109" borderId="144" xfId="907" applyNumberFormat="1" applyFill="1" applyBorder="1" applyAlignment="1">
      <alignment horizontal="left"/>
    </xf>
    <xf numFmtId="168" fontId="37" fillId="59" borderId="149" xfId="863" applyFont="1" applyFill="1" applyBorder="1"/>
    <xf numFmtId="14" fontId="31" fillId="59" borderId="152" xfId="863" applyNumberFormat="1" applyFont="1" applyFill="1" applyBorder="1"/>
    <xf numFmtId="14" fontId="31" fillId="59" borderId="152" xfId="847" applyNumberFormat="1" applyFont="1" applyFill="1" applyBorder="1" applyAlignment="1">
      <alignment horizontal="center"/>
    </xf>
    <xf numFmtId="168" fontId="31" fillId="109" borderId="144" xfId="863" applyFont="1" applyFill="1" applyBorder="1" applyAlignment="1">
      <alignment horizontal="left"/>
    </xf>
    <xf numFmtId="230" fontId="31" fillId="109" borderId="144" xfId="863" applyNumberFormat="1" applyFont="1" applyFill="1" applyBorder="1" applyAlignment="1">
      <alignment horizontal="left"/>
    </xf>
    <xf numFmtId="3" fontId="31" fillId="109" borderId="166" xfId="863" applyNumberFormat="1" applyFont="1" applyFill="1" applyBorder="1" applyAlignment="1">
      <alignment horizontal="left"/>
    </xf>
    <xf numFmtId="230" fontId="31" fillId="109" borderId="166" xfId="0" applyNumberFormat="1" applyFont="1" applyFill="1" applyBorder="1"/>
    <xf numFmtId="10" fontId="31" fillId="42" borderId="166" xfId="847" applyNumberFormat="1" applyFont="1" applyFill="1" applyBorder="1" applyAlignment="1">
      <alignment horizontal="left"/>
    </xf>
    <xf numFmtId="230" fontId="31" fillId="42" borderId="166" xfId="863" applyNumberFormat="1" applyFont="1" applyFill="1" applyBorder="1" applyAlignment="1">
      <alignment horizontal="left"/>
    </xf>
    <xf numFmtId="10" fontId="31" fillId="42" borderId="178" xfId="847" applyNumberFormat="1" applyFont="1" applyFill="1" applyBorder="1" applyAlignment="1">
      <alignment horizontal="left"/>
    </xf>
    <xf numFmtId="230" fontId="31" fillId="42" borderId="178" xfId="863" applyNumberFormat="1" applyFont="1" applyFill="1" applyBorder="1" applyAlignment="1">
      <alignment horizontal="left"/>
    </xf>
    <xf numFmtId="0" fontId="31" fillId="109" borderId="178" xfId="0" applyFont="1" applyFill="1" applyBorder="1" applyAlignment="1">
      <alignment horizontal="left"/>
    </xf>
    <xf numFmtId="230" fontId="31" fillId="109" borderId="178" xfId="0" applyNumberFormat="1" applyFont="1" applyFill="1" applyBorder="1"/>
    <xf numFmtId="0" fontId="111" fillId="58" borderId="149" xfId="834" applyFont="1" applyFill="1" applyBorder="1" applyAlignment="1" applyProtection="1">
      <alignment horizontal="left" vertical="center"/>
    </xf>
    <xf numFmtId="0" fontId="111" fillId="56" borderId="149" xfId="834" applyFont="1" applyFill="1" applyBorder="1" applyAlignment="1" applyProtection="1">
      <alignment horizontal="left" vertical="center"/>
    </xf>
    <xf numFmtId="14" fontId="111" fillId="56" borderId="148" xfId="834" applyNumberFormat="1" applyFont="1" applyFill="1" applyBorder="1" applyAlignment="1" applyProtection="1">
      <alignment horizontal="left" vertical="center"/>
    </xf>
    <xf numFmtId="0" fontId="282" fillId="0" borderId="178" xfId="907" applyFont="1" applyBorder="1" applyAlignment="1">
      <alignment horizontal="left"/>
    </xf>
    <xf numFmtId="0" fontId="230" fillId="33" borderId="178" xfId="829" applyFont="1" applyFill="1" applyBorder="1"/>
    <xf numFmtId="0" fontId="206" fillId="60" borderId="166" xfId="0" applyFont="1" applyFill="1" applyBorder="1" applyAlignment="1" applyProtection="1">
      <alignment horizontal="left" wrapText="1"/>
      <protection hidden="1"/>
    </xf>
    <xf numFmtId="167" fontId="206" fillId="0" borderId="166" xfId="815" applyFont="1" applyBorder="1"/>
    <xf numFmtId="0" fontId="209" fillId="112" borderId="178" xfId="0" applyFont="1" applyFill="1" applyBorder="1" applyAlignment="1" applyProtection="1">
      <alignment horizontal="left" wrapText="1"/>
      <protection hidden="1"/>
    </xf>
    <xf numFmtId="262" fontId="209" fillId="0" borderId="178" xfId="847" applyNumberFormat="1" applyFont="1" applyBorder="1"/>
    <xf numFmtId="0" fontId="209" fillId="112" borderId="144" xfId="0" applyFont="1" applyFill="1" applyBorder="1" applyAlignment="1" applyProtection="1">
      <alignment horizontal="left" wrapText="1"/>
      <protection hidden="1"/>
    </xf>
    <xf numFmtId="262" fontId="209" fillId="0" borderId="144" xfId="847" applyNumberFormat="1" applyFont="1" applyBorder="1"/>
    <xf numFmtId="0" fontId="212" fillId="0" borderId="178" xfId="0" applyFont="1" applyBorder="1" applyAlignment="1">
      <alignment horizontal="right" vertical="center"/>
    </xf>
    <xf numFmtId="0" fontId="212" fillId="0" borderId="166" xfId="0" applyFont="1" applyBorder="1" applyAlignment="1">
      <alignment horizontal="right" vertical="center"/>
    </xf>
    <xf numFmtId="0" fontId="213" fillId="43" borderId="166" xfId="0" applyFont="1" applyFill="1" applyBorder="1" applyAlignment="1">
      <alignment horizontal="center"/>
    </xf>
    <xf numFmtId="0" fontId="213" fillId="43" borderId="145" xfId="0" applyFont="1" applyFill="1" applyBorder="1" applyAlignment="1">
      <alignment horizontal="center"/>
    </xf>
    <xf numFmtId="0" fontId="213" fillId="43" borderId="147" xfId="0" applyFont="1" applyFill="1" applyBorder="1" applyAlignment="1">
      <alignment horizontal="center"/>
    </xf>
    <xf numFmtId="0" fontId="214" fillId="59" borderId="144" xfId="907" applyFont="1" applyFill="1" applyBorder="1"/>
    <xf numFmtId="167" fontId="209" fillId="59" borderId="149" xfId="0" applyNumberFormat="1" applyFont="1" applyFill="1" applyBorder="1" applyProtection="1">
      <protection hidden="1"/>
    </xf>
    <xf numFmtId="167" fontId="209" fillId="59" borderId="148" xfId="0" applyNumberFormat="1" applyFont="1" applyFill="1" applyBorder="1" applyProtection="1">
      <protection hidden="1"/>
    </xf>
    <xf numFmtId="10" fontId="209" fillId="59" borderId="149" xfId="847" applyNumberFormat="1" applyFont="1" applyFill="1" applyBorder="1" applyAlignment="1" applyProtection="1">
      <alignment horizontal="right"/>
      <protection hidden="1"/>
    </xf>
    <xf numFmtId="262" fontId="209" fillId="59" borderId="144" xfId="847" applyNumberFormat="1" applyFont="1" applyFill="1" applyBorder="1" applyAlignment="1" applyProtection="1">
      <alignment horizontal="right"/>
      <protection hidden="1"/>
    </xf>
    <xf numFmtId="0" fontId="209" fillId="59" borderId="144" xfId="0" applyFont="1" applyFill="1" applyBorder="1" applyAlignment="1" applyProtection="1">
      <alignment horizontal="left"/>
      <protection hidden="1"/>
    </xf>
    <xf numFmtId="0" fontId="209" fillId="59" borderId="178" xfId="0" applyFont="1" applyFill="1" applyBorder="1" applyAlignment="1">
      <alignment horizontal="left"/>
    </xf>
    <xf numFmtId="167" fontId="209" fillId="59" borderId="156" xfId="0" applyNumberFormat="1" applyFont="1" applyFill="1" applyBorder="1" applyProtection="1">
      <protection hidden="1"/>
    </xf>
    <xf numFmtId="167" fontId="209" fillId="59" borderId="155" xfId="0" applyNumberFormat="1" applyFont="1" applyFill="1" applyBorder="1" applyProtection="1">
      <protection hidden="1"/>
    </xf>
    <xf numFmtId="10" fontId="209" fillId="59" borderId="156" xfId="847" applyNumberFormat="1" applyFont="1" applyFill="1" applyBorder="1" applyAlignment="1" applyProtection="1">
      <alignment horizontal="right"/>
      <protection hidden="1"/>
    </xf>
    <xf numFmtId="262" fontId="209" fillId="59" borderId="178" xfId="847" applyNumberFormat="1" applyFont="1" applyFill="1" applyBorder="1" applyAlignment="1" applyProtection="1">
      <alignment horizontal="right"/>
      <protection hidden="1"/>
    </xf>
    <xf numFmtId="0" fontId="213" fillId="43" borderId="149" xfId="0" applyFont="1" applyFill="1" applyBorder="1" applyAlignment="1">
      <alignment horizontal="center"/>
    </xf>
    <xf numFmtId="0" fontId="209" fillId="59" borderId="178" xfId="0" applyFont="1" applyFill="1" applyBorder="1" applyAlignment="1" applyProtection="1">
      <alignment horizontal="left"/>
      <protection hidden="1"/>
    </xf>
    <xf numFmtId="167" fontId="209" fillId="59" borderId="178" xfId="0" applyNumberFormat="1" applyFont="1" applyFill="1" applyBorder="1" applyProtection="1">
      <protection hidden="1"/>
    </xf>
    <xf numFmtId="167" fontId="209" fillId="112" borderId="178" xfId="0" applyNumberFormat="1" applyFont="1" applyFill="1" applyBorder="1" applyProtection="1">
      <protection hidden="1"/>
    </xf>
    <xf numFmtId="262" fontId="209" fillId="59" borderId="156" xfId="847" applyNumberFormat="1" applyFont="1" applyFill="1" applyBorder="1" applyAlignment="1" applyProtection="1">
      <alignment horizontal="center"/>
      <protection hidden="1"/>
    </xf>
    <xf numFmtId="262" fontId="209" fillId="59" borderId="178" xfId="847" applyNumberFormat="1" applyFont="1" applyFill="1" applyBorder="1" applyAlignment="1" applyProtection="1">
      <alignment horizontal="center"/>
      <protection hidden="1"/>
    </xf>
    <xf numFmtId="0" fontId="209" fillId="59" borderId="166" xfId="0" applyFont="1" applyFill="1" applyBorder="1" applyProtection="1">
      <protection hidden="1"/>
    </xf>
    <xf numFmtId="167" fontId="209" fillId="59" borderId="166" xfId="815" applyFont="1" applyFill="1" applyBorder="1" applyAlignment="1" applyProtection="1">
      <protection hidden="1"/>
    </xf>
    <xf numFmtId="9" fontId="39" fillId="38" borderId="149" xfId="1823" applyFont="1" applyFill="1" applyBorder="1" applyAlignment="1">
      <alignment horizontal="center" vertical="center" wrapText="1"/>
    </xf>
    <xf numFmtId="9" fontId="111" fillId="94" borderId="144" xfId="1823" applyFont="1" applyFill="1" applyBorder="1" applyAlignment="1">
      <alignment horizontal="center" vertical="center" wrapText="1"/>
    </xf>
    <xf numFmtId="10" fontId="111" fillId="94" borderId="144" xfId="1823" applyNumberFormat="1" applyFont="1" applyFill="1" applyBorder="1" applyAlignment="1">
      <alignment horizontal="center" vertical="center" wrapText="1"/>
    </xf>
    <xf numFmtId="0" fontId="44" fillId="33" borderId="178" xfId="776" applyFont="1" applyFill="1" applyBorder="1" applyAlignment="1">
      <alignment wrapText="1"/>
    </xf>
    <xf numFmtId="217" fontId="44" fillId="33" borderId="178" xfId="2697" applyNumberFormat="1" applyFont="1" applyFill="1" applyBorder="1" applyAlignment="1">
      <alignment horizontal="center"/>
    </xf>
    <xf numFmtId="167" fontId="44" fillId="33" borderId="178" xfId="815" applyFont="1" applyFill="1" applyBorder="1"/>
    <xf numFmtId="217" fontId="111" fillId="94" borderId="144" xfId="1823" applyNumberFormat="1" applyFont="1" applyFill="1" applyBorder="1" applyAlignment="1">
      <alignment horizontal="center" vertical="center" wrapText="1"/>
    </xf>
    <xf numFmtId="167" fontId="111" fillId="94" borderId="144" xfId="815" applyFont="1" applyFill="1" applyBorder="1" applyAlignment="1">
      <alignment horizontal="center" vertical="center" wrapText="1"/>
    </xf>
    <xf numFmtId="0" fontId="44" fillId="94" borderId="144" xfId="776" applyFont="1" applyFill="1" applyBorder="1" applyAlignment="1">
      <alignment wrapText="1"/>
    </xf>
    <xf numFmtId="217" fontId="44" fillId="94" borderId="144" xfId="2697" applyNumberFormat="1" applyFont="1" applyFill="1" applyBorder="1" applyAlignment="1">
      <alignment horizontal="center"/>
    </xf>
    <xf numFmtId="171" fontId="31" fillId="0" borderId="152" xfId="907" applyNumberFormat="1" applyBorder="1" applyAlignment="1">
      <alignment horizontal="center"/>
    </xf>
    <xf numFmtId="14" fontId="31" fillId="41" borderId="152" xfId="907" applyNumberFormat="1" applyFill="1" applyBorder="1"/>
    <xf numFmtId="9" fontId="39" fillId="38" borderId="144" xfId="1823" applyFont="1" applyFill="1" applyBorder="1" applyAlignment="1">
      <alignment horizontal="center" vertical="center" wrapText="1"/>
    </xf>
    <xf numFmtId="171" fontId="39" fillId="38" borderId="144" xfId="847" applyNumberFormat="1" applyFont="1" applyFill="1" applyBorder="1" applyAlignment="1">
      <alignment horizontal="center" vertical="center" wrapText="1"/>
    </xf>
    <xf numFmtId="0" fontId="44" fillId="0" borderId="178" xfId="2697" applyFont="1" applyBorder="1" applyAlignment="1">
      <alignment vertical="center"/>
    </xf>
    <xf numFmtId="43" fontId="44" fillId="41" borderId="178" xfId="43199" applyFont="1" applyFill="1" applyBorder="1" applyAlignment="1">
      <alignment vertical="center"/>
    </xf>
    <xf numFmtId="43" fontId="44" fillId="41" borderId="178" xfId="43199" applyFont="1" applyFill="1" applyBorder="1" applyAlignment="1">
      <alignment horizontal="center" vertical="center"/>
    </xf>
    <xf numFmtId="0" fontId="111" fillId="59" borderId="144" xfId="2697" applyFont="1" applyFill="1" applyBorder="1" applyAlignment="1">
      <alignment vertical="center"/>
    </xf>
    <xf numFmtId="10" fontId="111" fillId="59" borderId="144" xfId="847" applyNumberFormat="1" applyFont="1" applyFill="1" applyBorder="1" applyAlignment="1">
      <alignment vertical="center"/>
    </xf>
    <xf numFmtId="43" fontId="111" fillId="59" borderId="144" xfId="43199" applyFont="1" applyFill="1" applyBorder="1" applyAlignment="1">
      <alignment vertical="center"/>
    </xf>
    <xf numFmtId="0" fontId="111" fillId="42" borderId="144" xfId="2697" applyFont="1" applyFill="1" applyBorder="1" applyAlignment="1">
      <alignment vertical="center"/>
    </xf>
    <xf numFmtId="43" fontId="111" fillId="42" borderId="144" xfId="43199" applyFont="1" applyFill="1" applyBorder="1" applyAlignment="1">
      <alignment vertical="center"/>
    </xf>
    <xf numFmtId="10" fontId="111" fillId="42" borderId="144" xfId="847" applyNumberFormat="1" applyFont="1" applyFill="1" applyBorder="1" applyAlignment="1">
      <alignment horizontal="center" vertical="center"/>
    </xf>
    <xf numFmtId="10" fontId="111" fillId="59" borderId="144" xfId="847" applyNumberFormat="1" applyFont="1" applyFill="1" applyBorder="1" applyAlignment="1">
      <alignment horizontal="center" vertical="center"/>
    </xf>
    <xf numFmtId="10" fontId="44" fillId="41" borderId="178" xfId="847" applyNumberFormat="1" applyFont="1" applyFill="1" applyBorder="1" applyAlignment="1">
      <alignment horizontal="center"/>
    </xf>
    <xf numFmtId="0" fontId="44" fillId="42" borderId="144" xfId="776" applyFont="1" applyFill="1" applyBorder="1" applyAlignment="1">
      <alignment wrapText="1"/>
    </xf>
    <xf numFmtId="170" fontId="44" fillId="42" borderId="144" xfId="43199" applyNumberFormat="1" applyFont="1" applyFill="1" applyBorder="1" applyAlignment="1">
      <alignment horizontal="center" wrapText="1"/>
    </xf>
    <xf numFmtId="170" fontId="44" fillId="42" borderId="144" xfId="847" applyNumberFormat="1" applyFont="1" applyFill="1" applyBorder="1" applyAlignment="1">
      <alignment horizontal="center" wrapText="1"/>
    </xf>
    <xf numFmtId="170" fontId="111" fillId="59" borderId="144" xfId="863" applyNumberFormat="1" applyFont="1" applyFill="1" applyBorder="1" applyAlignment="1">
      <alignment vertical="center"/>
    </xf>
    <xf numFmtId="0" fontId="244" fillId="41" borderId="178" xfId="907" applyFont="1" applyFill="1" applyBorder="1" applyAlignment="1">
      <alignment horizontal="left"/>
    </xf>
    <xf numFmtId="9" fontId="39" fillId="38" borderId="144" xfId="1823" applyFont="1" applyFill="1" applyBorder="1" applyAlignment="1">
      <alignment horizontal="left" vertical="center" wrapText="1"/>
    </xf>
    <xf numFmtId="0" fontId="44" fillId="41" borderId="178" xfId="2697" applyFont="1" applyFill="1" applyBorder="1" applyAlignment="1">
      <alignment horizontal="center" vertical="center"/>
    </xf>
    <xf numFmtId="0" fontId="44" fillId="41" borderId="166" xfId="2697" applyFont="1" applyFill="1" applyBorder="1" applyAlignment="1">
      <alignment horizontal="center"/>
    </xf>
    <xf numFmtId="0" fontId="44" fillId="41" borderId="166" xfId="2697" applyFont="1" applyFill="1" applyBorder="1" applyAlignment="1">
      <alignment horizontal="left"/>
    </xf>
    <xf numFmtId="2" fontId="44" fillId="41" borderId="166" xfId="2697" applyNumberFormat="1" applyFont="1" applyFill="1" applyBorder="1" applyAlignment="1">
      <alignment horizontal="center"/>
    </xf>
    <xf numFmtId="3" fontId="44" fillId="41" borderId="178" xfId="43199" applyNumberFormat="1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left"/>
    </xf>
    <xf numFmtId="3" fontId="44" fillId="42" borderId="144" xfId="847" applyNumberFormat="1" applyFont="1" applyFill="1" applyBorder="1" applyAlignment="1">
      <alignment horizontal="right" wrapText="1"/>
    </xf>
    <xf numFmtId="43" fontId="44" fillId="42" borderId="178" xfId="43199" applyFont="1" applyFill="1" applyBorder="1" applyAlignment="1">
      <alignment horizontal="right"/>
    </xf>
    <xf numFmtId="3" fontId="111" fillId="59" borderId="144" xfId="2697" applyNumberFormat="1" applyFont="1" applyFill="1" applyBorder="1" applyAlignment="1">
      <alignment horizontal="right" vertical="center"/>
    </xf>
    <xf numFmtId="43" fontId="111" fillId="59" borderId="144" xfId="43199" applyFont="1" applyFill="1" applyBorder="1" applyAlignment="1">
      <alignment horizontal="right" vertical="center"/>
    </xf>
    <xf numFmtId="0" fontId="244" fillId="0" borderId="178" xfId="907" applyFont="1" applyBorder="1" applyAlignment="1">
      <alignment horizontal="left"/>
    </xf>
    <xf numFmtId="170" fontId="111" fillId="59" borderId="144" xfId="43199" applyNumberFormat="1" applyFont="1" applyFill="1" applyBorder="1" applyAlignment="1">
      <alignment horizontal="right"/>
    </xf>
    <xf numFmtId="9" fontId="251" fillId="42" borderId="144" xfId="1823" applyFont="1" applyFill="1" applyBorder="1" applyAlignment="1">
      <alignment horizontal="left" vertical="center" wrapText="1"/>
    </xf>
    <xf numFmtId="43" fontId="251" fillId="42" borderId="144" xfId="43199" applyFont="1" applyFill="1" applyBorder="1" applyAlignment="1">
      <alignment horizontal="center" vertical="center" wrapText="1"/>
    </xf>
    <xf numFmtId="262" fontId="251" fillId="42" borderId="144" xfId="1823" applyNumberFormat="1" applyFont="1" applyFill="1" applyBorder="1" applyAlignment="1">
      <alignment horizontal="center" vertical="center" wrapText="1"/>
    </xf>
    <xf numFmtId="262" fontId="251" fillId="42" borderId="144" xfId="1823" applyNumberFormat="1" applyFont="1" applyFill="1" applyBorder="1" applyAlignment="1">
      <alignment horizontal="left" vertical="center" wrapText="1"/>
    </xf>
    <xf numFmtId="37" fontId="251" fillId="42" borderId="144" xfId="905" quotePrefix="1" applyNumberFormat="1" applyFont="1" applyFill="1" applyBorder="1" applyAlignment="1">
      <alignment horizontal="left"/>
    </xf>
    <xf numFmtId="43" fontId="251" fillId="42" borderId="144" xfId="43199" applyFont="1" applyFill="1" applyBorder="1" applyAlignment="1">
      <alignment horizontal="center"/>
    </xf>
    <xf numFmtId="262" fontId="251" fillId="42" borderId="144" xfId="1823" applyNumberFormat="1" applyFont="1" applyFill="1" applyBorder="1" applyAlignment="1">
      <alignment horizontal="center"/>
    </xf>
    <xf numFmtId="0" fontId="252" fillId="59" borderId="144" xfId="905" applyFont="1" applyFill="1" applyBorder="1" applyAlignment="1">
      <alignment horizontal="left"/>
    </xf>
    <xf numFmtId="262" fontId="252" fillId="59" borderId="144" xfId="905" applyNumberFormat="1" applyFont="1" applyFill="1" applyBorder="1" applyAlignment="1">
      <alignment horizontal="left"/>
    </xf>
    <xf numFmtId="262" fontId="252" fillId="59" borderId="144" xfId="847" applyNumberFormat="1" applyFont="1" applyFill="1" applyBorder="1" applyAlignment="1">
      <alignment horizontal="center"/>
    </xf>
    <xf numFmtId="9" fontId="252" fillId="42" borderId="144" xfId="1823" applyFont="1" applyFill="1" applyBorder="1" applyAlignment="1">
      <alignment horizontal="left" vertical="center" wrapText="1"/>
    </xf>
    <xf numFmtId="262" fontId="252" fillId="42" borderId="144" xfId="1823" applyNumberFormat="1" applyFont="1" applyFill="1" applyBorder="1" applyAlignment="1">
      <alignment horizontal="center" vertical="center" wrapText="1"/>
    </xf>
    <xf numFmtId="43" fontId="252" fillId="59" borderId="144" xfId="905" applyNumberFormat="1" applyFont="1" applyFill="1" applyBorder="1" applyAlignment="1">
      <alignment horizontal="left"/>
    </xf>
    <xf numFmtId="262" fontId="252" fillId="59" borderId="144" xfId="43200" applyNumberFormat="1" applyFont="1" applyFill="1" applyBorder="1" applyAlignment="1">
      <alignment horizontal="center"/>
    </xf>
    <xf numFmtId="9" fontId="316" fillId="55" borderId="144" xfId="1823" applyFont="1" applyFill="1" applyBorder="1" applyAlignment="1">
      <alignment horizontal="left" vertical="center" wrapText="1"/>
    </xf>
    <xf numFmtId="262" fontId="316" fillId="55" borderId="144" xfId="1823" applyNumberFormat="1" applyFont="1" applyFill="1" applyBorder="1" applyAlignment="1">
      <alignment horizontal="center" vertical="center" wrapText="1"/>
    </xf>
    <xf numFmtId="262" fontId="252" fillId="59" borderId="144" xfId="905" applyNumberFormat="1" applyFont="1" applyFill="1" applyBorder="1" applyAlignment="1">
      <alignment horizontal="center" vertical="center" wrapText="1"/>
    </xf>
    <xf numFmtId="0" fontId="252" fillId="59" borderId="144" xfId="905" applyFont="1" applyFill="1" applyBorder="1" applyAlignment="1">
      <alignment wrapText="1"/>
    </xf>
    <xf numFmtId="10" fontId="252" fillId="59" borderId="144" xfId="847" applyNumberFormat="1" applyFont="1" applyFill="1" applyBorder="1" applyAlignment="1">
      <alignment horizontal="center" vertical="center" wrapText="1"/>
    </xf>
    <xf numFmtId="261" fontId="252" fillId="59" borderId="144" xfId="905" applyNumberFormat="1" applyFont="1" applyFill="1" applyBorder="1" applyAlignment="1">
      <alignment horizontal="center" vertical="center" wrapText="1"/>
    </xf>
    <xf numFmtId="172" fontId="252" fillId="59" borderId="144" xfId="43199" applyNumberFormat="1" applyFont="1" applyFill="1" applyBorder="1" applyAlignment="1">
      <alignment vertical="center"/>
    </xf>
    <xf numFmtId="168" fontId="252" fillId="59" borderId="144" xfId="863" applyFont="1" applyFill="1" applyBorder="1" applyAlignment="1">
      <alignment vertical="center"/>
    </xf>
    <xf numFmtId="172" fontId="111" fillId="59" borderId="144" xfId="43199" applyNumberFormat="1" applyFont="1" applyFill="1" applyBorder="1" applyAlignment="1">
      <alignment vertical="center"/>
    </xf>
    <xf numFmtId="0" fontId="118" fillId="100" borderId="185" xfId="2697" applyFont="1" applyFill="1" applyBorder="1" applyAlignment="1">
      <alignment horizontal="center" vertical="center" wrapText="1"/>
    </xf>
    <xf numFmtId="0" fontId="111" fillId="59" borderId="186" xfId="905" applyFont="1" applyFill="1" applyBorder="1" applyAlignment="1">
      <alignment horizontal="left"/>
    </xf>
    <xf numFmtId="0" fontId="147" fillId="0" borderId="187" xfId="2697" applyFont="1" applyBorder="1" applyAlignment="1">
      <alignment horizontal="center" vertical="center" wrapText="1"/>
    </xf>
    <xf numFmtId="0" fontId="147" fillId="0" borderId="188" xfId="2697" applyFont="1" applyBorder="1" applyAlignment="1">
      <alignment horizontal="center" vertical="center" wrapText="1"/>
    </xf>
    <xf numFmtId="0" fontId="147" fillId="0" borderId="187" xfId="2697" applyFont="1" applyBorder="1" applyAlignment="1">
      <alignment vertical="center"/>
    </xf>
    <xf numFmtId="4" fontId="147" fillId="0" borderId="187" xfId="43199" applyNumberFormat="1" applyFont="1" applyBorder="1" applyAlignment="1">
      <alignment horizontal="right" vertical="center" wrapText="1"/>
    </xf>
    <xf numFmtId="4" fontId="147" fillId="0" borderId="188" xfId="43199" applyNumberFormat="1" applyFont="1" applyBorder="1" applyAlignment="1">
      <alignment horizontal="right" vertical="center" wrapText="1"/>
    </xf>
    <xf numFmtId="0" fontId="147" fillId="41" borderId="187" xfId="907" applyFont="1" applyFill="1" applyBorder="1"/>
    <xf numFmtId="0" fontId="144" fillId="43" borderId="166" xfId="43405" applyFont="1" applyFill="1" applyBorder="1" applyAlignment="1">
      <alignment horizontal="left" wrapText="1"/>
    </xf>
    <xf numFmtId="10" fontId="144" fillId="43" borderId="166" xfId="847" applyNumberFormat="1" applyFont="1" applyFill="1" applyBorder="1" applyAlignment="1">
      <alignment horizontal="right"/>
    </xf>
    <xf numFmtId="0" fontId="245" fillId="0" borderId="178" xfId="43405" applyFont="1" applyBorder="1"/>
    <xf numFmtId="10" fontId="245" fillId="0" borderId="178" xfId="847" applyNumberFormat="1" applyFont="1" applyFill="1" applyBorder="1"/>
    <xf numFmtId="174" fontId="212" fillId="0" borderId="178" xfId="0" applyNumberFormat="1" applyFont="1" applyBorder="1" applyAlignment="1">
      <alignment horizontal="right"/>
    </xf>
    <xf numFmtId="10" fontId="212" fillId="0" borderId="178" xfId="0" applyNumberFormat="1" applyFont="1" applyBorder="1" applyAlignment="1">
      <alignment horizontal="left"/>
    </xf>
    <xf numFmtId="0" fontId="209" fillId="58" borderId="189" xfId="834" applyFont="1" applyFill="1" applyBorder="1" applyAlignment="1" applyProtection="1">
      <alignment horizontal="left" vertical="center"/>
    </xf>
    <xf numFmtId="0" fontId="209" fillId="58" borderId="190" xfId="834" applyFont="1" applyFill="1" applyBorder="1" applyAlignment="1" applyProtection="1">
      <alignment horizontal="left" vertical="center"/>
    </xf>
    <xf numFmtId="4" fontId="209" fillId="58" borderId="189" xfId="834" applyNumberFormat="1" applyFont="1" applyFill="1" applyBorder="1" applyAlignment="1" applyProtection="1">
      <alignment horizontal="left" vertical="center"/>
    </xf>
    <xf numFmtId="14" fontId="209" fillId="56" borderId="156" xfId="834" applyNumberFormat="1" applyFont="1" applyFill="1" applyBorder="1" applyAlignment="1" applyProtection="1">
      <alignment horizontal="left" vertical="center"/>
    </xf>
    <xf numFmtId="0" fontId="213" fillId="43" borderId="186" xfId="0" applyFont="1" applyFill="1" applyBorder="1" applyAlignment="1">
      <alignment horizontal="center"/>
    </xf>
    <xf numFmtId="0" fontId="213" fillId="43" borderId="191" xfId="0" applyFont="1" applyFill="1" applyBorder="1" applyAlignment="1">
      <alignment horizontal="center"/>
    </xf>
    <xf numFmtId="0" fontId="209" fillId="41" borderId="186" xfId="0" applyFont="1" applyFill="1" applyBorder="1" applyAlignment="1" applyProtection="1">
      <alignment horizontal="left"/>
      <protection hidden="1"/>
    </xf>
    <xf numFmtId="170" fontId="209" fillId="41" borderId="186" xfId="43183" applyNumberFormat="1" applyFont="1" applyFill="1" applyBorder="1" applyAlignment="1" applyProtection="1">
      <alignment horizontal="center" vertical="center"/>
    </xf>
    <xf numFmtId="165" fontId="209" fillId="41" borderId="186" xfId="43184" applyFont="1" applyFill="1" applyBorder="1" applyAlignment="1" applyProtection="1">
      <alignment horizontal="center" vertical="center"/>
    </xf>
    <xf numFmtId="0" fontId="206" fillId="41" borderId="191" xfId="2697" applyFont="1" applyFill="1" applyBorder="1"/>
    <xf numFmtId="43" fontId="111" fillId="0" borderId="191" xfId="43185" applyFont="1" applyFill="1" applyBorder="1" applyAlignment="1" applyProtection="1">
      <alignment vertical="center"/>
    </xf>
    <xf numFmtId="167" fontId="206" fillId="41" borderId="191" xfId="815" applyFont="1" applyFill="1" applyBorder="1"/>
    <xf numFmtId="0" fontId="230" fillId="0" borderId="178" xfId="2697" applyFont="1" applyBorder="1"/>
    <xf numFmtId="10" fontId="206" fillId="0" borderId="178" xfId="847" applyNumberFormat="1" applyFont="1" applyFill="1" applyBorder="1"/>
    <xf numFmtId="0" fontId="230" fillId="41" borderId="191" xfId="2697" applyFont="1" applyFill="1" applyBorder="1" applyAlignment="1">
      <alignment vertical="center" wrapText="1"/>
    </xf>
    <xf numFmtId="170" fontId="206" fillId="0" borderId="191" xfId="43183" applyNumberFormat="1" applyFont="1" applyFill="1" applyBorder="1" applyAlignment="1">
      <alignment vertical="center" wrapText="1"/>
    </xf>
    <xf numFmtId="0" fontId="231" fillId="0" borderId="178" xfId="2697" applyFont="1" applyBorder="1"/>
    <xf numFmtId="10" fontId="209" fillId="0" borderId="178" xfId="2697" applyNumberFormat="1" applyFont="1" applyBorder="1"/>
    <xf numFmtId="0" fontId="206" fillId="41" borderId="178" xfId="2697" applyFont="1" applyFill="1" applyBorder="1"/>
    <xf numFmtId="43" fontId="44" fillId="0" borderId="178" xfId="43185" applyFont="1" applyFill="1" applyBorder="1" applyAlignment="1" applyProtection="1">
      <alignment horizontal="right"/>
      <protection locked="0"/>
    </xf>
    <xf numFmtId="167" fontId="206" fillId="41" borderId="178" xfId="815" applyFont="1" applyFill="1" applyBorder="1"/>
    <xf numFmtId="168" fontId="209" fillId="41" borderId="186" xfId="43185" applyNumberFormat="1" applyFont="1" applyFill="1" applyBorder="1" applyAlignment="1" applyProtection="1">
      <alignment horizontal="right"/>
      <protection locked="0"/>
    </xf>
    <xf numFmtId="165" fontId="209" fillId="41" borderId="186" xfId="43184" applyFont="1" applyFill="1" applyBorder="1" applyAlignment="1" applyProtection="1">
      <alignment horizontal="right"/>
      <protection locked="0"/>
    </xf>
    <xf numFmtId="0" fontId="209" fillId="97" borderId="186" xfId="2697" applyFont="1" applyFill="1" applyBorder="1"/>
    <xf numFmtId="167" fontId="209" fillId="97" borderId="186" xfId="2697" applyNumberFormat="1" applyFont="1" applyFill="1" applyBorder="1"/>
    <xf numFmtId="0" fontId="231" fillId="0" borderId="186" xfId="2697" applyFont="1" applyBorder="1"/>
    <xf numFmtId="170" fontId="206" fillId="0" borderId="186" xfId="43183" applyNumberFormat="1" applyFont="1" applyFill="1" applyBorder="1" applyAlignment="1">
      <alignment vertical="center" wrapText="1"/>
    </xf>
    <xf numFmtId="170" fontId="209" fillId="41" borderId="186" xfId="43183" applyNumberFormat="1" applyFont="1" applyFill="1" applyBorder="1" applyAlignment="1" applyProtection="1">
      <alignment vertical="center"/>
    </xf>
    <xf numFmtId="165" fontId="209" fillId="0" borderId="186" xfId="43184" applyFont="1" applyFill="1" applyBorder="1" applyAlignment="1" applyProtection="1">
      <alignment vertical="center"/>
    </xf>
    <xf numFmtId="0" fontId="209" fillId="97" borderId="186" xfId="0" applyFont="1" applyFill="1" applyBorder="1" applyAlignment="1" applyProtection="1">
      <alignment horizontal="left"/>
      <protection hidden="1"/>
    </xf>
    <xf numFmtId="43" fontId="209" fillId="97" borderId="186" xfId="43183" applyFont="1" applyFill="1" applyBorder="1" applyAlignment="1" applyProtection="1">
      <alignment vertical="center"/>
    </xf>
    <xf numFmtId="165" fontId="209" fillId="97" borderId="186" xfId="43184" applyFont="1" applyFill="1" applyBorder="1" applyAlignment="1" applyProtection="1">
      <alignment vertical="center"/>
    </xf>
    <xf numFmtId="0" fontId="111" fillId="58" borderId="188" xfId="834" applyFont="1" applyFill="1" applyBorder="1" applyAlignment="1" applyProtection="1">
      <alignment horizontal="left" vertical="center"/>
    </xf>
    <xf numFmtId="0" fontId="111" fillId="58" borderId="192" xfId="834" applyFont="1" applyFill="1" applyBorder="1" applyAlignment="1" applyProtection="1">
      <alignment horizontal="left" vertical="center"/>
    </xf>
    <xf numFmtId="0" fontId="111" fillId="56" borderId="188" xfId="834" applyFont="1" applyFill="1" applyBorder="1" applyAlignment="1" applyProtection="1">
      <alignment horizontal="left" vertical="center"/>
    </xf>
    <xf numFmtId="0" fontId="111" fillId="56" borderId="192" xfId="834" applyFont="1" applyFill="1" applyBorder="1" applyAlignment="1" applyProtection="1">
      <alignment horizontal="left" vertical="center"/>
    </xf>
    <xf numFmtId="0" fontId="209" fillId="97" borderId="191" xfId="0" applyFont="1" applyFill="1" applyBorder="1" applyAlignment="1" applyProtection="1">
      <alignment horizontal="left"/>
      <protection hidden="1"/>
    </xf>
    <xf numFmtId="0" fontId="209" fillId="0" borderId="186" xfId="2697" applyFont="1" applyBorder="1" applyAlignment="1">
      <alignment horizontal="left"/>
    </xf>
    <xf numFmtId="165" fontId="209" fillId="0" borderId="186" xfId="2697" applyNumberFormat="1" applyFont="1" applyBorder="1"/>
    <xf numFmtId="168" fontId="206" fillId="0" borderId="193" xfId="863" applyFont="1" applyBorder="1"/>
    <xf numFmtId="0" fontId="206" fillId="97" borderId="191" xfId="0" applyFont="1" applyFill="1" applyBorder="1" applyAlignment="1" applyProtection="1">
      <alignment horizontal="left"/>
      <protection hidden="1"/>
    </xf>
    <xf numFmtId="165" fontId="206" fillId="0" borderId="191" xfId="43184" applyFont="1" applyBorder="1"/>
    <xf numFmtId="168" fontId="206" fillId="0" borderId="187" xfId="863" applyFont="1" applyBorder="1"/>
    <xf numFmtId="0" fontId="206" fillId="97" borderId="178" xfId="0" applyFont="1" applyFill="1" applyBorder="1" applyAlignment="1" applyProtection="1">
      <alignment horizontal="left"/>
      <protection hidden="1"/>
    </xf>
    <xf numFmtId="165" fontId="206" fillId="0" borderId="178" xfId="43184" applyFont="1" applyBorder="1"/>
    <xf numFmtId="14" fontId="111" fillId="56" borderId="192" xfId="834" applyNumberFormat="1" applyFont="1" applyFill="1" applyBorder="1" applyAlignment="1" applyProtection="1">
      <alignment horizontal="left" vertical="center"/>
    </xf>
    <xf numFmtId="0" fontId="218" fillId="43" borderId="186" xfId="0" applyFont="1" applyFill="1" applyBorder="1" applyAlignment="1">
      <alignment horizontal="center"/>
    </xf>
    <xf numFmtId="0" fontId="214" fillId="59" borderId="186" xfId="907" applyFont="1" applyFill="1" applyBorder="1"/>
    <xf numFmtId="219" fontId="214" fillId="59" borderId="186" xfId="863" applyNumberFormat="1" applyFont="1" applyFill="1" applyBorder="1"/>
    <xf numFmtId="0" fontId="206" fillId="0" borderId="186" xfId="907" applyFont="1" applyBorder="1" applyAlignment="1">
      <alignment horizontal="left" indent="1"/>
    </xf>
    <xf numFmtId="219" fontId="219" fillId="41" borderId="186" xfId="863" applyNumberFormat="1" applyFont="1" applyFill="1" applyBorder="1"/>
    <xf numFmtId="168" fontId="206" fillId="0" borderId="178" xfId="863" applyFont="1" applyBorder="1"/>
    <xf numFmtId="0" fontId="211" fillId="43" borderId="178" xfId="0" applyFont="1" applyFill="1" applyBorder="1"/>
    <xf numFmtId="0" fontId="211" fillId="43" borderId="178" xfId="0" applyFont="1" applyFill="1" applyBorder="1" applyAlignment="1">
      <alignment horizontal="center"/>
    </xf>
    <xf numFmtId="0" fontId="206" fillId="0" borderId="191" xfId="0" applyFont="1" applyBorder="1"/>
    <xf numFmtId="44" fontId="206" fillId="0" borderId="191" xfId="863" applyNumberFormat="1" applyFont="1" applyBorder="1"/>
    <xf numFmtId="0" fontId="209" fillId="0" borderId="178" xfId="907" applyFont="1" applyBorder="1"/>
    <xf numFmtId="214" fontId="209" fillId="0" borderId="178" xfId="0" applyNumberFormat="1" applyFont="1" applyBorder="1"/>
    <xf numFmtId="168" fontId="206" fillId="0" borderId="191" xfId="863" applyFont="1" applyBorder="1"/>
    <xf numFmtId="0" fontId="209" fillId="59" borderId="186" xfId="907" applyFont="1" applyFill="1" applyBorder="1"/>
    <xf numFmtId="170" fontId="209" fillId="59" borderId="186" xfId="907" applyNumberFormat="1" applyFont="1" applyFill="1" applyBorder="1"/>
    <xf numFmtId="168" fontId="209" fillId="59" borderId="186" xfId="863" applyFont="1" applyFill="1" applyBorder="1"/>
    <xf numFmtId="167" fontId="209" fillId="59" borderId="186" xfId="907" applyNumberFormat="1" applyFont="1" applyFill="1" applyBorder="1"/>
    <xf numFmtId="168" fontId="206" fillId="0" borderId="191" xfId="863" applyFont="1" applyFill="1" applyBorder="1"/>
    <xf numFmtId="0" fontId="218" fillId="43" borderId="191" xfId="0" applyFont="1" applyFill="1" applyBorder="1" applyAlignment="1">
      <alignment horizontal="center" vertical="center" wrapText="1"/>
    </xf>
    <xf numFmtId="0" fontId="218" fillId="43" borderId="186" xfId="0" applyFont="1" applyFill="1" applyBorder="1" applyAlignment="1">
      <alignment horizontal="center" vertical="center" wrapText="1"/>
    </xf>
    <xf numFmtId="0" fontId="296" fillId="43" borderId="189" xfId="907" applyFont="1" applyFill="1" applyBorder="1"/>
    <xf numFmtId="0" fontId="296" fillId="43" borderId="191" xfId="907" applyFont="1" applyFill="1" applyBorder="1"/>
    <xf numFmtId="0" fontId="296" fillId="43" borderId="190" xfId="907" applyFont="1" applyFill="1" applyBorder="1"/>
    <xf numFmtId="0" fontId="293" fillId="43" borderId="188" xfId="907" applyFont="1" applyFill="1" applyBorder="1"/>
    <xf numFmtId="0" fontId="293" fillId="43" borderId="186" xfId="907" applyFont="1" applyFill="1" applyBorder="1"/>
    <xf numFmtId="0" fontId="293" fillId="43" borderId="187" xfId="907" applyFont="1" applyFill="1" applyBorder="1"/>
    <xf numFmtId="0" fontId="209" fillId="97" borderId="186" xfId="0" applyFont="1" applyFill="1" applyBorder="1"/>
    <xf numFmtId="0" fontId="297" fillId="97" borderId="186" xfId="0" applyFont="1" applyFill="1" applyBorder="1"/>
    <xf numFmtId="0" fontId="217" fillId="97" borderId="186" xfId="0" applyFont="1" applyFill="1" applyBorder="1"/>
    <xf numFmtId="168" fontId="209" fillId="97" borderId="186" xfId="0" applyNumberFormat="1" applyFont="1" applyFill="1" applyBorder="1"/>
    <xf numFmtId="272" fontId="209" fillId="97" borderId="186" xfId="863" applyNumberFormat="1" applyFont="1" applyFill="1" applyBorder="1"/>
    <xf numFmtId="43" fontId="209" fillId="97" borderId="186" xfId="0" applyNumberFormat="1" applyFont="1" applyFill="1" applyBorder="1"/>
    <xf numFmtId="0" fontId="293" fillId="43" borderId="188" xfId="907" applyFont="1" applyFill="1" applyBorder="1" applyAlignment="1">
      <alignment vertical="center"/>
    </xf>
    <xf numFmtId="0" fontId="293" fillId="43" borderId="186" xfId="907" applyFont="1" applyFill="1" applyBorder="1" applyAlignment="1">
      <alignment horizontal="center" vertical="center"/>
    </xf>
    <xf numFmtId="0" fontId="293" fillId="43" borderId="187" xfId="907" applyFont="1" applyFill="1" applyBorder="1" applyAlignment="1">
      <alignment vertical="center"/>
    </xf>
    <xf numFmtId="0" fontId="293" fillId="43" borderId="186" xfId="907" applyFont="1" applyFill="1" applyBorder="1" applyAlignment="1">
      <alignment vertical="center"/>
    </xf>
    <xf numFmtId="0" fontId="293" fillId="116" borderId="189" xfId="907" applyFont="1" applyFill="1" applyBorder="1"/>
    <xf numFmtId="0" fontId="293" fillId="116" borderId="191" xfId="907" applyFont="1" applyFill="1" applyBorder="1" applyAlignment="1">
      <alignment horizontal="center" wrapText="1"/>
    </xf>
    <xf numFmtId="0" fontId="293" fillId="116" borderId="191" xfId="907" applyFont="1" applyFill="1" applyBorder="1" applyAlignment="1">
      <alignment horizontal="center"/>
    </xf>
    <xf numFmtId="0" fontId="293" fillId="116" borderId="190" xfId="907" applyFont="1" applyFill="1" applyBorder="1" applyAlignment="1">
      <alignment horizontal="center"/>
    </xf>
    <xf numFmtId="0" fontId="294" fillId="0" borderId="189" xfId="907" applyFont="1" applyBorder="1"/>
    <xf numFmtId="217" fontId="295" fillId="0" borderId="191" xfId="847" applyNumberFormat="1" applyFont="1" applyFill="1" applyBorder="1"/>
    <xf numFmtId="43" fontId="295" fillId="0" borderId="191" xfId="43408" applyFont="1" applyFill="1" applyBorder="1"/>
    <xf numFmtId="43" fontId="294" fillId="0" borderId="190" xfId="43408" applyFont="1" applyFill="1" applyBorder="1"/>
    <xf numFmtId="219" fontId="294" fillId="117" borderId="186" xfId="43408" applyNumberFormat="1" applyFont="1" applyFill="1" applyBorder="1"/>
    <xf numFmtId="43" fontId="295" fillId="117" borderId="186" xfId="43408" applyFont="1" applyFill="1" applyBorder="1"/>
    <xf numFmtId="167" fontId="295" fillId="117" borderId="192" xfId="815" applyFont="1" applyFill="1" applyBorder="1"/>
    <xf numFmtId="0" fontId="295" fillId="0" borderId="191" xfId="0" applyFont="1" applyBorder="1"/>
    <xf numFmtId="0" fontId="239" fillId="0" borderId="178" xfId="907" applyFont="1" applyBorder="1" applyAlignment="1">
      <alignment horizontal="left"/>
    </xf>
    <xf numFmtId="0" fontId="234" fillId="33" borderId="178" xfId="829" applyFont="1" applyFill="1" applyBorder="1"/>
    <xf numFmtId="0" fontId="206" fillId="33" borderId="178" xfId="831" applyFont="1" applyFill="1" applyBorder="1" applyAlignment="1">
      <alignment vertical="center"/>
    </xf>
    <xf numFmtId="170" fontId="206" fillId="33" borderId="178" xfId="863" applyNumberFormat="1" applyFont="1" applyFill="1" applyBorder="1" applyAlignment="1">
      <alignment vertical="center"/>
    </xf>
    <xf numFmtId="10" fontId="212" fillId="0" borderId="178" xfId="0" applyNumberFormat="1" applyFont="1" applyBorder="1" applyAlignment="1">
      <alignment horizontal="center"/>
    </xf>
    <xf numFmtId="0" fontId="224" fillId="33" borderId="194" xfId="831" applyFont="1" applyFill="1" applyBorder="1" applyAlignment="1">
      <alignment horizontal="left" vertical="center"/>
    </xf>
    <xf numFmtId="0" fontId="213" fillId="43" borderId="186" xfId="0" applyFont="1" applyFill="1" applyBorder="1" applyAlignment="1">
      <alignment horizontal="center" vertical="center" wrapText="1"/>
    </xf>
    <xf numFmtId="0" fontId="206" fillId="0" borderId="178" xfId="831" applyFont="1" applyBorder="1" applyAlignment="1">
      <alignment vertical="center"/>
    </xf>
    <xf numFmtId="168" fontId="206" fillId="33" borderId="178" xfId="863" applyFont="1" applyFill="1" applyBorder="1" applyAlignment="1" applyProtection="1">
      <alignment horizontal="center" vertical="center"/>
      <protection locked="0"/>
    </xf>
    <xf numFmtId="0" fontId="208" fillId="38" borderId="188" xfId="905" applyFont="1" applyFill="1" applyBorder="1" applyAlignment="1">
      <alignment horizontal="center" vertical="center"/>
    </xf>
    <xf numFmtId="0" fontId="208" fillId="38" borderId="186" xfId="905" applyFont="1" applyFill="1" applyBorder="1" applyAlignment="1">
      <alignment vertical="center"/>
    </xf>
    <xf numFmtId="0" fontId="208" fillId="38" borderId="192" xfId="905" applyFont="1" applyFill="1" applyBorder="1" applyAlignment="1">
      <alignment vertical="center"/>
    </xf>
    <xf numFmtId="176" fontId="44" fillId="41" borderId="196" xfId="863" applyNumberFormat="1" applyFont="1" applyFill="1" applyBorder="1" applyAlignment="1">
      <alignment vertical="center"/>
    </xf>
    <xf numFmtId="176" fontId="206" fillId="0" borderId="187" xfId="863" applyNumberFormat="1" applyFont="1" applyFill="1" applyBorder="1" applyAlignment="1">
      <alignment vertical="center"/>
    </xf>
    <xf numFmtId="168" fontId="209" fillId="33" borderId="187" xfId="831" applyNumberFormat="1" applyFont="1" applyFill="1" applyBorder="1" applyAlignment="1">
      <alignment vertical="center"/>
    </xf>
    <xf numFmtId="168" fontId="209" fillId="33" borderId="187" xfId="863" applyFont="1" applyFill="1" applyBorder="1" applyAlignment="1">
      <alignment vertical="center"/>
    </xf>
    <xf numFmtId="168" fontId="213" fillId="0" borderId="178" xfId="863" applyFont="1" applyFill="1" applyBorder="1" applyAlignment="1">
      <alignment horizontal="center" vertical="center"/>
    </xf>
    <xf numFmtId="17" fontId="208" fillId="38" borderId="187" xfId="905" applyNumberFormat="1" applyFont="1" applyFill="1" applyBorder="1" applyAlignment="1">
      <alignment horizontal="center" vertical="center"/>
    </xf>
    <xf numFmtId="0" fontId="34" fillId="33" borderId="187" xfId="907" applyFont="1" applyFill="1" applyBorder="1" applyAlignment="1">
      <alignment horizontal="center" vertical="center"/>
    </xf>
    <xf numFmtId="4" fontId="209" fillId="33" borderId="187" xfId="831" applyNumberFormat="1" applyFont="1" applyFill="1" applyBorder="1" applyAlignment="1">
      <alignment horizontal="right" vertical="center"/>
    </xf>
    <xf numFmtId="4" fontId="206" fillId="33" borderId="187" xfId="863" applyNumberFormat="1" applyFont="1" applyFill="1" applyBorder="1" applyAlignment="1">
      <alignment horizontal="right" vertical="center"/>
    </xf>
    <xf numFmtId="17" fontId="40" fillId="38" borderId="187" xfId="905" applyNumberFormat="1" applyFont="1" applyFill="1" applyBorder="1" applyAlignment="1">
      <alignment horizontal="center" vertical="center"/>
    </xf>
    <xf numFmtId="17" fontId="40" fillId="38" borderId="187" xfId="905" applyNumberFormat="1" applyFont="1" applyFill="1" applyBorder="1" applyAlignment="1">
      <alignment horizontal="center" vertical="center" wrapText="1"/>
    </xf>
    <xf numFmtId="17" fontId="40" fillId="38" borderId="196" xfId="905" applyNumberFormat="1" applyFont="1" applyFill="1" applyBorder="1" applyAlignment="1">
      <alignment horizontal="center" vertical="center" wrapText="1"/>
    </xf>
    <xf numFmtId="176" fontId="34" fillId="0" borderId="187" xfId="907" applyNumberFormat="1" applyFont="1" applyBorder="1" applyAlignment="1">
      <alignment horizontal="center" vertical="center"/>
    </xf>
    <xf numFmtId="171" fontId="31" fillId="0" borderId="193" xfId="907" applyNumberFormat="1" applyBorder="1" applyAlignment="1">
      <alignment horizontal="center"/>
    </xf>
    <xf numFmtId="168" fontId="0" fillId="9" borderId="193" xfId="863" applyFont="1" applyFill="1" applyBorder="1"/>
    <xf numFmtId="168" fontId="31" fillId="0" borderId="193" xfId="863" applyBorder="1"/>
    <xf numFmtId="17" fontId="39" fillId="38" borderId="192" xfId="905" applyNumberFormat="1" applyFont="1" applyFill="1" applyBorder="1" applyAlignment="1">
      <alignment horizontal="center" vertical="center" wrapText="1"/>
    </xf>
    <xf numFmtId="17" fontId="39" fillId="38" borderId="187" xfId="905" applyNumberFormat="1" applyFont="1" applyFill="1" applyBorder="1" applyAlignment="1">
      <alignment horizontal="center" vertical="center" wrapText="1"/>
    </xf>
    <xf numFmtId="0" fontId="31" fillId="0" borderId="187" xfId="907" applyBorder="1"/>
    <xf numFmtId="168" fontId="31" fillId="0" borderId="187" xfId="863" applyFont="1" applyFill="1" applyBorder="1" applyAlignment="1"/>
    <xf numFmtId="171" fontId="31" fillId="0" borderId="196" xfId="907" applyNumberFormat="1" applyBorder="1" applyAlignment="1">
      <alignment horizontal="center"/>
    </xf>
    <xf numFmtId="168" fontId="0" fillId="9" borderId="196" xfId="863" applyFont="1" applyFill="1" applyBorder="1"/>
    <xf numFmtId="168" fontId="31" fillId="0" borderId="196" xfId="863" applyBorder="1"/>
    <xf numFmtId="0" fontId="34" fillId="0" borderId="187" xfId="907" applyFont="1" applyBorder="1" applyAlignment="1">
      <alignment horizontal="center" vertical="center"/>
    </xf>
    <xf numFmtId="0" fontId="209" fillId="97" borderId="186" xfId="831" applyFont="1" applyFill="1" applyBorder="1" applyAlignment="1">
      <alignment horizontal="center"/>
    </xf>
    <xf numFmtId="4" fontId="209" fillId="97" borderId="186" xfId="831" applyNumberFormat="1" applyFont="1" applyFill="1" applyBorder="1" applyAlignment="1">
      <alignment horizontal="right"/>
    </xf>
    <xf numFmtId="170" fontId="209" fillId="97" borderId="186" xfId="863" applyNumberFormat="1" applyFont="1" applyFill="1" applyBorder="1" applyAlignment="1">
      <alignment horizontal="right"/>
    </xf>
    <xf numFmtId="0" fontId="206" fillId="33" borderId="186" xfId="831" applyFont="1" applyFill="1" applyBorder="1" applyAlignment="1">
      <alignment vertical="center"/>
    </xf>
    <xf numFmtId="170" fontId="209" fillId="97" borderId="186" xfId="863" applyNumberFormat="1" applyFont="1" applyFill="1" applyBorder="1" applyAlignment="1">
      <alignment horizontal="center"/>
    </xf>
    <xf numFmtId="4" fontId="209" fillId="0" borderId="186" xfId="831" applyNumberFormat="1" applyFont="1" applyBorder="1" applyAlignment="1">
      <alignment vertical="center"/>
    </xf>
    <xf numFmtId="14" fontId="209" fillId="42" borderId="186" xfId="863" applyNumberFormat="1" applyFont="1" applyFill="1" applyBorder="1" applyAlignment="1">
      <alignment horizontal="center" vertical="top" wrapText="1"/>
    </xf>
    <xf numFmtId="216" fontId="209" fillId="97" borderId="186" xfId="863" applyNumberFormat="1" applyFont="1" applyFill="1" applyBorder="1" applyAlignment="1">
      <alignment horizontal="center"/>
    </xf>
    <xf numFmtId="0" fontId="240" fillId="33" borderId="178" xfId="829" applyFont="1" applyFill="1" applyBorder="1"/>
    <xf numFmtId="0" fontId="0" fillId="0" borderId="178" xfId="0" applyBorder="1"/>
    <xf numFmtId="0" fontId="213" fillId="43" borderId="186" xfId="0" applyFont="1" applyFill="1" applyBorder="1"/>
    <xf numFmtId="167" fontId="209" fillId="0" borderId="186" xfId="815" applyFont="1" applyBorder="1"/>
    <xf numFmtId="10" fontId="206" fillId="44" borderId="186" xfId="847" applyNumberFormat="1" applyFont="1" applyFill="1" applyBorder="1" applyAlignment="1">
      <alignment horizontal="right"/>
    </xf>
    <xf numFmtId="10" fontId="206" fillId="45" borderId="186" xfId="847" applyNumberFormat="1" applyFont="1" applyFill="1" applyBorder="1" applyAlignment="1">
      <alignment horizontal="right"/>
    </xf>
    <xf numFmtId="0" fontId="237" fillId="43" borderId="186" xfId="0" applyFont="1" applyFill="1" applyBorder="1" applyAlignment="1">
      <alignment horizontal="center" vertical="center" wrapText="1"/>
    </xf>
    <xf numFmtId="168" fontId="206" fillId="54" borderId="178" xfId="903" applyFont="1" applyFill="1" applyBorder="1" applyAlignment="1">
      <alignment horizontal="left" vertical="top" wrapText="1"/>
    </xf>
    <xf numFmtId="276" fontId="206" fillId="109" borderId="178" xfId="863" applyNumberFormat="1" applyFont="1" applyFill="1" applyBorder="1" applyAlignment="1">
      <alignment horizontal="right"/>
    </xf>
    <xf numFmtId="168" fontId="206" fillId="54" borderId="191" xfId="903" applyFont="1" applyFill="1" applyBorder="1" applyAlignment="1">
      <alignment horizontal="left" vertical="top"/>
    </xf>
    <xf numFmtId="168" fontId="206" fillId="54" borderId="191" xfId="903" applyFont="1" applyFill="1" applyBorder="1" applyAlignment="1">
      <alignment horizontal="right"/>
    </xf>
    <xf numFmtId="0" fontId="209" fillId="0" borderId="186" xfId="0" applyFont="1" applyBorder="1"/>
    <xf numFmtId="167" fontId="209" fillId="0" borderId="186" xfId="0" applyNumberFormat="1" applyFont="1" applyBorder="1"/>
    <xf numFmtId="0" fontId="206" fillId="0" borderId="191" xfId="0" applyFont="1" applyBorder="1" applyAlignment="1">
      <alignment horizontal="left"/>
    </xf>
    <xf numFmtId="167" fontId="206" fillId="109" borderId="191" xfId="815" applyFont="1" applyFill="1" applyBorder="1"/>
    <xf numFmtId="168" fontId="44" fillId="41" borderId="178" xfId="903" applyFont="1" applyFill="1" applyBorder="1" applyAlignment="1">
      <alignment horizontal="left" vertical="top" wrapText="1"/>
    </xf>
    <xf numFmtId="168" fontId="44" fillId="41" borderId="178" xfId="863" applyFont="1" applyFill="1" applyBorder="1" applyAlignment="1">
      <alignment horizontal="right"/>
    </xf>
    <xf numFmtId="168" fontId="206" fillId="41" borderId="178" xfId="903" applyFont="1" applyFill="1" applyBorder="1" applyAlignment="1">
      <alignment horizontal="left" vertical="top" wrapText="1"/>
    </xf>
    <xf numFmtId="167" fontId="206" fillId="41" borderId="178" xfId="815" applyFont="1" applyFill="1" applyBorder="1" applyAlignment="1">
      <alignment horizontal="right"/>
    </xf>
    <xf numFmtId="167" fontId="206" fillId="0" borderId="191" xfId="815" applyFont="1" applyFill="1" applyBorder="1"/>
    <xf numFmtId="168" fontId="111" fillId="41" borderId="178" xfId="903" applyFont="1" applyFill="1" applyBorder="1" applyAlignment="1">
      <alignment horizontal="left" vertical="top" wrapText="1"/>
    </xf>
    <xf numFmtId="167" fontId="111" fillId="41" borderId="178" xfId="815" applyFont="1" applyFill="1" applyBorder="1" applyAlignment="1">
      <alignment horizontal="right"/>
    </xf>
    <xf numFmtId="0" fontId="206" fillId="0" borderId="178" xfId="0" applyFont="1" applyBorder="1" applyAlignment="1">
      <alignment horizontal="left"/>
    </xf>
    <xf numFmtId="167" fontId="206" fillId="109" borderId="178" xfId="815" applyFont="1" applyFill="1" applyBorder="1"/>
    <xf numFmtId="167" fontId="206" fillId="0" borderId="178" xfId="815" applyFont="1" applyFill="1" applyBorder="1"/>
    <xf numFmtId="0" fontId="206" fillId="0" borderId="186" xfId="0" applyFont="1" applyBorder="1"/>
    <xf numFmtId="4" fontId="206" fillId="0" borderId="186" xfId="0" applyNumberFormat="1" applyFont="1" applyBorder="1"/>
    <xf numFmtId="43" fontId="206" fillId="0" borderId="191" xfId="0" applyNumberFormat="1" applyFont="1" applyBorder="1"/>
    <xf numFmtId="167" fontId="206" fillId="0" borderId="191" xfId="0" applyNumberFormat="1" applyFont="1" applyBorder="1"/>
    <xf numFmtId="43" fontId="206" fillId="0" borderId="178" xfId="0" applyNumberFormat="1" applyFont="1" applyBorder="1"/>
    <xf numFmtId="167" fontId="206" fillId="0" borderId="178" xfId="0" applyNumberFormat="1" applyFont="1" applyBorder="1"/>
    <xf numFmtId="165" fontId="206" fillId="0" borderId="191" xfId="0" applyNumberFormat="1" applyFont="1" applyBorder="1"/>
    <xf numFmtId="165" fontId="206" fillId="0" borderId="178" xfId="0" applyNumberFormat="1" applyFont="1" applyBorder="1"/>
    <xf numFmtId="10" fontId="234" fillId="0" borderId="178" xfId="0" applyNumberFormat="1" applyFont="1" applyBorder="1" applyAlignment="1">
      <alignment horizontal="left"/>
    </xf>
    <xf numFmtId="0" fontId="206" fillId="33" borderId="178" xfId="829" applyFont="1" applyFill="1" applyBorder="1" applyAlignment="1">
      <alignment horizontal="center"/>
    </xf>
    <xf numFmtId="0" fontId="287" fillId="43" borderId="191" xfId="832" applyFont="1" applyFill="1" applyBorder="1" applyAlignment="1">
      <alignment horizontal="center"/>
    </xf>
    <xf numFmtId="167" fontId="283" fillId="0" borderId="191" xfId="815" applyFont="1" applyBorder="1"/>
    <xf numFmtId="0" fontId="287" fillId="43" borderId="178" xfId="832" applyFont="1" applyFill="1" applyBorder="1" applyAlignment="1">
      <alignment horizontal="center"/>
    </xf>
    <xf numFmtId="167" fontId="283" fillId="0" borderId="178" xfId="815" applyFont="1" applyFill="1" applyBorder="1"/>
    <xf numFmtId="4" fontId="111" fillId="0" borderId="186" xfId="43199" applyNumberFormat="1" applyFont="1" applyFill="1" applyBorder="1" applyAlignment="1">
      <alignment vertical="center"/>
    </xf>
    <xf numFmtId="0" fontId="288" fillId="43" borderId="189" xfId="0" applyFont="1" applyFill="1" applyBorder="1"/>
    <xf numFmtId="167" fontId="283" fillId="0" borderId="191" xfId="815" applyFont="1" applyFill="1" applyBorder="1"/>
    <xf numFmtId="10" fontId="283" fillId="0" borderId="190" xfId="847" applyNumberFormat="1" applyFont="1" applyFill="1" applyBorder="1" applyAlignment="1">
      <alignment horizontal="center"/>
    </xf>
    <xf numFmtId="0" fontId="288" fillId="43" borderId="186" xfId="0" applyFont="1" applyFill="1" applyBorder="1"/>
    <xf numFmtId="40" fontId="289" fillId="43" borderId="186" xfId="0" applyNumberFormat="1" applyFont="1" applyFill="1" applyBorder="1"/>
    <xf numFmtId="10" fontId="289" fillId="43" borderId="186" xfId="0" applyNumberFormat="1" applyFont="1" applyFill="1" applyBorder="1" applyAlignment="1">
      <alignment horizontal="center"/>
    </xf>
    <xf numFmtId="0" fontId="206" fillId="0" borderId="187" xfId="0" applyFont="1" applyBorder="1"/>
    <xf numFmtId="0" fontId="252" fillId="58" borderId="189" xfId="834" applyFont="1" applyFill="1" applyBorder="1" applyAlignment="1" applyProtection="1">
      <alignment horizontal="left" vertical="center"/>
    </xf>
    <xf numFmtId="0" fontId="251" fillId="0" borderId="191" xfId="43437" quotePrefix="1" applyFont="1" applyBorder="1" applyAlignment="1">
      <alignment horizontal="left" vertical="center"/>
    </xf>
    <xf numFmtId="277" fontId="251" fillId="41" borderId="191" xfId="43439" applyNumberFormat="1" applyFont="1" applyFill="1" applyBorder="1" applyAlignment="1">
      <alignment vertical="center" wrapText="1"/>
    </xf>
    <xf numFmtId="0" fontId="251" fillId="0" borderId="193" xfId="43437" quotePrefix="1" applyFont="1" applyBorder="1" applyAlignment="1">
      <alignment horizontal="left" vertical="center"/>
    </xf>
    <xf numFmtId="170" fontId="308" fillId="42" borderId="196" xfId="863" applyNumberFormat="1" applyFont="1" applyFill="1" applyBorder="1" applyAlignment="1">
      <alignment vertical="center"/>
    </xf>
    <xf numFmtId="0" fontId="251" fillId="0" borderId="196" xfId="43437" quotePrefix="1" applyFont="1" applyBorder="1" applyAlignment="1">
      <alignment horizontal="left" vertical="center"/>
    </xf>
    <xf numFmtId="170" fontId="251" fillId="33" borderId="196" xfId="863" applyNumberFormat="1" applyFont="1" applyFill="1" applyBorder="1" applyAlignment="1">
      <alignment vertical="center"/>
    </xf>
    <xf numFmtId="168" fontId="0" fillId="0" borderId="187" xfId="863" applyFont="1" applyBorder="1"/>
    <xf numFmtId="0" fontId="118" fillId="55" borderId="186" xfId="2697" applyFont="1" applyFill="1" applyBorder="1" applyAlignment="1">
      <alignment horizontal="left" vertical="center" wrapText="1"/>
    </xf>
    <xf numFmtId="0" fontId="118" fillId="55" borderId="197" xfId="2697" applyFont="1" applyFill="1" applyBorder="1" applyAlignment="1">
      <alignment horizontal="center" vertical="center" wrapText="1"/>
    </xf>
    <xf numFmtId="0" fontId="44" fillId="0" borderId="191" xfId="2697" applyFont="1" applyBorder="1" applyAlignment="1">
      <alignment vertical="center"/>
    </xf>
    <xf numFmtId="0" fontId="44" fillId="0" borderId="190" xfId="2697" applyFont="1" applyBorder="1" applyAlignment="1">
      <alignment vertical="center"/>
    </xf>
    <xf numFmtId="269" fontId="44" fillId="0" borderId="189" xfId="2697" applyNumberFormat="1" applyFont="1" applyBorder="1" applyAlignment="1">
      <alignment vertical="center"/>
    </xf>
    <xf numFmtId="168" fontId="44" fillId="0" borderId="193" xfId="863" applyFont="1" applyBorder="1" applyAlignment="1">
      <alignment vertical="center"/>
    </xf>
    <xf numFmtId="269" fontId="44" fillId="0" borderId="193" xfId="2697" applyNumberFormat="1" applyFont="1" applyBorder="1" applyAlignment="1">
      <alignment vertical="center"/>
    </xf>
    <xf numFmtId="168" fontId="44" fillId="0" borderId="196" xfId="863" applyFont="1" applyBorder="1" applyAlignment="1">
      <alignment vertical="center"/>
    </xf>
    <xf numFmtId="269" fontId="44" fillId="0" borderId="196" xfId="2697" applyNumberFormat="1" applyFont="1" applyBorder="1" applyAlignment="1">
      <alignment vertical="center"/>
    </xf>
    <xf numFmtId="0" fontId="111" fillId="59" borderId="178" xfId="2697" applyFont="1" applyFill="1" applyBorder="1" applyAlignment="1">
      <alignment vertical="center"/>
    </xf>
    <xf numFmtId="270" fontId="111" fillId="59" borderId="187" xfId="43183" applyNumberFormat="1" applyFont="1" applyFill="1" applyBorder="1" applyAlignment="1">
      <alignment vertical="center"/>
    </xf>
    <xf numFmtId="270" fontId="111" fillId="59" borderId="188" xfId="43183" applyNumberFormat="1" applyFont="1" applyFill="1" applyBorder="1" applyAlignment="1">
      <alignment vertical="center"/>
    </xf>
    <xf numFmtId="0" fontId="44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 applyAlignment="1">
      <alignment vertical="center"/>
    </xf>
    <xf numFmtId="271" fontId="44" fillId="60" borderId="186" xfId="2697" applyNumberFormat="1" applyFont="1" applyFill="1" applyBorder="1" applyAlignment="1">
      <alignment vertical="center"/>
    </xf>
    <xf numFmtId="0" fontId="111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/>
    <xf numFmtId="270" fontId="111" fillId="98" borderId="186" xfId="2697" applyNumberFormat="1" applyFont="1" applyFill="1" applyBorder="1" applyAlignment="1">
      <alignment vertical="center"/>
    </xf>
    <xf numFmtId="270" fontId="111" fillId="60" borderId="186" xfId="2697" applyNumberFormat="1" applyFont="1" applyFill="1" applyBorder="1" applyAlignment="1">
      <alignment vertical="center"/>
    </xf>
    <xf numFmtId="271" fontId="44" fillId="98" borderId="186" xfId="2697" applyNumberFormat="1" applyFont="1" applyFill="1" applyBorder="1" applyAlignment="1">
      <alignment vertical="center"/>
    </xf>
    <xf numFmtId="0" fontId="44" fillId="0" borderId="191" xfId="2697" applyFont="1" applyBorder="1"/>
    <xf numFmtId="171" fontId="118" fillId="43" borderId="189" xfId="2697" applyNumberFormat="1" applyFont="1" applyFill="1" applyBorder="1" applyAlignment="1">
      <alignment horizontal="center" vertical="center" wrapText="1"/>
    </xf>
    <xf numFmtId="0" fontId="31" fillId="0" borderId="187" xfId="0" applyFont="1" applyBorder="1"/>
    <xf numFmtId="0" fontId="0" fillId="0" borderId="187" xfId="0" applyBorder="1"/>
    <xf numFmtId="171" fontId="118" fillId="55" borderId="189" xfId="2697" applyNumberFormat="1" applyFont="1" applyFill="1" applyBorder="1" applyAlignment="1">
      <alignment horizontal="center" vertical="center" wrapText="1"/>
    </xf>
    <xf numFmtId="171" fontId="118" fillId="55" borderId="191" xfId="2697" applyNumberFormat="1" applyFont="1" applyFill="1" applyBorder="1" applyAlignment="1">
      <alignment horizontal="center" vertical="center" wrapText="1"/>
    </xf>
    <xf numFmtId="171" fontId="118" fillId="55" borderId="190" xfId="2697" applyNumberFormat="1" applyFont="1" applyFill="1" applyBorder="1" applyAlignment="1">
      <alignment horizontal="center" vertical="center" wrapText="1"/>
    </xf>
    <xf numFmtId="0" fontId="222" fillId="0" borderId="178" xfId="0" applyFont="1" applyBorder="1" applyAlignment="1">
      <alignment horizontal="right"/>
    </xf>
    <xf numFmtId="0" fontId="206" fillId="0" borderId="198" xfId="832" applyFont="1" applyBorder="1"/>
    <xf numFmtId="0" fontId="206" fillId="33" borderId="198" xfId="0" applyFont="1" applyFill="1" applyBorder="1"/>
    <xf numFmtId="0" fontId="209" fillId="33" borderId="188" xfId="831" applyFont="1" applyFill="1" applyBorder="1" applyAlignment="1">
      <alignment vertical="center"/>
    </xf>
    <xf numFmtId="0" fontId="209" fillId="33" borderId="192" xfId="831" applyFont="1" applyFill="1" applyBorder="1" applyAlignment="1">
      <alignment vertical="center"/>
    </xf>
    <xf numFmtId="0" fontId="209" fillId="0" borderId="187" xfId="832" applyFont="1" applyBorder="1" applyAlignment="1">
      <alignment horizontal="center"/>
    </xf>
    <xf numFmtId="0" fontId="209" fillId="44" borderId="187" xfId="832" applyFont="1" applyFill="1" applyBorder="1" applyAlignment="1">
      <alignment horizontal="center"/>
    </xf>
    <xf numFmtId="0" fontId="209" fillId="44" borderId="187" xfId="0" applyFont="1" applyFill="1" applyBorder="1"/>
    <xf numFmtId="0" fontId="206" fillId="0" borderId="187" xfId="832" applyFont="1" applyBorder="1" applyAlignment="1">
      <alignment horizontal="center"/>
    </xf>
    <xf numFmtId="0" fontId="206" fillId="33" borderId="189" xfId="789" applyFont="1" applyFill="1" applyBorder="1"/>
    <xf numFmtId="17" fontId="206" fillId="0" borderId="190" xfId="0" applyNumberFormat="1" applyFont="1" applyBorder="1"/>
    <xf numFmtId="195" fontId="206" fillId="0" borderId="187" xfId="832" applyNumberFormat="1" applyFont="1" applyBorder="1"/>
    <xf numFmtId="0" fontId="206" fillId="0" borderId="156" xfId="0" applyFont="1" applyBorder="1"/>
    <xf numFmtId="17" fontId="206" fillId="0" borderId="155" xfId="0" applyNumberFormat="1" applyFont="1" applyBorder="1"/>
    <xf numFmtId="172" fontId="216" fillId="0" borderId="187" xfId="863" applyNumberFormat="1" applyFont="1" applyFill="1" applyBorder="1" applyAlignment="1">
      <alignment vertical="top"/>
    </xf>
    <xf numFmtId="165" fontId="228" fillId="44" borderId="187" xfId="863" applyNumberFormat="1" applyFont="1" applyFill="1" applyBorder="1" applyAlignment="1">
      <alignment vertical="top"/>
    </xf>
    <xf numFmtId="165" fontId="216" fillId="0" borderId="187" xfId="863" applyNumberFormat="1" applyFont="1" applyFill="1" applyBorder="1" applyAlignment="1">
      <alignment vertical="top"/>
    </xf>
    <xf numFmtId="0" fontId="208" fillId="0" borderId="186" xfId="832" applyFont="1" applyBorder="1"/>
    <xf numFmtId="0" fontId="206" fillId="0" borderId="186" xfId="832" applyFont="1" applyBorder="1"/>
    <xf numFmtId="0" fontId="206" fillId="0" borderId="188" xfId="0" applyFont="1" applyBorder="1" applyAlignment="1">
      <alignment horizontal="right"/>
    </xf>
    <xf numFmtId="0" fontId="206" fillId="0" borderId="192" xfId="832" applyFont="1" applyBorder="1" applyAlignment="1">
      <alignment horizontal="left"/>
    </xf>
    <xf numFmtId="0" fontId="206" fillId="41" borderId="188" xfId="0" applyFont="1" applyFill="1" applyBorder="1" applyAlignment="1">
      <alignment horizontal="right"/>
    </xf>
    <xf numFmtId="0" fontId="206" fillId="41" borderId="192" xfId="832" applyFont="1" applyFill="1" applyBorder="1" applyAlignment="1">
      <alignment horizontal="left"/>
    </xf>
    <xf numFmtId="171" fontId="206" fillId="0" borderId="191" xfId="0" applyNumberFormat="1" applyFont="1" applyBorder="1"/>
    <xf numFmtId="171" fontId="206" fillId="0" borderId="178" xfId="0" applyNumberFormat="1" applyFont="1" applyBorder="1"/>
    <xf numFmtId="167" fontId="209" fillId="0" borderId="188" xfId="815" applyFont="1" applyFill="1" applyBorder="1"/>
    <xf numFmtId="167" fontId="209" fillId="0" borderId="192" xfId="815" applyFont="1" applyFill="1" applyBorder="1"/>
    <xf numFmtId="167" fontId="209" fillId="0" borderId="186" xfId="815" applyFont="1" applyFill="1" applyBorder="1"/>
    <xf numFmtId="167" fontId="206" fillId="0" borderId="188" xfId="815" applyFont="1" applyFill="1" applyBorder="1"/>
    <xf numFmtId="167" fontId="206" fillId="0" borderId="192" xfId="815" applyFont="1" applyFill="1" applyBorder="1"/>
    <xf numFmtId="167" fontId="209" fillId="0" borderId="188" xfId="815" applyFont="1" applyBorder="1"/>
    <xf numFmtId="167" fontId="209" fillId="0" borderId="192" xfId="815" applyFont="1" applyBorder="1"/>
    <xf numFmtId="0" fontId="206" fillId="41" borderId="192" xfId="832" applyFont="1" applyFill="1" applyBorder="1" applyAlignment="1">
      <alignment horizontal="center"/>
    </xf>
    <xf numFmtId="167" fontId="209" fillId="0" borderId="187" xfId="815" applyFont="1" applyBorder="1"/>
    <xf numFmtId="0" fontId="35" fillId="33" borderId="194" xfId="831" applyFont="1" applyFill="1" applyBorder="1" applyAlignment="1">
      <alignment horizontal="left"/>
    </xf>
    <xf numFmtId="0" fontId="40" fillId="39" borderId="187" xfId="831" applyFont="1" applyFill="1" applyBorder="1" applyAlignment="1">
      <alignment horizontal="center" vertical="center"/>
    </xf>
    <xf numFmtId="14" fontId="34" fillId="0" borderId="0" xfId="831" applyNumberFormat="1" applyFont="1"/>
    <xf numFmtId="17" fontId="44" fillId="0" borderId="187" xfId="831" applyNumberFormat="1" applyFont="1" applyBorder="1" applyAlignment="1">
      <alignment horizontal="center"/>
    </xf>
    <xf numFmtId="172" fontId="44" fillId="0" borderId="187" xfId="863" applyNumberFormat="1" applyFont="1" applyBorder="1" applyAlignment="1">
      <alignment horizontal="center"/>
    </xf>
    <xf numFmtId="196" fontId="44" fillId="0" borderId="187" xfId="863" applyNumberFormat="1" applyFont="1" applyBorder="1" applyAlignment="1">
      <alignment horizontal="center"/>
    </xf>
    <xf numFmtId="0" fontId="3" fillId="0" borderId="0" xfId="43418" applyFont="1"/>
    <xf numFmtId="0" fontId="3" fillId="0" borderId="0" xfId="43418" quotePrefix="1" applyFont="1"/>
    <xf numFmtId="0" fontId="3" fillId="0" borderId="0" xfId="43418" applyFont="1" applyAlignment="1">
      <alignment horizontal="center" vertical="center"/>
    </xf>
    <xf numFmtId="40" fontId="121" fillId="0" borderId="187" xfId="43410" applyNumberFormat="1" applyFont="1" applyBorder="1" applyAlignment="1">
      <alignment vertical="center"/>
    </xf>
    <xf numFmtId="40" fontId="121" fillId="42" borderId="187" xfId="43410" applyNumberFormat="1" applyFont="1" applyFill="1" applyBorder="1" applyAlignment="1">
      <alignment vertical="center"/>
    </xf>
    <xf numFmtId="0" fontId="51" fillId="107" borderId="199" xfId="43411" applyFont="1" applyFill="1" applyBorder="1" applyAlignment="1">
      <alignment horizontal="center"/>
    </xf>
    <xf numFmtId="0" fontId="51" fillId="0" borderId="200" xfId="43411" applyFont="1" applyBorder="1" applyAlignment="1">
      <alignment horizontal="right" wrapText="1"/>
    </xf>
    <xf numFmtId="0" fontId="51" fillId="0" borderId="200" xfId="43411" applyFont="1" applyBorder="1" applyAlignment="1">
      <alignment wrapText="1"/>
    </xf>
    <xf numFmtId="14" fontId="51" fillId="0" borderId="200" xfId="43411" applyNumberFormat="1" applyFont="1" applyBorder="1" applyAlignment="1">
      <alignment horizontal="right" wrapText="1"/>
    </xf>
    <xf numFmtId="267" fontId="51" fillId="0" borderId="200" xfId="43411" applyNumberFormat="1" applyFont="1" applyBorder="1" applyAlignment="1">
      <alignment horizontal="right" wrapText="1"/>
    </xf>
    <xf numFmtId="0" fontId="252" fillId="0" borderId="187" xfId="7308" applyFont="1" applyBorder="1"/>
    <xf numFmtId="214" fontId="251" fillId="0" borderId="187" xfId="7308" applyNumberFormat="1" applyFont="1" applyBorder="1"/>
    <xf numFmtId="0" fontId="262" fillId="0" borderId="187" xfId="7308" applyFont="1" applyBorder="1" applyAlignment="1">
      <alignment vertical="center"/>
    </xf>
    <xf numFmtId="0" fontId="251" fillId="42" borderId="187" xfId="7308" applyFont="1" applyFill="1" applyBorder="1" applyAlignment="1">
      <alignment horizontal="center"/>
    </xf>
    <xf numFmtId="0" fontId="251" fillId="0" borderId="187" xfId="7308" applyFont="1" applyBorder="1"/>
    <xf numFmtId="174" fontId="251" fillId="0" borderId="187" xfId="7308" applyNumberFormat="1" applyFont="1" applyBorder="1"/>
    <xf numFmtId="266" fontId="251" fillId="0" borderId="187" xfId="7308" applyNumberFormat="1" applyFont="1" applyBorder="1"/>
    <xf numFmtId="10" fontId="256" fillId="0" borderId="187" xfId="7308" applyNumberFormat="1" applyFont="1" applyBorder="1" applyAlignment="1">
      <alignment horizontal="right" vertical="center"/>
    </xf>
    <xf numFmtId="214" fontId="251" fillId="0" borderId="187" xfId="43165" applyNumberFormat="1" applyFont="1" applyBorder="1"/>
    <xf numFmtId="167" fontId="259" fillId="41" borderId="187" xfId="902" applyFont="1" applyFill="1" applyBorder="1" applyAlignment="1">
      <alignment horizontal="center"/>
    </xf>
    <xf numFmtId="0" fontId="251" fillId="0" borderId="187" xfId="7308" applyFont="1" applyBorder="1" applyAlignment="1">
      <alignment horizontal="right"/>
    </xf>
    <xf numFmtId="0" fontId="251" fillId="0" borderId="187" xfId="7308" applyFont="1" applyBorder="1" applyAlignment="1">
      <alignment horizontal="center"/>
    </xf>
    <xf numFmtId="10" fontId="258" fillId="0" borderId="187" xfId="7308" applyNumberFormat="1" applyFont="1" applyBorder="1" applyAlignment="1">
      <alignment horizontal="center"/>
    </xf>
    <xf numFmtId="167" fontId="262" fillId="0" borderId="187" xfId="7308" applyNumberFormat="1" applyFont="1" applyBorder="1" applyAlignment="1">
      <alignment vertical="center"/>
    </xf>
    <xf numFmtId="0" fontId="262" fillId="0" borderId="193" xfId="7308" applyFont="1" applyBorder="1" applyAlignment="1">
      <alignment vertical="center"/>
    </xf>
    <xf numFmtId="43" fontId="262" fillId="0" borderId="187" xfId="7308" applyNumberFormat="1" applyFont="1" applyBorder="1" applyAlignment="1">
      <alignment vertical="center"/>
    </xf>
    <xf numFmtId="43" fontId="262" fillId="0" borderId="188" xfId="7308" applyNumberFormat="1" applyFont="1" applyBorder="1" applyAlignment="1">
      <alignment vertical="center"/>
    </xf>
    <xf numFmtId="10" fontId="263" fillId="0" borderId="196" xfId="1095" applyNumberFormat="1" applyFont="1" applyFill="1" applyBorder="1" applyAlignment="1">
      <alignment vertical="center"/>
    </xf>
    <xf numFmtId="10" fontId="263" fillId="0" borderId="187" xfId="1095" applyNumberFormat="1" applyFont="1" applyFill="1" applyBorder="1" applyAlignment="1">
      <alignment vertical="center"/>
    </xf>
    <xf numFmtId="10" fontId="263" fillId="0" borderId="187" xfId="1095" applyNumberFormat="1" applyFont="1" applyBorder="1" applyAlignment="1">
      <alignment vertical="center"/>
    </xf>
    <xf numFmtId="10" fontId="262" fillId="0" borderId="187" xfId="7308" applyNumberFormat="1" applyFont="1" applyBorder="1" applyAlignment="1">
      <alignment vertical="center"/>
    </xf>
    <xf numFmtId="0" fontId="252" fillId="105" borderId="188" xfId="7308" applyFont="1" applyFill="1" applyBorder="1"/>
    <xf numFmtId="167" fontId="252" fillId="41" borderId="187" xfId="902" applyFont="1" applyFill="1" applyBorder="1"/>
    <xf numFmtId="0" fontId="251" fillId="0" borderId="201" xfId="7308" applyFont="1" applyBorder="1"/>
    <xf numFmtId="167" fontId="251" fillId="41" borderId="196" xfId="902" applyFont="1" applyFill="1" applyBorder="1"/>
    <xf numFmtId="0" fontId="255" fillId="0" borderId="187" xfId="7308" applyFont="1" applyBorder="1" applyAlignment="1">
      <alignment horizontal="center" vertical="center"/>
    </xf>
    <xf numFmtId="0" fontId="252" fillId="0" borderId="187" xfId="7308" applyFont="1" applyBorder="1" applyAlignment="1">
      <alignment horizontal="center"/>
    </xf>
    <xf numFmtId="0" fontId="255" fillId="0" borderId="187" xfId="7308" applyFont="1" applyBorder="1" applyAlignment="1">
      <alignment vertical="center"/>
    </xf>
    <xf numFmtId="2" fontId="256" fillId="0" borderId="187" xfId="7308" applyNumberFormat="1" applyFont="1" applyBorder="1" applyAlignment="1">
      <alignment horizontal="center" vertical="center"/>
    </xf>
    <xf numFmtId="0" fontId="257" fillId="42" borderId="187" xfId="7308" applyFont="1" applyFill="1" applyBorder="1" applyAlignment="1">
      <alignment horizontal="center" vertical="center"/>
    </xf>
    <xf numFmtId="10" fontId="256" fillId="42" borderId="187" xfId="7308" applyNumberFormat="1" applyFont="1" applyFill="1" applyBorder="1" applyAlignment="1">
      <alignment horizontal="center" vertical="center"/>
    </xf>
    <xf numFmtId="0" fontId="258" fillId="61" borderId="187" xfId="7308" applyFont="1" applyFill="1" applyBorder="1"/>
    <xf numFmtId="2" fontId="251" fillId="42" borderId="187" xfId="7308" applyNumberFormat="1" applyFont="1" applyFill="1" applyBorder="1" applyAlignment="1">
      <alignment horizontal="center"/>
    </xf>
    <xf numFmtId="2" fontId="256" fillId="42" borderId="187" xfId="7308" applyNumberFormat="1" applyFont="1" applyFill="1" applyBorder="1" applyAlignment="1">
      <alignment horizontal="center" vertical="center"/>
    </xf>
    <xf numFmtId="167" fontId="259" fillId="42" borderId="187" xfId="902" applyFont="1" applyFill="1" applyBorder="1"/>
    <xf numFmtId="0" fontId="251" fillId="46" borderId="187" xfId="7308" applyFont="1" applyFill="1" applyBorder="1"/>
    <xf numFmtId="265" fontId="251" fillId="0" borderId="187" xfId="7308" applyNumberFormat="1" applyFont="1" applyBorder="1"/>
    <xf numFmtId="2" fontId="251" fillId="0" borderId="187" xfId="7308" applyNumberFormat="1" applyFont="1" applyBorder="1"/>
    <xf numFmtId="10" fontId="251" fillId="0" borderId="187" xfId="7308" applyNumberFormat="1" applyFont="1" applyBorder="1"/>
    <xf numFmtId="173" fontId="251" fillId="0" borderId="187" xfId="7308" applyNumberFormat="1" applyFont="1" applyBorder="1"/>
    <xf numFmtId="167" fontId="252" fillId="101" borderId="187" xfId="902" applyFont="1" applyFill="1" applyBorder="1"/>
    <xf numFmtId="0" fontId="252" fillId="59" borderId="186" xfId="2697" applyFont="1" applyFill="1" applyBorder="1" applyAlignment="1">
      <alignment vertical="center"/>
    </xf>
    <xf numFmtId="4" fontId="252" fillId="59" borderId="186" xfId="2697" applyNumberFormat="1" applyFont="1" applyFill="1" applyBorder="1" applyAlignment="1">
      <alignment vertical="center"/>
    </xf>
    <xf numFmtId="167" fontId="251" fillId="101" borderId="196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168" fontId="284" fillId="42" borderId="0" xfId="863" applyFont="1" applyFill="1" applyBorder="1"/>
    <xf numFmtId="167" fontId="206" fillId="41" borderId="166" xfId="815" applyFont="1" applyFill="1" applyBorder="1"/>
    <xf numFmtId="0" fontId="213" fillId="43" borderId="166" xfId="0" applyFont="1" applyFill="1" applyBorder="1" applyAlignment="1">
      <alignment horizontal="center" vertical="center" wrapText="1"/>
    </xf>
    <xf numFmtId="0" fontId="206" fillId="0" borderId="0" xfId="847" applyNumberFormat="1" applyFont="1"/>
    <xf numFmtId="10" fontId="206" fillId="106" borderId="178" xfId="0" applyNumberFormat="1" applyFont="1" applyFill="1" applyBorder="1"/>
    <xf numFmtId="168" fontId="206" fillId="106" borderId="178" xfId="863" applyFont="1" applyFill="1" applyBorder="1"/>
    <xf numFmtId="168" fontId="31" fillId="0" borderId="0" xfId="863" applyFont="1" applyFill="1" applyAlignment="1">
      <alignment horizontal="center" vertical="distributed"/>
    </xf>
    <xf numFmtId="49" fontId="31" fillId="0" borderId="0" xfId="0" applyNumberFormat="1" applyFont="1" applyAlignment="1">
      <alignment horizontal="center" vertical="distributed"/>
    </xf>
    <xf numFmtId="168" fontId="213" fillId="43" borderId="186" xfId="0" applyNumberFormat="1" applyFont="1" applyFill="1" applyBorder="1" applyAlignment="1">
      <alignment horizontal="center" vertical="center" wrapText="1"/>
    </xf>
    <xf numFmtId="0" fontId="251" fillId="0" borderId="0" xfId="0" applyFont="1" applyAlignment="1">
      <alignment horizontal="left" vertical="center"/>
    </xf>
    <xf numFmtId="0" fontId="251" fillId="0" borderId="0" xfId="0" applyFont="1" applyAlignment="1">
      <alignment horizontal="right" vertical="center"/>
    </xf>
    <xf numFmtId="168" fontId="251" fillId="115" borderId="0" xfId="863" applyFont="1" applyFill="1" applyBorder="1" applyAlignment="1">
      <alignment vertical="center"/>
    </xf>
    <xf numFmtId="168" fontId="206" fillId="121" borderId="0" xfId="863" applyFont="1" applyFill="1"/>
    <xf numFmtId="0" fontId="206" fillId="121" borderId="0" xfId="0" applyFont="1" applyFill="1" applyAlignment="1">
      <alignment horizontal="left"/>
    </xf>
    <xf numFmtId="0" fontId="213" fillId="43" borderId="144" xfId="0" applyFont="1" applyFill="1" applyBorder="1" applyAlignment="1">
      <alignment horizontal="center" vertical="center" wrapText="1"/>
    </xf>
    <xf numFmtId="167" fontId="206" fillId="0" borderId="166" xfId="815" applyFont="1" applyFill="1" applyBorder="1"/>
    <xf numFmtId="0" fontId="251" fillId="42" borderId="202" xfId="0" applyFont="1" applyFill="1" applyBorder="1" applyAlignment="1">
      <alignment vertical="center"/>
    </xf>
    <xf numFmtId="0" fontId="261" fillId="39" borderId="149" xfId="831" applyFont="1" applyFill="1" applyBorder="1" applyAlignment="1">
      <alignment horizontal="left" vertical="center"/>
    </xf>
    <xf numFmtId="0" fontId="261" fillId="39" borderId="184" xfId="831" applyFont="1" applyFill="1" applyBorder="1" applyAlignment="1">
      <alignment horizontal="left" vertical="center"/>
    </xf>
    <xf numFmtId="168" fontId="261" fillId="39" borderId="184" xfId="863" applyFont="1" applyFill="1" applyBorder="1" applyAlignment="1">
      <alignment horizontal="left" vertical="center"/>
    </xf>
    <xf numFmtId="0" fontId="261" fillId="39" borderId="148" xfId="831" applyFont="1" applyFill="1" applyBorder="1" applyAlignment="1">
      <alignment horizontal="left" vertical="center"/>
    </xf>
    <xf numFmtId="14" fontId="251" fillId="0" borderId="152" xfId="831" applyNumberFormat="1" applyFont="1" applyBorder="1" applyAlignment="1">
      <alignment horizontal="center" vertical="center"/>
    </xf>
    <xf numFmtId="0" fontId="251" fillId="0" borderId="152" xfId="831" applyFont="1" applyBorder="1" applyAlignment="1">
      <alignment vertical="center"/>
    </xf>
    <xf numFmtId="168" fontId="251" fillId="0" borderId="152" xfId="863" applyFont="1" applyBorder="1" applyAlignment="1">
      <alignment vertical="center"/>
    </xf>
    <xf numFmtId="272" fontId="251" fillId="0" borderId="152" xfId="863" applyNumberFormat="1" applyFont="1" applyBorder="1" applyAlignment="1">
      <alignment vertical="center"/>
    </xf>
    <xf numFmtId="0" fontId="251" fillId="0" borderId="0" xfId="831" applyFont="1"/>
    <xf numFmtId="0" fontId="317" fillId="0" borderId="0" xfId="0" applyFont="1"/>
    <xf numFmtId="0" fontId="316" fillId="0" borderId="0" xfId="43418" applyFont="1" applyAlignment="1">
      <alignment horizontal="center" vertical="center" wrapText="1"/>
    </xf>
    <xf numFmtId="214" fontId="251" fillId="0" borderId="0" xfId="0" applyNumberFormat="1" applyFont="1" applyAlignment="1">
      <alignment horizontal="center"/>
    </xf>
    <xf numFmtId="214" fontId="252" fillId="0" borderId="0" xfId="0" applyNumberFormat="1" applyFont="1" applyAlignment="1">
      <alignment horizontal="center"/>
    </xf>
    <xf numFmtId="43" fontId="206" fillId="106" borderId="0" xfId="863" applyNumberFormat="1" applyFont="1" applyFill="1" applyBorder="1"/>
    <xf numFmtId="43" fontId="206" fillId="106" borderId="178" xfId="863" applyNumberFormat="1" applyFont="1" applyFill="1" applyBorder="1"/>
    <xf numFmtId="0" fontId="316" fillId="124" borderId="144" xfId="0" applyFont="1" applyFill="1" applyBorder="1"/>
    <xf numFmtId="0" fontId="316" fillId="100" borderId="144" xfId="0" applyFont="1" applyFill="1" applyBorder="1" applyAlignment="1">
      <alignment horizontal="center"/>
    </xf>
    <xf numFmtId="0" fontId="316" fillId="100" borderId="178" xfId="0" applyFont="1" applyFill="1" applyBorder="1" applyAlignment="1">
      <alignment horizontal="center"/>
    </xf>
    <xf numFmtId="0" fontId="252" fillId="123" borderId="144" xfId="0" applyFont="1" applyFill="1" applyBorder="1"/>
    <xf numFmtId="17" fontId="314" fillId="122" borderId="144" xfId="0" applyNumberFormat="1" applyFont="1" applyFill="1" applyBorder="1" applyAlignment="1">
      <alignment horizontal="center"/>
    </xf>
    <xf numFmtId="214" fontId="263" fillId="0" borderId="0" xfId="863" applyNumberFormat="1" applyFont="1" applyFill="1" applyBorder="1" applyAlignment="1">
      <alignment horizontal="center"/>
    </xf>
    <xf numFmtId="0" fontId="316" fillId="0" borderId="0" xfId="0" applyFont="1" applyAlignment="1">
      <alignment horizontal="center"/>
    </xf>
    <xf numFmtId="17" fontId="314" fillId="0" borderId="0" xfId="0" applyNumberFormat="1" applyFont="1" applyAlignment="1">
      <alignment horizontal="center"/>
    </xf>
    <xf numFmtId="0" fontId="320" fillId="0" borderId="0" xfId="0" applyFont="1"/>
    <xf numFmtId="167" fontId="251" fillId="0" borderId="0" xfId="815" applyFont="1"/>
    <xf numFmtId="167" fontId="251" fillId="59" borderId="144" xfId="815" applyFont="1" applyFill="1" applyBorder="1"/>
    <xf numFmtId="0" fontId="252" fillId="0" borderId="149" xfId="0" applyFont="1" applyBorder="1"/>
    <xf numFmtId="214" fontId="319" fillId="125" borderId="148" xfId="863" applyNumberFormat="1" applyFont="1" applyFill="1" applyBorder="1" applyAlignment="1">
      <alignment horizontal="center"/>
    </xf>
    <xf numFmtId="0" fontId="316" fillId="0" borderId="0" xfId="43418" applyFont="1" applyAlignment="1">
      <alignment horizontal="center" vertical="center"/>
    </xf>
    <xf numFmtId="17" fontId="318" fillId="0" borderId="0" xfId="43418" applyNumberFormat="1" applyFont="1" applyAlignment="1">
      <alignment horizontal="center"/>
    </xf>
    <xf numFmtId="0" fontId="318" fillId="0" borderId="0" xfId="43418" applyFont="1" applyAlignment="1">
      <alignment horizontal="center"/>
    </xf>
    <xf numFmtId="0" fontId="318" fillId="0" borderId="0" xfId="43418" applyFont="1" applyAlignment="1">
      <alignment horizontal="center" vertical="center"/>
    </xf>
    <xf numFmtId="214" fontId="318" fillId="0" borderId="0" xfId="43418" applyNumberFormat="1" applyFont="1" applyAlignment="1">
      <alignment horizontal="center"/>
    </xf>
    <xf numFmtId="17" fontId="258" fillId="0" borderId="0" xfId="43418" applyNumberFormat="1" applyFont="1" applyAlignment="1">
      <alignment horizontal="center"/>
    </xf>
    <xf numFmtId="0" fontId="258" fillId="0" borderId="0" xfId="43418" applyFont="1" applyAlignment="1">
      <alignment horizontal="center"/>
    </xf>
    <xf numFmtId="0" fontId="252" fillId="0" borderId="0" xfId="0" applyFont="1" applyAlignment="1">
      <alignment horizontal="center"/>
    </xf>
    <xf numFmtId="170" fontId="258" fillId="0" borderId="0" xfId="863" applyNumberFormat="1" applyFont="1" applyFill="1" applyBorder="1" applyAlignment="1">
      <alignment vertical="center" wrapText="1"/>
    </xf>
    <xf numFmtId="170" fontId="311" fillId="0" borderId="0" xfId="863" applyNumberFormat="1" applyFont="1" applyFill="1" applyBorder="1" applyAlignment="1">
      <alignment vertical="center" wrapText="1"/>
    </xf>
    <xf numFmtId="43" fontId="251" fillId="0" borderId="0" xfId="43408" applyFont="1" applyFill="1" applyBorder="1" applyAlignment="1">
      <alignment vertical="center" wrapText="1"/>
    </xf>
    <xf numFmtId="168" fontId="251" fillId="0" borderId="0" xfId="863" applyFont="1" applyFill="1" applyBorder="1" applyAlignment="1">
      <alignment vertical="center" wrapText="1"/>
    </xf>
    <xf numFmtId="0" fontId="307" fillId="0" borderId="0" xfId="43437" applyFont="1" applyAlignment="1">
      <alignment horizontal="right" vertical="center"/>
    </xf>
    <xf numFmtId="0" fontId="308" fillId="0" borderId="0" xfId="43437" applyFont="1" applyAlignment="1">
      <alignment vertical="center"/>
    </xf>
    <xf numFmtId="0" fontId="308" fillId="0" borderId="0" xfId="43437" applyFont="1" applyAlignment="1">
      <alignment vertical="center" wrapText="1"/>
    </xf>
    <xf numFmtId="0" fontId="309" fillId="0" borderId="0" xfId="43437" applyFont="1" applyAlignment="1">
      <alignment vertical="center"/>
    </xf>
    <xf numFmtId="0" fontId="44" fillId="0" borderId="0" xfId="43437" applyFont="1" applyAlignment="1">
      <alignment vertical="center"/>
    </xf>
    <xf numFmtId="0" fontId="310" fillId="0" borderId="0" xfId="43437" applyFont="1" applyAlignment="1">
      <alignment vertical="center"/>
    </xf>
    <xf numFmtId="0" fontId="251" fillId="0" borderId="0" xfId="43437" applyFont="1" applyAlignment="1">
      <alignment vertical="center" wrapText="1"/>
    </xf>
    <xf numFmtId="0" fontId="251" fillId="0" borderId="0" xfId="43437" applyFont="1" applyAlignment="1">
      <alignment vertical="center"/>
    </xf>
    <xf numFmtId="0" fontId="261" fillId="0" borderId="0" xfId="43438" applyFont="1" applyAlignment="1">
      <alignment horizontal="center" vertical="center" wrapText="1"/>
    </xf>
    <xf numFmtId="0" fontId="251" fillId="0" borderId="0" xfId="43437" applyFont="1" applyAlignment="1">
      <alignment horizontal="right" vertical="center"/>
    </xf>
    <xf numFmtId="0" fontId="252" fillId="0" borderId="0" xfId="43437" quotePrefix="1" applyFont="1" applyAlignment="1">
      <alignment horizontal="left" vertical="center"/>
    </xf>
    <xf numFmtId="170" fontId="252" fillId="0" borderId="0" xfId="863" applyNumberFormat="1" applyFont="1" applyFill="1" applyBorder="1" applyAlignment="1">
      <alignment vertical="center" wrapText="1"/>
    </xf>
    <xf numFmtId="170" fontId="252" fillId="0" borderId="0" xfId="863" applyNumberFormat="1" applyFont="1" applyFill="1" applyBorder="1" applyAlignment="1">
      <alignment vertical="center"/>
    </xf>
    <xf numFmtId="168" fontId="251" fillId="0" borderId="0" xfId="43186" applyFont="1" applyFill="1" applyBorder="1" applyAlignment="1">
      <alignment vertical="center" wrapText="1"/>
    </xf>
    <xf numFmtId="39" fontId="251" fillId="0" borderId="0" xfId="43437" applyNumberFormat="1" applyFont="1" applyAlignment="1">
      <alignment vertical="center"/>
    </xf>
    <xf numFmtId="277" fontId="251" fillId="0" borderId="0" xfId="43439" applyNumberFormat="1" applyFont="1" applyFill="1" applyBorder="1" applyAlignment="1">
      <alignment vertical="center" wrapText="1"/>
    </xf>
    <xf numFmtId="277" fontId="252" fillId="0" borderId="0" xfId="43439" applyNumberFormat="1" applyFont="1" applyFill="1" applyBorder="1" applyAlignment="1">
      <alignment vertical="center" wrapText="1"/>
    </xf>
    <xf numFmtId="0" fontId="314" fillId="0" borderId="0" xfId="43440" applyFont="1" applyAlignment="1">
      <alignment vertical="center"/>
    </xf>
    <xf numFmtId="0" fontId="316" fillId="118" borderId="188" xfId="43440" applyFont="1" applyFill="1" applyBorder="1" applyAlignment="1">
      <alignment horizontal="center" vertical="center" wrapText="1"/>
    </xf>
    <xf numFmtId="0" fontId="316" fillId="118" borderId="203" xfId="43440" applyFont="1" applyFill="1" applyBorder="1" applyAlignment="1">
      <alignment horizontal="center" vertical="center" wrapText="1"/>
    </xf>
    <xf numFmtId="4" fontId="316" fillId="118" borderId="184" xfId="43440" applyNumberFormat="1" applyFont="1" applyFill="1" applyBorder="1" applyAlignment="1">
      <alignment horizontal="center" vertical="center" wrapText="1"/>
    </xf>
    <xf numFmtId="0" fontId="316" fillId="118" borderId="204" xfId="43440" applyFont="1" applyFill="1" applyBorder="1" applyAlignment="1">
      <alignment horizontal="center" vertical="center" wrapText="1"/>
    </xf>
    <xf numFmtId="4" fontId="316" fillId="118" borderId="205" xfId="43440" applyNumberFormat="1" applyFont="1" applyFill="1" applyBorder="1" applyAlignment="1">
      <alignment horizontal="center" vertical="center" wrapText="1"/>
    </xf>
    <xf numFmtId="168" fontId="314" fillId="126" borderId="196" xfId="863" applyFont="1" applyFill="1" applyBorder="1" applyAlignment="1">
      <alignment vertical="center"/>
    </xf>
    <xf numFmtId="168" fontId="314" fillId="126" borderId="188" xfId="863" applyFont="1" applyFill="1" applyBorder="1" applyAlignment="1">
      <alignment vertical="center"/>
    </xf>
    <xf numFmtId="168" fontId="314" fillId="126" borderId="192" xfId="863" applyFont="1" applyFill="1" applyBorder="1" applyAlignment="1">
      <alignment vertical="center"/>
    </xf>
    <xf numFmtId="168" fontId="251" fillId="0" borderId="196" xfId="863" applyFont="1" applyFill="1" applyBorder="1" applyAlignment="1">
      <alignment horizontal="right" vertical="center"/>
    </xf>
    <xf numFmtId="168" fontId="314" fillId="0" borderId="196" xfId="863" applyFont="1" applyFill="1" applyBorder="1" applyAlignment="1">
      <alignment vertical="center"/>
    </xf>
    <xf numFmtId="4" fontId="314" fillId="126" borderId="196" xfId="43440" applyNumberFormat="1" applyFont="1" applyFill="1" applyBorder="1" applyAlignment="1">
      <alignment vertical="center"/>
    </xf>
    <xf numFmtId="4" fontId="314" fillId="0" borderId="196" xfId="43440" applyNumberFormat="1" applyFont="1" applyBorder="1" applyAlignment="1">
      <alignment vertical="center"/>
    </xf>
    <xf numFmtId="168" fontId="321" fillId="127" borderId="196" xfId="863" applyFont="1" applyFill="1" applyBorder="1" applyAlignment="1">
      <alignment vertical="center"/>
    </xf>
    <xf numFmtId="0" fontId="314" fillId="0" borderId="188" xfId="43440" applyFont="1" applyBorder="1" applyAlignment="1">
      <alignment vertical="center"/>
    </xf>
    <xf numFmtId="0" fontId="314" fillId="0" borderId="192" xfId="43440" applyFont="1" applyBorder="1" applyAlignment="1">
      <alignment vertical="center"/>
    </xf>
    <xf numFmtId="43" fontId="251" fillId="42" borderId="187" xfId="43441" applyFont="1" applyFill="1" applyBorder="1" applyAlignment="1">
      <alignment horizontal="right" vertical="center"/>
    </xf>
    <xf numFmtId="168" fontId="314" fillId="0" borderId="0" xfId="863" applyFont="1" applyAlignment="1">
      <alignment vertical="center"/>
    </xf>
    <xf numFmtId="280" fontId="314" fillId="0" borderId="206" xfId="43440" applyNumberFormat="1" applyFont="1" applyBorder="1" applyAlignment="1">
      <alignment horizontal="center" vertical="center"/>
    </xf>
    <xf numFmtId="43" fontId="251" fillId="126" borderId="193" xfId="43441" applyFont="1" applyFill="1" applyBorder="1" applyAlignment="1">
      <alignment vertical="center"/>
    </xf>
    <xf numFmtId="43" fontId="251" fillId="126" borderId="0" xfId="43441" applyFont="1" applyFill="1" applyAlignment="1">
      <alignment vertical="center"/>
    </xf>
    <xf numFmtId="0" fontId="314" fillId="126" borderId="193" xfId="43440" applyFont="1" applyFill="1" applyBorder="1" applyAlignment="1">
      <alignment vertical="center"/>
    </xf>
    <xf numFmtId="168" fontId="251" fillId="0" borderId="193" xfId="863" applyFont="1" applyBorder="1" applyAlignment="1">
      <alignment vertical="center"/>
    </xf>
    <xf numFmtId="43" fontId="251" fillId="126" borderId="10" xfId="43441" applyFont="1" applyFill="1" applyBorder="1" applyAlignment="1">
      <alignment vertical="center"/>
    </xf>
    <xf numFmtId="0" fontId="314" fillId="126" borderId="10" xfId="43440" applyFont="1" applyFill="1" applyBorder="1" applyAlignment="1">
      <alignment vertical="center"/>
    </xf>
    <xf numFmtId="43" fontId="251" fillId="0" borderId="10" xfId="43441" applyFont="1" applyBorder="1" applyAlignment="1">
      <alignment vertical="center"/>
    </xf>
    <xf numFmtId="43" fontId="251" fillId="0" borderId="0" xfId="43441" applyFont="1" applyAlignment="1">
      <alignment vertical="center"/>
    </xf>
    <xf numFmtId="0" fontId="314" fillId="126" borderId="0" xfId="43440" applyFont="1" applyFill="1" applyAlignment="1">
      <alignment vertical="center"/>
    </xf>
    <xf numFmtId="4" fontId="263" fillId="126" borderId="10" xfId="43440" applyNumberFormat="1" applyFont="1" applyFill="1" applyBorder="1" applyAlignment="1">
      <alignment vertical="center"/>
    </xf>
    <xf numFmtId="280" fontId="321" fillId="0" borderId="188" xfId="43440" applyNumberFormat="1" applyFont="1" applyBorder="1" applyAlignment="1">
      <alignment horizontal="center" vertical="center"/>
    </xf>
    <xf numFmtId="168" fontId="321" fillId="0" borderId="187" xfId="863" applyFont="1" applyBorder="1" applyAlignment="1">
      <alignment vertical="center"/>
    </xf>
    <xf numFmtId="0" fontId="44" fillId="128" borderId="0" xfId="0" applyFont="1" applyFill="1"/>
    <xf numFmtId="0" fontId="323" fillId="41" borderId="0" xfId="36379" applyFont="1" applyFill="1"/>
    <xf numFmtId="0" fontId="322" fillId="41" borderId="123" xfId="2697" applyFont="1" applyFill="1" applyBorder="1" applyAlignment="1">
      <alignment horizontal="center"/>
    </xf>
    <xf numFmtId="168" fontId="206" fillId="0" borderId="178" xfId="0" applyNumberFormat="1" applyFont="1" applyBorder="1"/>
    <xf numFmtId="10" fontId="206" fillId="106" borderId="178" xfId="847" applyNumberFormat="1" applyFont="1" applyFill="1" applyBorder="1"/>
    <xf numFmtId="0" fontId="252" fillId="0" borderId="0" xfId="907" applyFont="1" applyAlignment="1">
      <alignment vertical="center"/>
    </xf>
    <xf numFmtId="0" fontId="251" fillId="0" borderId="0" xfId="907" applyFont="1" applyAlignment="1">
      <alignment vertical="center"/>
    </xf>
    <xf numFmtId="0" fontId="313" fillId="43" borderId="187" xfId="907" applyFont="1" applyFill="1" applyBorder="1" applyAlignment="1">
      <alignment vertical="center"/>
    </xf>
    <xf numFmtId="10" fontId="251" fillId="0" borderId="187" xfId="847" applyNumberFormat="1" applyFont="1" applyBorder="1" applyAlignment="1">
      <alignment vertical="center"/>
    </xf>
    <xf numFmtId="170" fontId="251" fillId="0" borderId="10" xfId="863" applyNumberFormat="1" applyFont="1" applyFill="1" applyBorder="1" applyAlignment="1">
      <alignment vertical="center"/>
    </xf>
    <xf numFmtId="170" fontId="311" fillId="0" borderId="193" xfId="863" applyNumberFormat="1" applyFont="1" applyFill="1" applyBorder="1" applyAlignment="1">
      <alignment vertical="center"/>
    </xf>
    <xf numFmtId="170" fontId="251" fillId="0" borderId="193" xfId="863" applyNumberFormat="1" applyFont="1" applyFill="1" applyBorder="1" applyAlignment="1">
      <alignment vertical="center"/>
    </xf>
    <xf numFmtId="167" fontId="251" fillId="0" borderId="0" xfId="815" applyFont="1" applyFill="1" applyBorder="1" applyAlignment="1">
      <alignment vertical="center"/>
    </xf>
    <xf numFmtId="0" fontId="313" fillId="0" borderId="0" xfId="0" applyFont="1" applyAlignment="1">
      <alignment vertical="center"/>
    </xf>
    <xf numFmtId="14" fontId="251" fillId="0" borderId="0" xfId="0" applyNumberFormat="1" applyFont="1" applyAlignment="1">
      <alignment horizontal="left" vertical="center"/>
    </xf>
    <xf numFmtId="272" fontId="251" fillId="0" borderId="0" xfId="863" applyNumberFormat="1" applyFont="1" applyFill="1" applyBorder="1" applyAlignment="1">
      <alignment vertical="center"/>
    </xf>
    <xf numFmtId="278" fontId="251" fillId="0" borderId="0" xfId="0" applyNumberFormat="1" applyFont="1" applyAlignment="1">
      <alignment vertical="center"/>
    </xf>
    <xf numFmtId="0" fontId="252" fillId="0" borderId="0" xfId="0" applyFont="1" applyAlignment="1">
      <alignment vertical="center"/>
    </xf>
    <xf numFmtId="0" fontId="44" fillId="0" borderId="0" xfId="43437" applyFont="1" applyAlignment="1">
      <alignment vertical="center" wrapText="1"/>
    </xf>
    <xf numFmtId="15" fontId="206" fillId="0" borderId="0" xfId="0" applyNumberFormat="1" applyFont="1"/>
    <xf numFmtId="3" fontId="206" fillId="0" borderId="0" xfId="0" applyNumberFormat="1" applyFont="1"/>
    <xf numFmtId="170" fontId="206" fillId="0" borderId="0" xfId="863" applyNumberFormat="1" applyFont="1"/>
    <xf numFmtId="0" fontId="206" fillId="0" borderId="0" xfId="0" applyFont="1" applyAlignment="1">
      <alignment wrapText="1"/>
    </xf>
    <xf numFmtId="168" fontId="206" fillId="0" borderId="0" xfId="863" applyFont="1" applyAlignment="1">
      <alignment wrapText="1"/>
    </xf>
    <xf numFmtId="14" fontId="206" fillId="0" borderId="0" xfId="0" applyNumberFormat="1" applyFont="1" applyAlignment="1">
      <alignment wrapText="1"/>
    </xf>
    <xf numFmtId="0" fontId="206" fillId="0" borderId="191" xfId="907" applyFont="1" applyBorder="1"/>
    <xf numFmtId="273" fontId="206" fillId="0" borderId="0" xfId="847" applyNumberFormat="1" applyFont="1" applyFill="1"/>
    <xf numFmtId="43" fontId="206" fillId="0" borderId="0" xfId="907" applyNumberFormat="1" applyFont="1"/>
    <xf numFmtId="0" fontId="324" fillId="0" borderId="187" xfId="0" applyFont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316" fillId="118" borderId="0" xfId="0" applyFont="1" applyFill="1" applyAlignment="1">
      <alignment vertical="center"/>
    </xf>
    <xf numFmtId="0" fontId="316" fillId="118" borderId="210" xfId="0" applyFont="1" applyFill="1" applyBorder="1" applyAlignment="1">
      <alignment vertical="center"/>
    </xf>
    <xf numFmtId="0" fontId="316" fillId="118" borderId="174" xfId="0" applyFont="1" applyFill="1" applyBorder="1" applyAlignment="1">
      <alignment vertical="center"/>
    </xf>
    <xf numFmtId="49" fontId="314" fillId="121" borderId="0" xfId="43443" applyNumberFormat="1" applyFont="1" applyFill="1" applyAlignment="1">
      <alignment vertical="center"/>
    </xf>
    <xf numFmtId="0" fontId="251" fillId="121" borderId="0" xfId="0" applyFont="1" applyFill="1" applyAlignment="1">
      <alignment horizontal="right" vertical="center"/>
    </xf>
    <xf numFmtId="0" fontId="314" fillId="121" borderId="0" xfId="0" applyFont="1" applyFill="1" applyAlignment="1">
      <alignment horizontal="right" vertical="center"/>
    </xf>
    <xf numFmtId="170" fontId="250" fillId="121" borderId="0" xfId="863" applyNumberFormat="1" applyFont="1" applyFill="1" applyBorder="1" applyAlignment="1">
      <alignment horizontal="right" vertical="center"/>
    </xf>
    <xf numFmtId="0" fontId="206" fillId="33" borderId="209" xfId="829" applyFont="1" applyFill="1" applyBorder="1" applyAlignment="1">
      <alignment horizontal="center"/>
    </xf>
    <xf numFmtId="10" fontId="283" fillId="0" borderId="0" xfId="847" applyNumberFormat="1" applyFont="1" applyFill="1" applyBorder="1" applyAlignment="1">
      <alignment horizontal="center"/>
    </xf>
    <xf numFmtId="0" fontId="206" fillId="33" borderId="209" xfId="829" applyFont="1" applyFill="1" applyBorder="1" applyAlignment="1">
      <alignment horizontal="left"/>
    </xf>
    <xf numFmtId="0" fontId="284" fillId="33" borderId="0" xfId="829" applyFont="1" applyFill="1" applyAlignment="1">
      <alignment horizontal="left"/>
    </xf>
    <xf numFmtId="168" fontId="284" fillId="0" borderId="0" xfId="863" applyFont="1" applyAlignment="1">
      <alignment horizontal="left"/>
    </xf>
    <xf numFmtId="10" fontId="284" fillId="0" borderId="0" xfId="847" applyNumberFormat="1" applyFont="1" applyAlignment="1">
      <alignment horizontal="left"/>
    </xf>
    <xf numFmtId="0" fontId="284" fillId="0" borderId="0" xfId="0" applyFont="1" applyAlignment="1">
      <alignment horizontal="left"/>
    </xf>
    <xf numFmtId="10" fontId="283" fillId="0" borderId="0" xfId="847" applyNumberFormat="1" applyFont="1" applyFill="1" applyBorder="1" applyAlignment="1">
      <alignment horizontal="left"/>
    </xf>
    <xf numFmtId="10" fontId="316" fillId="43" borderId="0" xfId="0" applyNumberFormat="1" applyFont="1" applyFill="1" applyAlignment="1">
      <alignment horizontal="left" vertical="center"/>
    </xf>
    <xf numFmtId="10" fontId="206" fillId="0" borderId="0" xfId="847" applyNumberFormat="1" applyFont="1" applyAlignment="1">
      <alignment horizontal="left"/>
    </xf>
    <xf numFmtId="0" fontId="284" fillId="42" borderId="0" xfId="863" applyNumberFormat="1" applyFont="1" applyFill="1" applyBorder="1"/>
    <xf numFmtId="174" fontId="212" fillId="0" borderId="178" xfId="0" applyNumberFormat="1" applyFont="1" applyBorder="1" applyAlignment="1">
      <alignment horizontal="center"/>
    </xf>
    <xf numFmtId="0" fontId="285" fillId="33" borderId="0" xfId="829" applyFont="1" applyFill="1" applyAlignment="1">
      <alignment horizontal="center" vertical="top"/>
    </xf>
    <xf numFmtId="10" fontId="286" fillId="0" borderId="0" xfId="0" applyNumberFormat="1" applyFont="1" applyAlignment="1">
      <alignment horizontal="center" vertical="top"/>
    </xf>
    <xf numFmtId="0" fontId="288" fillId="43" borderId="186" xfId="0" applyFont="1" applyFill="1" applyBorder="1" applyAlignment="1">
      <alignment horizontal="center"/>
    </xf>
    <xf numFmtId="0" fontId="284" fillId="42" borderId="0" xfId="863" applyNumberFormat="1" applyFont="1" applyFill="1" applyBorder="1" applyAlignment="1">
      <alignment horizontal="center"/>
    </xf>
    <xf numFmtId="10" fontId="284" fillId="45" borderId="0" xfId="847" applyNumberFormat="1" applyFont="1" applyFill="1" applyBorder="1" applyAlignment="1">
      <alignment horizontal="left"/>
    </xf>
    <xf numFmtId="0" fontId="284" fillId="45" borderId="0" xfId="847" applyNumberFormat="1" applyFont="1" applyFill="1" applyBorder="1" applyAlignment="1">
      <alignment horizontal="center"/>
    </xf>
    <xf numFmtId="0" fontId="284" fillId="45" borderId="0" xfId="863" applyNumberFormat="1" applyFont="1" applyFill="1" applyBorder="1" applyAlignment="1">
      <alignment horizontal="center"/>
    </xf>
    <xf numFmtId="10" fontId="284" fillId="112" borderId="0" xfId="847" applyNumberFormat="1" applyFont="1" applyFill="1" applyBorder="1" applyAlignment="1">
      <alignment horizontal="left"/>
    </xf>
    <xf numFmtId="0" fontId="284" fillId="112" borderId="0" xfId="847" applyNumberFormat="1" applyFont="1" applyFill="1" applyBorder="1" applyAlignment="1">
      <alignment horizontal="center"/>
    </xf>
    <xf numFmtId="0" fontId="284" fillId="112" borderId="0" xfId="863" applyNumberFormat="1" applyFont="1" applyFill="1" applyBorder="1" applyAlignment="1">
      <alignment horizontal="center"/>
    </xf>
    <xf numFmtId="10" fontId="284" fillId="119" borderId="0" xfId="847" applyNumberFormat="1" applyFont="1" applyFill="1" applyBorder="1" applyAlignment="1">
      <alignment horizontal="left"/>
    </xf>
    <xf numFmtId="0" fontId="284" fillId="119" borderId="0" xfId="847" applyNumberFormat="1" applyFont="1" applyFill="1" applyBorder="1" applyAlignment="1">
      <alignment horizontal="center"/>
    </xf>
    <xf numFmtId="0" fontId="284" fillId="119" borderId="0" xfId="863" applyNumberFormat="1" applyFont="1" applyFill="1" applyBorder="1" applyAlignment="1">
      <alignment horizontal="center"/>
    </xf>
    <xf numFmtId="168" fontId="284" fillId="129" borderId="0" xfId="863" applyFont="1" applyFill="1" applyBorder="1"/>
    <xf numFmtId="10" fontId="284" fillId="129" borderId="0" xfId="847" applyNumberFormat="1" applyFont="1" applyFill="1" applyBorder="1" applyAlignment="1">
      <alignment horizontal="left"/>
    </xf>
    <xf numFmtId="0" fontId="284" fillId="129" borderId="0" xfId="847" applyNumberFormat="1" applyFont="1" applyFill="1" applyBorder="1" applyAlignment="1">
      <alignment horizontal="center"/>
    </xf>
    <xf numFmtId="0" fontId="284" fillId="129" borderId="0" xfId="863" applyNumberFormat="1" applyFont="1" applyFill="1" applyBorder="1" applyAlignment="1">
      <alignment horizontal="center"/>
    </xf>
    <xf numFmtId="0" fontId="284" fillId="129" borderId="10" xfId="0" applyFont="1" applyFill="1" applyBorder="1"/>
    <xf numFmtId="0" fontId="114" fillId="42" borderId="10" xfId="0" applyFont="1" applyFill="1" applyBorder="1"/>
    <xf numFmtId="0" fontId="284" fillId="42" borderId="10" xfId="0" applyFont="1" applyFill="1" applyBorder="1"/>
    <xf numFmtId="10" fontId="284" fillId="119" borderId="10" xfId="847" applyNumberFormat="1" applyFont="1" applyFill="1" applyBorder="1" applyAlignment="1">
      <alignment horizontal="center"/>
    </xf>
    <xf numFmtId="10" fontId="284" fillId="129" borderId="10" xfId="847" applyNumberFormat="1" applyFont="1" applyFill="1" applyBorder="1" applyAlignment="1">
      <alignment horizontal="left"/>
    </xf>
    <xf numFmtId="0" fontId="284" fillId="42" borderId="10" xfId="863" applyNumberFormat="1" applyFont="1" applyFill="1" applyBorder="1"/>
    <xf numFmtId="10" fontId="284" fillId="119" borderId="10" xfId="847" applyNumberFormat="1" applyFont="1" applyFill="1" applyBorder="1" applyAlignment="1">
      <alignment horizontal="left"/>
    </xf>
    <xf numFmtId="10" fontId="284" fillId="112" borderId="10" xfId="847" applyNumberFormat="1" applyFont="1" applyFill="1" applyBorder="1" applyAlignment="1">
      <alignment horizontal="left"/>
    </xf>
    <xf numFmtId="10" fontId="284" fillId="45" borderId="10" xfId="847" applyNumberFormat="1" applyFont="1" applyFill="1" applyBorder="1" applyAlignment="1">
      <alignment horizontal="left"/>
    </xf>
    <xf numFmtId="10" fontId="284" fillId="111" borderId="10" xfId="847" applyNumberFormat="1" applyFont="1" applyFill="1" applyBorder="1" applyAlignment="1">
      <alignment horizontal="left"/>
    </xf>
    <xf numFmtId="0" fontId="284" fillId="129" borderId="10" xfId="863" applyNumberFormat="1" applyFont="1" applyFill="1" applyBorder="1" applyAlignment="1">
      <alignment horizontal="center"/>
    </xf>
    <xf numFmtId="0" fontId="284" fillId="42" borderId="10" xfId="863" applyNumberFormat="1" applyFont="1" applyFill="1" applyBorder="1" applyAlignment="1">
      <alignment horizontal="center"/>
    </xf>
    <xf numFmtId="0" fontId="284" fillId="119" borderId="10" xfId="863" applyNumberFormat="1" applyFont="1" applyFill="1" applyBorder="1" applyAlignment="1">
      <alignment horizontal="center"/>
    </xf>
    <xf numFmtId="0" fontId="284" fillId="112" borderId="10" xfId="863" applyNumberFormat="1" applyFont="1" applyFill="1" applyBorder="1" applyAlignment="1">
      <alignment horizontal="center"/>
    </xf>
    <xf numFmtId="0" fontId="284" fillId="45" borderId="10" xfId="863" applyNumberFormat="1" applyFont="1" applyFill="1" applyBorder="1" applyAlignment="1">
      <alignment horizontal="center"/>
    </xf>
    <xf numFmtId="0" fontId="284" fillId="111" borderId="10" xfId="863" applyNumberFormat="1" applyFont="1" applyFill="1" applyBorder="1" applyAlignment="1">
      <alignment horizontal="center" vertical="center"/>
    </xf>
    <xf numFmtId="0" fontId="284" fillId="111" borderId="10" xfId="863" applyNumberFormat="1" applyFont="1" applyFill="1" applyBorder="1" applyAlignment="1">
      <alignment horizontal="center"/>
    </xf>
    <xf numFmtId="0" fontId="284" fillId="129" borderId="10" xfId="847" applyNumberFormat="1" applyFont="1" applyFill="1" applyBorder="1" applyAlignment="1">
      <alignment horizontal="center"/>
    </xf>
    <xf numFmtId="0" fontId="284" fillId="119" borderId="10" xfId="847" applyNumberFormat="1" applyFont="1" applyFill="1" applyBorder="1" applyAlignment="1">
      <alignment horizontal="center"/>
    </xf>
    <xf numFmtId="0" fontId="284" fillId="112" borderId="10" xfId="847" applyNumberFormat="1" applyFont="1" applyFill="1" applyBorder="1" applyAlignment="1">
      <alignment horizontal="center"/>
    </xf>
    <xf numFmtId="0" fontId="284" fillId="45" borderId="10" xfId="847" applyNumberFormat="1" applyFont="1" applyFill="1" applyBorder="1" applyAlignment="1">
      <alignment horizontal="center"/>
    </xf>
    <xf numFmtId="0" fontId="284" fillId="111" borderId="10" xfId="2578" applyNumberFormat="1" applyFont="1" applyFill="1" applyBorder="1" applyAlignment="1">
      <alignment horizontal="center" vertical="center"/>
    </xf>
    <xf numFmtId="0" fontId="284" fillId="111" borderId="10" xfId="847" applyNumberFormat="1" applyFont="1" applyFill="1" applyBorder="1" applyAlignment="1">
      <alignment horizontal="center"/>
    </xf>
    <xf numFmtId="0" fontId="284" fillId="119" borderId="10" xfId="0" applyFont="1" applyFill="1" applyBorder="1"/>
    <xf numFmtId="168" fontId="284" fillId="119" borderId="0" xfId="863" applyFont="1" applyFill="1" applyBorder="1"/>
    <xf numFmtId="0" fontId="284" fillId="130" borderId="10" xfId="0" applyFont="1" applyFill="1" applyBorder="1"/>
    <xf numFmtId="168" fontId="284" fillId="130" borderId="0" xfId="863" applyFont="1" applyFill="1" applyBorder="1"/>
    <xf numFmtId="10" fontId="284" fillId="130" borderId="0" xfId="847" applyNumberFormat="1" applyFont="1" applyFill="1" applyBorder="1" applyAlignment="1">
      <alignment horizontal="left"/>
    </xf>
    <xf numFmtId="10" fontId="284" fillId="130" borderId="10" xfId="847" applyNumberFormat="1" applyFont="1" applyFill="1" applyBorder="1" applyAlignment="1">
      <alignment horizontal="left"/>
    </xf>
    <xf numFmtId="0" fontId="284" fillId="130" borderId="0" xfId="847" applyNumberFormat="1" applyFont="1" applyFill="1" applyBorder="1" applyAlignment="1">
      <alignment horizontal="center"/>
    </xf>
    <xf numFmtId="0" fontId="284" fillId="130" borderId="10" xfId="863" applyNumberFormat="1" applyFont="1" applyFill="1" applyBorder="1" applyAlignment="1">
      <alignment horizontal="center"/>
    </xf>
    <xf numFmtId="0" fontId="284" fillId="130" borderId="0" xfId="863" applyNumberFormat="1" applyFont="1" applyFill="1" applyBorder="1" applyAlignment="1">
      <alignment horizontal="center"/>
    </xf>
    <xf numFmtId="0" fontId="284" fillId="130" borderId="10" xfId="847" applyNumberFormat="1" applyFont="1" applyFill="1" applyBorder="1" applyAlignment="1">
      <alignment horizontal="center"/>
    </xf>
    <xf numFmtId="167" fontId="284" fillId="42" borderId="10" xfId="815" applyFont="1" applyFill="1" applyBorder="1"/>
    <xf numFmtId="170" fontId="251" fillId="0" borderId="0" xfId="43408" applyNumberFormat="1" applyFont="1" applyAlignment="1">
      <alignment vertical="center"/>
    </xf>
    <xf numFmtId="49" fontId="206" fillId="121" borderId="0" xfId="43443" applyNumberFormat="1" applyFont="1" applyFill="1" applyAlignment="1">
      <alignment vertical="center"/>
    </xf>
    <xf numFmtId="0" fontId="206" fillId="121" borderId="0" xfId="0" applyFont="1" applyFill="1" applyAlignment="1">
      <alignment horizontal="right" vertical="center"/>
    </xf>
    <xf numFmtId="0" fontId="284" fillId="45" borderId="10" xfId="0" applyFont="1" applyFill="1" applyBorder="1"/>
    <xf numFmtId="168" fontId="284" fillId="45" borderId="0" xfId="863" applyFont="1" applyFill="1" applyBorder="1"/>
    <xf numFmtId="167" fontId="284" fillId="42" borderId="0" xfId="5583" applyNumberFormat="1" applyFont="1" applyFill="1" applyBorder="1"/>
    <xf numFmtId="167" fontId="284" fillId="119" borderId="10" xfId="5583" applyNumberFormat="1" applyFont="1" applyFill="1" applyBorder="1" applyAlignment="1">
      <alignment vertical="center"/>
    </xf>
    <xf numFmtId="167" fontId="284" fillId="119" borderId="0" xfId="5583" applyNumberFormat="1" applyFont="1" applyFill="1" applyBorder="1" applyAlignment="1">
      <alignment vertical="center"/>
    </xf>
    <xf numFmtId="167" fontId="284" fillId="112" borderId="10" xfId="5583" applyNumberFormat="1" applyFont="1" applyFill="1" applyBorder="1" applyAlignment="1">
      <alignment vertical="center"/>
    </xf>
    <xf numFmtId="167" fontId="284" fillId="112" borderId="0" xfId="5583" applyNumberFormat="1" applyFont="1" applyFill="1" applyBorder="1" applyAlignment="1">
      <alignment vertical="center"/>
    </xf>
    <xf numFmtId="167" fontId="284" fillId="45" borderId="10" xfId="5583" applyNumberFormat="1" applyFont="1" applyFill="1" applyBorder="1" applyAlignment="1">
      <alignment vertical="center"/>
    </xf>
    <xf numFmtId="0" fontId="295" fillId="111" borderId="10" xfId="0" applyFont="1" applyFill="1" applyBorder="1" applyAlignment="1">
      <alignment vertical="center"/>
    </xf>
    <xf numFmtId="10" fontId="284" fillId="42" borderId="0" xfId="847" applyNumberFormat="1" applyFont="1" applyFill="1" applyBorder="1" applyAlignment="1">
      <alignment horizontal="left"/>
    </xf>
    <xf numFmtId="10" fontId="284" fillId="42" borderId="10" xfId="847" applyNumberFormat="1" applyFont="1" applyFill="1" applyBorder="1" applyAlignment="1">
      <alignment horizontal="left"/>
    </xf>
    <xf numFmtId="0" fontId="284" fillId="42" borderId="0" xfId="847" applyNumberFormat="1" applyFont="1" applyFill="1" applyBorder="1" applyAlignment="1">
      <alignment horizontal="center"/>
    </xf>
    <xf numFmtId="0" fontId="284" fillId="42" borderId="10" xfId="847" applyNumberFormat="1" applyFont="1" applyFill="1" applyBorder="1" applyAlignment="1">
      <alignment horizontal="center"/>
    </xf>
    <xf numFmtId="168" fontId="126" fillId="42" borderId="0" xfId="863" applyFont="1" applyFill="1" applyBorder="1" applyAlignment="1">
      <alignment horizontal="center" vertical="center"/>
    </xf>
    <xf numFmtId="4" fontId="126" fillId="42" borderId="0" xfId="0" applyNumberFormat="1" applyFont="1" applyFill="1" applyAlignment="1">
      <alignment horizontal="center" vertical="center"/>
    </xf>
    <xf numFmtId="0" fontId="284" fillId="42" borderId="0" xfId="2578" applyNumberFormat="1" applyFont="1" applyFill="1" applyBorder="1" applyAlignment="1">
      <alignment horizontal="center"/>
    </xf>
    <xf numFmtId="0" fontId="284" fillId="42" borderId="10" xfId="2578" applyNumberFormat="1" applyFont="1" applyFill="1" applyBorder="1" applyAlignment="1">
      <alignment horizontal="center"/>
    </xf>
    <xf numFmtId="167" fontId="284" fillId="111" borderId="10" xfId="5583" applyNumberFormat="1" applyFont="1" applyFill="1" applyBorder="1" applyAlignment="1">
      <alignment vertical="center"/>
    </xf>
    <xf numFmtId="0" fontId="284" fillId="111" borderId="10" xfId="0" applyFont="1" applyFill="1" applyBorder="1"/>
    <xf numFmtId="167" fontId="284" fillId="111" borderId="10" xfId="815" applyFont="1" applyFill="1" applyBorder="1"/>
    <xf numFmtId="0" fontId="326" fillId="113" borderId="207" xfId="0" applyFont="1" applyFill="1" applyBorder="1"/>
    <xf numFmtId="0" fontId="327" fillId="42" borderId="20" xfId="0" applyFont="1" applyFill="1" applyBorder="1"/>
    <xf numFmtId="167" fontId="327" fillId="42" borderId="10" xfId="5583" applyNumberFormat="1" applyFont="1" applyFill="1" applyBorder="1"/>
    <xf numFmtId="10" fontId="284" fillId="42" borderId="29" xfId="847" applyNumberFormat="1" applyFont="1" applyFill="1" applyBorder="1" applyAlignment="1">
      <alignment horizontal="left"/>
    </xf>
    <xf numFmtId="0" fontId="314" fillId="113" borderId="162" xfId="0" applyFont="1" applyFill="1" applyBorder="1"/>
    <xf numFmtId="0" fontId="314" fillId="113" borderId="207" xfId="0" applyFont="1" applyFill="1" applyBorder="1"/>
    <xf numFmtId="3" fontId="326" fillId="113" borderId="207" xfId="43169" applyFont="1" applyFill="1" applyBorder="1"/>
    <xf numFmtId="3" fontId="326" fillId="113" borderId="208" xfId="43169" applyFont="1" applyFill="1" applyBorder="1"/>
    <xf numFmtId="0" fontId="324" fillId="0" borderId="187" xfId="0" applyFont="1" applyBorder="1" applyAlignment="1">
      <alignment vertical="center"/>
    </xf>
    <xf numFmtId="0" fontId="37" fillId="42" borderId="189" xfId="0" applyFont="1" applyFill="1" applyBorder="1"/>
    <xf numFmtId="0" fontId="31" fillId="42" borderId="190" xfId="0" applyFont="1" applyFill="1" applyBorder="1"/>
    <xf numFmtId="0" fontId="31" fillId="59" borderId="189" xfId="907" applyFill="1" applyBorder="1"/>
    <xf numFmtId="167" fontId="31" fillId="109" borderId="190" xfId="815" applyFont="1" applyFill="1" applyBorder="1" applyAlignment="1"/>
    <xf numFmtId="0" fontId="31" fillId="59" borderId="20" xfId="907" applyFill="1" applyBorder="1"/>
    <xf numFmtId="167" fontId="31" fillId="109" borderId="29" xfId="815" applyFont="1" applyFill="1" applyBorder="1" applyAlignment="1"/>
    <xf numFmtId="0" fontId="31" fillId="59" borderId="201" xfId="907" applyFill="1" applyBorder="1"/>
    <xf numFmtId="167" fontId="31" fillId="109" borderId="211" xfId="815" applyFont="1" applyFill="1" applyBorder="1" applyAlignment="1"/>
    <xf numFmtId="168" fontId="31" fillId="41" borderId="190" xfId="863" applyFont="1" applyFill="1" applyBorder="1" applyAlignment="1"/>
    <xf numFmtId="168" fontId="31" fillId="41" borderId="211" xfId="863" applyFont="1" applyFill="1" applyBorder="1" applyAlignment="1"/>
    <xf numFmtId="10" fontId="31" fillId="109" borderId="190" xfId="847" applyNumberFormat="1" applyFont="1" applyFill="1" applyBorder="1" applyAlignment="1">
      <alignment horizontal="right"/>
    </xf>
    <xf numFmtId="10" fontId="31" fillId="109" borderId="29" xfId="847" applyNumberFormat="1" applyFont="1" applyFill="1" applyBorder="1" applyAlignment="1">
      <alignment horizontal="right"/>
    </xf>
    <xf numFmtId="10" fontId="31" fillId="109" borderId="211" xfId="847" applyNumberFormat="1" applyFont="1" applyFill="1" applyBorder="1" applyAlignment="1">
      <alignment horizontal="right"/>
    </xf>
    <xf numFmtId="14" fontId="31" fillId="0" borderId="187" xfId="0" applyNumberFormat="1" applyFont="1" applyBorder="1"/>
    <xf numFmtId="0" fontId="31" fillId="59" borderId="187" xfId="907" applyFill="1" applyBorder="1" applyAlignment="1">
      <alignment wrapText="1"/>
    </xf>
    <xf numFmtId="168" fontId="324" fillId="0" borderId="187" xfId="863" applyFont="1" applyBorder="1" applyAlignment="1">
      <alignment horizontal="center" vertical="center"/>
    </xf>
    <xf numFmtId="168" fontId="121" fillId="0" borderId="187" xfId="863" applyFont="1" applyBorder="1" applyAlignment="1">
      <alignment vertical="center"/>
    </xf>
    <xf numFmtId="168" fontId="121" fillId="0" borderId="188" xfId="863" applyFont="1" applyBorder="1" applyAlignment="1">
      <alignment vertical="center"/>
    </xf>
    <xf numFmtId="0" fontId="251" fillId="117" borderId="189" xfId="0" applyFont="1" applyFill="1" applyBorder="1" applyAlignment="1">
      <alignment vertical="center"/>
    </xf>
    <xf numFmtId="0" fontId="251" fillId="117" borderId="20" xfId="0" applyFont="1" applyFill="1" applyBorder="1" applyAlignment="1">
      <alignment vertical="center"/>
    </xf>
    <xf numFmtId="0" fontId="251" fillId="117" borderId="201" xfId="0" applyFont="1" applyFill="1" applyBorder="1" applyAlignment="1">
      <alignment vertical="center"/>
    </xf>
    <xf numFmtId="0" fontId="206" fillId="33" borderId="0" xfId="829" applyFont="1" applyFill="1" applyAlignment="1">
      <alignment horizontal="center"/>
    </xf>
    <xf numFmtId="0" fontId="206" fillId="33" borderId="0" xfId="829" applyFont="1" applyFill="1" applyAlignment="1">
      <alignment horizontal="left"/>
    </xf>
    <xf numFmtId="9" fontId="251" fillId="117" borderId="190" xfId="847" applyFont="1" applyFill="1" applyBorder="1" applyAlignment="1">
      <alignment vertical="center"/>
    </xf>
    <xf numFmtId="9" fontId="251" fillId="117" borderId="29" xfId="847" applyFont="1" applyFill="1" applyBorder="1" applyAlignment="1">
      <alignment vertical="center"/>
    </xf>
    <xf numFmtId="9" fontId="251" fillId="117" borderId="211" xfId="847" applyFont="1" applyFill="1" applyBorder="1" applyAlignment="1">
      <alignment vertical="center"/>
    </xf>
    <xf numFmtId="167" fontId="111" fillId="41" borderId="0" xfId="907" applyNumberFormat="1" applyFont="1" applyFill="1" applyAlignment="1">
      <alignment horizontal="center"/>
    </xf>
    <xf numFmtId="9" fontId="261" fillId="38" borderId="144" xfId="1823" applyFont="1" applyFill="1" applyBorder="1" applyAlignment="1">
      <alignment horizontal="center" vertical="center" wrapText="1"/>
    </xf>
    <xf numFmtId="0" fontId="252" fillId="59" borderId="144" xfId="2697" applyFont="1" applyFill="1" applyBorder="1" applyAlignment="1">
      <alignment vertical="center"/>
    </xf>
    <xf numFmtId="10" fontId="252" fillId="59" borderId="144" xfId="847" applyNumberFormat="1" applyFont="1" applyFill="1" applyBorder="1" applyAlignment="1">
      <alignment vertical="center"/>
    </xf>
    <xf numFmtId="0" fontId="328" fillId="0" borderId="178" xfId="907" applyFont="1" applyBorder="1" applyAlignment="1">
      <alignment horizontal="left"/>
    </xf>
    <xf numFmtId="0" fontId="259" fillId="33" borderId="178" xfId="829" applyFont="1" applyFill="1" applyBorder="1"/>
    <xf numFmtId="0" fontId="251" fillId="33" borderId="178" xfId="829" applyFont="1" applyFill="1" applyBorder="1"/>
    <xf numFmtId="174" fontId="329" fillId="0" borderId="178" xfId="0" applyNumberFormat="1" applyFont="1" applyBorder="1" applyAlignment="1">
      <alignment horizontal="right"/>
    </xf>
    <xf numFmtId="10" fontId="329" fillId="0" borderId="178" xfId="0" applyNumberFormat="1" applyFont="1" applyBorder="1" applyAlignment="1">
      <alignment horizontal="left"/>
    </xf>
    <xf numFmtId="0" fontId="252" fillId="33" borderId="0" xfId="829" applyFont="1" applyFill="1" applyAlignment="1">
      <alignment horizontal="left" vertical="top"/>
    </xf>
    <xf numFmtId="0" fontId="251" fillId="33" borderId="0" xfId="829" applyFont="1" applyFill="1"/>
    <xf numFmtId="0" fontId="306" fillId="33" borderId="0" xfId="829" applyFont="1" applyFill="1" applyAlignment="1">
      <alignment horizontal="right" vertical="top"/>
    </xf>
    <xf numFmtId="10" fontId="329" fillId="0" borderId="0" xfId="0" applyNumberFormat="1" applyFont="1" applyAlignment="1">
      <alignment horizontal="left" vertical="top"/>
    </xf>
    <xf numFmtId="0" fontId="37" fillId="97" borderId="0" xfId="0" applyFont="1" applyFill="1"/>
    <xf numFmtId="10" fontId="37" fillId="97" borderId="0" xfId="847" applyNumberFormat="1" applyFont="1" applyFill="1"/>
    <xf numFmtId="0" fontId="44" fillId="44" borderId="152" xfId="0" applyFont="1" applyFill="1" applyBorder="1"/>
    <xf numFmtId="168" fontId="44" fillId="0" borderId="152" xfId="863" applyFont="1" applyBorder="1"/>
    <xf numFmtId="14" fontId="268" fillId="102" borderId="196" xfId="0" applyNumberFormat="1" applyFont="1" applyFill="1" applyBorder="1" applyAlignment="1">
      <alignment horizontal="center" vertical="distributed"/>
    </xf>
    <xf numFmtId="264" fontId="31" fillId="0" borderId="0" xfId="0" applyNumberFormat="1" applyFont="1" applyAlignment="1">
      <alignment horizontal="center" vertical="distributed"/>
    </xf>
    <xf numFmtId="14" fontId="251" fillId="0" borderId="0" xfId="0" applyNumberFormat="1" applyFont="1"/>
    <xf numFmtId="43" fontId="251" fillId="0" borderId="0" xfId="0" applyNumberFormat="1" applyFont="1"/>
    <xf numFmtId="10" fontId="251" fillId="0" borderId="0" xfId="847" applyNumberFormat="1" applyFont="1"/>
    <xf numFmtId="10" fontId="206" fillId="0" borderId="178" xfId="0" applyNumberFormat="1" applyFont="1" applyBorder="1"/>
    <xf numFmtId="43" fontId="206" fillId="41" borderId="0" xfId="863" applyNumberFormat="1" applyFont="1" applyFill="1" applyAlignment="1">
      <alignment horizontal="right"/>
    </xf>
    <xf numFmtId="168" fontId="206" fillId="99" borderId="0" xfId="863" applyFont="1" applyFill="1"/>
    <xf numFmtId="2" fontId="206" fillId="99" borderId="0" xfId="863" applyNumberFormat="1" applyFont="1" applyFill="1"/>
    <xf numFmtId="167" fontId="206" fillId="99" borderId="0" xfId="815" applyFont="1" applyFill="1"/>
    <xf numFmtId="2" fontId="206" fillId="99" borderId="0" xfId="847" applyNumberFormat="1" applyFont="1" applyFill="1"/>
    <xf numFmtId="2" fontId="206" fillId="42" borderId="0" xfId="863" applyNumberFormat="1" applyFont="1" applyFill="1"/>
    <xf numFmtId="14" fontId="206" fillId="42" borderId="0" xfId="847" applyNumberFormat="1" applyFont="1" applyFill="1"/>
    <xf numFmtId="14" fontId="206" fillId="42" borderId="0" xfId="0" applyNumberFormat="1" applyFont="1" applyFill="1"/>
    <xf numFmtId="2" fontId="206" fillId="42" borderId="0" xfId="0" applyNumberFormat="1" applyFont="1" applyFill="1"/>
    <xf numFmtId="2" fontId="206" fillId="42" borderId="0" xfId="847" applyNumberFormat="1" applyFont="1" applyFill="1"/>
    <xf numFmtId="167" fontId="206" fillId="106" borderId="29" xfId="815" applyFont="1" applyFill="1" applyBorder="1"/>
    <xf numFmtId="167" fontId="206" fillId="0" borderId="29" xfId="0" applyNumberFormat="1" applyFont="1" applyBorder="1" applyProtection="1">
      <protection hidden="1"/>
    </xf>
    <xf numFmtId="0" fontId="260" fillId="0" borderId="178" xfId="907" applyFont="1" applyBorder="1" applyAlignment="1">
      <alignment horizontal="left"/>
    </xf>
    <xf numFmtId="0" fontId="330" fillId="41" borderId="0" xfId="801" applyFont="1" applyFill="1" applyBorder="1" applyAlignment="1" applyProtection="1">
      <alignment horizontal="right"/>
    </xf>
    <xf numFmtId="9" fontId="261" fillId="38" borderId="144" xfId="1823" applyFont="1" applyFill="1" applyBorder="1" applyAlignment="1">
      <alignment vertical="center" wrapText="1"/>
    </xf>
    <xf numFmtId="168" fontId="251" fillId="41" borderId="0" xfId="863" applyFont="1" applyFill="1" applyBorder="1" applyAlignment="1">
      <alignment horizontal="right" vertical="center" wrapText="1"/>
    </xf>
    <xf numFmtId="37" fontId="206" fillId="0" borderId="166" xfId="0" applyNumberFormat="1" applyFont="1" applyBorder="1"/>
    <xf numFmtId="165" fontId="206" fillId="0" borderId="166" xfId="815" applyNumberFormat="1" applyFont="1" applyBorder="1"/>
    <xf numFmtId="10" fontId="206" fillId="0" borderId="166" xfId="847" applyNumberFormat="1" applyFont="1" applyFill="1" applyBorder="1" applyAlignment="1">
      <alignment horizontal="right"/>
    </xf>
    <xf numFmtId="168" fontId="210" fillId="0" borderId="0" xfId="863" applyFont="1"/>
    <xf numFmtId="10" fontId="209" fillId="59" borderId="166" xfId="847" applyNumberFormat="1" applyFont="1" applyFill="1" applyBorder="1" applyAlignment="1" applyProtection="1">
      <alignment horizontal="right"/>
      <protection hidden="1"/>
    </xf>
    <xf numFmtId="167" fontId="31" fillId="61" borderId="173" xfId="815" applyFont="1" applyFill="1" applyBorder="1" applyAlignment="1">
      <alignment horizontal="center" vertical="center"/>
    </xf>
    <xf numFmtId="167" fontId="31" fillId="61" borderId="179" xfId="815" applyFont="1" applyFill="1" applyBorder="1" applyAlignment="1">
      <alignment horizontal="center" vertical="center"/>
    </xf>
    <xf numFmtId="167" fontId="31" fillId="61" borderId="180" xfId="815" applyFont="1" applyFill="1" applyBorder="1" applyAlignment="1">
      <alignment horizontal="center" vertical="center"/>
    </xf>
    <xf numFmtId="10" fontId="331" fillId="42" borderId="0" xfId="847" applyNumberFormat="1" applyFont="1" applyFill="1" applyBorder="1" applyAlignment="1">
      <alignment horizontal="left"/>
    </xf>
    <xf numFmtId="10" fontId="331" fillId="42" borderId="10" xfId="847" applyNumberFormat="1" applyFont="1" applyFill="1" applyBorder="1" applyAlignment="1">
      <alignment horizontal="left"/>
    </xf>
    <xf numFmtId="0" fontId="331" fillId="42" borderId="0" xfId="2578" applyNumberFormat="1" applyFont="1" applyFill="1" applyBorder="1" applyAlignment="1">
      <alignment horizontal="center"/>
    </xf>
    <xf numFmtId="0" fontId="331" fillId="42" borderId="10" xfId="863" applyNumberFormat="1" applyFont="1" applyFill="1" applyBorder="1" applyAlignment="1">
      <alignment horizontal="center"/>
    </xf>
    <xf numFmtId="0" fontId="331" fillId="42" borderId="0" xfId="863" applyNumberFormat="1" applyFont="1" applyFill="1" applyBorder="1" applyAlignment="1">
      <alignment horizontal="center"/>
    </xf>
    <xf numFmtId="0" fontId="331" fillId="42" borderId="10" xfId="2578" applyNumberFormat="1" applyFont="1" applyFill="1" applyBorder="1" applyAlignment="1">
      <alignment horizontal="center"/>
    </xf>
    <xf numFmtId="4" fontId="258" fillId="0" borderId="0" xfId="0" applyNumberFormat="1" applyFont="1" applyAlignment="1">
      <alignment horizontal="center"/>
    </xf>
    <xf numFmtId="167" fontId="332" fillId="42" borderId="0" xfId="5583" applyNumberFormat="1" applyFont="1" applyFill="1" applyBorder="1"/>
    <xf numFmtId="0" fontId="284" fillId="109" borderId="10" xfId="0" applyFont="1" applyFill="1" applyBorder="1"/>
    <xf numFmtId="0" fontId="284" fillId="131" borderId="10" xfId="0" applyFont="1" applyFill="1" applyBorder="1"/>
    <xf numFmtId="0" fontId="333" fillId="0" borderId="106" xfId="0" applyFont="1" applyBorder="1" applyAlignment="1">
      <alignment horizontal="right" vertical="center" wrapText="1"/>
    </xf>
    <xf numFmtId="0" fontId="333" fillId="0" borderId="172" xfId="0" applyFont="1" applyBorder="1" applyAlignment="1">
      <alignment horizontal="right" vertical="center" wrapText="1"/>
    </xf>
    <xf numFmtId="205" fontId="117" fillId="0" borderId="0" xfId="0" applyNumberFormat="1" applyFont="1"/>
    <xf numFmtId="0" fontId="334" fillId="0" borderId="0" xfId="0" pivotButton="1" applyFont="1"/>
    <xf numFmtId="0" fontId="334" fillId="0" borderId="0" xfId="0" applyFont="1"/>
    <xf numFmtId="205" fontId="334" fillId="0" borderId="0" xfId="0" applyNumberFormat="1" applyFont="1" applyAlignment="1">
      <alignment horizontal="left"/>
    </xf>
    <xf numFmtId="168" fontId="334" fillId="0" borderId="0" xfId="0" applyNumberFormat="1" applyFont="1"/>
    <xf numFmtId="10" fontId="44" fillId="0" borderId="0" xfId="847" applyNumberFormat="1" applyFont="1" applyFill="1"/>
    <xf numFmtId="0" fontId="209" fillId="44" borderId="146" xfId="0" applyFont="1" applyFill="1" applyBorder="1" applyAlignment="1">
      <alignment horizontal="center" vertical="center" textRotation="90"/>
    </xf>
    <xf numFmtId="0" fontId="209" fillId="44" borderId="10" xfId="0" applyFont="1" applyFill="1" applyBorder="1" applyAlignment="1">
      <alignment horizontal="center" vertical="center" textRotation="90"/>
    </xf>
    <xf numFmtId="0" fontId="209" fillId="44" borderId="154" xfId="0" applyFont="1" applyFill="1" applyBorder="1" applyAlignment="1">
      <alignment horizontal="center" vertical="center" textRotation="90"/>
    </xf>
    <xf numFmtId="167" fontId="31" fillId="42" borderId="144" xfId="815" applyFont="1" applyFill="1" applyBorder="1" applyAlignment="1">
      <alignment horizontal="center"/>
    </xf>
    <xf numFmtId="0" fontId="273" fillId="43" borderId="168" xfId="0" applyFont="1" applyFill="1" applyBorder="1" applyAlignment="1">
      <alignment horizontal="center" vertical="center" wrapText="1"/>
    </xf>
    <xf numFmtId="0" fontId="273" fillId="43" borderId="160" xfId="0" applyFont="1" applyFill="1" applyBorder="1" applyAlignment="1">
      <alignment horizontal="center" vertical="center" wrapText="1"/>
    </xf>
    <xf numFmtId="167" fontId="31" fillId="59" borderId="170" xfId="815" applyFont="1" applyFill="1" applyBorder="1" applyAlignment="1">
      <alignment horizontal="center" vertical="center"/>
    </xf>
    <xf numFmtId="167" fontId="31" fillId="59" borderId="175" xfId="815" applyFont="1" applyFill="1" applyBorder="1" applyAlignment="1">
      <alignment horizontal="center" vertical="center"/>
    </xf>
    <xf numFmtId="0" fontId="273" fillId="0" borderId="144" xfId="0" applyFont="1" applyBorder="1" applyAlignment="1">
      <alignment horizontal="center" vertical="center" wrapText="1"/>
    </xf>
    <xf numFmtId="167" fontId="31" fillId="59" borderId="172" xfId="815" applyFont="1" applyFill="1" applyBorder="1" applyAlignment="1">
      <alignment horizontal="center" vertical="center"/>
    </xf>
    <xf numFmtId="167" fontId="31" fillId="59" borderId="177" xfId="815" applyFont="1" applyFill="1" applyBorder="1" applyAlignment="1">
      <alignment horizontal="center" vertical="center"/>
    </xf>
    <xf numFmtId="168" fontId="117" fillId="102" borderId="144" xfId="863" applyFont="1" applyFill="1" applyBorder="1" applyAlignment="1">
      <alignment horizontal="center" vertical="top" wrapText="1"/>
    </xf>
    <xf numFmtId="0" fontId="31" fillId="0" borderId="20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80" fillId="96" borderId="20" xfId="0" applyFont="1" applyFill="1" applyBorder="1" applyAlignment="1">
      <alignment horizontal="center" vertical="center"/>
    </xf>
    <xf numFmtId="0" fontId="280" fillId="96" borderId="0" xfId="0" applyFont="1" applyFill="1" applyAlignment="1">
      <alignment horizontal="center" vertical="center"/>
    </xf>
    <xf numFmtId="167" fontId="31" fillId="59" borderId="167" xfId="815" applyFont="1" applyFill="1" applyBorder="1" applyAlignment="1">
      <alignment horizontal="center" vertical="center"/>
    </xf>
    <xf numFmtId="167" fontId="31" fillId="59" borderId="176" xfId="815" applyFont="1" applyFill="1" applyBorder="1" applyAlignment="1">
      <alignment horizontal="center" vertical="center"/>
    </xf>
    <xf numFmtId="167" fontId="31" fillId="61" borderId="167" xfId="815" applyFont="1" applyFill="1" applyBorder="1" applyAlignment="1">
      <alignment horizontal="center" vertical="center"/>
    </xf>
    <xf numFmtId="167" fontId="31" fillId="61" borderId="176" xfId="815" applyFont="1" applyFill="1" applyBorder="1" applyAlignment="1">
      <alignment horizontal="center" vertical="center"/>
    </xf>
    <xf numFmtId="167" fontId="31" fillId="61" borderId="170" xfId="815" applyFont="1" applyFill="1" applyBorder="1" applyAlignment="1">
      <alignment horizontal="center" vertical="center"/>
    </xf>
    <xf numFmtId="167" fontId="31" fillId="61" borderId="175" xfId="815" applyFont="1" applyFill="1" applyBorder="1" applyAlignment="1">
      <alignment horizontal="center" vertical="center"/>
    </xf>
    <xf numFmtId="167" fontId="31" fillId="61" borderId="172" xfId="815" applyFont="1" applyFill="1" applyBorder="1" applyAlignment="1">
      <alignment horizontal="center" vertical="center"/>
    </xf>
    <xf numFmtId="167" fontId="31" fillId="61" borderId="177" xfId="815" applyFont="1" applyFill="1" applyBorder="1" applyAlignment="1">
      <alignment horizontal="center" vertical="center"/>
    </xf>
    <xf numFmtId="0" fontId="236" fillId="128" borderId="166" xfId="907" applyFont="1" applyFill="1" applyBorder="1" applyAlignment="1">
      <alignment horizontal="left"/>
    </xf>
    <xf numFmtId="0" fontId="295" fillId="0" borderId="0" xfId="0" applyFont="1" applyAlignment="1">
      <alignment horizontal="center"/>
    </xf>
    <xf numFmtId="0" fontId="295" fillId="0" borderId="191" xfId="0" applyFont="1" applyBorder="1" applyAlignment="1">
      <alignment horizontal="center"/>
    </xf>
    <xf numFmtId="0" fontId="37" fillId="0" borderId="187" xfId="907" applyFont="1" applyBorder="1" applyAlignment="1">
      <alignment horizontal="center"/>
    </xf>
    <xf numFmtId="0" fontId="37" fillId="0" borderId="189" xfId="907" applyFont="1" applyBorder="1" applyAlignment="1">
      <alignment horizontal="center"/>
    </xf>
    <xf numFmtId="0" fontId="37" fillId="0" borderId="191" xfId="907" applyFont="1" applyBorder="1" applyAlignment="1">
      <alignment horizontal="center"/>
    </xf>
    <xf numFmtId="0" fontId="206" fillId="33" borderId="188" xfId="831" applyFont="1" applyFill="1" applyBorder="1" applyAlignment="1">
      <alignment horizontal="center" vertical="center"/>
    </xf>
    <xf numFmtId="0" fontId="206" fillId="33" borderId="192" xfId="831" applyFont="1" applyFill="1" applyBorder="1" applyAlignment="1">
      <alignment horizontal="center" vertical="center"/>
    </xf>
    <xf numFmtId="17" fontId="39" fillId="55" borderId="126" xfId="905" applyNumberFormat="1" applyFont="1" applyFill="1" applyBorder="1" applyAlignment="1">
      <alignment horizontal="center" vertical="center" wrapText="1"/>
    </xf>
    <xf numFmtId="254" fontId="39" fillId="55" borderId="195" xfId="863" applyNumberFormat="1" applyFont="1" applyFill="1" applyBorder="1" applyAlignment="1">
      <alignment horizontal="center" vertical="center" wrapText="1"/>
    </xf>
    <xf numFmtId="17" fontId="39" fillId="55" borderId="127" xfId="905" applyNumberFormat="1" applyFont="1" applyFill="1" applyBorder="1" applyAlignment="1">
      <alignment horizontal="center" vertical="center" wrapText="1"/>
    </xf>
    <xf numFmtId="170" fontId="39" fillId="55" borderId="128" xfId="863" applyNumberFormat="1" applyFont="1" applyFill="1" applyBorder="1" applyAlignment="1">
      <alignment horizontal="center" vertical="center"/>
    </xf>
    <xf numFmtId="170" fontId="39" fillId="55" borderId="129" xfId="863" applyNumberFormat="1" applyFont="1" applyFill="1" applyBorder="1" applyAlignment="1">
      <alignment horizontal="center" vertical="center"/>
    </xf>
    <xf numFmtId="0" fontId="39" fillId="55" borderId="130" xfId="905" applyFont="1" applyFill="1" applyBorder="1" applyAlignment="1">
      <alignment horizontal="center" vertical="center"/>
    </xf>
    <xf numFmtId="0" fontId="39" fillId="55" borderId="0" xfId="905" applyFont="1" applyFill="1" applyAlignment="1">
      <alignment horizontal="center" vertical="center"/>
    </xf>
    <xf numFmtId="0" fontId="118" fillId="55" borderId="131" xfId="2697" applyFont="1" applyFill="1" applyBorder="1" applyAlignment="1">
      <alignment horizontal="center" vertical="center"/>
    </xf>
    <xf numFmtId="0" fontId="118" fillId="55" borderId="0" xfId="2697" applyFont="1" applyFill="1" applyAlignment="1">
      <alignment horizontal="center" vertical="center"/>
    </xf>
    <xf numFmtId="0" fontId="118" fillId="55" borderId="136" xfId="2697" applyFont="1" applyFill="1" applyBorder="1" applyAlignment="1">
      <alignment horizontal="center" vertical="center"/>
    </xf>
    <xf numFmtId="0" fontId="118" fillId="55" borderId="125" xfId="2697" applyFont="1" applyFill="1" applyBorder="1" applyAlignment="1">
      <alignment horizontal="center" vertical="center"/>
    </xf>
    <xf numFmtId="170" fontId="118" fillId="55" borderId="132" xfId="863" applyNumberFormat="1" applyFont="1" applyFill="1" applyBorder="1" applyAlignment="1">
      <alignment horizontal="center" vertical="center" wrapText="1"/>
    </xf>
    <xf numFmtId="170" fontId="118" fillId="55" borderId="133" xfId="863" applyNumberFormat="1" applyFont="1" applyFill="1" applyBorder="1" applyAlignment="1">
      <alignment horizontal="center" vertical="center" wrapText="1"/>
    </xf>
    <xf numFmtId="170" fontId="118" fillId="55" borderId="134" xfId="863" applyNumberFormat="1" applyFont="1" applyFill="1" applyBorder="1" applyAlignment="1">
      <alignment horizontal="center" vertical="center" wrapText="1"/>
    </xf>
    <xf numFmtId="0" fontId="118" fillId="55" borderId="135" xfId="2697" applyFont="1" applyFill="1" applyBorder="1" applyAlignment="1">
      <alignment horizontal="center" vertical="center" wrapText="1"/>
    </xf>
    <xf numFmtId="0" fontId="118" fillId="55" borderId="133" xfId="2697" applyFont="1" applyFill="1" applyBorder="1" applyAlignment="1">
      <alignment horizontal="center" vertical="center" wrapText="1"/>
    </xf>
    <xf numFmtId="0" fontId="118" fillId="55" borderId="134" xfId="2697" applyFont="1" applyFill="1" applyBorder="1" applyAlignment="1">
      <alignment horizontal="center" vertical="center" wrapText="1"/>
    </xf>
    <xf numFmtId="0" fontId="213" fillId="43" borderId="186" xfId="0" applyFont="1" applyFill="1" applyBorder="1" applyAlignment="1">
      <alignment horizontal="center" vertical="center" wrapText="1"/>
    </xf>
    <xf numFmtId="0" fontId="209" fillId="97" borderId="186" xfId="0" applyFont="1" applyFill="1" applyBorder="1" applyAlignment="1">
      <alignment horizontal="center" vertical="center" wrapText="1"/>
    </xf>
    <xf numFmtId="9" fontId="39" fillId="38" borderId="0" xfId="1823" applyFont="1" applyFill="1" applyBorder="1" applyAlignment="1">
      <alignment horizontal="center" vertical="center" wrapText="1"/>
    </xf>
    <xf numFmtId="167" fontId="111" fillId="41" borderId="0" xfId="907" applyNumberFormat="1" applyFont="1" applyFill="1" applyAlignment="1">
      <alignment horizontal="center"/>
    </xf>
    <xf numFmtId="0" fontId="144" fillId="41" borderId="0" xfId="907" applyFont="1" applyFill="1" applyAlignment="1">
      <alignment horizontal="center"/>
    </xf>
    <xf numFmtId="9" fontId="316" fillId="55" borderId="144" xfId="1823" applyFont="1" applyFill="1" applyBorder="1" applyAlignment="1">
      <alignment horizontal="left" vertical="center"/>
    </xf>
    <xf numFmtId="0" fontId="118" fillId="55" borderId="144" xfId="954" applyFont="1" applyFill="1" applyBorder="1" applyAlignment="1">
      <alignment horizontal="center" vertical="center"/>
    </xf>
    <xf numFmtId="9" fontId="39" fillId="0" borderId="0" xfId="1823" applyFont="1" applyFill="1" applyBorder="1" applyAlignment="1">
      <alignment horizontal="center" vertical="center" wrapText="1"/>
    </xf>
    <xf numFmtId="0" fontId="111" fillId="41" borderId="0" xfId="2697" applyFont="1" applyFill="1" applyAlignment="1">
      <alignment horizontal="center" vertical="center"/>
    </xf>
    <xf numFmtId="0" fontId="44" fillId="41" borderId="0" xfId="907" applyFont="1" applyFill="1" applyAlignment="1">
      <alignment horizontal="left" indent="1"/>
    </xf>
    <xf numFmtId="0" fontId="118" fillId="41" borderId="0" xfId="907" applyFont="1" applyFill="1" applyAlignment="1">
      <alignment horizontal="left"/>
    </xf>
    <xf numFmtId="9" fontId="39" fillId="0" borderId="0" xfId="1823" applyFont="1" applyFill="1" applyBorder="1" applyAlignment="1">
      <alignment horizontal="left" vertical="center" wrapText="1"/>
    </xf>
    <xf numFmtId="9" fontId="44" fillId="0" borderId="0" xfId="1823" applyFont="1" applyFill="1" applyBorder="1" applyAlignment="1">
      <alignment horizontal="left" vertical="center" wrapText="1"/>
    </xf>
    <xf numFmtId="0" fontId="37" fillId="97" borderId="0" xfId="0" applyFont="1" applyFill="1" applyAlignment="1">
      <alignment horizontal="center"/>
    </xf>
    <xf numFmtId="0" fontId="118" fillId="55" borderId="126" xfId="2697" applyFont="1" applyFill="1" applyBorder="1" applyAlignment="1">
      <alignment horizontal="left" vertical="center" wrapText="1"/>
    </xf>
    <xf numFmtId="0" fontId="118" fillId="55" borderId="165" xfId="2697" applyFont="1" applyFill="1" applyBorder="1" applyAlignment="1">
      <alignment horizontal="left" vertical="center" wrapText="1"/>
    </xf>
    <xf numFmtId="0" fontId="118" fillId="55" borderId="131" xfId="2697" applyFont="1" applyFill="1" applyBorder="1" applyAlignment="1">
      <alignment horizontal="left" vertical="center" wrapText="1"/>
    </xf>
    <xf numFmtId="0" fontId="209" fillId="41" borderId="189" xfId="832" applyFont="1" applyFill="1" applyBorder="1" applyAlignment="1">
      <alignment horizontal="center" vertical="center" wrapText="1"/>
    </xf>
    <xf numFmtId="0" fontId="209" fillId="41" borderId="190" xfId="0" applyFont="1" applyFill="1" applyBorder="1" applyAlignment="1">
      <alignment horizontal="center" vertical="center" wrapText="1"/>
    </xf>
    <xf numFmtId="0" fontId="209" fillId="0" borderId="189" xfId="0" applyFont="1" applyBorder="1" applyAlignment="1">
      <alignment horizontal="center" vertical="center"/>
    </xf>
    <xf numFmtId="0" fontId="209" fillId="0" borderId="190" xfId="0" applyFont="1" applyBorder="1" applyAlignment="1">
      <alignment horizontal="center" vertical="center"/>
    </xf>
    <xf numFmtId="0" fontId="209" fillId="0" borderId="188" xfId="0" applyFont="1" applyBorder="1" applyAlignment="1">
      <alignment horizontal="center" vertical="center"/>
    </xf>
    <xf numFmtId="0" fontId="209" fillId="0" borderId="192" xfId="0" applyFont="1" applyBorder="1" applyAlignment="1">
      <alignment horizontal="center" vertical="center"/>
    </xf>
    <xf numFmtId="0" fontId="209" fillId="41" borderId="189" xfId="0" applyFont="1" applyFill="1" applyBorder="1" applyAlignment="1">
      <alignment horizontal="center" vertical="center"/>
    </xf>
    <xf numFmtId="0" fontId="209" fillId="41" borderId="190" xfId="0" applyFont="1" applyFill="1" applyBorder="1" applyAlignment="1">
      <alignment horizontal="center" vertical="center"/>
    </xf>
    <xf numFmtId="0" fontId="209" fillId="0" borderId="0" xfId="0" applyFont="1" applyAlignment="1">
      <alignment horizontal="center"/>
    </xf>
    <xf numFmtId="0" fontId="216" fillId="0" borderId="0" xfId="836" applyFont="1" applyFill="1" applyBorder="1" applyAlignment="1">
      <alignment horizontal="left" vertical="center" wrapText="1"/>
    </xf>
    <xf numFmtId="0" fontId="206" fillId="0" borderId="0" xfId="0" applyFont="1" applyAlignment="1">
      <alignment horizontal="left" vertical="center" wrapText="1"/>
    </xf>
    <xf numFmtId="0" fontId="208" fillId="0" borderId="186" xfId="833" applyFont="1" applyBorder="1" applyAlignment="1">
      <alignment horizontal="left" vertical="center" wrapText="1"/>
    </xf>
    <xf numFmtId="0" fontId="206" fillId="0" borderId="186" xfId="0" applyFont="1" applyBorder="1" applyAlignment="1">
      <alignment horizontal="left" vertical="center" wrapText="1"/>
    </xf>
    <xf numFmtId="0" fontId="209" fillId="0" borderId="188" xfId="0" applyFont="1" applyBorder="1" applyAlignment="1">
      <alignment horizontal="left" vertical="center"/>
    </xf>
    <xf numFmtId="0" fontId="209" fillId="0" borderId="192" xfId="0" applyFont="1" applyBorder="1" applyAlignment="1">
      <alignment horizontal="left" vertical="center"/>
    </xf>
    <xf numFmtId="0" fontId="216" fillId="0" borderId="178" xfId="836" applyFont="1" applyFill="1" applyBorder="1" applyAlignment="1">
      <alignment horizontal="left" vertical="center" wrapText="1"/>
    </xf>
    <xf numFmtId="0" fontId="206" fillId="0" borderId="178" xfId="0" applyFont="1" applyBorder="1" applyAlignment="1">
      <alignment horizontal="left" vertical="center" wrapText="1"/>
    </xf>
    <xf numFmtId="0" fontId="216" fillId="0" borderId="186" xfId="836" applyFont="1" applyFill="1" applyBorder="1" applyAlignment="1">
      <alignment horizontal="left" vertical="center" wrapText="1"/>
    </xf>
    <xf numFmtId="0" fontId="216" fillId="0" borderId="191" xfId="836" applyFont="1" applyFill="1" applyBorder="1" applyAlignment="1">
      <alignment horizontal="left" vertical="center" wrapText="1"/>
    </xf>
    <xf numFmtId="0" fontId="206" fillId="0" borderId="191" xfId="0" applyFont="1" applyBorder="1" applyAlignment="1">
      <alignment horizontal="left" vertical="center" wrapText="1"/>
    </xf>
    <xf numFmtId="0" fontId="209" fillId="0" borderId="189" xfId="0" applyFont="1" applyBorder="1" applyAlignment="1">
      <alignment horizontal="center" vertical="center" wrapText="1"/>
    </xf>
    <xf numFmtId="0" fontId="209" fillId="0" borderId="190" xfId="0" applyFont="1" applyBorder="1" applyAlignment="1">
      <alignment horizontal="center" vertical="center" wrapText="1"/>
    </xf>
    <xf numFmtId="0" fontId="209" fillId="104" borderId="188" xfId="0" applyFont="1" applyFill="1" applyBorder="1" applyAlignment="1">
      <alignment horizontal="center" vertical="center"/>
    </xf>
    <xf numFmtId="0" fontId="209" fillId="104" borderId="192" xfId="0" applyFont="1" applyFill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0" fillId="0" borderId="187" xfId="0" applyBorder="1" applyAlignment="1">
      <alignment vertical="center"/>
    </xf>
    <xf numFmtId="0" fontId="324" fillId="0" borderId="187" xfId="0" applyFont="1" applyBorder="1" applyAlignment="1">
      <alignment vertical="center"/>
    </xf>
    <xf numFmtId="10" fontId="251" fillId="0" borderId="188" xfId="7308" applyNumberFormat="1" applyFont="1" applyBorder="1" applyAlignment="1">
      <alignment horizontal="center"/>
    </xf>
    <xf numFmtId="0" fontId="251" fillId="0" borderId="186" xfId="7308" applyFont="1" applyBorder="1" applyAlignment="1">
      <alignment horizontal="center"/>
    </xf>
    <xf numFmtId="0" fontId="251" fillId="0" borderId="192" xfId="7308" applyFont="1" applyBorder="1" applyAlignment="1">
      <alignment horizontal="center"/>
    </xf>
    <xf numFmtId="214" fontId="251" fillId="0" borderId="188" xfId="43165" applyNumberFormat="1" applyFont="1" applyBorder="1" applyAlignment="1">
      <alignment horizontal="center"/>
    </xf>
    <xf numFmtId="214" fontId="251" fillId="0" borderId="186" xfId="43165" applyNumberFormat="1" applyFont="1" applyBorder="1" applyAlignment="1">
      <alignment horizontal="center"/>
    </xf>
    <xf numFmtId="214" fontId="251" fillId="0" borderId="192" xfId="43165" applyNumberFormat="1" applyFont="1" applyBorder="1" applyAlignment="1">
      <alignment horizontal="center"/>
    </xf>
    <xf numFmtId="214" fontId="251" fillId="0" borderId="188" xfId="7308" applyNumberFormat="1" applyFont="1" applyBorder="1" applyAlignment="1">
      <alignment horizontal="center"/>
    </xf>
    <xf numFmtId="214" fontId="251" fillId="0" borderId="186" xfId="7308" applyNumberFormat="1" applyFont="1" applyBorder="1" applyAlignment="1">
      <alignment horizontal="center"/>
    </xf>
    <xf numFmtId="214" fontId="251" fillId="0" borderId="192" xfId="7308" applyNumberFormat="1" applyFont="1" applyBorder="1" applyAlignment="1">
      <alignment horizontal="center"/>
    </xf>
  </cellXfs>
  <cellStyles count="43444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6 2" xfId="43443" xr:uid="{B184E88B-E1E7-4EB6-BAE7-EB737DB8F832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83 2" xfId="43440" xr:uid="{A65022EA-937C-4E90-B194-2A69F5AF8EF8}"/>
    <cellStyle name="Normal 184" xfId="43442" xr:uid="{33F8FE5D-8254-4C64-85A1-4056EE97CCBD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5 2" xfId="43441" xr:uid="{6577522A-C087-478B-BEE8-35B68C2CD9EA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606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indexed="64"/>
        </left>
        <right/>
        <top/>
        <bottom/>
      </border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264" formatCode="d/m;@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70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20" formatCode="dd/m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605"/>
    </tableStyle>
    <tableStyle name="Padrão" pivot="0" count="1" xr9:uid="{3101F1C1-6DA4-4166-994B-3EC22CFD8317}">
      <tableStyleElement type="headerRow" dxfId="604"/>
    </tableStyle>
    <tableStyle name="Padrão 2" pivot="0" count="2" xr9:uid="{85D0CDF3-BF56-48CA-93DE-51D2DBCCC9A6}">
      <tableStyleElement type="wholeTable" dxfId="603"/>
      <tableStyleElement type="headerRow" dxfId="60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CC"/>
      <color rgb="FFCCECFF"/>
      <color rgb="FFFFDDDD"/>
      <color rgb="FFFFCCCC"/>
      <color rgb="FFEE08CD"/>
      <color rgb="FFF9AD6F"/>
      <color rgb="FFFFB27E"/>
      <color rgb="FFFF7E4E"/>
      <color rgb="FF990000"/>
      <color rgb="FF6077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7.xml"/><Relationship Id="rId47" Type="http://schemas.openxmlformats.org/officeDocument/2006/relationships/externalLink" Target="externalLinks/externalLink12.xml"/><Relationship Id="rId50" Type="http://schemas.openxmlformats.org/officeDocument/2006/relationships/pivotCacheDefinition" Target="pivotCache/pivotCacheDefinition2.xml"/><Relationship Id="rId55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externalLink" Target="externalLinks/externalLink5.xml"/><Relationship Id="rId45" Type="http://schemas.openxmlformats.org/officeDocument/2006/relationships/externalLink" Target="externalLinks/externalLink10.xml"/><Relationship Id="rId53" Type="http://schemas.openxmlformats.org/officeDocument/2006/relationships/styles" Target="styles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8.xml"/><Relationship Id="rId48" Type="http://schemas.openxmlformats.org/officeDocument/2006/relationships/externalLink" Target="externalLinks/externalLink13.xml"/><Relationship Id="rId56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Relationship Id="rId46" Type="http://schemas.openxmlformats.org/officeDocument/2006/relationships/externalLink" Target="externalLinks/externalLink11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6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pivotCacheDefinition" Target="pivotCache/pivotCacheDefinition1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9.xml"/><Relationship Id="rId52" Type="http://schemas.openxmlformats.org/officeDocument/2006/relationships/connections" Target="connections.xml"/><Relationship Id="rId6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[P_RTP_2022_CEDRI.xlsx]Calc_Mercado!Tabela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01/09/21</c:v>
                </c:pt>
                <c:pt idx="1">
                  <c:v>01/10/21</c:v>
                </c:pt>
                <c:pt idx="2">
                  <c:v>01/11/21</c:v>
                </c:pt>
                <c:pt idx="3">
                  <c:v>01/12/21</c:v>
                </c:pt>
                <c:pt idx="4">
                  <c:v>01/01/22</c:v>
                </c:pt>
                <c:pt idx="5">
                  <c:v>01/02/22</c:v>
                </c:pt>
                <c:pt idx="6">
                  <c:v>01/03/22</c:v>
                </c:pt>
                <c:pt idx="7">
                  <c:v>01/04/22</c:v>
                </c:pt>
                <c:pt idx="8">
                  <c:v>01/05/22</c:v>
                </c:pt>
                <c:pt idx="9">
                  <c:v>01/06/22</c:v>
                </c:pt>
                <c:pt idx="10">
                  <c:v>01/07/22</c:v>
                </c:pt>
                <c:pt idx="11">
                  <c:v>01/08/22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1780.817</c:v>
                </c:pt>
                <c:pt idx="1">
                  <c:v>1721.365</c:v>
                </c:pt>
                <c:pt idx="2">
                  <c:v>1769.6750000000002</c:v>
                </c:pt>
                <c:pt idx="3">
                  <c:v>1903.6480000000001</c:v>
                </c:pt>
                <c:pt idx="4">
                  <c:v>2006.4460000000004</c:v>
                </c:pt>
                <c:pt idx="5">
                  <c:v>1846.5529999999999</c:v>
                </c:pt>
                <c:pt idx="6">
                  <c:v>1909.7520000000002</c:v>
                </c:pt>
                <c:pt idx="7">
                  <c:v>1813.4520000000002</c:v>
                </c:pt>
                <c:pt idx="8">
                  <c:v>1824.59</c:v>
                </c:pt>
                <c:pt idx="9">
                  <c:v>1699.1349999999998</c:v>
                </c:pt>
                <c:pt idx="10">
                  <c:v>1867.3720000000003</c:v>
                </c:pt>
                <c:pt idx="11">
                  <c:v>1860.663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4.382389418413267E-2</c:v>
                </c:pt>
                <c:pt idx="1">
                  <c:v>2.8988750092050576E-2</c:v>
                </c:pt>
                <c:pt idx="2">
                  <c:v>-1.0157883947431879E-2</c:v>
                </c:pt>
                <c:pt idx="3">
                  <c:v>1.3173818078231817E-3</c:v>
                </c:pt>
                <c:pt idx="4">
                  <c:v>-0.20453481657439732</c:v>
                </c:pt>
                <c:pt idx="5">
                  <c:v>0.28010000000000002</c:v>
                </c:pt>
                <c:pt idx="6">
                  <c:v>0.13960279381483365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0.45908970082895056</c:v>
                </c:pt>
                <c:pt idx="1">
                  <c:v>0.21539445483988173</c:v>
                </c:pt>
                <c:pt idx="2">
                  <c:v>0.15725928080103946</c:v>
                </c:pt>
                <c:pt idx="3">
                  <c:v>0</c:v>
                </c:pt>
                <c:pt idx="4">
                  <c:v>0</c:v>
                </c:pt>
                <c:pt idx="5">
                  <c:v>1.9535965883037243E-2</c:v>
                </c:pt>
                <c:pt idx="6">
                  <c:v>0.11091994323516371</c:v>
                </c:pt>
                <c:pt idx="7">
                  <c:v>3.7800654411927315E-2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7199100.8278430123</c:v>
                </c:pt>
                <c:pt idx="1">
                  <c:v>7218569.4400000004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3536904.5995487506</c:v>
                </c:pt>
                <c:pt idx="1">
                  <c:v>3386788.7396409675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2044287.8320509181</c:v>
                </c:pt>
                <c:pt idx="1">
                  <c:v>2472691.1461900002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1997967.7134773193</c:v>
                </c:pt>
                <c:pt idx="1">
                  <c:v>2645608.6585800629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0.35690748298100322</c:v>
                </c:pt>
                <c:pt idx="1">
                  <c:v>0.16745288031109692</c:v>
                </c:pt>
                <c:pt idx="2">
                  <c:v>0.12225718412928156</c:v>
                </c:pt>
                <c:pt idx="3">
                  <c:v>0.1308067388053773</c:v>
                </c:pt>
                <c:pt idx="4">
                  <c:v>0.20355729250022073</c:v>
                </c:pt>
                <c:pt idx="5" formatCode="0.00%">
                  <c:v>1.9018421273020236E-2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Cedri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784.40000000000009</c:v>
                </c:pt>
                <c:pt idx="1">
                  <c:v>750.67</c:v>
                </c:pt>
                <c:pt idx="2">
                  <c:v>694.52</c:v>
                </c:pt>
                <c:pt idx="3">
                  <c:v>683.87</c:v>
                </c:pt>
                <c:pt idx="4">
                  <c:v>754.5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Elektro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601.79</c:v>
                </c:pt>
                <c:pt idx="1">
                  <c:v>531.87</c:v>
                </c:pt>
                <c:pt idx="2">
                  <c:v>555.04999999999995</c:v>
                </c:pt>
                <c:pt idx="3">
                  <c:v>622.58000000000004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621.25038564535134</c:v>
                </c:pt>
                <c:pt idx="1">
                  <c:v>651.99518651745461</c:v>
                </c:pt>
                <c:pt idx="2">
                  <c:v>736.91281348489304</c:v>
                </c:pt>
                <c:pt idx="3">
                  <c:v>966.20572336119812</c:v>
                </c:pt>
                <c:pt idx="4">
                  <c:v>1049.1781717104648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582.35361762771925</c:v>
                </c:pt>
                <c:pt idx="1">
                  <c:v>602.32028403494417</c:v>
                </c:pt>
                <c:pt idx="2">
                  <c:v>617.00765190085758</c:v>
                </c:pt>
                <c:pt idx="3">
                  <c:v>676.73259584803895</c:v>
                </c:pt>
                <c:pt idx="4">
                  <c:v>735.7930207598065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Cedri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429.11</c:v>
                </c:pt>
                <c:pt idx="1">
                  <c:v>488.63</c:v>
                </c:pt>
                <c:pt idx="2">
                  <c:v>603.84</c:v>
                </c:pt>
                <c:pt idx="3" formatCode="_(* #,##0.00_);_(* \(#,##0.00\);_(* &quot;-&quot;??_);_(@_)">
                  <c:v>662.82</c:v>
                </c:pt>
                <c:pt idx="4" formatCode="_(* #,##0.00_);_(* \(#,##0.00\);_(* &quot;-&quot;??_);_(@_)">
                  <c:v>695.1</c:v>
                </c:pt>
                <c:pt idx="5" formatCode="_(* #,##0.00_);_(* \(#,##0.00\);_(* &quot;-&quot;??_);_(@_)">
                  <c:v>784.40000000000009</c:v>
                </c:pt>
                <c:pt idx="6" formatCode="_(* #,##0.00_);_(* \(#,##0.00\);_(* &quot;-&quot;??_);_(@_)">
                  <c:v>750.67</c:v>
                </c:pt>
                <c:pt idx="7" formatCode="_(* #,##0.00_);_(* \(#,##0.00\);_(* &quot;-&quot;??_);_(@_)">
                  <c:v>694.52</c:v>
                </c:pt>
                <c:pt idx="8" formatCode="_(* #,##0.00_);_(* \(#,##0.00\);_(* &quot;-&quot;??_);_(@_)">
                  <c:v>683.87</c:v>
                </c:pt>
                <c:pt idx="9" formatCode="_(* #,##0.00_);_(* \(#,##0.00\);_(* &quot;-&quot;??_);_(@_)">
                  <c:v>754.5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Elektro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311.88</c:v>
                </c:pt>
                <c:pt idx="1">
                  <c:v>423.27</c:v>
                </c:pt>
                <c:pt idx="2">
                  <c:v>510.40999999999997</c:v>
                </c:pt>
                <c:pt idx="3">
                  <c:v>464.88</c:v>
                </c:pt>
                <c:pt idx="4">
                  <c:v>479.14</c:v>
                </c:pt>
                <c:pt idx="5">
                  <c:v>601.79</c:v>
                </c:pt>
                <c:pt idx="6">
                  <c:v>531.87</c:v>
                </c:pt>
                <c:pt idx="7">
                  <c:v>555.04999999999995</c:v>
                </c:pt>
                <c:pt idx="8">
                  <c:v>622.58000000000004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429.11</c:v>
                </c:pt>
                <c:pt idx="1">
                  <c:v>484.07677905883713</c:v>
                </c:pt>
                <c:pt idx="2">
                  <c:v>520.64029357619495</c:v>
                </c:pt>
                <c:pt idx="3">
                  <c:v>580.45652818870167</c:v>
                </c:pt>
                <c:pt idx="4">
                  <c:v>570.52345631010917</c:v>
                </c:pt>
                <c:pt idx="5">
                  <c:v>621.25038564535134</c:v>
                </c:pt>
                <c:pt idx="6">
                  <c:v>651.99518651745461</c:v>
                </c:pt>
                <c:pt idx="7">
                  <c:v>736.91281348489304</c:v>
                </c:pt>
                <c:pt idx="8">
                  <c:v>966.20572336119812</c:v>
                </c:pt>
                <c:pt idx="9">
                  <c:v>1049.1781717104648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429.11</c:v>
                </c:pt>
                <c:pt idx="1">
                  <c:v>457.05780490881529</c:v>
                </c:pt>
                <c:pt idx="2">
                  <c:v>500.59474268307417</c:v>
                </c:pt>
                <c:pt idx="3">
                  <c:v>545.52060585890854</c:v>
                </c:pt>
                <c:pt idx="4">
                  <c:v>558.91809275486787</c:v>
                </c:pt>
                <c:pt idx="5">
                  <c:v>582.35361762771925</c:v>
                </c:pt>
                <c:pt idx="6">
                  <c:v>602.32028403494417</c:v>
                </c:pt>
                <c:pt idx="7">
                  <c:v>617.00765190085758</c:v>
                </c:pt>
                <c:pt idx="8">
                  <c:v>676.73259584803895</c:v>
                </c:pt>
                <c:pt idx="9">
                  <c:v>735.7930207598065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7</xdr:col>
          <xdr:colOff>1885950</xdr:colOff>
          <xdr:row>18</xdr:row>
          <xdr:rowOff>47625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171450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171450</xdr:colOff>
          <xdr:row>2</xdr:row>
          <xdr:rowOff>19050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9525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556346</xdr:colOff>
      <xdr:row>30</xdr:row>
      <xdr:rowOff>35717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_emansi/El_Paso/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unoalberto/Desktop/Reajustes/2016%20-%20Coelba/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ix6404/My%20Documents/Projetos/PPA%20com%20CPFL/20010822%20GEs%20Plant%20710%20MW%20new%20FX%20assumptions%20adjusted%20phasing%20v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  <sheetName val="P&amp;L CCI Detail"/>
      <sheetName val="Cash CCI Detail"/>
      <sheetName val="Budget"/>
      <sheetName val="Current Year"/>
      <sheetName val="Previous Year"/>
      <sheetName val="Patrimonio_30_09_04"/>
      <sheetName val="ANEXO_1847_(2)"/>
      <sheetName val="1846_(ANEXOS)"/>
      <sheetName val="OR_AT2018"/>
      <sheetName val="_"/>
      <sheetName val="P&amp;L_CCI_Detail"/>
      <sheetName val="Cash_CCI_Detail"/>
      <sheetName val="Current_Year"/>
      <sheetName val="Previous_Year"/>
      <sheetName val="ICATU"/>
      <sheetName val="prop2"/>
      <sheetName val="consol"/>
      <sheetName val="cp121999"/>
      <sheetName val="1º semestre 99"/>
      <sheetName val="4-RCDP-2001"/>
      <sheetName val="revenues cp"/>
      <sheetName val="2010-2015"/>
      <sheetName val="fin lp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  <sheetName val="Natureza"/>
      <sheetName val="Conta"/>
      <sheetName val="TD"/>
      <sheetName val="Base"/>
      <sheetName val="Planilha4"/>
      <sheetName val="Razão Contábil"/>
      <sheetName val="Inputs_Unidades_Geradoras"/>
      <sheetName val="Real Mensal"/>
      <sheetName val="Sispec99"/>
      <sheetName val="Tabelas"/>
      <sheetName val="Gráfico"/>
      <sheetName val="D.DRE_Acom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  <sheetName val="ANALI2000"/>
      <sheetName val="CRITER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  <person displayName="Ana Lúcia de Andrade Passos (SGT)" id="{EF081DF5-4464-48BC-AF6F-E00224898ABD}" userId="S::analucia@aneel.gov.br::3072a117-9b33-4b77-b428-3236df0f9ec8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813.633694328702" createdVersion="4" refreshedVersion="8" minRefreshableVersion="3" recordCount="317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317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minDate="2017-08-01T00:00:00" maxDate="2022-08-02T00:00:00" count="61"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18-05-01T00:00:00" u="1"/>
        <d v="2019-05-01T00:00:00" u="1"/>
        <d v="2020-05-01T00:00:00" u="1"/>
        <d v="2021-05-01T00:00:00" u="1"/>
        <d v="2017-11-01T00:00:00" u="1"/>
        <d v="2018-11-01T00:00:00" u="1"/>
        <d v="2019-11-01T00:00:00" u="1"/>
        <d v="2020-11-01T00:00:00" u="1"/>
        <d v="2018-06-01T00:00:00" u="1"/>
        <d v="2019-06-01T00:00:00" u="1"/>
        <d v="2020-06-01T00:00:00" u="1"/>
        <d v="2021-06-01T00:00:00" u="1"/>
        <d v="2017-12-01T00:00:00" u="1"/>
        <d v="2018-12-01T00:00:00" u="1"/>
        <d v="2019-12-01T00:00:00" u="1"/>
        <d v="2020-12-01T00:00:00" u="1"/>
        <d v="2018-01-01T00:00:00" u="1"/>
        <d v="2019-01-01T00:00:00" u="1"/>
        <d v="2020-01-01T00:00:00" u="1"/>
        <d v="2021-01-01T00:00:00" u="1"/>
        <d v="2018-07-01T00:00:00" u="1"/>
        <d v="2019-07-01T00:00:00" u="1"/>
        <d v="2020-07-01T00:00:00" u="1"/>
        <d v="2021-07-01T00:00:00" u="1"/>
        <d v="2018-02-01T00:00:00" u="1"/>
        <d v="2019-02-01T00:00:00" u="1"/>
        <d v="2020-02-01T00:00:00" u="1"/>
        <d v="2021-02-01T00:00:00" u="1"/>
        <d v="2017-08-01T00:00:00" u="1"/>
        <d v="2018-08-01T00:00:00" u="1"/>
        <d v="2019-08-01T00:00:00" u="1"/>
        <d v="2020-08-01T00:00:00" u="1"/>
        <d v="2021-08-01T00:00:00" u="1"/>
        <d v="2018-03-01T00:00:00" u="1"/>
        <d v="2019-03-01T00:00:00" u="1"/>
        <d v="2020-03-01T00:00:00" u="1"/>
        <d v="2021-03-01T00:00:00" u="1"/>
        <d v="2017-09-01T00:00:00" u="1"/>
        <d v="2018-09-01T00:00:00" u="1"/>
        <d v="2019-09-01T00:00:00" u="1"/>
        <d v="2020-09-01T00:00:00" u="1"/>
        <d v="2018-04-01T00:00:00" u="1"/>
        <d v="2019-04-01T00:00:00" u="1"/>
        <d v="2020-04-01T00:00:00" u="1"/>
        <d v="2021-04-01T00:00:00" u="1"/>
        <d v="2017-10-01T00:00:00" u="1"/>
        <d v="2018-10-01T00:00:00" u="1"/>
        <d v="2019-10-01T00:00:00" u="1"/>
        <d v="2020-10-01T00:00:00" u="1"/>
      </sharedItems>
    </cacheField>
    <cacheField name="D" numFmtId="4">
      <sharedItems containsSemiMixedTypes="0" containsString="0" containsNumber="1" containsInteger="1" minValue="0" maxValue="2100"/>
    </cacheField>
    <cacheField name="Daj" numFmtId="4">
      <sharedItems containsSemiMixedTypes="0" containsString="0" containsNumber="1" minValue="0" maxValue="2100"/>
    </cacheField>
    <cacheField name="TUSD_E" numFmtId="4">
      <sharedItems containsSemiMixedTypes="0" containsString="0" containsNumber="1" minValue="-1.657" maxValue="897.19799999999998"/>
    </cacheField>
    <cacheField name="TUSD_Eaj" numFmtId="4">
      <sharedItems containsSemiMixedTypes="0" containsString="0" containsNumber="1" minValue="-1.657" maxValue="897.19799999999998"/>
    </cacheField>
    <cacheField name="TE_E" numFmtId="4">
      <sharedItems containsSemiMixedTypes="0" containsString="0" containsNumber="1" minValue="-1.657" maxValue="541.529"/>
    </cacheField>
    <cacheField name="TE_Eaj" numFmtId="4">
      <sharedItems containsSemiMixedTypes="0" containsString="0" containsNumber="1" minValue="-1.657" maxValue="541.529"/>
    </cacheField>
    <cacheField name="TUSD/KW" numFmtId="4">
      <sharedItems containsString="0" containsBlank="1" containsNumber="1" minValue="39.21" maxValue="39.21"/>
    </cacheField>
    <cacheField name="TUSD/MWh" numFmtId="4">
      <sharedItems containsString="0" containsBlank="1" containsNumber="1" minValue="100.48" maxValue="3305.85"/>
    </cacheField>
    <cacheField name="TE" numFmtId="4">
      <sharedItems containsString="0" containsBlank="1" containsNumber="1" minValue="157.53" maxValue="286.42"/>
    </cacheField>
    <cacheField name="ReceitaD" numFmtId="4">
      <sharedItems containsString="0" containsBlank="1" containsNumber="1" minValue="4313.1000000000004" maxValue="82341"/>
    </cacheField>
    <cacheField name="ReceitaE" numFmtId="4">
      <sharedItems containsString="0" containsBlank="1" containsNumber="1" minValue="-1483.8103599999999" maxValue="484928.38892"/>
    </cacheField>
    <cacheField name="Total" numFmtId="4">
      <sharedItems containsString="0" containsBlank="1" containsNumber="1" minValue="-1483.8103599999999" maxValue="484928.38892"/>
    </cacheField>
    <cacheField name="Total com Tar de aplicação" numFmtId="4">
      <sharedItems containsString="0" containsBlank="1" containsNumber="1" minValue="-1133.1725900000001" maxValue="370335.43722999998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100.84733809544659" maxValue="47506.111127800774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161.80961247570261" maxValue="60429.236304381993"/>
    </cacheField>
    <cacheField name="DISTRIBUICAO" numFmtId="4">
      <sharedItems containsString="0" containsBlank="1" containsNumber="1" minValue="-625.04027603780355" maxValue="236660.8283483432"/>
    </cacheField>
    <cacheField name="EnergiaRevenda" numFmtId="4">
      <sharedItems containsString="0" containsBlank="1" containsNumber="1" minValue="-474.6034830690528" maxValue="155106.54772655465"/>
    </cacheField>
    <cacheField name="ESSERR" numFmtId="4">
      <sharedItems containsString="0" containsBlank="1" containsNumber="1" containsInteger="1" minValue="0" maxValue="0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15.585557998076508" maxValue="8438.9447584539812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2.8298868475147585" maxValue="1229.2396995978352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55.546482351315447" maxValue="18153.307810033497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minValue="-8.6" maxValue="9268"/>
    </cacheField>
    <cacheField name="Cofins" numFmtId="4">
      <sharedItems containsSemiMixedTypes="0" containsString="0" containsNumber="1" minValue="-39.659999999999997" maxValue="9358.73"/>
    </cacheField>
    <cacheField name="ICMS" numFmtId="4">
      <sharedItems containsSemiMixedTypes="0" containsString="0" containsNumber="1" minValue="-680.29" maxValue="116190.86"/>
    </cacheField>
    <cacheField name="UC" numFmtId="4">
      <sharedItems containsSemiMixedTypes="0" containsString="0" containsNumber="1" containsInteger="1" minValue="0" maxValue="3286"/>
    </cacheField>
    <cacheField name="total_dummy" numFmtId="4">
      <sharedItems containsNonDate="0" containsString="0" containsBlank="1"/>
    </cacheField>
    <cacheField name="Subs_CarFI" numFmtId="4">
      <sharedItems containsString="0" containsBlank="1" containsNumber="1" minValue="31153.754131919999" maxValue="107118.03325353673"/>
    </cacheField>
    <cacheField name="Subs_GerFI" numFmtId="4">
      <sharedItems containsNonDate="0" containsString="0" containsBlank="1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858.02433420000079" maxValue="4195.2586919999976"/>
    </cacheField>
    <cacheField name="Subs_Rural" numFmtId="4">
      <sharedItems containsString="0" containsBlank="1" containsNumber="1" minValue="-67.461539999999971" maxValue="10881.333019999996"/>
    </cacheField>
    <cacheField name="Subs_Irrigante" numFmtId="4">
      <sharedItems containsNonDate="0" containsString="0" containsBlank="1"/>
    </cacheField>
    <cacheField name="Subs_BaixaRenda" numFmtId="4">
      <sharedItems containsString="0" containsBlank="1" containsNumber="1" minValue="-1.4152800000000001" maxValue="3041.0719099999997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530.14996542036829" maxValue="173259.85553658815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1135.2241999999999" maxValue="370336.12109999999"/>
    </cacheField>
    <cacheField name="FinAj" numFmtId="4">
      <sharedItems containsSemiMixedTypes="0" containsString="0" containsNumber="1" minValue="-114592.29782000004" maxValue="348.55616000000009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84931.899749999997" maxValue="243.23102999999995"/>
    </cacheField>
    <cacheField name="FinPostTE" numFmtId="4">
      <sharedItems containsSemiMixedTypes="0" containsString="0" containsNumber="1" minValue="-35101.909780000009" maxValue="107.40674000000004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40055.821567482519" maxValue="1425.3635236472037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5.5528054843970267" maxValue="2073.7445052545445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-35105.575653545078" maxValue="107.41795704001862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minValue="-4108.6745210184308" maxValue="12.57194662026879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3295.7911679045428" maxValue="6.9964002169638349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482.9464508869105" maxValue="0.89193496766556635"/>
    </cacheField>
    <cacheField name="finCT_TFSEE" numFmtId="4">
      <sharedItems containsString="0" containsBlank="1" containsNumber="1" minValue="-104.05795245448803" maxValue="0.23955639500303461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containsInteger="1" minValue="0" maxValue="0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2954.8190352650863" maxValue="56410.181582333462"/>
    </cacheField>
    <cacheField name="DIST_E" numFmtId="4">
      <sharedItems containsString="0" containsBlank="1" containsNumber="1" minValue="-625.04027603780355" maxValue="236660.8283483432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84931.899749999982" maxValue="243.23102999999992"/>
    </cacheField>
    <cacheField name="Fin_TE" numFmtId="4">
      <sharedItems containsString="0" containsBlank="1" containsNumber="1" minValue="-35101.909780000016" maxValue="107.40674000000007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86357.564183641894" maxValue="228.07727046339232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minValue="-47.552970402348144" maxValue="22400.756817724796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02" maxValue="202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SemiMixedTypes="0" containsString="0" containsNumber="1" minValue="-17.698635468909799" maxValue="-9.7342495079003708"/>
    </cacheField>
    <cacheField name="TUSDAngra" numFmtId="4">
      <sharedItems containsNonDate="0" containsString="0" containsBlank="1"/>
    </cacheField>
    <cacheField name="teCheia" numFmtId="4">
      <sharedItems containsSemiMixedTypes="0" containsString="0" containsNumber="1" minValue="-17.698635468909799" maxValue="-9.7342495079003708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7">
  <r>
    <n v="13"/>
    <s v="Regular"/>
    <s v="Verde"/>
    <s v="A4"/>
    <s v="Comercial"/>
    <s v="Não se aplica"/>
    <s v="Não se aplica"/>
    <s v="Não se aplica"/>
    <s v="Ponta"/>
    <s v="CATIVO"/>
    <x v="0"/>
    <n v="0"/>
    <n v="0"/>
    <n v="0.94599999999999995"/>
    <n v="0.94599999999999995"/>
    <n v="0.94599999999999995"/>
    <n v="0.94599999999999995"/>
    <m/>
    <n v="3305.85"/>
    <n v="286.42"/>
    <m/>
    <n v="3398.2874199999997"/>
    <n v="3398.2874199999997"/>
    <n v="2470.1006000000002"/>
    <n v="0"/>
    <n v="50.090148581360559"/>
    <n v="0"/>
    <n v="0"/>
    <n v="0"/>
    <n v="616.77787715321097"/>
    <n v="2415.5056764043011"/>
    <n v="270.95648460067827"/>
    <n v="0"/>
    <n v="0"/>
    <n v="0"/>
    <n v="0"/>
    <n v="0"/>
    <n v="8.8979709512253322"/>
    <m/>
    <n v="1.29610270622488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150781589839108"/>
    <n v="0"/>
    <n v="0"/>
    <n v="0"/>
    <n v="0"/>
    <n v="0"/>
    <m/>
    <m/>
    <m/>
    <m/>
    <m/>
    <m/>
    <m/>
    <m/>
    <m/>
    <n v="282.10726619051735"/>
    <m/>
    <m/>
    <m/>
    <m/>
    <m/>
    <m/>
    <m/>
    <m/>
    <m/>
    <m/>
    <m/>
    <m/>
    <n v="2480.5450000000001"/>
    <n v="-917.77242000000024"/>
    <m/>
    <m/>
    <m/>
    <m/>
    <n v="-866.86709999999982"/>
    <n v="-61.319720000000018"/>
    <n v="30"/>
    <n v="-46.777988925076897"/>
    <n v="0"/>
    <n v="0"/>
    <n v="0"/>
    <n v="0"/>
    <n v="0"/>
    <n v="0"/>
    <n v="0"/>
    <n v="21.16590928381936"/>
    <n v="0"/>
    <n v="0"/>
    <n v="-61.326123934736017"/>
    <n v="0"/>
    <n v="0"/>
    <n v="0"/>
    <n v="-2.5237787342696425"/>
    <n v="0"/>
    <n v="-3.4750617420432235"/>
    <m/>
    <n v="0"/>
    <n v="0"/>
    <n v="0"/>
    <n v="0"/>
    <n v="-0.50921573893278627"/>
    <n v="-0.10971805891447106"/>
    <n v="0"/>
    <n v="0"/>
    <m/>
    <m/>
    <m/>
    <n v="2415.5056764043011"/>
    <n v="0"/>
    <n v="0"/>
    <n v="-866.86709999999948"/>
    <n v="-61.319720000000046"/>
    <n v="0"/>
    <n v="0"/>
    <n v="-881.41830628176308"/>
    <n v="0"/>
    <n v="0"/>
    <n v="0"/>
    <n v="0"/>
    <n v="0"/>
    <n v="0"/>
    <n v="0"/>
    <n v="0"/>
    <n v="0"/>
    <n v="0"/>
    <n v="0"/>
    <n v="0"/>
    <n v="23.619218889885683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4"/>
    <s v="Regular"/>
    <s v="Verde"/>
    <s v="A4"/>
    <s v="Comercial"/>
    <s v="Não se aplica"/>
    <s v="Não se aplica"/>
    <s v="Não se aplica"/>
    <s v="Fora ponta"/>
    <s v="CATIVO"/>
    <x v="0"/>
    <n v="0"/>
    <n v="0"/>
    <n v="17.443999999999999"/>
    <n v="17.443999999999999"/>
    <n v="17.443999999999999"/>
    <n v="17.443999999999999"/>
    <m/>
    <n v="100.48"/>
    <n v="286.42"/>
    <m/>
    <n v="6749.0835999999999"/>
    <n v="6749.0835999999999"/>
    <n v="5496.2555199999997"/>
    <n v="0"/>
    <n v="923.64963198018347"/>
    <n v="0"/>
    <n v="0"/>
    <n v="0"/>
    <n v="0"/>
    <n v="0"/>
    <n v="4996.3688344336488"/>
    <n v="0"/>
    <n v="0"/>
    <n v="0"/>
    <n v="0"/>
    <n v="0"/>
    <n v="164.07632692724599"/>
    <m/>
    <n v="23.8998050818042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5.61758356570127"/>
    <n v="0"/>
    <n v="0"/>
    <n v="0"/>
    <n v="0"/>
    <n v="0"/>
    <m/>
    <m/>
    <m/>
    <m/>
    <m/>
    <m/>
    <m/>
    <m/>
    <m/>
    <n v="5201.9864179993501"/>
    <m/>
    <m/>
    <m/>
    <m/>
    <m/>
    <m/>
    <m/>
    <m/>
    <m/>
    <m/>
    <m/>
    <m/>
    <n v="5494.9952000000003"/>
    <n v="-1254.1184000000003"/>
    <m/>
    <m/>
    <m/>
    <m/>
    <n v="-122.10799999999999"/>
    <n v="-1130.7200800000003"/>
    <n v="30"/>
    <n v="-1252.8682456194338"/>
    <n v="0"/>
    <n v="0"/>
    <n v="0"/>
    <n v="0"/>
    <n v="0"/>
    <n v="0"/>
    <n v="0"/>
    <n v="0"/>
    <n v="0"/>
    <n v="0"/>
    <n v="-1130.8381669318551"/>
    <n v="0"/>
    <n v="0"/>
    <n v="0"/>
    <n v="-46.537839577800895"/>
    <n v="0"/>
    <n v="-64.079256900847781"/>
    <m/>
    <n v="0"/>
    <n v="0"/>
    <n v="0"/>
    <n v="0"/>
    <n v="-9.3898090379952635"/>
    <n v="-2.0231731709344984"/>
    <n v="0"/>
    <n v="0"/>
    <m/>
    <m/>
    <m/>
    <n v="0"/>
    <n v="0"/>
    <n v="0"/>
    <n v="-122.10800000000017"/>
    <n v="-1130.7200800000005"/>
    <n v="0"/>
    <n v="0"/>
    <n v="0"/>
    <n v="0"/>
    <n v="0"/>
    <n v="0"/>
    <n v="0"/>
    <n v="0"/>
    <n v="0"/>
    <n v="0"/>
    <n v="0"/>
    <n v="0"/>
    <n v="0"/>
    <n v="0"/>
    <n v="0"/>
    <n v="435.53240413865313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5"/>
    <s v="Regular"/>
    <s v="Verde"/>
    <s v="A4"/>
    <s v="Comercial"/>
    <s v="Não se aplica"/>
    <s v="Não se aplica"/>
    <s v="Não se aplica"/>
    <s v="Não se aplica"/>
    <s v="CATIVO"/>
    <x v="0"/>
    <n v="110"/>
    <n v="110"/>
    <n v="0"/>
    <n v="0"/>
    <n v="0"/>
    <n v="0"/>
    <n v="39.21"/>
    <m/>
    <m/>
    <n v="4313.1000000000004"/>
    <m/>
    <n v="4313.1000000000004"/>
    <n v="3282.4"/>
    <n v="0"/>
    <n v="0"/>
    <n v="0"/>
    <n v="0"/>
    <n v="0"/>
    <n v="1358.7452958601282"/>
    <n v="2954.819035265086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3.83"/>
    <n v="433.06"/>
    <n v="3168.76"/>
    <n v="1"/>
    <m/>
    <m/>
    <m/>
    <m/>
    <m/>
    <m/>
    <m/>
    <m/>
    <m/>
    <n v="0"/>
    <m/>
    <m/>
    <m/>
    <m/>
    <m/>
    <m/>
    <m/>
    <m/>
    <m/>
    <m/>
    <m/>
    <m/>
    <n v="3282.4"/>
    <n v="-1030.7300000000009"/>
    <m/>
    <m/>
    <m/>
    <m/>
    <n v="-1030.7"/>
    <n v="0"/>
    <n v="30"/>
    <n v="46.627936469982842"/>
    <n v="0"/>
    <n v="0"/>
    <n v="0"/>
    <n v="0"/>
    <m/>
    <m/>
    <m/>
    <n v="46.6279364699828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54.8190352650863"/>
    <m/>
    <n v="0"/>
    <n v="0"/>
    <n v="-1030.7000000000003"/>
    <m/>
    <n v="0"/>
    <m/>
    <n v="-1078.2138145538875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21"/>
    <s v="Regular"/>
    <s v="Verde"/>
    <s v="A4"/>
    <s v="Serviço público"/>
    <s v="Água, esgoto e saneamento"/>
    <s v="Não se aplica"/>
    <s v="Não se aplica"/>
    <s v="Ponta"/>
    <s v="CATIVO"/>
    <x v="0"/>
    <n v="0"/>
    <n v="0"/>
    <n v="21.111000000000001"/>
    <n v="19.844339999999999"/>
    <n v="21.111000000000001"/>
    <n v="19.844339999999999"/>
    <m/>
    <n v="3305.85"/>
    <n v="286.42"/>
    <m/>
    <n v="75836.411970000001"/>
    <n v="75836.411970000001"/>
    <n v="55122.932099999998"/>
    <n v="0"/>
    <n v="1117.815144504337"/>
    <n v="0"/>
    <n v="0"/>
    <n v="0"/>
    <n v="13764.056833595601"/>
    <n v="53904.588091512902"/>
    <n v="6046.6832414428327"/>
    <n v="0"/>
    <n v="0"/>
    <n v="0"/>
    <n v="0"/>
    <n v="0"/>
    <n v="198.56772172443766"/>
    <m/>
    <n v="28.9239156777098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8.84159634576474"/>
    <n v="0"/>
    <n v="0"/>
    <n v="0"/>
    <n v="0"/>
    <n v="0"/>
    <m/>
    <m/>
    <m/>
    <m/>
    <n v="3307.3759260000043"/>
    <m/>
    <m/>
    <m/>
    <m/>
    <n v="6295.5248377885973"/>
    <m/>
    <m/>
    <m/>
    <m/>
    <m/>
    <m/>
    <m/>
    <m/>
    <m/>
    <m/>
    <m/>
    <m/>
    <n v="51804.224000000002"/>
    <n v="-19482.033251799978"/>
    <m/>
    <m/>
    <m/>
    <m/>
    <n v="-19345.064849999999"/>
    <n v="-1368.4150200000006"/>
    <n v="30"/>
    <n v="-1043.9007655362584"/>
    <n v="0"/>
    <n v="0"/>
    <n v="0"/>
    <n v="0"/>
    <n v="0"/>
    <n v="0"/>
    <n v="0"/>
    <n v="472.33986352083411"/>
    <n v="0"/>
    <n v="0"/>
    <n v="-1368.5579306408163"/>
    <n v="0"/>
    <n v="0"/>
    <n v="0"/>
    <n v="-56.320816975863067"/>
    <n v="0"/>
    <n v="-77.549712934751142"/>
    <m/>
    <n v="0"/>
    <n v="0"/>
    <n v="0"/>
    <n v="0"/>
    <n v="-11.363692880137478"/>
    <n v="-2.4484756255215636"/>
    <n v="0"/>
    <n v="0"/>
    <m/>
    <m/>
    <m/>
    <n v="53904.588091512902"/>
    <n v="0"/>
    <n v="0"/>
    <n v="-19345.064850000002"/>
    <n v="-1368.4150200000004"/>
    <n v="0"/>
    <n v="0"/>
    <n v="-19669.790553820618"/>
    <n v="0"/>
    <n v="0"/>
    <n v="0"/>
    <n v="0"/>
    <n v="0"/>
    <n v="0"/>
    <n v="0"/>
    <n v="0"/>
    <n v="0"/>
    <n v="0"/>
    <n v="0"/>
    <n v="0"/>
    <n v="527.08808666424602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2"/>
    <s v="Regular"/>
    <s v="Verde"/>
    <s v="A4"/>
    <s v="Serviço público"/>
    <s v="Água, esgoto e saneamento"/>
    <s v="Não se aplica"/>
    <s v="Não se aplica"/>
    <s v="Fora ponta"/>
    <s v="CATIVO"/>
    <x v="0"/>
    <n v="0"/>
    <n v="0"/>
    <n v="215.23599999999999"/>
    <n v="202.32184000000001"/>
    <n v="215.23599999999999"/>
    <n v="202.32184000000001"/>
    <m/>
    <n v="100.48"/>
    <n v="286.42"/>
    <m/>
    <n v="83274.808400000009"/>
    <n v="83274.808400000009"/>
    <n v="67816.558879999997"/>
    <n v="0"/>
    <n v="11396.620740018732"/>
    <n v="0"/>
    <n v="0"/>
    <n v="0"/>
    <n v="0"/>
    <n v="0"/>
    <n v="61648.615136904431"/>
    <n v="0"/>
    <n v="0"/>
    <n v="0"/>
    <n v="0"/>
    <n v="0"/>
    <n v="2024.4859150718137"/>
    <m/>
    <n v="294.892137502134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37.0503448949371"/>
    <n v="0"/>
    <n v="0"/>
    <n v="0"/>
    <n v="0"/>
    <n v="0"/>
    <m/>
    <m/>
    <m/>
    <m/>
    <n v="4068.9935327999938"/>
    <m/>
    <m/>
    <m/>
    <m/>
    <n v="64185.665481799369"/>
    <m/>
    <m/>
    <m/>
    <m/>
    <m/>
    <m/>
    <m/>
    <m/>
    <m/>
    <m/>
    <m/>
    <m/>
    <n v="63746.985599999993"/>
    <n v="-14531.364296000007"/>
    <m/>
    <m/>
    <m/>
    <m/>
    <n v="-1506.652"/>
    <n v="-13951.597520000005"/>
    <n v="30"/>
    <n v="-15458.745110877338"/>
    <n v="0"/>
    <n v="0"/>
    <n v="0"/>
    <n v="0"/>
    <n v="0"/>
    <n v="0"/>
    <n v="0"/>
    <n v="0"/>
    <n v="0"/>
    <n v="0"/>
    <n v="-13953.054557311676"/>
    <n v="0"/>
    <n v="0"/>
    <n v="0"/>
    <n v="-574.21568673283423"/>
    <n v="0"/>
    <n v="-790.65368827739439"/>
    <m/>
    <n v="0"/>
    <n v="0"/>
    <n v="0"/>
    <n v="0"/>
    <n v="-115.85788455067359"/>
    <n v="-24.963294004772877"/>
    <n v="0"/>
    <n v="0"/>
    <m/>
    <m/>
    <m/>
    <n v="0"/>
    <n v="0"/>
    <n v="0"/>
    <n v="-1506.6520000000019"/>
    <n v="-13951.597520000003"/>
    <n v="0"/>
    <n v="0"/>
    <n v="0"/>
    <n v="0"/>
    <n v="0"/>
    <n v="0"/>
    <n v="0"/>
    <n v="0"/>
    <n v="0"/>
    <n v="0"/>
    <n v="0"/>
    <n v="0"/>
    <n v="0"/>
    <n v="0"/>
    <n v="0"/>
    <n v="5373.8966141473938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3"/>
    <s v="Regular"/>
    <s v="Verde"/>
    <s v="A4"/>
    <s v="Serviço público"/>
    <s v="Água, esgoto e saneamento"/>
    <s v="Não se aplica"/>
    <s v="Não se aplica"/>
    <s v="Não se aplica"/>
    <s v="CATIVO"/>
    <x v="0"/>
    <n v="906"/>
    <n v="851.64"/>
    <n v="0"/>
    <n v="0"/>
    <n v="0"/>
    <n v="0"/>
    <n v="39.21"/>
    <m/>
    <m/>
    <n v="35524.26"/>
    <m/>
    <n v="35524.26"/>
    <n v="27035.040000000001"/>
    <n v="0"/>
    <n v="0"/>
    <n v="0"/>
    <n v="0"/>
    <n v="0"/>
    <n v="11191.120345902509"/>
    <n v="24336.96405409243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33.55"/>
    <n v="4366.58"/>
    <n v="38448.720000000001"/>
    <n v="3"/>
    <m/>
    <m/>
    <m/>
    <m/>
    <n v="1622.1024000000004"/>
    <m/>
    <m/>
    <m/>
    <m/>
    <n v="0"/>
    <m/>
    <m/>
    <m/>
    <m/>
    <m/>
    <m/>
    <m/>
    <m/>
    <m/>
    <m/>
    <m/>
    <m/>
    <n v="25412.937600000001"/>
    <n v="-7979.8968000000059"/>
    <m/>
    <m/>
    <m/>
    <m/>
    <n v="-8489.2200000000012"/>
    <n v="0"/>
    <n v="30"/>
    <n v="384.04464038004153"/>
    <n v="0"/>
    <n v="0"/>
    <n v="0"/>
    <n v="0"/>
    <m/>
    <m/>
    <m/>
    <n v="384.0446403800415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336.964054092437"/>
    <m/>
    <n v="0"/>
    <n v="0"/>
    <n v="-8489.2200000000012"/>
    <m/>
    <n v="0"/>
    <m/>
    <n v="-8880.5610544165629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423.71499999999997"/>
    <n v="423.71499999999997"/>
    <n v="423.71499999999997"/>
    <n v="423.71499999999997"/>
    <m/>
    <n v="609.05999999999995"/>
    <n v="286.42"/>
    <m/>
    <n v="379428.30819999997"/>
    <n v="379428.30819999997"/>
    <n v="289765.97704999999"/>
    <n v="0"/>
    <n v="25787.887665125014"/>
    <n v="0"/>
    <n v="0"/>
    <n v="0"/>
    <n v="41376.680718251257"/>
    <n v="159830.38054396975"/>
    <n v="121361.86772999619"/>
    <n v="0"/>
    <n v="0"/>
    <n v="0"/>
    <n v="0"/>
    <n v="0"/>
    <n v="3985.4162384761544"/>
    <m/>
    <n v="723.63639444460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203.909335840448"/>
    <n v="0"/>
    <n v="1999.66"/>
    <n v="9358.73"/>
    <n v="69675.100000000006"/>
    <n v="3253"/>
    <m/>
    <m/>
    <m/>
    <m/>
    <m/>
    <m/>
    <m/>
    <m/>
    <m/>
    <n v="135565.77706583662"/>
    <m/>
    <m/>
    <m/>
    <m/>
    <m/>
    <m/>
    <m/>
    <m/>
    <m/>
    <m/>
    <m/>
    <m/>
    <n v="289769.39640000003"/>
    <n v="-89658.941799999971"/>
    <m/>
    <m/>
    <m/>
    <m/>
    <n v="-62197.124849999978"/>
    <n v="-27465.206300000009"/>
    <n v="30"/>
    <n v="-31341.354637454031"/>
    <n v="0"/>
    <n v="0"/>
    <n v="0"/>
    <n v="0"/>
    <n v="0"/>
    <n v="0"/>
    <n v="0"/>
    <n v="1419.9197198680049"/>
    <n v="0"/>
    <n v="0"/>
    <n v="-27468.074633199431"/>
    <n v="0"/>
    <n v="0"/>
    <n v="0"/>
    <n v="-3214.7992529916646"/>
    <n v="0"/>
    <n v="-1789.064404303459"/>
    <m/>
    <n v="0"/>
    <n v="0"/>
    <n v="0"/>
    <n v="0"/>
    <n v="-228.07859072083056"/>
    <n v="-61.257476106645186"/>
    <n v="0"/>
    <n v="0"/>
    <m/>
    <m/>
    <m/>
    <n v="159830.38054396975"/>
    <n v="0"/>
    <n v="0"/>
    <n v="-62197.124849999993"/>
    <n v="-27465.206300000005"/>
    <n v="0"/>
    <n v="0"/>
    <n v="-58322.124715990474"/>
    <n v="0"/>
    <n v="0"/>
    <n v="0"/>
    <n v="0"/>
    <n v="0"/>
    <n v="0"/>
    <n v="0"/>
    <n v="0"/>
    <n v="0"/>
    <n v="0"/>
    <n v="0"/>
    <n v="0"/>
    <n v="12159.871366343357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"/>
    <s v="Refaturamento - Regular"/>
    <s v="Convencional"/>
    <s v="B1"/>
    <s v="Residencial"/>
    <s v="Residencial"/>
    <s v="Não se aplica"/>
    <s v="Não se aplica"/>
    <s v="Não se aplica"/>
    <s v="CATIVO"/>
    <x v="0"/>
    <n v="0"/>
    <n v="0"/>
    <n v="-0.79100000000000004"/>
    <n v="-0.79100000000000004"/>
    <n v="-0.79100000000000004"/>
    <n v="-0.79100000000000004"/>
    <m/>
    <n v="609.05999999999995"/>
    <n v="286.42"/>
    <m/>
    <n v="-708.32468000000006"/>
    <n v="-708.32468000000006"/>
    <n v="-540.94117000000006"/>
    <n v="0"/>
    <n v="-48.141366586299483"/>
    <n v="0"/>
    <n v="0"/>
    <n v="0"/>
    <n v="-77.242850614532756"/>
    <n v="-298.37468819909628"/>
    <n v="-226.56086608788218"/>
    <n v="0"/>
    <n v="0"/>
    <n v="0"/>
    <n v="0"/>
    <n v="0"/>
    <n v="-7.4400581632338678"/>
    <m/>
    <n v="-1.35089951501760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6.516154218401038"/>
    <n v="0"/>
    <n v="-5.88"/>
    <n v="-27.15"/>
    <n v="-248.66"/>
    <n v="0"/>
    <m/>
    <m/>
    <m/>
    <m/>
    <m/>
    <m/>
    <m/>
    <m/>
    <m/>
    <n v="-253.0770203062832"/>
    <m/>
    <m/>
    <m/>
    <m/>
    <m/>
    <m/>
    <m/>
    <m/>
    <m/>
    <m/>
    <m/>
    <m/>
    <n v="-540.25729999999999"/>
    <n v="168.0373800000001"/>
    <m/>
    <m/>
    <m/>
    <m/>
    <n v="116.11088999999998"/>
    <n v="51.272620000000018"/>
    <n v="30"/>
    <n v="58.508694566456541"/>
    <n v="0"/>
    <n v="0"/>
    <n v="0"/>
    <n v="0"/>
    <n v="0"/>
    <n v="0"/>
    <n v="0"/>
    <n v="-2.6507357502462554"/>
    <n v="0"/>
    <n v="0"/>
    <n v="51.277974664245448"/>
    <n v="0"/>
    <n v="0"/>
    <n v="0"/>
    <n v="6.0014543009249302"/>
    <n v="0"/>
    <n v="3.3398627469030728"/>
    <m/>
    <n v="0"/>
    <n v="0"/>
    <n v="0"/>
    <n v="0"/>
    <n v="0.42578187050299565"/>
    <n v="0.11435673412637337"/>
    <n v="0"/>
    <n v="0"/>
    <m/>
    <m/>
    <m/>
    <n v="-298.37468819909628"/>
    <n v="0"/>
    <n v="0"/>
    <n v="116.11088999999998"/>
    <n v="51.272620000000018"/>
    <n v="0"/>
    <n v="0"/>
    <n v="108.8769589236833"/>
    <n v="0"/>
    <n v="0"/>
    <n v="0"/>
    <n v="0"/>
    <n v="0"/>
    <n v="0"/>
    <n v="0"/>
    <n v="0"/>
    <n v="0"/>
    <n v="0"/>
    <n v="0"/>
    <n v="0"/>
    <n v="-22.700301501664082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3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2.7389999999999999"/>
    <n v="2.7389999999999999"/>
    <n v="2.7389999999999999"/>
    <n v="2.7389999999999999"/>
    <m/>
    <n v="609.05999999999995"/>
    <n v="286.42"/>
    <m/>
    <n v="2452.7197199999996"/>
    <n v="2452.7197199999996"/>
    <n v="1873.1199299999998"/>
    <n v="0"/>
    <n v="166.69937178239479"/>
    <n v="0"/>
    <n v="0"/>
    <n v="0"/>
    <n v="267.46923872718736"/>
    <n v="1033.18365483859"/>
    <n v="784.51354262289408"/>
    <n v="0"/>
    <n v="0"/>
    <n v="0"/>
    <n v="0"/>
    <n v="0"/>
    <n v="25.762729847152418"/>
    <m/>
    <n v="4.67776709435300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.817631358028365"/>
    <n v="0"/>
    <n v="12.11"/>
    <n v="56.94"/>
    <n v="1509.53"/>
    <n v="25"/>
    <m/>
    <m/>
    <m/>
    <m/>
    <m/>
    <m/>
    <m/>
    <m/>
    <m/>
    <n v="876.33117398092247"/>
    <m/>
    <m/>
    <m/>
    <m/>
    <m/>
    <m/>
    <m/>
    <m/>
    <m/>
    <m/>
    <m/>
    <m/>
    <n v="1873.8038000000001"/>
    <n v="-578.94591999999966"/>
    <m/>
    <m/>
    <m/>
    <m/>
    <n v="-402.0578099999999"/>
    <n v="-177.54198000000005"/>
    <n v="30"/>
    <n v="-202.59837473770472"/>
    <n v="0"/>
    <n v="0"/>
    <n v="0"/>
    <n v="0"/>
    <n v="0"/>
    <n v="0"/>
    <n v="0"/>
    <n v="9.1787170921927554"/>
    <n v="0"/>
    <n v="0"/>
    <n v="-177.56052162499145"/>
    <n v="0"/>
    <n v="0"/>
    <n v="0"/>
    <n v="-20.781268432659147"/>
    <n v="0"/>
    <n v="-11.564960889718719"/>
    <m/>
    <n v="0"/>
    <n v="0"/>
    <n v="0"/>
    <n v="0"/>
    <n v="-1.4743571976077199"/>
    <n v="-0.39598368492052671"/>
    <n v="0"/>
    <n v="0"/>
    <m/>
    <m/>
    <m/>
    <n v="1033.18365483859"/>
    <n v="0"/>
    <n v="0"/>
    <n v="-402.05780999999979"/>
    <n v="-177.54197999999997"/>
    <n v="0"/>
    <n v="0"/>
    <n v="-377.00883753725486"/>
    <n v="0"/>
    <n v="0"/>
    <n v="0"/>
    <n v="0"/>
    <n v="0"/>
    <n v="0"/>
    <n v="0"/>
    <n v="0"/>
    <n v="0"/>
    <n v="0"/>
    <n v="0"/>
    <n v="0"/>
    <n v="78.604457412209754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4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26.84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"/>
    <m/>
    <m/>
    <m/>
    <m/>
    <n v="0"/>
    <n v="-17.698635468909799"/>
    <m/>
    <n v="-17.698635468909799"/>
    <m/>
    <n v="0"/>
    <n v="0"/>
    <n v="0"/>
    <n v="0"/>
  </r>
  <r>
    <n v="5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3.63"/>
    <n v="3.63"/>
    <n v="3.63"/>
    <n v="3.63"/>
    <m/>
    <n v="510.09"/>
    <n v="286.42"/>
    <m/>
    <n v="2891.3312999999998"/>
    <n v="2891.3312999999998"/>
    <n v="2140.5020999999997"/>
    <n v="0"/>
    <n v="0"/>
    <n v="0"/>
    <n v="0"/>
    <n v="0"/>
    <n v="354.47730433723626"/>
    <n v="1369.2795425571676"/>
    <n v="1039.7167432351609"/>
    <n v="0"/>
    <n v="0"/>
    <n v="0"/>
    <n v="0"/>
    <n v="0"/>
    <n v="0"/>
    <m/>
    <n v="6.19945036601000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1.68601746244724"/>
    <n v="0"/>
    <n v="4.4800000000000004"/>
    <n v="23.36"/>
    <n v="423.62"/>
    <n v="0"/>
    <m/>
    <m/>
    <m/>
    <m/>
    <m/>
    <m/>
    <m/>
    <n v="1391.3426999999999"/>
    <m/>
    <n v="1161.4027606976083"/>
    <m/>
    <m/>
    <m/>
    <m/>
    <m/>
    <m/>
    <m/>
    <m/>
    <m/>
    <m/>
    <m/>
    <m/>
    <n v="749.15940000000001"/>
    <n v="-262.84199999999987"/>
    <m/>
    <m/>
    <m/>
    <m/>
    <n v="-515.53259999999989"/>
    <n v="-235.29660000000007"/>
    <n v="30"/>
    <n v="-251.22284616315255"/>
    <n v="0"/>
    <n v="0"/>
    <n v="0"/>
    <n v="0"/>
    <n v="0"/>
    <n v="0"/>
    <n v="0"/>
    <n v="12.164564820978399"/>
    <n v="0"/>
    <n v="0"/>
    <n v="-235.32117323794068"/>
    <n v="0"/>
    <n v="0"/>
    <n v="0"/>
    <n v="-27.541440091475991"/>
    <n v="0"/>
    <n v="0"/>
    <m/>
    <n v="0"/>
    <n v="0"/>
    <n v="0"/>
    <n v="0"/>
    <n v="0"/>
    <n v="-0.52479765471395101"/>
    <n v="0"/>
    <n v="0"/>
    <m/>
    <m/>
    <m/>
    <n v="1369.2795425571676"/>
    <n v="0"/>
    <n v="0"/>
    <n v="-515.53259999999977"/>
    <n v="-235.29660000000013"/>
    <n v="0"/>
    <n v="0"/>
    <n v="-499.65026661563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6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7.7220000000000004"/>
    <n v="7.7220000000000004"/>
    <n v="7.7220000000000004"/>
    <n v="7.7220000000000004"/>
    <m/>
    <n v="510.09"/>
    <n v="286.42"/>
    <m/>
    <n v="6150.6502200000004"/>
    <n v="6150.6502200000004"/>
    <n v="4553.43174"/>
    <n v="0"/>
    <n v="0"/>
    <n v="0"/>
    <n v="0"/>
    <n v="0"/>
    <n v="754.06990195375715"/>
    <n v="2912.8310268943383"/>
    <n v="2211.7610719729787"/>
    <n v="0"/>
    <n v="0"/>
    <n v="0"/>
    <n v="0"/>
    <n v="0"/>
    <n v="0"/>
    <m/>
    <n v="13.1879216876940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8.85934623829684"/>
    <n v="0"/>
    <n v="18.63"/>
    <n v="86.23"/>
    <n v="998.35"/>
    <n v="30"/>
    <m/>
    <m/>
    <m/>
    <m/>
    <m/>
    <m/>
    <m/>
    <n v="1821.38814"/>
    <m/>
    <n v="2470.6204182112756"/>
    <m/>
    <m/>
    <m/>
    <m/>
    <m/>
    <m/>
    <m/>
    <m/>
    <m/>
    <m/>
    <m/>
    <m/>
    <n v="2731.3360000000002"/>
    <n v="-959.11502000000019"/>
    <m/>
    <m/>
    <m/>
    <m/>
    <n v="-1096.6784399999999"/>
    <n v="-500.5400400000002"/>
    <n v="30"/>
    <n v="-534.4195091107058"/>
    <n v="0"/>
    <n v="0"/>
    <n v="0"/>
    <n v="0"/>
    <n v="0"/>
    <n v="0"/>
    <n v="0"/>
    <n v="25.877346982808604"/>
    <n v="0"/>
    <n v="0"/>
    <n v="-500.59231397889175"/>
    <n v="0"/>
    <n v="0"/>
    <n v="0"/>
    <n v="-58.588154376412518"/>
    <n v="0"/>
    <n v="0"/>
    <m/>
    <n v="0"/>
    <n v="0"/>
    <n v="0"/>
    <n v="0"/>
    <n v="0"/>
    <n v="-1.1163877382096778"/>
    <n v="0"/>
    <n v="0"/>
    <m/>
    <m/>
    <m/>
    <n v="2912.8310268943383"/>
    <n v="0"/>
    <n v="0"/>
    <n v="-1096.6784400000001"/>
    <n v="-500.54004000000032"/>
    <n v="0"/>
    <n v="0"/>
    <n v="-1062.892385345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7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7.3079999999999998"/>
    <n v="7.3079999999999998"/>
    <n v="7.3079999999999998"/>
    <n v="7.3079999999999998"/>
    <m/>
    <n v="510.09"/>
    <n v="286.42"/>
    <m/>
    <n v="5820.8950800000002"/>
    <n v="5820.8950800000002"/>
    <n v="4309.30836"/>
    <n v="0"/>
    <n v="0"/>
    <n v="0"/>
    <n v="0"/>
    <n v="0"/>
    <n v="713.64191187232029"/>
    <n v="2756.6652608836862"/>
    <n v="2093.1818070420263"/>
    <n v="0"/>
    <n v="0"/>
    <n v="0"/>
    <n v="0"/>
    <n v="0"/>
    <n v="0"/>
    <m/>
    <n v="12.4808769352069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4.98110623018303"/>
    <n v="0"/>
    <n v="32.049999999999997"/>
    <n v="148.77000000000001"/>
    <n v="1696"/>
    <n v="88"/>
    <m/>
    <m/>
    <m/>
    <m/>
    <m/>
    <m/>
    <m/>
    <n v="430.95275999999996"/>
    <m/>
    <n v="2338.1629132722092"/>
    <m/>
    <m/>
    <m/>
    <m/>
    <m/>
    <m/>
    <m/>
    <m/>
    <m/>
    <m/>
    <m/>
    <m/>
    <n v="3879.4169999999995"/>
    <n v="-1359.4258800000007"/>
    <m/>
    <m/>
    <m/>
    <m/>
    <n v="-1037.8821599999999"/>
    <n v="-473.70456000000013"/>
    <n v="30"/>
    <n v="-505.76764731689127"/>
    <n v="0"/>
    <n v="0"/>
    <n v="0"/>
    <n v="0"/>
    <n v="0"/>
    <n v="0"/>
    <n v="0"/>
    <n v="24.489983391655642"/>
    <n v="0"/>
    <n v="0"/>
    <n v="-473.75403141125889"/>
    <n v="0"/>
    <n v="0"/>
    <n v="0"/>
    <n v="-55.447064514740077"/>
    <n v="0"/>
    <n v="0"/>
    <m/>
    <n v="0"/>
    <n v="0"/>
    <n v="0"/>
    <n v="0"/>
    <n v="0"/>
    <n v="-1.056534782548086"/>
    <n v="0"/>
    <n v="0"/>
    <m/>
    <m/>
    <m/>
    <n v="2756.6652608836862"/>
    <n v="0"/>
    <n v="0"/>
    <n v="-1037.8821599999997"/>
    <n v="-473.70456000000013"/>
    <n v="0"/>
    <n v="0"/>
    <n v="-1005.9074789055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8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0.19500000000000001"/>
    <n v="0.19500000000000001"/>
    <n v="0.19500000000000001"/>
    <n v="0.19500000000000001"/>
    <m/>
    <n v="510.09"/>
    <n v="286.42"/>
    <m/>
    <n v="155.31945000000002"/>
    <n v="155.31945000000002"/>
    <n v="114.98565000000001"/>
    <n v="0"/>
    <n v="0"/>
    <n v="0"/>
    <n v="0"/>
    <n v="0"/>
    <n v="19.042169241256495"/>
    <n v="73.556339062988343"/>
    <n v="55.852552322549968"/>
    <n v="0"/>
    <n v="0"/>
    <n v="0"/>
    <n v="0"/>
    <n v="0"/>
    <n v="0"/>
    <m/>
    <n v="0.333028325446818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5368521777347688"/>
    <n v="0"/>
    <n v="1.27"/>
    <n v="5.8"/>
    <n v="86.49"/>
    <n v="3"/>
    <m/>
    <m/>
    <m/>
    <m/>
    <m/>
    <m/>
    <m/>
    <m/>
    <m/>
    <n v="62.389404500284741"/>
    <m/>
    <m/>
    <m/>
    <m/>
    <m/>
    <m/>
    <m/>
    <m/>
    <m/>
    <m/>
    <m/>
    <m/>
    <n v="117.934"/>
    <n v="-37.415450000000021"/>
    <m/>
    <m/>
    <m/>
    <m/>
    <n v="-27.693899999999996"/>
    <n v="-12.639900000000004"/>
    <n v="30"/>
    <n v="-13.495442149260228"/>
    <n v="0"/>
    <n v="0"/>
    <n v="0"/>
    <n v="0"/>
    <n v="0"/>
    <n v="0"/>
    <n v="0"/>
    <n v="0.65346835815173065"/>
    <n v="0"/>
    <n v="0"/>
    <n v="-12.641220049972013"/>
    <n v="0"/>
    <n v="0"/>
    <n v="0"/>
    <n v="-1.4794988478892055"/>
    <n v="0"/>
    <n v="0"/>
    <m/>
    <n v="0"/>
    <n v="0"/>
    <n v="0"/>
    <n v="0"/>
    <n v="0"/>
    <n v="-2.8191609550749452E-2"/>
    <n v="0"/>
    <n v="0"/>
    <m/>
    <m/>
    <m/>
    <n v="73.556339062988343"/>
    <n v="0"/>
    <n v="0"/>
    <n v="-27.693899999999999"/>
    <n v="-12.639900000000004"/>
    <n v="0"/>
    <n v="0"/>
    <n v="-26.840716801666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9"/>
    <s v="Regular"/>
    <s v="Branca"/>
    <s v="B1"/>
    <s v="Residencial"/>
    <s v="Residencial"/>
    <s v="Não se aplica"/>
    <s v="Não se aplica"/>
    <s v="Fora ponta"/>
    <s v="CATIVO"/>
    <x v="0"/>
    <n v="0"/>
    <n v="0"/>
    <n v="3.6999999999999998E-2"/>
    <n v="3.6999999999999998E-2"/>
    <n v="3.6999999999999998E-2"/>
    <n v="3.6999999999999998E-2"/>
    <m/>
    <n v="409.62"/>
    <n v="286.42"/>
    <m/>
    <n v="25.75348"/>
    <n v="25.75348"/>
    <n v="20.01108"/>
    <n v="0"/>
    <n v="2.2518717619381552"/>
    <n v="0"/>
    <n v="0"/>
    <n v="0"/>
    <n v="2.0957988779233871"/>
    <n v="8.0949662625952943"/>
    <n v="10.597663774022301"/>
    <n v="0"/>
    <n v="0"/>
    <n v="0"/>
    <n v="0"/>
    <n v="0"/>
    <n v="0.34801789132699507"/>
    <m/>
    <n v="6.318998995657577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403257978265971"/>
    <n v="0"/>
    <n v="0"/>
    <n v="0"/>
    <n v="0"/>
    <n v="0"/>
    <m/>
    <m/>
    <m/>
    <m/>
    <m/>
    <m/>
    <m/>
    <m/>
    <m/>
    <n v="11.837989571848897"/>
    <m/>
    <m/>
    <m/>
    <m/>
    <m/>
    <m/>
    <m/>
    <m/>
    <m/>
    <m/>
    <m/>
    <m/>
    <n v="21.633600000000001"/>
    <n v="-4.1498799999999996"/>
    <m/>
    <m/>
    <m/>
    <m/>
    <n v="-3.3440599999999998"/>
    <n v="-2.3983400000000006"/>
    <n v="30"/>
    <n v="-2.7888864032344909"/>
    <n v="0"/>
    <n v="0"/>
    <n v="0"/>
    <n v="0"/>
    <n v="0"/>
    <n v="0"/>
    <n v="0"/>
    <n v="7.1921335979169054E-2"/>
    <n v="0"/>
    <n v="0"/>
    <n v="-2.3985904710203307"/>
    <n v="0"/>
    <n v="0"/>
    <n v="0"/>
    <n v="-0.28072542242000309"/>
    <n v="0"/>
    <n v="-0.15622619675779204"/>
    <m/>
    <n v="0"/>
    <n v="0"/>
    <n v="0"/>
    <n v="0"/>
    <n v="-1.9916471818724191E-2"/>
    <n v="-5.3491771968088714E-3"/>
    <n v="0"/>
    <n v="0"/>
    <m/>
    <m/>
    <m/>
    <n v="8.0949662625952943"/>
    <n v="0"/>
    <n v="0"/>
    <n v="-3.3440599999999989"/>
    <n v="-2.398340000000001"/>
    <n v="0"/>
    <n v="0"/>
    <n v="-2.9538541441996964"/>
    <n v="0"/>
    <n v="0"/>
    <n v="0"/>
    <n v="0"/>
    <n v="0"/>
    <n v="0"/>
    <n v="0"/>
    <n v="0"/>
    <n v="0"/>
    <n v="0"/>
    <n v="0"/>
    <n v="0"/>
    <n v="1.0618345835165246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0"/>
    <s v="Regular"/>
    <s v="Branca"/>
    <s v="B1"/>
    <s v="Residencial"/>
    <s v="Residencial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3"/>
    <n v="1.41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"/>
    <m/>
    <m/>
    <m/>
    <m/>
    <n v="0"/>
    <n v="-17.698635468909799"/>
    <m/>
    <n v="-17.698635468909799"/>
    <m/>
    <n v="0"/>
    <n v="0"/>
    <n v="0"/>
    <n v="0"/>
  </r>
  <r>
    <n v="11"/>
    <s v="Regular"/>
    <s v="Branca"/>
    <s v="B1"/>
    <s v="Residencial"/>
    <s v="Residencial"/>
    <s v="Não se aplica"/>
    <s v="Não se aplica"/>
    <s v="Intermediário"/>
    <s v="CATIVO"/>
    <x v="0"/>
    <n v="0"/>
    <n v="0"/>
    <n v="1.7999999999999999E-2"/>
    <n v="1.7999999999999999E-2"/>
    <n v="1.7999999999999999E-2"/>
    <n v="1.7999999999999999E-2"/>
    <m/>
    <n v="960.47"/>
    <n v="286.42"/>
    <m/>
    <n v="22.444020000000002"/>
    <n v="22.444020000000002"/>
    <n v="16.846379999999996"/>
    <n v="0"/>
    <n v="1.0955051814834269"/>
    <n v="0"/>
    <n v="0"/>
    <n v="0"/>
    <n v="3.0586375965081238"/>
    <n v="11.814281103664438"/>
    <n v="5.1556202143892271"/>
    <n v="0"/>
    <n v="0"/>
    <n v="0"/>
    <n v="0"/>
    <n v="0"/>
    <n v="0.1693060011861057"/>
    <m/>
    <n v="3.074107619509091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0340173948320941"/>
    <n v="0"/>
    <n v="0"/>
    <n v="0"/>
    <n v="0"/>
    <n v="0"/>
    <m/>
    <m/>
    <m/>
    <m/>
    <m/>
    <m/>
    <m/>
    <m/>
    <m/>
    <n v="5.7590219538724368"/>
    <m/>
    <m/>
    <m/>
    <m/>
    <m/>
    <m/>
    <m/>
    <m/>
    <m/>
    <m/>
    <m/>
    <m/>
    <n v="18.7182"/>
    <n v="-3.755820000000007"/>
    <m/>
    <m/>
    <m/>
    <m/>
    <n v="-4.430880000000001"/>
    <n v="-1.1667600000000002"/>
    <n v="30"/>
    <n v="-1.2867813224574416"/>
    <n v="0"/>
    <n v="0"/>
    <n v="0"/>
    <n v="0"/>
    <n v="0"/>
    <n v="0"/>
    <n v="0"/>
    <n v="0.10496298310595975"/>
    <n v="0"/>
    <n v="0"/>
    <n v="-1.1668818507666474"/>
    <n v="0"/>
    <n v="0"/>
    <n v="0"/>
    <n v="-0.13656912442054209"/>
    <n v="0"/>
    <n v="-7.6001933557845014E-2"/>
    <m/>
    <n v="0"/>
    <n v="0"/>
    <n v="0"/>
    <n v="0"/>
    <n v="-9.6890943982982647E-3"/>
    <n v="-2.6023024200691781E-3"/>
    <n v="0"/>
    <n v="0"/>
    <m/>
    <m/>
    <m/>
    <n v="11.814281103664438"/>
    <n v="0"/>
    <n v="0"/>
    <n v="-4.4308800000000019"/>
    <n v="-1.16676"/>
    <n v="0"/>
    <n v="0"/>
    <n v="-4.3110325684805204"/>
    <n v="0"/>
    <n v="0"/>
    <n v="0"/>
    <n v="0"/>
    <n v="0"/>
    <n v="0"/>
    <n v="0"/>
    <n v="0"/>
    <n v="0"/>
    <n v="0"/>
    <n v="0"/>
    <n v="0"/>
    <n v="0.51656817576479575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6"/>
    <s v="Regular"/>
    <s v="Convencional"/>
    <s v="B2"/>
    <s v="Rural"/>
    <s v="Não se aplica"/>
    <s v="Não se aplica"/>
    <s v="Não se aplica"/>
    <s v="Não se aplica"/>
    <s v="CATIVO"/>
    <x v="0"/>
    <n v="0"/>
    <n v="0"/>
    <n v="108.533"/>
    <n v="108.533"/>
    <n v="108.533"/>
    <n v="108.533"/>
    <m/>
    <n v="609.05999999999995"/>
    <n v="286.42"/>
    <m/>
    <n v="97189.130839999998"/>
    <n v="97189.130839999998"/>
    <n v="74222.462709999993"/>
    <n v="0"/>
    <n v="6605.4702145522651"/>
    <n v="0"/>
    <n v="0"/>
    <n v="0"/>
    <n v="10598.480791083544"/>
    <n v="40939.949474478533"/>
    <n v="31086.384929350334"/>
    <n v="0"/>
    <n v="0"/>
    <n v="0"/>
    <n v="0"/>
    <n v="0"/>
    <n v="1020.8493459295339"/>
    <m/>
    <n v="185.356734593433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38.2778328517315"/>
    <n v="0"/>
    <n v="436.75"/>
    <n v="2035.93"/>
    <n v="2772.64"/>
    <n v="329"/>
    <m/>
    <m/>
    <m/>
    <m/>
    <m/>
    <n v="8907.3033099999957"/>
    <m/>
    <m/>
    <m/>
    <n v="34724.662762202068"/>
    <m/>
    <m/>
    <m/>
    <m/>
    <m/>
    <m/>
    <m/>
    <m/>
    <m/>
    <m/>
    <m/>
    <m/>
    <n v="65313.353999999999"/>
    <n v="-20212.850660000004"/>
    <m/>
    <m/>
    <m/>
    <m/>
    <n v="-15931.559069999996"/>
    <n v="-7035.1090600000025"/>
    <n v="30"/>
    <n v="-8027.9698449825955"/>
    <n v="0"/>
    <n v="0"/>
    <n v="0"/>
    <n v="0"/>
    <n v="0"/>
    <n v="0"/>
    <n v="0"/>
    <n v="363.70708366811232"/>
    <n v="0"/>
    <n v="0"/>
    <n v="-7035.8437727364726"/>
    <n v="0"/>
    <n v="0"/>
    <n v="0"/>
    <n v="-823.45871004081619"/>
    <n v="0"/>
    <n v="-458.26210304630968"/>
    <m/>
    <n v="0"/>
    <n v="0"/>
    <n v="0"/>
    <n v="0"/>
    <n v="-58.421471240583514"/>
    <n v="-15.690871586520444"/>
    <n v="0"/>
    <n v="0"/>
    <m/>
    <m/>
    <m/>
    <n v="40939.949474478533"/>
    <n v="0"/>
    <n v="0"/>
    <n v="-15931.559069999988"/>
    <n v="-7035.1090600000025"/>
    <n v="0"/>
    <n v="0"/>
    <n v="-14938.992393001419"/>
    <n v="0"/>
    <n v="0"/>
    <n v="0"/>
    <n v="0"/>
    <n v="0"/>
    <n v="0"/>
    <n v="0"/>
    <n v="0"/>
    <n v="0"/>
    <n v="0"/>
    <n v="0"/>
    <n v="0"/>
    <n v="3114.70521223781"/>
    <n v="0"/>
    <n v="0"/>
    <n v="0"/>
    <n v="0"/>
    <n v="0"/>
    <n v="202"/>
    <n v="0"/>
    <n v="0"/>
    <n v="0"/>
    <m/>
    <n v="0"/>
    <n v="-12.3890448282368"/>
    <m/>
    <n v="-17.698635468909799"/>
    <m/>
    <n v="0"/>
    <n v="0"/>
    <n v="0"/>
    <n v="0"/>
  </r>
  <r>
    <n v="17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0.42399999999999999"/>
    <n v="0.42399999999999999"/>
    <n v="0.42399999999999999"/>
    <n v="0.42399999999999999"/>
    <m/>
    <n v="609.05999999999995"/>
    <n v="286.42"/>
    <m/>
    <n v="379.68351999999993"/>
    <n v="379.68351999999993"/>
    <n v="289.96087999999997"/>
    <n v="0"/>
    <n v="25.805233163831833"/>
    <n v="0"/>
    <n v="0"/>
    <n v="0"/>
    <n v="41.404511580988476"/>
    <n v="159.93788596260029"/>
    <n v="121.44349838339069"/>
    <n v="0"/>
    <n v="0"/>
    <n v="0"/>
    <n v="0"/>
    <n v="0"/>
    <n v="3.9880969168282676"/>
    <m/>
    <n v="0.724123128151030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213463196715599"/>
    <n v="0"/>
    <n v="1.53"/>
    <n v="7.25"/>
    <n v="0"/>
    <n v="3"/>
    <m/>
    <m/>
    <m/>
    <m/>
    <m/>
    <n v="34.797679999999986"/>
    <m/>
    <m/>
    <m/>
    <n v="135.6569615801063"/>
    <m/>
    <m/>
    <m/>
    <m/>
    <m/>
    <m/>
    <m/>
    <m/>
    <m/>
    <m/>
    <m/>
    <m/>
    <n v="252.75599999999997"/>
    <n v="-81.394480000000044"/>
    <m/>
    <m/>
    <m/>
    <m/>
    <n v="-62.238959999999985"/>
    <n v="-27.483680000000007"/>
    <n v="30"/>
    <n v="-31.362435519819883"/>
    <n v="0"/>
    <n v="0"/>
    <n v="0"/>
    <n v="0"/>
    <n v="0"/>
    <n v="0"/>
    <n v="0"/>
    <n v="1.4208747890068452"/>
    <n v="0"/>
    <n v="0"/>
    <n v="-27.486550262503243"/>
    <n v="0"/>
    <n v="0"/>
    <n v="0"/>
    <n v="-3.2169615974616566"/>
    <n v="0"/>
    <n v="-1.7902677682514572"/>
    <m/>
    <n v="0"/>
    <n v="0"/>
    <n v="0"/>
    <n v="0"/>
    <n v="-0.22823200138213684"/>
    <n v="-6.1298679228296238E-2"/>
    <n v="0"/>
    <n v="0"/>
    <m/>
    <m/>
    <m/>
    <n v="159.93788596260029"/>
    <n v="0"/>
    <n v="0"/>
    <n v="-62.238959999999963"/>
    <n v="-27.483680000000007"/>
    <n v="0"/>
    <n v="0"/>
    <n v="-58.361353455931393"/>
    <n v="0"/>
    <n v="0"/>
    <n v="0"/>
    <n v="0"/>
    <n v="0"/>
    <n v="0"/>
    <n v="0"/>
    <n v="0"/>
    <n v="0"/>
    <n v="0"/>
    <n v="0"/>
    <n v="0"/>
    <n v="12.168050362459633"/>
    <n v="0"/>
    <n v="0"/>
    <n v="0"/>
    <n v="0"/>
    <n v="0"/>
    <n v="202"/>
    <n v="0"/>
    <n v="0"/>
    <n v="0"/>
    <m/>
    <n v="0"/>
    <n v="-12.3890448282368"/>
    <m/>
    <n v="-17.698635468909799"/>
    <m/>
    <n v="0"/>
    <n v="0"/>
    <n v="0"/>
    <n v="0"/>
  </r>
  <r>
    <n v="12"/>
    <s v="Regular"/>
    <s v="Convencional"/>
    <s v="B3"/>
    <s v="Comercial"/>
    <s v="Não se aplica"/>
    <s v="Não se aplica"/>
    <s v="Não se aplica"/>
    <s v="Não se aplica"/>
    <s v="CATIVO"/>
    <x v="0"/>
    <n v="0"/>
    <n v="0"/>
    <n v="17.372"/>
    <n v="17.372"/>
    <n v="17.372"/>
    <n v="17.372"/>
    <m/>
    <n v="609.05999999999995"/>
    <n v="286.42"/>
    <m/>
    <n v="15556.278559999999"/>
    <n v="15556.278559999999"/>
    <n v="11880.189640000001"/>
    <n v="0"/>
    <n v="1057.2842229294497"/>
    <n v="0"/>
    <n v="0"/>
    <n v="0"/>
    <n v="1696.4131490210657"/>
    <n v="6552.9267805242744"/>
    <n v="4975.7463535760926"/>
    <n v="0"/>
    <n v="0"/>
    <n v="0"/>
    <n v="0"/>
    <n v="0"/>
    <n v="163.39910292250158"/>
    <m/>
    <n v="29.6685542033955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2.34972323901741"/>
    <n v="0"/>
    <n v="77.180000000000007"/>
    <n v="360.71"/>
    <n v="3243.46"/>
    <n v="43"/>
    <m/>
    <m/>
    <m/>
    <m/>
    <m/>
    <m/>
    <m/>
    <m/>
    <m/>
    <n v="5558.0960768151099"/>
    <m/>
    <m/>
    <m/>
    <m/>
    <m/>
    <m/>
    <m/>
    <m/>
    <m/>
    <m/>
    <m/>
    <m/>
    <n v="11878.821899999999"/>
    <n v="-3677.4866600000005"/>
    <m/>
    <m/>
    <m/>
    <m/>
    <n v="-2550.0358799999995"/>
    <n v="-1126.0530400000005"/>
    <n v="30"/>
    <n v="-1284.9722402129992"/>
    <n v="0"/>
    <n v="0"/>
    <n v="0"/>
    <n v="0"/>
    <n v="0"/>
    <n v="0"/>
    <n v="0"/>
    <n v="58.215652911855614"/>
    <n v="0"/>
    <n v="0"/>
    <n v="-1126.1706395287893"/>
    <n v="0"/>
    <n v="0"/>
    <n v="0"/>
    <n v="-131.80437941298089"/>
    <n v="0"/>
    <n v="-73.350310542604575"/>
    <m/>
    <n v="0"/>
    <n v="0"/>
    <n v="0"/>
    <n v="0"/>
    <n v="-9.3510526604020754"/>
    <n v="-2.5115109800801001"/>
    <n v="0"/>
    <n v="0"/>
    <m/>
    <m/>
    <m/>
    <n v="6552.9267805242744"/>
    <n v="0"/>
    <n v="0"/>
    <n v="-2550.0358799999995"/>
    <n v="-1126.0530400000007"/>
    <n v="0"/>
    <n v="0"/>
    <n v="-2391.1637552746233"/>
    <n v="0"/>
    <n v="0"/>
    <n v="0"/>
    <n v="0"/>
    <n v="0"/>
    <n v="0"/>
    <n v="0"/>
    <n v="0"/>
    <n v="0"/>
    <n v="0"/>
    <n v="0"/>
    <n v="0"/>
    <n v="498.54568607700179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8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6.7140000000000004"/>
    <n v="6.7140000000000004"/>
    <n v="6.7140000000000004"/>
    <n v="6.7140000000000004"/>
    <m/>
    <n v="609.05999999999995"/>
    <n v="286.42"/>
    <m/>
    <n v="6012.2527200000004"/>
    <n v="6012.2527200000004"/>
    <n v="4591.5031799999997"/>
    <n v="0"/>
    <n v="408.62343269331825"/>
    <n v="0"/>
    <n v="0"/>
    <n v="0"/>
    <n v="655.63653479895436"/>
    <n v="2532.6013357379679"/>
    <n v="1923.0463399671819"/>
    <n v="0"/>
    <n v="0"/>
    <n v="0"/>
    <n v="0"/>
    <n v="0"/>
    <n v="63.151138442417434"/>
    <m/>
    <n v="11.4664214207689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5.06884882723713"/>
    <n v="0"/>
    <n v="31.82"/>
    <n v="147.72999999999999"/>
    <n v="598.96"/>
    <n v="10"/>
    <m/>
    <m/>
    <m/>
    <m/>
    <m/>
    <m/>
    <m/>
    <m/>
    <m/>
    <n v="2148.1151887944188"/>
    <m/>
    <m/>
    <m/>
    <m/>
    <m/>
    <m/>
    <m/>
    <m/>
    <m/>
    <m/>
    <m/>
    <m/>
    <n v="4588.7676999999994"/>
    <n v="-1423.5150200000016"/>
    <m/>
    <m/>
    <m/>
    <m/>
    <n v="-985.54805999999985"/>
    <n v="-435.20148000000017"/>
    <n v="30"/>
    <n v="-496.62120773601691"/>
    <n v="0"/>
    <n v="0"/>
    <n v="0"/>
    <n v="0"/>
    <n v="0"/>
    <n v="0"/>
    <n v="0"/>
    <n v="22.499418239131955"/>
    <n v="0"/>
    <n v="0"/>
    <n v="-435.24693033595941"/>
    <n v="0"/>
    <n v="0"/>
    <n v="0"/>
    <n v="-50.9402834088622"/>
    <n v="0"/>
    <n v="-28.348721217076104"/>
    <m/>
    <n v="0"/>
    <n v="0"/>
    <n v="0"/>
    <n v="0"/>
    <n v="-3.6140322105652487"/>
    <n v="-0.97065880268580251"/>
    <n v="0"/>
    <n v="0"/>
    <m/>
    <m/>
    <m/>
    <n v="2532.6013357379679"/>
    <n v="0"/>
    <n v="0"/>
    <n v="-985.54805999999962"/>
    <n v="-435.20148000000017"/>
    <n v="0"/>
    <n v="0"/>
    <n v="-924.14652618661171"/>
    <n v="0"/>
    <n v="0"/>
    <n v="0"/>
    <n v="0"/>
    <n v="0"/>
    <n v="0"/>
    <n v="0"/>
    <n v="0"/>
    <n v="0"/>
    <n v="0"/>
    <n v="0"/>
    <n v="0"/>
    <n v="192.67992956026885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0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25.248000000000001"/>
    <n v="23.73312"/>
    <n v="25.248000000000001"/>
    <n v="23.73312"/>
    <m/>
    <n v="609.05999999999995"/>
    <n v="286.42"/>
    <m/>
    <n v="22609.079040000001"/>
    <n v="22609.079040000001"/>
    <n v="17266.349759999997"/>
    <n v="0"/>
    <n v="1536.6286012274202"/>
    <n v="0"/>
    <n v="0"/>
    <n v="0"/>
    <n v="2465.521482067918"/>
    <n v="9523.8484546786131"/>
    <n v="7231.6166207166234"/>
    <n v="0"/>
    <n v="0"/>
    <n v="0"/>
    <n v="0"/>
    <n v="0"/>
    <n v="237.47988433037762"/>
    <m/>
    <n v="43.1194828763142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46.37150658178177"/>
    <n v="0"/>
    <n v="90.26"/>
    <n v="422.2"/>
    <n v="4545.0600000000004"/>
    <n v="6"/>
    <m/>
    <m/>
    <m/>
    <m/>
    <n v="1035.9809856000011"/>
    <m/>
    <m/>
    <m/>
    <m/>
    <n v="8077.9881272984048"/>
    <m/>
    <m/>
    <m/>
    <m/>
    <m/>
    <m/>
    <m/>
    <m/>
    <m/>
    <m/>
    <m/>
    <m/>
    <n v="16228.235100000002"/>
    <n v="-5024.3291975999964"/>
    <m/>
    <m/>
    <m/>
    <m/>
    <n v="-3706.1539199999993"/>
    <n v="-1636.5753600000007"/>
    <n v="30"/>
    <n v="-1867.5442735953166"/>
    <n v="0"/>
    <n v="0"/>
    <n v="0"/>
    <n v="0"/>
    <n v="0"/>
    <n v="0"/>
    <n v="0"/>
    <n v="84.609072341614592"/>
    <n v="0"/>
    <n v="0"/>
    <n v="-1636.7462760086837"/>
    <n v="0"/>
    <n v="0"/>
    <n v="0"/>
    <n v="-191.56095852054693"/>
    <n v="0"/>
    <n v="-106.60537880380366"/>
    <m/>
    <n v="0"/>
    <n v="0"/>
    <n v="0"/>
    <n v="0"/>
    <n v="-13.590569742679691"/>
    <n v="-3.6501628612170336"/>
    <n v="0"/>
    <n v="0"/>
    <m/>
    <m/>
    <m/>
    <n v="9523.8484546786131"/>
    <n v="0"/>
    <n v="0"/>
    <n v="-3706.1539200000007"/>
    <n v="-1636.5753600000007"/>
    <n v="0"/>
    <n v="0"/>
    <n v="-3475.2534246588575"/>
    <n v="0"/>
    <n v="0"/>
    <n v="0"/>
    <n v="0"/>
    <n v="0"/>
    <n v="0"/>
    <n v="0"/>
    <n v="0"/>
    <n v="0"/>
    <n v="0"/>
    <n v="0"/>
    <n v="0"/>
    <n v="724.57296120608692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9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43.204999999999998"/>
    <n v="43.204999999999998"/>
    <n v="43.204999999999998"/>
    <n v="43.204999999999998"/>
    <m/>
    <n v="334.98"/>
    <n v="157.53"/>
    <m/>
    <n v="21278.894550000001"/>
    <n v="21278.894550000001"/>
    <n v="16250.69665"/>
    <n v="0"/>
    <n v="1446.2342084052934"/>
    <n v="0"/>
    <n v="0"/>
    <n v="0"/>
    <n v="2320.4836263470124"/>
    <n v="8963.5943388155356"/>
    <n v="6806.2063471931879"/>
    <n v="0"/>
    <n v="0"/>
    <n v="0"/>
    <n v="0"/>
    <n v="0"/>
    <n v="223.50978776028526"/>
    <m/>
    <n v="40.5829171308275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6.58248249470341"/>
    <n v="0"/>
    <n v="114.91"/>
    <n v="537.49"/>
    <n v="5112.63"/>
    <n v="3"/>
    <m/>
    <m/>
    <m/>
    <m/>
    <m/>
    <m/>
    <m/>
    <m/>
    <m/>
    <n v="7602.7888296878909"/>
    <m/>
    <m/>
    <m/>
    <m/>
    <m/>
    <m/>
    <m/>
    <m/>
    <m/>
    <m/>
    <m/>
    <m/>
    <n v="16252.577300000001"/>
    <n v="-5026.3472499999989"/>
    <m/>
    <m/>
    <m/>
    <m/>
    <n v="-3487.9396500000007"/>
    <n v="-1540.2582500000001"/>
    <n v="30"/>
    <n v="-1757.6832892655912"/>
    <n v="0"/>
    <n v="0"/>
    <n v="0"/>
    <n v="0"/>
    <n v="0"/>
    <n v="0"/>
    <n v="0"/>
    <n v="79.631821680350185"/>
    <n v="0"/>
    <n v="0"/>
    <n v="-1540.4623166280726"/>
    <n v="0"/>
    <n v="0"/>
    <n v="0"/>
    <n v="-180.29210896245968"/>
    <n v="0"/>
    <n v="-100.33416370287227"/>
    <m/>
    <n v="0"/>
    <n v="0"/>
    <n v="0"/>
    <n v="0"/>
    <n v="-12.791084884064787"/>
    <n v="-3.4354367684720515"/>
    <n v="0"/>
    <n v="0"/>
    <m/>
    <m/>
    <m/>
    <n v="8963.5943388155356"/>
    <n v="0"/>
    <n v="0"/>
    <n v="-3487.9396500000003"/>
    <n v="-1540.2582499999999"/>
    <n v="0"/>
    <n v="0"/>
    <n v="-3270.8166316861898"/>
    <n v="0"/>
    <n v="0"/>
    <n v="0"/>
    <n v="0"/>
    <n v="0"/>
    <n v="0"/>
    <n v="0"/>
    <n v="0"/>
    <n v="0"/>
    <n v="0"/>
    <n v="0"/>
    <n v="0"/>
    <n v="681.9489121474943"/>
    <n v="0"/>
    <n v="0"/>
    <n v="0"/>
    <n v="0"/>
    <n v="0"/>
    <n v="202"/>
    <n v="0"/>
    <n v="0"/>
    <n v="0"/>
    <m/>
    <n v="0"/>
    <n v="-9.7342495079003708"/>
    <m/>
    <n v="-9.7342495079003708"/>
    <m/>
    <n v="0"/>
    <n v="0"/>
    <n v="0"/>
    <n v="0"/>
  </r>
  <r>
    <n v="39"/>
    <s v="Regular"/>
    <s v="Verde"/>
    <s v="A4"/>
    <s v="Comercial"/>
    <s v="Não se aplica"/>
    <s v="Não se aplica"/>
    <s v="Não se aplica"/>
    <s v="Ponta"/>
    <s v="CATIVO"/>
    <x v="1"/>
    <n v="0"/>
    <n v="0"/>
    <n v="1.093"/>
    <n v="1.093"/>
    <n v="1.093"/>
    <n v="1.093"/>
    <m/>
    <n v="3305.85"/>
    <n v="286.42"/>
    <m/>
    <n v="3926.3511100000001"/>
    <n v="3926.3511100000001"/>
    <n v="2853.9322999999999"/>
    <n v="0"/>
    <n v="57.873712895800303"/>
    <n v="0"/>
    <n v="0"/>
    <n v="0"/>
    <n v="712.61968258822367"/>
    <n v="2790.8538100527499"/>
    <n v="313.06071635152364"/>
    <n v="0"/>
    <n v="0"/>
    <n v="0"/>
    <n v="0"/>
    <n v="0"/>
    <n v="10.280636627578529"/>
    <m/>
    <n v="1.49750555803783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883514035617489"/>
    <n v="0"/>
    <n v="0"/>
    <n v="0"/>
    <n v="0"/>
    <n v="0"/>
    <m/>
    <m/>
    <m/>
    <m/>
    <m/>
    <m/>
    <m/>
    <m/>
    <m/>
    <n v="325.94423038714115"/>
    <m/>
    <m/>
    <m/>
    <m/>
    <m/>
    <m/>
    <m/>
    <m/>
    <m/>
    <m/>
    <m/>
    <m/>
    <n v="2846.0990000000002"/>
    <n v="-1080.2821100000006"/>
    <m/>
    <m/>
    <m/>
    <m/>
    <n v="-1001.5705499999999"/>
    <n v="-70.848260000000025"/>
    <n v="31"/>
    <n v="-54.046873039226966"/>
    <n v="0"/>
    <n v="0"/>
    <n v="0"/>
    <n v="0"/>
    <n v="0"/>
    <n v="0"/>
    <n v="0"/>
    <n v="24.454903643990065"/>
    <n v="0"/>
    <n v="0"/>
    <n v="-70.855659049330313"/>
    <n v="0"/>
    <n v="0"/>
    <n v="0"/>
    <n v="-2.9159515397005489"/>
    <n v="0"/>
    <n v="-4.0150554799717142"/>
    <m/>
    <n v="0"/>
    <n v="0"/>
    <n v="0"/>
    <n v="0"/>
    <n v="-0.5883433431855547"/>
    <n v="-0.12676727102908769"/>
    <n v="0"/>
    <n v="0"/>
    <m/>
    <m/>
    <m/>
    <n v="2790.8538100527499"/>
    <n v="0"/>
    <n v="0"/>
    <n v="-1001.5705499999999"/>
    <n v="-70.848260000000039"/>
    <n v="0"/>
    <n v="0"/>
    <n v="-1018.3828845306209"/>
    <n v="0"/>
    <n v="0"/>
    <n v="0"/>
    <n v="0"/>
    <n v="0"/>
    <n v="0"/>
    <n v="0"/>
    <n v="0"/>
    <n v="0"/>
    <n v="0"/>
    <n v="0"/>
    <n v="0"/>
    <n v="27.289435778694557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40"/>
    <s v="Regular"/>
    <s v="Verde"/>
    <s v="A4"/>
    <s v="Comercial"/>
    <s v="Não se aplica"/>
    <s v="Não se aplica"/>
    <s v="Não se aplica"/>
    <s v="Fora ponta"/>
    <s v="CATIVO"/>
    <x v="1"/>
    <n v="0"/>
    <n v="0"/>
    <n v="22.548999999999999"/>
    <n v="22.548999999999999"/>
    <n v="22.548999999999999"/>
    <n v="22.548999999999999"/>
    <m/>
    <n v="100.48"/>
    <n v="286.42"/>
    <m/>
    <n v="8724.2080999999998"/>
    <n v="8724.2080999999998"/>
    <n v="7104.7389199999998"/>
    <n v="0"/>
    <n v="1193.9564063013734"/>
    <n v="0"/>
    <n v="0"/>
    <n v="0"/>
    <n v="0"/>
    <n v="0"/>
    <n v="6458.5600119034825"/>
    <n v="0"/>
    <n v="0"/>
    <n v="0"/>
    <n v="0"/>
    <n v="0"/>
    <n v="212.09339004141654"/>
    <m/>
    <n v="30.8941013981658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5.79172734596415"/>
    <n v="0"/>
    <n v="0"/>
    <n v="0"/>
    <n v="0"/>
    <n v="0"/>
    <m/>
    <m/>
    <m/>
    <m/>
    <m/>
    <m/>
    <m/>
    <m/>
    <m/>
    <n v="6724.3517392494468"/>
    <m/>
    <m/>
    <m/>
    <m/>
    <m/>
    <m/>
    <m/>
    <m/>
    <m/>
    <m/>
    <m/>
    <m/>
    <n v="7105.0540000000001"/>
    <n v="-1619.1841000000004"/>
    <m/>
    <m/>
    <m/>
    <m/>
    <n v="-157.84299999999999"/>
    <n v="-1461.6261800000004"/>
    <n v="31"/>
    <n v="-1619.5211001188154"/>
    <n v="0"/>
    <n v="0"/>
    <n v="0"/>
    <n v="0"/>
    <n v="0"/>
    <n v="0"/>
    <n v="0"/>
    <n v="0"/>
    <n v="0"/>
    <n v="0"/>
    <n v="-1461.7788251631737"/>
    <n v="0"/>
    <n v="0"/>
    <n v="0"/>
    <n v="-60.157174079330048"/>
    <n v="0"/>
    <n v="-82.832100656799867"/>
    <m/>
    <n v="0"/>
    <n v="0"/>
    <n v="0"/>
    <n v="0"/>
    <n v="-12.137743865957077"/>
    <n v="-2.6152563535543436"/>
    <n v="0"/>
    <n v="0"/>
    <m/>
    <m/>
    <m/>
    <n v="0"/>
    <n v="0"/>
    <n v="0"/>
    <n v="-157.84299999999985"/>
    <n v="-1461.6261800000002"/>
    <n v="0"/>
    <n v="0"/>
    <n v="0"/>
    <n v="0"/>
    <n v="0"/>
    <n v="0"/>
    <n v="0"/>
    <n v="0"/>
    <n v="0"/>
    <n v="0"/>
    <n v="0"/>
    <n v="0"/>
    <n v="0"/>
    <n v="0"/>
    <n v="0"/>
    <n v="562.99129677381848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41"/>
    <s v="Regular"/>
    <s v="Verde"/>
    <s v="A4"/>
    <s v="Comercial"/>
    <s v="Não se aplica"/>
    <s v="Não se aplica"/>
    <s v="Não se aplica"/>
    <s v="Não se aplica"/>
    <s v="CATIVO"/>
    <x v="1"/>
    <n v="200"/>
    <n v="200"/>
    <n v="0"/>
    <n v="0"/>
    <n v="0"/>
    <n v="0"/>
    <n v="39.21"/>
    <m/>
    <m/>
    <n v="7842"/>
    <m/>
    <n v="7842"/>
    <n v="5968"/>
    <n v="0"/>
    <n v="0"/>
    <n v="0"/>
    <n v="0"/>
    <n v="0"/>
    <n v="2470.4459924729599"/>
    <n v="5372.398245936520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0.09"/>
    <n v="600.42999999999995"/>
    <n v="3924.29"/>
    <n v="1"/>
    <m/>
    <m/>
    <m/>
    <m/>
    <m/>
    <m/>
    <m/>
    <m/>
    <m/>
    <n v="0"/>
    <m/>
    <m/>
    <m/>
    <m/>
    <m/>
    <m/>
    <m/>
    <m/>
    <m/>
    <m/>
    <m/>
    <m/>
    <n v="5968"/>
    <n v="-1874.0300000000007"/>
    <m/>
    <m/>
    <m/>
    <m/>
    <n v="-1874.0000000000002"/>
    <n v="0"/>
    <n v="31"/>
    <n v="84.77806630906025"/>
    <n v="0"/>
    <n v="0"/>
    <n v="0"/>
    <n v="0"/>
    <m/>
    <m/>
    <m/>
    <n v="84.7780663090602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372.3982459365207"/>
    <m/>
    <n v="0"/>
    <n v="0"/>
    <n v="-1874"/>
    <m/>
    <n v="0"/>
    <m/>
    <n v="-1960.3887537343408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24"/>
    <s v="Regular"/>
    <s v="Convencional"/>
    <s v="B1"/>
    <s v="Residencial"/>
    <s v="Residencial"/>
    <s v="Não se aplica"/>
    <s v="Não se aplica"/>
    <s v="Não se aplica"/>
    <s v="CATIVO"/>
    <x v="1"/>
    <n v="0"/>
    <n v="0"/>
    <n v="406.84899999999999"/>
    <n v="406.84899999999999"/>
    <n v="406.84899999999999"/>
    <n v="406.84899999999999"/>
    <m/>
    <n v="609.05999999999995"/>
    <n v="286.42"/>
    <m/>
    <n v="364325.14251999999"/>
    <n v="364325.14251999999"/>
    <n v="278231.82562999998"/>
    <n v="0"/>
    <n v="24761.399310075041"/>
    <n v="0"/>
    <n v="0"/>
    <n v="0"/>
    <n v="39729.679557107505"/>
    <n v="153468.32303301408"/>
    <n v="116531.05158911349"/>
    <n v="0"/>
    <n v="0"/>
    <n v="0"/>
    <n v="0"/>
    <n v="0"/>
    <n v="3826.7765153647733"/>
    <m/>
    <n v="694.832006049808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638.521905944681"/>
    <n v="0"/>
    <n v="1706.4"/>
    <n v="7968.85"/>
    <n v="64035.8"/>
    <n v="3261"/>
    <m/>
    <m/>
    <m/>
    <m/>
    <m/>
    <m/>
    <m/>
    <m/>
    <m/>
    <n v="130169.57349505817"/>
    <m/>
    <m/>
    <m/>
    <m/>
    <m/>
    <m/>
    <m/>
    <m/>
    <m/>
    <m/>
    <m/>
    <m/>
    <n v="278232.50949999999"/>
    <n v="-86092.663020000036"/>
    <m/>
    <m/>
    <m/>
    <m/>
    <n v="-59721.364709999987"/>
    <n v="-26371.952180000008"/>
    <n v="31"/>
    <n v="-30093.810209441581"/>
    <n v="0"/>
    <n v="0"/>
    <n v="0"/>
    <n v="0"/>
    <n v="0"/>
    <n v="0"/>
    <n v="0"/>
    <n v="1363.3997335675522"/>
    <n v="0"/>
    <n v="0"/>
    <n v="-26374.706339031094"/>
    <n v="0"/>
    <n v="0"/>
    <n v="0"/>
    <n v="-3086.8339834096168"/>
    <n v="0"/>
    <n v="-1717.8505925597565"/>
    <m/>
    <n v="0"/>
    <n v="0"/>
    <n v="0"/>
    <n v="0"/>
    <n v="-218.99990926962482"/>
    <n v="-58.819118739040277"/>
    <n v="0"/>
    <n v="0"/>
    <m/>
    <m/>
    <m/>
    <n v="153468.32303301408"/>
    <n v="0"/>
    <n v="0"/>
    <n v="-59721.364709999994"/>
    <n v="-26371.952180000008"/>
    <n v="0"/>
    <n v="0"/>
    <n v="-56000.609179698673"/>
    <n v="0"/>
    <n v="0"/>
    <n v="0"/>
    <n v="0"/>
    <n v="0"/>
    <n v="0"/>
    <n v="0"/>
    <n v="0"/>
    <n v="0"/>
    <n v="0"/>
    <n v="0"/>
    <n v="0"/>
    <n v="11675.846985651744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5"/>
    <s v="Refaturamento - Regular"/>
    <s v="Convencional"/>
    <s v="B1"/>
    <s v="Residencial"/>
    <s v="Residencial"/>
    <s v="Não se aplica"/>
    <s v="Não se aplica"/>
    <s v="Não se aplica"/>
    <s v="CATIVO"/>
    <x v="1"/>
    <n v="0"/>
    <n v="0"/>
    <n v="-0.111"/>
    <n v="-0.111"/>
    <n v="-0.111"/>
    <n v="-0.111"/>
    <m/>
    <n v="609.05999999999995"/>
    <n v="286.42"/>
    <m/>
    <n v="-99.39828"/>
    <n v="-99.39828"/>
    <n v="-75.909570000000002"/>
    <n v="0"/>
    <n v="-6.755615285814466"/>
    <n v="0"/>
    <n v="0"/>
    <n v="0"/>
    <n v="-10.839388645022927"/>
    <n v="-41.870531466624136"/>
    <n v="-31.792991322066904"/>
    <n v="0"/>
    <n v="0"/>
    <n v="0"/>
    <n v="0"/>
    <n v="0"/>
    <n v="-1.0440536739809851"/>
    <m/>
    <n v="-0.189569969869727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7209773934797914"/>
    <n v="0"/>
    <n v="-0.46"/>
    <n v="-2.19"/>
    <n v="-18.73"/>
    <n v="0"/>
    <m/>
    <m/>
    <m/>
    <m/>
    <m/>
    <m/>
    <m/>
    <m/>
    <m/>
    <n v="-35.513968715546696"/>
    <m/>
    <m/>
    <m/>
    <m/>
    <m/>
    <m/>
    <m/>
    <m/>
    <m/>
    <m/>
    <m/>
    <m/>
    <n v="-75.225700000000003"/>
    <n v="24.142579999999981"/>
    <m/>
    <m/>
    <m/>
    <m/>
    <n v="16.293689999999994"/>
    <n v="7.1950200000000022"/>
    <n v="31"/>
    <n v="8.2104489214622944"/>
    <n v="0"/>
    <n v="0"/>
    <n v="0"/>
    <n v="0"/>
    <n v="0"/>
    <n v="0"/>
    <n v="0"/>
    <n v="-0.37197429617867783"/>
    <n v="0"/>
    <n v="0"/>
    <n v="7.1957714130609922"/>
    <n v="0"/>
    <n v="0"/>
    <n v="0"/>
    <n v="0.84217626726000905"/>
    <n v="0"/>
    <n v="0.46867859027337655"/>
    <m/>
    <n v="0"/>
    <n v="0"/>
    <n v="0"/>
    <n v="0"/>
    <n v="5.9749415456172517E-2"/>
    <n v="1.60475315904266E-2"/>
    <n v="0"/>
    <n v="0"/>
    <m/>
    <m/>
    <m/>
    <n v="-41.870531466624136"/>
    <n v="0"/>
    <n v="0"/>
    <n v="16.293690000000005"/>
    <n v="7.1950200000000031"/>
    <n v="0"/>
    <n v="0"/>
    <n v="15.278561871717891"/>
    <n v="0"/>
    <n v="0"/>
    <n v="0"/>
    <n v="0"/>
    <n v="0"/>
    <n v="0"/>
    <n v="0"/>
    <n v="0"/>
    <n v="0"/>
    <n v="0"/>
    <n v="0"/>
    <n v="0"/>
    <n v="-3.1855037505495738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6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3.2170000000000001"/>
    <n v="3.2170000000000001"/>
    <n v="3.2170000000000001"/>
    <n v="3.2170000000000001"/>
    <m/>
    <n v="609.05999999999995"/>
    <n v="286.42"/>
    <m/>
    <n v="2880.7591600000001"/>
    <n v="2880.7591600000001"/>
    <n v="2200.0097900000001"/>
    <n v="0"/>
    <n v="195.79112049067692"/>
    <n v="0"/>
    <n v="0"/>
    <n v="0"/>
    <n v="314.1469664057546"/>
    <n v="1213.4909885417103"/>
    <n v="921.42390164945255"/>
    <n v="0"/>
    <n v="0"/>
    <n v="0"/>
    <n v="0"/>
    <n v="0"/>
    <n v="30.258744767539003"/>
    <m/>
    <n v="5.4941134510893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7.8412997731936"/>
    <n v="0"/>
    <n v="9.9600000000000009"/>
    <n v="46.46"/>
    <n v="1720.81"/>
    <n v="26"/>
    <m/>
    <m/>
    <m/>
    <m/>
    <m/>
    <m/>
    <m/>
    <m/>
    <m/>
    <n v="1029.2652014226462"/>
    <m/>
    <m/>
    <m/>
    <m/>
    <m/>
    <m/>
    <m/>
    <m/>
    <m/>
    <m/>
    <m/>
    <m/>
    <n v="2202.0614"/>
    <n v="-678.72776000000022"/>
    <m/>
    <m/>
    <m/>
    <m/>
    <n v="-472.22342999999989"/>
    <n v="-208.52594000000008"/>
    <n v="31"/>
    <n v="-237.95508270580376"/>
    <n v="0"/>
    <n v="0"/>
    <n v="0"/>
    <n v="0"/>
    <n v="0"/>
    <n v="0"/>
    <n v="0"/>
    <n v="10.780552349610844"/>
    <n v="0"/>
    <n v="0"/>
    <n v="-208.54771743979472"/>
    <n v="0"/>
    <n v="0"/>
    <n v="0"/>
    <n v="-24.407937403382434"/>
    <n v="0"/>
    <n v="-13.583234458643716"/>
    <m/>
    <n v="0"/>
    <n v="0"/>
    <n v="0"/>
    <n v="0"/>
    <n v="-1.73165648218475"/>
    <n v="-0.46508927140903022"/>
    <n v="0"/>
    <n v="0"/>
    <m/>
    <m/>
    <m/>
    <n v="1213.4909885417103"/>
    <n v="0"/>
    <n v="0"/>
    <n v="-472.22343000000001"/>
    <n v="-208.52594000000011"/>
    <n v="0"/>
    <n v="0"/>
    <n v="-442.8030048767248"/>
    <n v="0"/>
    <n v="0"/>
    <n v="0"/>
    <n v="0"/>
    <n v="0"/>
    <n v="0"/>
    <n v="0"/>
    <n v="0"/>
    <n v="0"/>
    <n v="0"/>
    <n v="0"/>
    <n v="0"/>
    <n v="92.322212301963788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7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3.63"/>
    <n v="3.63"/>
    <n v="3.63"/>
    <n v="3.63"/>
    <m/>
    <n v="510.09"/>
    <n v="286.42"/>
    <m/>
    <n v="2891.3312999999998"/>
    <n v="2891.3312999999998"/>
    <n v="2140.5020999999997"/>
    <n v="0"/>
    <n v="0"/>
    <n v="0"/>
    <n v="0"/>
    <n v="0"/>
    <n v="354.47730433723626"/>
    <n v="1369.2795425571676"/>
    <n v="1039.7167432351609"/>
    <n v="0"/>
    <n v="0"/>
    <n v="0"/>
    <n v="0"/>
    <n v="0"/>
    <n v="0"/>
    <m/>
    <n v="6.19945036601000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1.68601746244724"/>
    <n v="0"/>
    <n v="4.3600000000000003"/>
    <n v="21.25"/>
    <n v="372.88"/>
    <n v="0"/>
    <m/>
    <m/>
    <m/>
    <m/>
    <m/>
    <m/>
    <m/>
    <n v="1391.3426999999999"/>
    <m/>
    <n v="1161.4027606976083"/>
    <m/>
    <m/>
    <m/>
    <m/>
    <m/>
    <m/>
    <m/>
    <m/>
    <m/>
    <m/>
    <m/>
    <m/>
    <n v="749.15940000000001"/>
    <n v="-262.84199999999987"/>
    <m/>
    <m/>
    <m/>
    <m/>
    <n v="-515.53259999999989"/>
    <n v="-235.29660000000007"/>
    <n v="31"/>
    <n v="-251.22284616315255"/>
    <n v="0"/>
    <n v="0"/>
    <n v="0"/>
    <n v="0"/>
    <n v="0"/>
    <n v="0"/>
    <n v="0"/>
    <n v="12.164564820978399"/>
    <n v="0"/>
    <n v="0"/>
    <n v="-235.32117323794068"/>
    <n v="0"/>
    <n v="0"/>
    <n v="0"/>
    <n v="-27.541440091475991"/>
    <n v="0"/>
    <n v="0"/>
    <m/>
    <n v="0"/>
    <n v="0"/>
    <n v="0"/>
    <n v="0"/>
    <n v="0"/>
    <n v="-0.52479765471395101"/>
    <n v="0"/>
    <n v="0"/>
    <m/>
    <m/>
    <m/>
    <n v="1369.2795425571676"/>
    <n v="0"/>
    <n v="0"/>
    <n v="-515.53259999999977"/>
    <n v="-235.29660000000013"/>
    <n v="0"/>
    <n v="0"/>
    <n v="-499.65026661563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8"/>
    <s v="Refaturamento - 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4.12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"/>
    <m/>
    <m/>
    <m/>
    <m/>
    <n v="0"/>
    <n v="-17.698635468909799"/>
    <m/>
    <n v="-17.698635468909799"/>
    <m/>
    <n v="0"/>
    <n v="0"/>
    <n v="0"/>
    <n v="0"/>
  </r>
  <r>
    <n v="29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7.4450000000000003"/>
    <n v="7.4450000000000003"/>
    <n v="7.4450000000000003"/>
    <n v="7.4450000000000003"/>
    <m/>
    <n v="510.09"/>
    <n v="286.42"/>
    <m/>
    <n v="5930.0169500000002"/>
    <n v="5930.0169500000002"/>
    <n v="4390.0931500000006"/>
    <n v="0"/>
    <n v="0"/>
    <n v="0"/>
    <n v="0"/>
    <n v="0"/>
    <n v="727.0202564161774"/>
    <n v="2808.3433042253755"/>
    <n v="2132.4218053404334"/>
    <n v="0"/>
    <n v="0"/>
    <n v="0"/>
    <n v="0"/>
    <n v="0"/>
    <n v="0"/>
    <m/>
    <n v="12.7148506818028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9.57366391402746"/>
    <n v="0"/>
    <n v="16.989999999999998"/>
    <n v="80.22"/>
    <n v="878.81"/>
    <n v="39"/>
    <m/>
    <m/>
    <m/>
    <m/>
    <m/>
    <m/>
    <m/>
    <n v="1756.05215"/>
    <m/>
    <n v="2381.9954692544607"/>
    <m/>
    <m/>
    <m/>
    <m/>
    <m/>
    <m/>
    <m/>
    <m/>
    <m/>
    <m/>
    <m/>
    <m/>
    <n v="2635.8100000000004"/>
    <n v="-922.25995000000057"/>
    <m/>
    <m/>
    <m/>
    <m/>
    <n v="-1057.3389"/>
    <n v="-482.58490000000018"/>
    <n v="31"/>
    <n v="-515.24906051919197"/>
    <n v="0"/>
    <n v="0"/>
    <n v="0"/>
    <n v="0"/>
    <n v="0"/>
    <n v="0"/>
    <n v="0"/>
    <n v="24.949086802254556"/>
    <n v="0"/>
    <n v="0"/>
    <n v="-482.63529883098272"/>
    <n v="0"/>
    <n v="0"/>
    <n v="0"/>
    <n v="-56.486507295051979"/>
    <n v="0"/>
    <n v="0"/>
    <m/>
    <n v="0"/>
    <n v="0"/>
    <n v="0"/>
    <n v="0"/>
    <n v="0"/>
    <n v="-1.0763411954119473"/>
    <n v="0"/>
    <n v="0"/>
    <m/>
    <m/>
    <m/>
    <n v="2808.3433042253755"/>
    <n v="0"/>
    <n v="0"/>
    <n v="-1057.3388999999997"/>
    <n v="-482.58490000000006"/>
    <n v="0"/>
    <n v="0"/>
    <n v="-1024.7648030174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30"/>
    <s v="Refaturamento - 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9.6199999999999992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"/>
    <m/>
    <m/>
    <m/>
    <m/>
    <n v="0"/>
    <n v="-17.698635468909799"/>
    <m/>
    <n v="-17.698635468909799"/>
    <m/>
    <n v="0"/>
    <n v="0"/>
    <n v="0"/>
    <n v="0"/>
  </r>
  <r>
    <n v="31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5.2969999999999997"/>
    <n v="5.2969999999999997"/>
    <n v="5.2969999999999997"/>
    <n v="5.2969999999999997"/>
    <m/>
    <n v="510.09"/>
    <n v="286.42"/>
    <m/>
    <n v="4219.1134699999993"/>
    <n v="4219.1134699999993"/>
    <n v="3123.4819899999998"/>
    <n v="0"/>
    <n v="0"/>
    <n v="0"/>
    <n v="0"/>
    <n v="0"/>
    <n v="517.26343831249051"/>
    <n v="1998.091938546919"/>
    <n v="1517.1844597566521"/>
    <n v="0"/>
    <n v="0"/>
    <n v="0"/>
    <n v="0"/>
    <n v="0"/>
    <n v="0"/>
    <m/>
    <n v="9.04641558918869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7.56772300236446"/>
    <n v="0"/>
    <n v="21.59"/>
    <n v="100.31"/>
    <n v="1109.54"/>
    <n v="68"/>
    <m/>
    <m/>
    <m/>
    <m/>
    <m/>
    <m/>
    <m/>
    <n v="312.36408999999998"/>
    <m/>
    <n v="1694.7521827590167"/>
    <m/>
    <m/>
    <m/>
    <m/>
    <m/>
    <m/>
    <m/>
    <m/>
    <m/>
    <m/>
    <m/>
    <m/>
    <n v="2812.71"/>
    <n v="-984.52742000000035"/>
    <m/>
    <m/>
    <m/>
    <m/>
    <n v="-752.2799399999999"/>
    <n v="-343.35154000000011"/>
    <n v="31"/>
    <n v="-366.59157469041793"/>
    <n v="0"/>
    <n v="0"/>
    <n v="0"/>
    <n v="0"/>
    <n v="0"/>
    <n v="0"/>
    <n v="0"/>
    <n v="17.750881503229266"/>
    <n v="0"/>
    <n v="0"/>
    <n v="-343.3873979728296"/>
    <n v="0"/>
    <n v="0"/>
    <n v="0"/>
    <n v="-40.189258447533973"/>
    <n v="0"/>
    <n v="0"/>
    <m/>
    <n v="0"/>
    <n v="0"/>
    <n v="0"/>
    <n v="0"/>
    <n v="0"/>
    <n v="-0.76579977328369075"/>
    <n v="0"/>
    <n v="0"/>
    <m/>
    <m/>
    <m/>
    <n v="1998.091938546919"/>
    <n v="0"/>
    <n v="0"/>
    <n v="-752.2799399999999"/>
    <n v="-343.35153999999989"/>
    <n v="0"/>
    <n v="0"/>
    <n v="-729.10398409450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32"/>
    <s v="Refaturamento - 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-2.4E-2"/>
    <n v="-2.4E-2"/>
    <n v="-2.4E-2"/>
    <n v="-2.4E-2"/>
    <m/>
    <n v="510.09"/>
    <n v="286.42"/>
    <m/>
    <n v="-19.116240000000001"/>
    <n v="-19.116240000000001"/>
    <n v="-14.152079999999998"/>
    <n v="0"/>
    <n v="0"/>
    <n v="0"/>
    <n v="0"/>
    <n v="0"/>
    <n v="-2.3436515989238762"/>
    <n v="-9.0530878846754881"/>
    <n v="-6.8741602858523034"/>
    <n v="0"/>
    <n v="0"/>
    <n v="0"/>
    <n v="0"/>
    <n v="0"/>
    <n v="0"/>
    <m/>
    <n v="-4.098810159345456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80453565264427929"/>
    <n v="0"/>
    <n v="0"/>
    <n v="0.01"/>
    <n v="-16.190000000000001"/>
    <n v="0"/>
    <m/>
    <m/>
    <m/>
    <m/>
    <m/>
    <m/>
    <m/>
    <n v="-1.4152800000000001"/>
    <m/>
    <n v="-7.6786959384965829"/>
    <m/>
    <m/>
    <m/>
    <m/>
    <m/>
    <m/>
    <m/>
    <m/>
    <m/>
    <m/>
    <m/>
    <m/>
    <n v="-10.613999999999999"/>
    <n v="6.5606400000000011"/>
    <m/>
    <m/>
    <m/>
    <m/>
    <n v="3.4084799999999995"/>
    <n v="1.5556800000000006"/>
    <n v="31"/>
    <n v="1.660977495293567"/>
    <n v="0"/>
    <n v="0"/>
    <n v="0"/>
    <n v="0"/>
    <n v="0"/>
    <n v="0"/>
    <n v="0"/>
    <n v="-8.0426874849443664E-2"/>
    <n v="0"/>
    <n v="0"/>
    <n v="1.5558424676888629"/>
    <n v="0"/>
    <n v="0"/>
    <n v="0"/>
    <n v="0.18209216589405608"/>
    <n v="0"/>
    <n v="0"/>
    <m/>
    <n v="0"/>
    <n v="0"/>
    <n v="0"/>
    <n v="0"/>
    <n v="0"/>
    <n v="3.4697365600922375E-3"/>
    <n v="0"/>
    <n v="0"/>
    <m/>
    <m/>
    <m/>
    <n v="-9.0530878846754881"/>
    <n v="0"/>
    <n v="0"/>
    <n v="3.4084800000000008"/>
    <n v="1.5556800000000006"/>
    <n v="0"/>
    <n v="0"/>
    <n v="3.3034728371281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33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1.1439999999999999"/>
    <n v="1.1439999999999999"/>
    <n v="1.1439999999999999"/>
    <n v="1.1439999999999999"/>
    <m/>
    <n v="510.09"/>
    <n v="286.42"/>
    <m/>
    <n v="911.20743999999991"/>
    <n v="911.20743999999991"/>
    <n v="674.58247999999992"/>
    <n v="0"/>
    <n v="0"/>
    <n v="0"/>
    <n v="0"/>
    <n v="0"/>
    <n v="111.71405954870475"/>
    <n v="431.53052250286493"/>
    <n v="327.66830695895976"/>
    <n v="0"/>
    <n v="0"/>
    <n v="0"/>
    <n v="0"/>
    <n v="0"/>
    <n v="0"/>
    <m/>
    <n v="1.95376617595466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.349532776043972"/>
    <n v="0"/>
    <n v="5.34"/>
    <n v="24.62"/>
    <n v="407.81"/>
    <n v="14"/>
    <m/>
    <m/>
    <m/>
    <m/>
    <m/>
    <m/>
    <m/>
    <m/>
    <m/>
    <n v="366.01783973500375"/>
    <m/>
    <m/>
    <m/>
    <m/>
    <m/>
    <m/>
    <m/>
    <m/>
    <m/>
    <m/>
    <m/>
    <m/>
    <n v="672.22379999999998"/>
    <n v="-239.0136399999999"/>
    <m/>
    <m/>
    <m/>
    <m/>
    <n v="-162.47087999999997"/>
    <n v="-74.154080000000022"/>
    <n v="31"/>
    <n v="-79.173260608993417"/>
    <n v="0"/>
    <n v="0"/>
    <n v="0"/>
    <n v="0"/>
    <n v="0"/>
    <n v="0"/>
    <n v="0"/>
    <n v="3.8336810344901551"/>
    <n v="0"/>
    <n v="0"/>
    <n v="-74.161824293169133"/>
    <n v="0"/>
    <n v="0"/>
    <n v="0"/>
    <n v="-8.679726574283336"/>
    <n v="0"/>
    <n v="0"/>
    <m/>
    <n v="0"/>
    <n v="0"/>
    <n v="0"/>
    <n v="0"/>
    <n v="0"/>
    <n v="-0.16539077603106334"/>
    <n v="0"/>
    <n v="0"/>
    <m/>
    <m/>
    <m/>
    <n v="431.53052250286493"/>
    <n v="0"/>
    <n v="0"/>
    <n v="-162.47087999999991"/>
    <n v="-74.154079999999993"/>
    <n v="0"/>
    <n v="0"/>
    <n v="-157.46553856977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34"/>
    <s v="Refaturamento - 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-0.23"/>
    <n v="-0.23"/>
    <n v="-0.23"/>
    <n v="-0.23"/>
    <m/>
    <n v="510.09"/>
    <n v="286.42"/>
    <m/>
    <n v="-183.19730000000001"/>
    <n v="-183.19730000000001"/>
    <n v="-135.6241"/>
    <n v="0"/>
    <n v="0"/>
    <n v="0"/>
    <n v="0"/>
    <n v="0"/>
    <n v="-22.459994489687148"/>
    <n v="-86.758758894806761"/>
    <n v="-65.877369406084583"/>
    <n v="0"/>
    <n v="0"/>
    <n v="0"/>
    <n v="0"/>
    <n v="0"/>
    <n v="0"/>
    <m/>
    <n v="-0.392802640270606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.7101333378410102"/>
    <n v="0"/>
    <n v="-0.52"/>
    <n v="-2.41"/>
    <n v="-67.959999999999994"/>
    <n v="0"/>
    <m/>
    <m/>
    <m/>
    <m/>
    <m/>
    <m/>
    <m/>
    <m/>
    <m/>
    <n v="-73.587502743925597"/>
    <m/>
    <m/>
    <m/>
    <m/>
    <m/>
    <m/>
    <m/>
    <m/>
    <m/>
    <m/>
    <m/>
    <m/>
    <n v="-135.6241"/>
    <n v="47.543200000000013"/>
    <m/>
    <m/>
    <m/>
    <m/>
    <n v="32.6646"/>
    <n v="14.908600000000005"/>
    <n v="31"/>
    <n v="15.917700996563369"/>
    <n v="0"/>
    <n v="0"/>
    <n v="0"/>
    <n v="0"/>
    <n v="0"/>
    <n v="0"/>
    <n v="0"/>
    <n v="-0.77075755064050355"/>
    <n v="0"/>
    <n v="0"/>
    <n v="14.910156982018279"/>
    <n v="0"/>
    <n v="0"/>
    <n v="0"/>
    <n v="1.7450499231513712"/>
    <n v="0"/>
    <n v="0"/>
    <m/>
    <n v="0"/>
    <n v="0"/>
    <n v="0"/>
    <n v="0"/>
    <n v="0"/>
    <n v="3.3251642034217321E-2"/>
    <n v="0"/>
    <n v="0"/>
    <m/>
    <m/>
    <m/>
    <n v="-86.758758894806761"/>
    <n v="0"/>
    <n v="0"/>
    <n v="32.664600000000007"/>
    <n v="14.908600000000007"/>
    <n v="0"/>
    <n v="0"/>
    <n v="31.658281355811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35"/>
    <s v="Regular"/>
    <s v="Branca"/>
    <s v="B1"/>
    <s v="Residencial"/>
    <s v="Residencial"/>
    <s v="Não se aplica"/>
    <s v="Não se aplica"/>
    <s v="Fora ponta"/>
    <s v="CATIVO"/>
    <x v="1"/>
    <n v="0"/>
    <n v="0"/>
    <n v="3.5000000000000003E-2"/>
    <n v="3.5000000000000003E-2"/>
    <n v="3.5000000000000003E-2"/>
    <n v="3.5000000000000003E-2"/>
    <m/>
    <n v="409.62"/>
    <n v="286.42"/>
    <m/>
    <n v="24.361400000000003"/>
    <n v="24.361400000000003"/>
    <n v="18.929400000000001"/>
    <n v="0"/>
    <n v="2.1301489639955524"/>
    <n v="0"/>
    <n v="0"/>
    <n v="0"/>
    <n v="1.9825124520896906"/>
    <n v="7.6574005186712251"/>
    <n v="10.024817083534609"/>
    <n v="0"/>
    <n v="0"/>
    <n v="0"/>
    <n v="0"/>
    <n v="0"/>
    <n v="0.32920611341742778"/>
    <m/>
    <n v="5.977431482378790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732811601062407"/>
    <n v="0"/>
    <n v="0"/>
    <n v="0"/>
    <n v="0"/>
    <n v="0"/>
    <m/>
    <m/>
    <m/>
    <m/>
    <m/>
    <m/>
    <m/>
    <m/>
    <m/>
    <n v="11.19809824364085"/>
    <m/>
    <m/>
    <m/>
    <m/>
    <m/>
    <m/>
    <m/>
    <m/>
    <m/>
    <m/>
    <m/>
    <m/>
    <n v="21.633600000000001"/>
    <n v="-2.7578000000000031"/>
    <m/>
    <m/>
    <m/>
    <m/>
    <n v="-3.1633"/>
    <n v="-2.2687000000000008"/>
    <n v="31"/>
    <n v="-2.6381357868434332"/>
    <n v="0"/>
    <n v="0"/>
    <n v="0"/>
    <n v="0"/>
    <n v="0"/>
    <n v="0"/>
    <n v="0"/>
    <n v="6.8033696196511562E-2"/>
    <n v="0"/>
    <n v="0"/>
    <n v="-2.268936932046258"/>
    <n v="0"/>
    <n v="0"/>
    <n v="0"/>
    <n v="-0.26555107526216515"/>
    <n v="0"/>
    <n v="-0.14778153747358713"/>
    <m/>
    <n v="0"/>
    <n v="0"/>
    <n v="0"/>
    <n v="0"/>
    <n v="-1.8839905774468813E-2"/>
    <n v="-5.0600324834678481E-3"/>
    <n v="0"/>
    <n v="0"/>
    <m/>
    <m/>
    <m/>
    <n v="7.6574005186712251"/>
    <n v="0"/>
    <n v="0"/>
    <n v="-3.1633000000000013"/>
    <n v="-2.2687000000000008"/>
    <n v="0"/>
    <n v="0"/>
    <n v="-2.7941863526213346"/>
    <n v="0"/>
    <n v="0"/>
    <n v="0"/>
    <n v="0"/>
    <n v="0"/>
    <n v="0"/>
    <n v="0"/>
    <n v="0"/>
    <n v="0"/>
    <n v="0"/>
    <n v="0"/>
    <n v="0"/>
    <n v="1.0044381195426586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36"/>
    <s v="Regular"/>
    <s v="Branca"/>
    <s v="B1"/>
    <s v="Residencial"/>
    <s v="Residencial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28999999999999998"/>
    <n v="1.39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"/>
    <m/>
    <m/>
    <m/>
    <m/>
    <n v="0"/>
    <n v="-17.698635468909799"/>
    <m/>
    <n v="-17.698635468909799"/>
    <m/>
    <n v="0"/>
    <n v="0"/>
    <n v="0"/>
    <n v="0"/>
  </r>
  <r>
    <n v="37"/>
    <s v="Regular"/>
    <s v="Branca"/>
    <s v="B1"/>
    <s v="Residencial"/>
    <s v="Residencial"/>
    <s v="Não se aplica"/>
    <s v="Não se aplica"/>
    <s v="Intermediário"/>
    <s v="CATIVO"/>
    <x v="1"/>
    <n v="0"/>
    <n v="0"/>
    <n v="1.9E-2"/>
    <n v="1.9E-2"/>
    <n v="1.9E-2"/>
    <n v="1.9E-2"/>
    <m/>
    <n v="960.47"/>
    <n v="286.42"/>
    <m/>
    <n v="23.690910000000002"/>
    <n v="23.690910000000002"/>
    <n v="17.782289999999996"/>
    <n v="0"/>
    <n v="1.1563665804547285"/>
    <n v="0"/>
    <n v="0"/>
    <n v="0"/>
    <n v="3.2285619074252416"/>
    <n v="12.470630053868019"/>
    <n v="5.4420435596330732"/>
    <n v="0"/>
    <n v="0"/>
    <n v="0"/>
    <n v="0"/>
    <n v="0"/>
    <n v="0.17871189014088934"/>
    <m/>
    <n v="3.244891376148485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3692405834338772"/>
    <n v="0"/>
    <n v="0"/>
    <n v="0"/>
    <n v="0"/>
    <n v="0"/>
    <m/>
    <m/>
    <m/>
    <m/>
    <m/>
    <m/>
    <m/>
    <m/>
    <m/>
    <n v="6.0789676179764607"/>
    <m/>
    <m/>
    <m/>
    <m/>
    <m/>
    <m/>
    <m/>
    <m/>
    <m/>
    <m/>
    <m/>
    <m/>
    <n v="18.7182"/>
    <n v="-5.0027100000000075"/>
    <m/>
    <m/>
    <m/>
    <m/>
    <n v="-4.6770400000000016"/>
    <n v="-1.2315800000000003"/>
    <n v="31"/>
    <n v="-1.3582691737050769"/>
    <n v="0"/>
    <n v="0"/>
    <n v="0"/>
    <n v="0"/>
    <n v="0"/>
    <n v="0"/>
    <n v="0"/>
    <n v="0.11079425994518033"/>
    <n v="0"/>
    <n v="0"/>
    <n v="-1.2317086202536833"/>
    <n v="0"/>
    <n v="0"/>
    <n v="0"/>
    <n v="-0.14415629799946106"/>
    <n v="0"/>
    <n v="-8.0224263199947465E-2"/>
    <m/>
    <n v="0"/>
    <n v="0"/>
    <n v="0"/>
    <n v="0"/>
    <n v="-1.0227377420425926E-2"/>
    <n v="-2.7468747767396863E-3"/>
    <n v="0"/>
    <n v="0"/>
    <m/>
    <m/>
    <m/>
    <n v="12.470630053868019"/>
    <n v="0"/>
    <n v="0"/>
    <n v="-4.6770400000000034"/>
    <n v="-1.2315800000000001"/>
    <n v="0"/>
    <n v="0"/>
    <n v="-4.5505343778405498"/>
    <n v="0"/>
    <n v="0"/>
    <n v="0"/>
    <n v="0"/>
    <n v="0"/>
    <n v="0"/>
    <n v="0"/>
    <n v="0"/>
    <n v="0"/>
    <n v="0"/>
    <n v="0"/>
    <n v="0"/>
    <n v="0.54526640775172885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42"/>
    <s v="Regular"/>
    <s v="Convencional"/>
    <s v="B2"/>
    <s v="Rural"/>
    <s v="Não se aplica"/>
    <s v="Não se aplica"/>
    <s v="Não se aplica"/>
    <s v="Não se aplica"/>
    <s v="CATIVO"/>
    <x v="1"/>
    <n v="0"/>
    <n v="0"/>
    <n v="105.29"/>
    <n v="105.29"/>
    <n v="105.29"/>
    <n v="105.29"/>
    <m/>
    <n v="609.05999999999995"/>
    <n v="286.42"/>
    <m/>
    <n v="94285.089200000002"/>
    <n v="94285.089200000002"/>
    <n v="72004.672300000006"/>
    <n v="0"/>
    <n v="6408.0966976883346"/>
    <n v="0"/>
    <n v="0"/>
    <n v="0"/>
    <n v="10281.794868778956"/>
    <n v="39716.650974061755"/>
    <n v="30157.514020724546"/>
    <n v="0"/>
    <n v="0"/>
    <n v="0"/>
    <n v="0"/>
    <n v="0"/>
    <n v="990.34604804917058"/>
    <m/>
    <n v="179.818217365617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29.5649527881737"/>
    <n v="0"/>
    <n v="389.27"/>
    <n v="1809.62"/>
    <n v="2782.47"/>
    <n v="334"/>
    <m/>
    <m/>
    <m/>
    <m/>
    <m/>
    <n v="8641.1502999999975"/>
    <m/>
    <m/>
    <m/>
    <n v="33687.078973512718"/>
    <m/>
    <m/>
    <m/>
    <m/>
    <m/>
    <m/>
    <m/>
    <m/>
    <m/>
    <m/>
    <m/>
    <m/>
    <n v="63363.522000000004"/>
    <n v="-19607.133800000003"/>
    <m/>
    <m/>
    <m/>
    <m/>
    <n v="-15455.519099999998"/>
    <n v="-6824.8978000000025"/>
    <n v="31"/>
    <n v="-7788.0915940609484"/>
    <n v="0"/>
    <n v="0"/>
    <n v="0"/>
    <n v="0"/>
    <n v="0"/>
    <n v="0"/>
    <n v="0"/>
    <n v="352.83940220408113"/>
    <n v="0"/>
    <n v="0"/>
    <n v="-6825.6105592900167"/>
    <n v="0"/>
    <n v="0"/>
    <n v="0"/>
    <n v="-798.85350612438197"/>
    <n v="0"/>
    <n v="-444.56908801697136"/>
    <m/>
    <n v="0"/>
    <n v="0"/>
    <n v="0"/>
    <n v="0"/>
    <n v="-56.675819399823467"/>
    <n v="-15.22202343383799"/>
    <n v="0"/>
    <n v="0"/>
    <m/>
    <m/>
    <m/>
    <n v="39716.650974061755"/>
    <n v="0"/>
    <n v="0"/>
    <n v="-15455.519099999998"/>
    <n v="-6824.8978000000025"/>
    <n v="0"/>
    <n v="0"/>
    <n v="-14492.61062588447"/>
    <n v="0"/>
    <n v="0"/>
    <n v="0"/>
    <n v="0"/>
    <n v="0"/>
    <n v="0"/>
    <n v="0"/>
    <n v="0"/>
    <n v="0"/>
    <n v="0"/>
    <n v="0"/>
    <n v="0"/>
    <n v="3021.636845904186"/>
    <n v="0"/>
    <n v="0"/>
    <n v="0"/>
    <n v="0"/>
    <n v="0"/>
    <n v="202"/>
    <n v="0"/>
    <n v="0"/>
    <n v="0"/>
    <m/>
    <n v="0"/>
    <n v="-12.3890448282368"/>
    <m/>
    <n v="-17.698635468909799"/>
    <m/>
    <n v="0"/>
    <n v="0"/>
    <n v="0"/>
    <n v="0"/>
  </r>
  <r>
    <n v="43"/>
    <s v="Refaturamento - Regular"/>
    <s v="Convencional"/>
    <s v="B2"/>
    <s v="Rural"/>
    <s v="Não se aplica"/>
    <s v="Não se aplica"/>
    <s v="Não se aplica"/>
    <s v="Não se aplica"/>
    <s v="CATIVO"/>
    <x v="1"/>
    <n v="0"/>
    <n v="0"/>
    <n v="-0.44600000000000001"/>
    <n v="-0.44600000000000001"/>
    <n v="-0.44600000000000001"/>
    <n v="-0.44600000000000001"/>
    <m/>
    <n v="609.05999999999995"/>
    <n v="286.42"/>
    <m/>
    <n v="-399.38408000000004"/>
    <n v="-399.38408000000004"/>
    <n v="-305.00601999999998"/>
    <n v="0"/>
    <n v="-27.144183941200467"/>
    <n v="0"/>
    <n v="0"/>
    <n v="0"/>
    <n v="-43.552858880002034"/>
    <n v="-168.23654985688617"/>
    <n v="-127.74481197875531"/>
    <n v="0"/>
    <n v="0"/>
    <n v="0"/>
    <n v="0"/>
    <n v="0"/>
    <n v="-4.1950264738335079"/>
    <m/>
    <n v="-0.761695554611697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4.950954211639523"/>
    <n v="0"/>
    <n v="-0.97"/>
    <n v="-4.5"/>
    <n v="0"/>
    <n v="0"/>
    <m/>
    <m/>
    <m/>
    <m/>
    <m/>
    <n v="-36.603219999999986"/>
    <m/>
    <m/>
    <m/>
    <n v="-142.69576619039483"/>
    <m/>
    <m/>
    <m/>
    <m/>
    <m/>
    <m/>
    <m/>
    <m/>
    <m/>
    <m/>
    <m/>
    <m/>
    <n v="-270.81"/>
    <n v="80.61692000000005"/>
    <m/>
    <m/>
    <m/>
    <m/>
    <n v="65.468339999999984"/>
    <n v="28.909720000000011"/>
    <n v="31"/>
    <n v="32.989731702452133"/>
    <n v="0"/>
    <n v="0"/>
    <n v="0"/>
    <n v="0"/>
    <n v="0"/>
    <n v="0"/>
    <n v="0"/>
    <n v="-1.4945994242854965"/>
    <n v="0"/>
    <n v="0"/>
    <n v="28.912739191218037"/>
    <n v="0"/>
    <n v="0"/>
    <n v="0"/>
    <n v="3.3838794161978765"/>
    <n v="0"/>
    <n v="1.8831590203777111"/>
    <m/>
    <n v="0"/>
    <n v="0"/>
    <n v="0"/>
    <n v="0"/>
    <n v="0.24007422786894539"/>
    <n v="6.4479271075047362E-2"/>
    <n v="0"/>
    <n v="0"/>
    <m/>
    <m/>
    <m/>
    <n v="-168.23654985688617"/>
    <n v="0"/>
    <n v="0"/>
    <n v="65.468340000000012"/>
    <n v="28.909720000000007"/>
    <n v="0"/>
    <n v="0"/>
    <n v="61.389536889965584"/>
    <n v="0"/>
    <n v="0"/>
    <n v="0"/>
    <n v="0"/>
    <n v="0"/>
    <n v="0"/>
    <n v="0"/>
    <n v="0"/>
    <n v="0"/>
    <n v="0"/>
    <n v="0"/>
    <n v="0"/>
    <n v="-12.799411466172161"/>
    <n v="0"/>
    <n v="0"/>
    <n v="0"/>
    <n v="0"/>
    <n v="0"/>
    <n v="202"/>
    <n v="0"/>
    <n v="0"/>
    <n v="0"/>
    <m/>
    <n v="0"/>
    <n v="-12.3890448282368"/>
    <m/>
    <n v="-17.698635468909799"/>
    <m/>
    <n v="0"/>
    <n v="0"/>
    <n v="0"/>
    <n v="0"/>
  </r>
  <r>
    <n v="44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1.4690000000000001"/>
    <n v="1.4690000000000001"/>
    <n v="1.4690000000000001"/>
    <n v="1.4690000000000001"/>
    <m/>
    <n v="609.05999999999995"/>
    <n v="286.42"/>
    <m/>
    <n v="1315.46012"/>
    <n v="1315.46012"/>
    <n v="1004.6050299999999"/>
    <n v="0"/>
    <n v="89.4053950888419"/>
    <n v="0"/>
    <n v="0"/>
    <n v="0"/>
    <n v="143.45100828413226"/>
    <n v="554.12442094117887"/>
    <n v="420.75589416320975"/>
    <n v="0"/>
    <n v="0"/>
    <n v="0"/>
    <n v="0"/>
    <n v="0"/>
    <n v="13.817250874577184"/>
    <m/>
    <n v="2.50881338503269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.244286405601926"/>
    <n v="0"/>
    <n v="3.35"/>
    <n v="15.55"/>
    <n v="0"/>
    <n v="3"/>
    <m/>
    <m/>
    <m/>
    <m/>
    <m/>
    <n v="120.56082999999995"/>
    <m/>
    <m/>
    <m/>
    <n v="470.00018056881169"/>
    <m/>
    <m/>
    <m/>
    <m/>
    <m/>
    <m/>
    <m/>
    <m/>
    <m/>
    <m/>
    <m/>
    <m/>
    <n v="884.64599999999996"/>
    <n v="-272.98538000000008"/>
    <m/>
    <m/>
    <m/>
    <m/>
    <n v="-215.63450999999995"/>
    <n v="-95.220580000000041"/>
    <n v="31"/>
    <n v="-108.65900419484797"/>
    <n v="0"/>
    <n v="0"/>
    <n v="0"/>
    <n v="0"/>
    <n v="0"/>
    <n v="0"/>
    <n v="0"/>
    <n v="4.9227949647430478"/>
    <n v="0"/>
    <n v="0"/>
    <n v="-95.230524376455833"/>
    <n v="0"/>
    <n v="0"/>
    <n v="0"/>
    <n v="-11.145557987432014"/>
    <n v="0"/>
    <n v="-6.2026022442485527"/>
    <m/>
    <n v="0"/>
    <n v="0"/>
    <n v="0"/>
    <n v="0"/>
    <n v="-0.79073775950556424"/>
    <n v="-0.21237679194897918"/>
    <n v="0"/>
    <n v="0"/>
    <m/>
    <m/>
    <m/>
    <n v="554.12442094117887"/>
    <n v="0"/>
    <n v="0"/>
    <n v="-215.63450999999998"/>
    <n v="-95.220580000000041"/>
    <n v="0"/>
    <n v="0"/>
    <n v="-202.20006657255476"/>
    <n v="0"/>
    <n v="0"/>
    <n v="0"/>
    <n v="0"/>
    <n v="0"/>
    <n v="0"/>
    <n v="0"/>
    <n v="0"/>
    <n v="0"/>
    <n v="0"/>
    <n v="0"/>
    <n v="0"/>
    <n v="42.157702788804727"/>
    <n v="0"/>
    <n v="0"/>
    <n v="0"/>
    <n v="0"/>
    <n v="0"/>
    <n v="202"/>
    <n v="0"/>
    <n v="0"/>
    <n v="0"/>
    <m/>
    <n v="0"/>
    <n v="-12.3890448282368"/>
    <m/>
    <n v="-17.698635468909799"/>
    <m/>
    <n v="0"/>
    <n v="0"/>
    <n v="0"/>
    <n v="0"/>
  </r>
  <r>
    <n v="38"/>
    <s v="Regular"/>
    <s v="Convencional"/>
    <s v="B3"/>
    <s v="Comercial"/>
    <s v="Não se aplica"/>
    <s v="Não se aplica"/>
    <s v="Não se aplica"/>
    <s v="Não se aplica"/>
    <s v="CATIVO"/>
    <x v="1"/>
    <n v="0"/>
    <n v="0"/>
    <n v="15.944000000000001"/>
    <n v="15.944000000000001"/>
    <n v="15.944000000000001"/>
    <n v="15.944000000000001"/>
    <m/>
    <n v="609.05999999999995"/>
    <n v="286.42"/>
    <m/>
    <n v="14277.53312"/>
    <n v="14277.53312"/>
    <n v="10903.62328"/>
    <n v="0"/>
    <n v="970.37414519843117"/>
    <n v="0"/>
    <n v="0"/>
    <n v="0"/>
    <n v="1556.9658788850952"/>
    <n v="6014.2680513860832"/>
    <n v="4566.7338165678802"/>
    <n v="0"/>
    <n v="0"/>
    <n v="0"/>
    <n v="0"/>
    <n v="0"/>
    <n v="149.96749349507053"/>
    <m/>
    <n v="27.2297621585849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4.47985190668282"/>
    <n v="0"/>
    <n v="50.82"/>
    <n v="235.76"/>
    <n v="2959.5"/>
    <n v="43"/>
    <m/>
    <m/>
    <m/>
    <m/>
    <m/>
    <m/>
    <m/>
    <m/>
    <m/>
    <n v="5101.2136684745628"/>
    <m/>
    <m/>
    <m/>
    <m/>
    <m/>
    <m/>
    <m/>
    <m/>
    <m/>
    <m/>
    <m/>
    <m/>
    <n v="10900.887799999999"/>
    <n v="-3376.6753200000021"/>
    <m/>
    <m/>
    <m/>
    <m/>
    <n v="-2340.4197599999998"/>
    <n v="-1033.4900800000005"/>
    <n v="31"/>
    <n v="-1179.3459243585121"/>
    <n v="0"/>
    <n v="0"/>
    <n v="0"/>
    <n v="0"/>
    <n v="0"/>
    <n v="0"/>
    <n v="0"/>
    <n v="53.43025385831379"/>
    <n v="0"/>
    <n v="0"/>
    <n v="-1033.5980127013013"/>
    <n v="0"/>
    <n v="0"/>
    <n v="0"/>
    <n v="-120.96989554228452"/>
    <n v="0"/>
    <n v="-67.320823813682182"/>
    <m/>
    <n v="0"/>
    <n v="0"/>
    <n v="0"/>
    <n v="0"/>
    <n v="-8.5823845048037413"/>
    <n v="-2.3050616547546134"/>
    <n v="0"/>
    <n v="0"/>
    <m/>
    <m/>
    <m/>
    <n v="6014.2680513860832"/>
    <n v="0"/>
    <n v="0"/>
    <n v="-2340.4197599999989"/>
    <n v="-1033.4900800000009"/>
    <n v="0"/>
    <n v="0"/>
    <n v="-2194.6071214654958"/>
    <n v="0"/>
    <n v="0"/>
    <n v="0"/>
    <n v="0"/>
    <n v="0"/>
    <n v="0"/>
    <n v="0"/>
    <n v="0"/>
    <n v="0"/>
    <n v="0"/>
    <n v="0"/>
    <n v="0"/>
    <n v="457.56461079966135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45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6.1349999999999998"/>
    <n v="6.1349999999999998"/>
    <n v="6.1349999999999998"/>
    <n v="6.1349999999999998"/>
    <m/>
    <n v="609.05999999999995"/>
    <n v="286.42"/>
    <m/>
    <n v="5493.7697999999991"/>
    <n v="5493.7697999999991"/>
    <n v="4195.5424499999999"/>
    <n v="0"/>
    <n v="373.38468268893467"/>
    <n v="0"/>
    <n v="0"/>
    <n v="0"/>
    <n v="599.09593997491584"/>
    <n v="2314.1955905201717"/>
    <n v="1757.207223070995"/>
    <n v="0"/>
    <n v="0"/>
    <n v="0"/>
    <n v="0"/>
    <n v="0"/>
    <n v="57.70512873759769"/>
    <m/>
    <n v="10.4775834698268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5.65942620719389"/>
    <n v="0"/>
    <n v="28.37"/>
    <n v="131.77000000000001"/>
    <n v="609.17999999999995"/>
    <n v="10"/>
    <m/>
    <m/>
    <m/>
    <m/>
    <m/>
    <m/>
    <m/>
    <m/>
    <m/>
    <n v="1962.866649278189"/>
    <m/>
    <m/>
    <m/>
    <m/>
    <m/>
    <m/>
    <m/>
    <m/>
    <m/>
    <m/>
    <m/>
    <m/>
    <n v="4198.9617999999991"/>
    <n v="-1294.8380000000006"/>
    <m/>
    <m/>
    <m/>
    <m/>
    <n v="-900.55664999999976"/>
    <n v="-397.67070000000012"/>
    <n v="31"/>
    <n v="-453.79373092947026"/>
    <n v="0"/>
    <n v="0"/>
    <n v="0"/>
    <n v="0"/>
    <n v="0"/>
    <n v="0"/>
    <n v="0"/>
    <n v="20.55911988338903"/>
    <n v="0"/>
    <n v="0"/>
    <n v="-397.71223080296568"/>
    <n v="0"/>
    <n v="0"/>
    <n v="0"/>
    <n v="-46.54730990666809"/>
    <n v="0"/>
    <n v="-25.903992354298794"/>
    <m/>
    <n v="0"/>
    <n v="0"/>
    <n v="0"/>
    <n v="0"/>
    <n v="-3.3023663407533164"/>
    <n v="-0.88695140817357832"/>
    <n v="0"/>
    <n v="0"/>
    <m/>
    <m/>
    <m/>
    <n v="2314.1955905201717"/>
    <n v="0"/>
    <n v="0"/>
    <n v="-900.55664999999954"/>
    <n v="-397.67070000000012"/>
    <n v="0"/>
    <n v="0"/>
    <n v="-844.45024399089402"/>
    <n v="0"/>
    <n v="0"/>
    <n v="0"/>
    <n v="0"/>
    <n v="0"/>
    <n v="0"/>
    <n v="0"/>
    <n v="0"/>
    <n v="0"/>
    <n v="0"/>
    <n v="0"/>
    <n v="0"/>
    <n v="176.06365323983457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46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44.646999999999998"/>
    <n v="44.646999999999998"/>
    <n v="44.646999999999998"/>
    <n v="44.646999999999998"/>
    <m/>
    <n v="334.98"/>
    <n v="157.53"/>
    <m/>
    <n v="21989.093970000002"/>
    <n v="21989.093970000002"/>
    <n v="16793.076109999998"/>
    <n v="0"/>
    <n v="1494.5033839294326"/>
    <n v="0"/>
    <n v="0"/>
    <n v="0"/>
    <n v="2397.9315464764513"/>
    <n v="9262.7611722045422"/>
    <n v="7033.368702306082"/>
    <n v="0"/>
    <n v="0"/>
    <n v="0"/>
    <n v="0"/>
    <n v="0"/>
    <n v="230.96959829032417"/>
    <m/>
    <n v="41.9374031047346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3.16903358271088"/>
    <n v="0"/>
    <n v="69.05"/>
    <n v="318.74"/>
    <n v="5163.07"/>
    <n v="3"/>
    <m/>
    <m/>
    <m/>
    <m/>
    <m/>
    <m/>
    <m/>
    <m/>
    <m/>
    <n v="7856.5377358887927"/>
    <m/>
    <m/>
    <m/>
    <m/>
    <m/>
    <m/>
    <m/>
    <m/>
    <m/>
    <m/>
    <m/>
    <m/>
    <n v="16794.2045"/>
    <n v="-5194.9194700000007"/>
    <m/>
    <m/>
    <m/>
    <m/>
    <n v="-3604.3523100000007"/>
    <n v="-1591.6655500000002"/>
    <n v="31"/>
    <n v="-1816.3473166494823"/>
    <n v="0"/>
    <n v="0"/>
    <n v="0"/>
    <n v="0"/>
    <n v="0"/>
    <n v="0"/>
    <n v="0"/>
    <n v="82.289594782145286"/>
    <n v="0"/>
    <n v="0"/>
    <n v="-1591.8764275082412"/>
    <n v="0"/>
    <n v="0"/>
    <n v="0"/>
    <n v="-186.30949632790043"/>
    <n v="0"/>
    <n v="-103.68289334202382"/>
    <m/>
    <n v="0"/>
    <n v="0"/>
    <n v="0"/>
    <n v="0"/>
    <n v="-13.217997148914236"/>
    <n v="-3.550097104547433"/>
    <n v="0"/>
    <n v="0"/>
    <m/>
    <m/>
    <m/>
    <n v="9262.7611722045422"/>
    <n v="0"/>
    <n v="0"/>
    <n v="-3604.352310000002"/>
    <n v="-1591.6655499999997"/>
    <n v="0"/>
    <n v="0"/>
    <n v="-3379.9826444831233"/>
    <n v="0"/>
    <n v="0"/>
    <n v="0"/>
    <n v="0"/>
    <n v="0"/>
    <n v="0"/>
    <n v="0"/>
    <n v="0"/>
    <n v="0"/>
    <n v="0"/>
    <n v="0"/>
    <n v="0"/>
    <n v="704.70947993633092"/>
    <n v="0"/>
    <n v="0"/>
    <n v="0"/>
    <n v="0"/>
    <n v="0"/>
    <n v="202"/>
    <n v="0"/>
    <n v="0"/>
    <n v="0"/>
    <m/>
    <n v="0"/>
    <n v="-9.7342495079003708"/>
    <m/>
    <n v="-9.7342495079003708"/>
    <m/>
    <n v="0"/>
    <n v="0"/>
    <n v="0"/>
    <n v="0"/>
  </r>
  <r>
    <n v="48"/>
    <s v="Regular"/>
    <s v="Verde"/>
    <s v="A4"/>
    <s v="Serviço público"/>
    <s v="Água, esgoto e saneamento"/>
    <s v="Não se aplica"/>
    <s v="Não se aplica"/>
    <s v="Ponta"/>
    <s v="CATIVO"/>
    <x v="1"/>
    <n v="0"/>
    <n v="0"/>
    <n v="19.920999999999999"/>
    <n v="18.725739999999998"/>
    <n v="19.920999999999999"/>
    <n v="18.725739999999998"/>
    <m/>
    <n v="3305.85"/>
    <n v="286.42"/>
    <m/>
    <n v="71561.610669999995"/>
    <n v="71561.610669999995"/>
    <n v="52015.723100000003"/>
    <n v="0"/>
    <n v="1054.8053381493485"/>
    <n v="0"/>
    <n v="0"/>
    <n v="0"/>
    <n v="12988.194599121687"/>
    <n v="50866.055581025459"/>
    <n v="5705.839460602655"/>
    <n v="0"/>
    <n v="0"/>
    <n v="0"/>
    <n v="0"/>
    <n v="0"/>
    <n v="187.3747138682451"/>
    <m/>
    <n v="27.2935116392239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4.81471464184449"/>
    <n v="0"/>
    <n v="0"/>
    <n v="0"/>
    <n v="0"/>
    <n v="0"/>
    <m/>
    <m/>
    <m/>
    <m/>
    <n v="3120.9433860000031"/>
    <m/>
    <m/>
    <m/>
    <m/>
    <n v="5940.6541752444991"/>
    <m/>
    <m/>
    <m/>
    <m/>
    <m/>
    <m/>
    <m/>
    <m/>
    <m/>
    <m/>
    <m/>
    <m/>
    <n v="48905.902999999998"/>
    <n v="-18362.041029799999"/>
    <m/>
    <m/>
    <m/>
    <m/>
    <n v="-18254.608349999999"/>
    <n v="-1291.2792200000004"/>
    <n v="31"/>
    <n v="-985.05741794551068"/>
    <n v="0"/>
    <n v="0"/>
    <n v="0"/>
    <n v="0"/>
    <n v="0"/>
    <n v="0"/>
    <n v="0"/>
    <n v="445.71467108135948"/>
    <n v="0"/>
    <n v="0"/>
    <n v="-1291.4140749512426"/>
    <n v="0"/>
    <n v="0"/>
    <n v="0"/>
    <n v="-53.146084741422385"/>
    <n v="0"/>
    <n v="-73.178335056282322"/>
    <m/>
    <n v="0"/>
    <n v="0"/>
    <n v="0"/>
    <n v="0"/>
    <n v="-10.723136083805542"/>
    <n v="-2.3104581941175262"/>
    <n v="0"/>
    <n v="0"/>
    <m/>
    <m/>
    <m/>
    <n v="50866.055581025459"/>
    <n v="0"/>
    <n v="0"/>
    <n v="-18254.608349999995"/>
    <n v="-1291.2792200000004"/>
    <n v="0"/>
    <n v="0"/>
    <n v="-18561.029682282249"/>
    <n v="0"/>
    <n v="0"/>
    <n v="0"/>
    <n v="0"/>
    <n v="0"/>
    <n v="0"/>
    <n v="0"/>
    <n v="0"/>
    <n v="0"/>
    <n v="0"/>
    <n v="0"/>
    <n v="0"/>
    <n v="497.37680708817408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49"/>
    <s v="Regular"/>
    <s v="Verde"/>
    <s v="A4"/>
    <s v="Serviço público"/>
    <s v="Água, esgoto e saneamento"/>
    <s v="Não se aplica"/>
    <s v="Não se aplica"/>
    <s v="Fora ponta"/>
    <s v="CATIVO"/>
    <x v="1"/>
    <n v="0"/>
    <n v="0"/>
    <n v="221.91499999999999"/>
    <n v="208.6001"/>
    <n v="221.91499999999999"/>
    <n v="208.6001"/>
    <m/>
    <n v="100.48"/>
    <n v="286.42"/>
    <m/>
    <n v="85858.913499999995"/>
    <n v="85858.913499999995"/>
    <n v="69920.978199999998"/>
    <n v="0"/>
    <n v="11750.269896863243"/>
    <n v="0"/>
    <n v="0"/>
    <n v="0"/>
    <n v="0"/>
    <n v="0"/>
    <n v="63561.636659788077"/>
    <n v="0"/>
    <n v="0"/>
    <n v="0"/>
    <n v="0"/>
    <n v="0"/>
    <n v="2087.3078474008139"/>
    <m/>
    <n v="304.04295142906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15.7776918701329"/>
    <n v="0"/>
    <n v="0"/>
    <n v="0"/>
    <n v="0"/>
    <n v="0"/>
    <m/>
    <m/>
    <m/>
    <m/>
    <n v="4195.2586919999976"/>
    <m/>
    <m/>
    <m/>
    <m/>
    <n v="66177.414351658212"/>
    <m/>
    <m/>
    <m/>
    <m/>
    <m/>
    <m/>
    <m/>
    <m/>
    <m/>
    <m/>
    <m/>
    <m/>
    <n v="65725.687999999995"/>
    <n v="-14981.720690000002"/>
    <m/>
    <m/>
    <m/>
    <m/>
    <n v="-1553.405"/>
    <n v="-14384.530300000004"/>
    <n v="31"/>
    <n v="-15938.446269584732"/>
    <n v="0"/>
    <n v="0"/>
    <n v="0"/>
    <n v="0"/>
    <n v="0"/>
    <n v="0"/>
    <n v="0"/>
    <n v="0"/>
    <n v="0"/>
    <n v="0"/>
    <n v="-14386.032550715587"/>
    <n v="0"/>
    <n v="0"/>
    <n v="0"/>
    <n v="-592.03420487890889"/>
    <n v="0"/>
    <n v="-815.1885057986492"/>
    <m/>
    <n v="0"/>
    <n v="0"/>
    <n v="0"/>
    <n v="0"/>
    <n v="-119.45307685546459"/>
    <n v="-25.737931336157317"/>
    <n v="0"/>
    <n v="0"/>
    <m/>
    <m/>
    <m/>
    <n v="0"/>
    <n v="0"/>
    <n v="0"/>
    <n v="-1553.4049999999988"/>
    <n v="-14384.530300000006"/>
    <n v="0"/>
    <n v="0"/>
    <n v="0"/>
    <n v="0"/>
    <n v="0"/>
    <n v="0"/>
    <n v="0"/>
    <n v="0"/>
    <n v="0"/>
    <n v="0"/>
    <n v="0"/>
    <n v="0"/>
    <n v="0"/>
    <n v="0"/>
    <n v="0"/>
    <n v="5540.6542917008264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50"/>
    <s v="Regular"/>
    <s v="Verde"/>
    <s v="A4"/>
    <s v="Serviço público"/>
    <s v="Água, esgoto e saneamento"/>
    <s v="Não se aplica"/>
    <s v="Não se aplica"/>
    <s v="Não se aplica"/>
    <s v="CATIVO"/>
    <x v="1"/>
    <n v="906"/>
    <n v="851.64"/>
    <n v="0"/>
    <n v="0"/>
    <n v="0"/>
    <n v="0"/>
    <n v="39.21"/>
    <m/>
    <m/>
    <n v="35524.26"/>
    <m/>
    <n v="35524.26"/>
    <n v="27035.040000000001"/>
    <n v="0"/>
    <n v="0"/>
    <n v="0"/>
    <n v="0"/>
    <n v="0"/>
    <n v="11191.120345902509"/>
    <n v="24336.96405409243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20.53"/>
    <n v="2402.7399999999998"/>
    <n v="38043.379999999997"/>
    <n v="3"/>
    <m/>
    <m/>
    <m/>
    <m/>
    <n v="1622.1024000000004"/>
    <m/>
    <m/>
    <m/>
    <m/>
    <n v="0"/>
    <m/>
    <m/>
    <m/>
    <m/>
    <m/>
    <m/>
    <m/>
    <m/>
    <m/>
    <m/>
    <m/>
    <m/>
    <n v="25412.937600000001"/>
    <n v="-7979.8968000000059"/>
    <m/>
    <m/>
    <m/>
    <m/>
    <n v="-8489.2200000000012"/>
    <n v="0"/>
    <n v="31"/>
    <n v="384.04464038004153"/>
    <n v="0"/>
    <n v="0"/>
    <n v="0"/>
    <n v="0"/>
    <m/>
    <m/>
    <m/>
    <n v="384.0446403800415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336.964054092437"/>
    <m/>
    <n v="0"/>
    <n v="0"/>
    <n v="-8489.2200000000012"/>
    <m/>
    <n v="0"/>
    <m/>
    <n v="-8880.5610544165629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62"/>
    <s v="Regular"/>
    <s v="Verde"/>
    <s v="A4"/>
    <s v="Comercial"/>
    <s v="Não se aplica"/>
    <s v="Não se aplica"/>
    <s v="Não se aplica"/>
    <s v="Ponta"/>
    <s v="CATIVO"/>
    <x v="2"/>
    <n v="0"/>
    <n v="0"/>
    <n v="0.90100000000000002"/>
    <n v="0.90100000000000002"/>
    <n v="0.90100000000000002"/>
    <n v="0.90100000000000002"/>
    <m/>
    <n v="3305.85"/>
    <n v="286.42"/>
    <m/>
    <n v="3236.6352700000002"/>
    <n v="3236.6352700000002"/>
    <n v="2352.6010999999999"/>
    <n v="0"/>
    <n v="47.707424811634105"/>
    <n v="0"/>
    <n v="0"/>
    <n v="0"/>
    <n v="587.43854895881941"/>
    <n v="2300.6031865119194"/>
    <n v="258.06743406470525"/>
    <n v="0"/>
    <n v="0"/>
    <n v="0"/>
    <n v="0"/>
    <n v="0"/>
    <n v="8.4747059482600697"/>
    <m/>
    <n v="1.23444877199642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620353290111034"/>
    <n v="0"/>
    <n v="0"/>
    <n v="0"/>
    <n v="0"/>
    <n v="0"/>
    <m/>
    <m/>
    <m/>
    <m/>
    <m/>
    <m/>
    <m/>
    <m/>
    <m/>
    <n v="268.68778735481629"/>
    <m/>
    <m/>
    <m/>
    <m/>
    <m/>
    <m/>
    <m/>
    <m/>
    <m/>
    <m/>
    <m/>
    <m/>
    <n v="2349.9900000000002"/>
    <n v="-886.67527000000064"/>
    <m/>
    <m/>
    <m/>
    <m/>
    <n v="-825.63134999999988"/>
    <n v="-58.40282000000002"/>
    <n v="30"/>
    <n v="-44.552820318704221"/>
    <n v="0"/>
    <n v="0"/>
    <n v="0"/>
    <n v="0"/>
    <n v="0"/>
    <n v="0"/>
    <n v="0"/>
    <n v="20.159074275603871"/>
    <n v="0"/>
    <n v="0"/>
    <n v="-58.408919307819417"/>
    <n v="0"/>
    <n v="0"/>
    <n v="0"/>
    <n v="-2.403725834647938"/>
    <n v="0"/>
    <n v="-3.3097575365549119"/>
    <m/>
    <n v="0"/>
    <n v="0"/>
    <n v="0"/>
    <n v="0"/>
    <n v="-0.48499300293704106"/>
    <n v="-0.10449891234877229"/>
    <n v="0"/>
    <n v="0"/>
    <m/>
    <m/>
    <m/>
    <n v="2300.6031865119194"/>
    <n v="0"/>
    <n v="0"/>
    <n v="-825.63135000000011"/>
    <n v="-58.402820000000048"/>
    <n v="0"/>
    <n v="0"/>
    <n v="-839.49037416476631"/>
    <n v="0"/>
    <n v="0"/>
    <n v="0"/>
    <n v="0"/>
    <n v="0"/>
    <n v="0"/>
    <n v="0"/>
    <n v="0"/>
    <n v="0"/>
    <n v="0"/>
    <n v="0"/>
    <n v="0"/>
    <n v="22.495683107597255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63"/>
    <s v="Regular"/>
    <s v="Verde"/>
    <s v="A4"/>
    <s v="Comercial"/>
    <s v="Não se aplica"/>
    <s v="Não se aplica"/>
    <s v="Não se aplica"/>
    <s v="Fora ponta"/>
    <s v="CATIVO"/>
    <x v="2"/>
    <n v="0"/>
    <n v="0"/>
    <n v="20.863"/>
    <n v="20.863"/>
    <n v="20.863"/>
    <n v="20.863"/>
    <m/>
    <n v="100.48"/>
    <n v="286.42"/>
    <m/>
    <n v="8071.8947000000007"/>
    <n v="8071.8947000000007"/>
    <n v="6573.51404"/>
    <n v="0"/>
    <n v="1104.683689062289"/>
    <n v="0"/>
    <n v="0"/>
    <n v="0"/>
    <n v="0"/>
    <n v="0"/>
    <n v="5975.6502518223588"/>
    <n v="0"/>
    <n v="0"/>
    <n v="0"/>
    <n v="0"/>
    <n v="0"/>
    <n v="196.23506126365129"/>
    <m/>
    <n v="28.5841339957396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5.91834704948553"/>
    <n v="0"/>
    <n v="0"/>
    <n v="0"/>
    <n v="0"/>
    <n v="0"/>
    <m/>
    <m/>
    <m/>
    <m/>
    <m/>
    <m/>
    <m/>
    <m/>
    <m/>
    <n v="6221.5685988718442"/>
    <m/>
    <m/>
    <m/>
    <m/>
    <m/>
    <m/>
    <m/>
    <m/>
    <m/>
    <m/>
    <m/>
    <m/>
    <n v="6572.5688"/>
    <n v="-1499.3559000000014"/>
    <m/>
    <m/>
    <m/>
    <m/>
    <n v="-146.041"/>
    <n v="-1352.3396600000003"/>
    <n v="30"/>
    <n v="-1498.428698025582"/>
    <n v="0"/>
    <n v="0"/>
    <n v="0"/>
    <n v="0"/>
    <n v="0"/>
    <n v="0"/>
    <n v="0"/>
    <n v="0"/>
    <n v="0"/>
    <n v="0"/>
    <n v="-1352.4808918080316"/>
    <n v="0"/>
    <n v="0"/>
    <n v="0"/>
    <n v="-55.659192106836741"/>
    <n v="0"/>
    <n v="-76.63870309117101"/>
    <m/>
    <n v="0"/>
    <n v="0"/>
    <n v="0"/>
    <n v="0"/>
    <n v="-11.230198690649814"/>
    <n v="-2.4197123288928246"/>
    <n v="0"/>
    <n v="0"/>
    <m/>
    <m/>
    <m/>
    <n v="0"/>
    <n v="0"/>
    <n v="0"/>
    <n v="-146.04100000000017"/>
    <n v="-1352.3396600000005"/>
    <n v="0"/>
    <n v="0"/>
    <n v="0"/>
    <n v="0"/>
    <n v="0"/>
    <n v="0"/>
    <n v="0"/>
    <n v="0"/>
    <n v="0"/>
    <n v="0"/>
    <n v="0"/>
    <n v="0"/>
    <n v="0"/>
    <n v="0"/>
    <n v="0"/>
    <n v="520.89615613074523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64"/>
    <s v="Regular"/>
    <s v="Verde"/>
    <s v="A4"/>
    <s v="Comercial"/>
    <s v="Não se aplica"/>
    <s v="Não se aplica"/>
    <s v="Não se aplica"/>
    <s v="Não se aplica"/>
    <s v="CATIVO"/>
    <x v="2"/>
    <n v="200"/>
    <n v="200"/>
    <n v="0"/>
    <n v="0"/>
    <n v="0"/>
    <n v="0"/>
    <n v="39.21"/>
    <m/>
    <m/>
    <n v="7842"/>
    <m/>
    <n v="7842"/>
    <n v="5968"/>
    <n v="0"/>
    <n v="0"/>
    <n v="0"/>
    <n v="0"/>
    <n v="0"/>
    <n v="2470.4459924729599"/>
    <n v="5372.398245936520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1.32"/>
    <n v="559.98"/>
    <n v="3750.67"/>
    <n v="1"/>
    <m/>
    <m/>
    <m/>
    <m/>
    <m/>
    <m/>
    <m/>
    <m/>
    <m/>
    <n v="0"/>
    <m/>
    <m/>
    <m/>
    <m/>
    <m/>
    <m/>
    <m/>
    <m/>
    <m/>
    <m/>
    <m/>
    <m/>
    <n v="5968"/>
    <n v="-1874.0300000000007"/>
    <m/>
    <m/>
    <m/>
    <m/>
    <n v="-1874.0000000000002"/>
    <n v="0"/>
    <n v="30"/>
    <n v="84.77806630906025"/>
    <n v="0"/>
    <n v="0"/>
    <n v="0"/>
    <n v="0"/>
    <m/>
    <m/>
    <m/>
    <n v="84.7780663090602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372.3982459365207"/>
    <m/>
    <n v="0"/>
    <n v="0"/>
    <n v="-1874"/>
    <m/>
    <n v="0"/>
    <m/>
    <n v="-1960.3887537343408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51"/>
    <s v="Regular"/>
    <s v="Convencional"/>
    <s v="B1"/>
    <s v="Residencial"/>
    <s v="Residencial"/>
    <s v="Não se aplica"/>
    <s v="Não se aplica"/>
    <s v="Não se aplica"/>
    <s v="CATIVO"/>
    <x v="2"/>
    <n v="0"/>
    <n v="0"/>
    <n v="430.00400000000002"/>
    <n v="430.00400000000002"/>
    <n v="430.00400000000002"/>
    <n v="430.00400000000002"/>
    <m/>
    <n v="609.05999999999995"/>
    <n v="286.42"/>
    <m/>
    <n v="385059.98191999999"/>
    <n v="385059.98191999999"/>
    <n v="294066.83548000001"/>
    <n v="0"/>
    <n v="26170.645003255529"/>
    <n v="0"/>
    <n v="0"/>
    <n v="0"/>
    <n v="41990.815089319272"/>
    <n v="162202.66678174995"/>
    <n v="123163.18414823475"/>
    <n v="0"/>
    <n v="0"/>
    <n v="0"/>
    <n v="0"/>
    <n v="0"/>
    <n v="4044.569874112789"/>
    <m/>
    <n v="734.37698489965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414.731199152111"/>
    <n v="0"/>
    <n v="1327.78"/>
    <n v="8133.71"/>
    <n v="70674.23"/>
    <n v="3283"/>
    <m/>
    <m/>
    <m/>
    <m/>
    <m/>
    <m/>
    <m/>
    <m/>
    <m/>
    <n v="137577.91534738685"/>
    <m/>
    <m/>
    <m/>
    <m/>
    <m/>
    <m/>
    <m/>
    <m/>
    <m/>
    <m/>
    <m/>
    <m/>
    <n v="294064.09999999998"/>
    <n v="-90995.911920000042"/>
    <m/>
    <m/>
    <m/>
    <m/>
    <n v="-63120.287159999985"/>
    <n v="-27872.859280000011"/>
    <n v="30"/>
    <n v="-31806.539441661967"/>
    <n v="0"/>
    <n v="0"/>
    <n v="0"/>
    <n v="0"/>
    <n v="0"/>
    <n v="0"/>
    <n v="0"/>
    <n v="1440.9949121983445"/>
    <n v="0"/>
    <n v="0"/>
    <n v="-27875.770186503418"/>
    <n v="0"/>
    <n v="0"/>
    <n v="0"/>
    <n v="-3262.5149876294872"/>
    <n v="0"/>
    <n v="-1815.6186354226411"/>
    <m/>
    <n v="0"/>
    <n v="0"/>
    <n v="0"/>
    <n v="0"/>
    <n v="-231.4638526469912"/>
    <n v="-62.166691657746014"/>
    <n v="0"/>
    <n v="0"/>
    <m/>
    <m/>
    <m/>
    <n v="162202.66678174995"/>
    <n v="0"/>
    <n v="0"/>
    <n v="-63120.287160000007"/>
    <n v="-27872.859280000004"/>
    <n v="0"/>
    <n v="0"/>
    <n v="-59187.772244019638"/>
    <n v="0"/>
    <n v="0"/>
    <n v="0"/>
    <n v="0"/>
    <n v="0"/>
    <n v="0"/>
    <n v="0"/>
    <n v="0"/>
    <n v="0"/>
    <n v="0"/>
    <n v="0"/>
    <n v="0"/>
    <n v="12340.35454730918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52"/>
    <s v="Refaturamento - Regular"/>
    <s v="Convencional"/>
    <s v="B1"/>
    <s v="Residencial"/>
    <s v="Residencial"/>
    <s v="Não se aplica"/>
    <s v="Não se aplica"/>
    <s v="Não se aplica"/>
    <s v="CATIVO"/>
    <x v="2"/>
    <n v="0"/>
    <n v="0"/>
    <n v="-1.139"/>
    <n v="-1.139"/>
    <n v="-1.139"/>
    <n v="-1.139"/>
    <m/>
    <n v="609.05999999999995"/>
    <n v="286.42"/>
    <m/>
    <n v="-1019.95172"/>
    <n v="-1019.95172"/>
    <n v="-778.92793000000006"/>
    <n v="0"/>
    <n v="-69.321133428312407"/>
    <n v="0"/>
    <n v="0"/>
    <n v="0"/>
    <n v="-111.22579879892895"/>
    <n v="-429.64446252689089"/>
    <n v="-326.23619023274057"/>
    <n v="0"/>
    <n v="0"/>
    <n v="0"/>
    <n v="0"/>
    <n v="0"/>
    <n v="-10.713307519498578"/>
    <m/>
    <n v="-1.94522698812269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8.181921181743085"/>
    <n v="0"/>
    <n v="-5.94"/>
    <n v="-27.56"/>
    <n v="-340.73"/>
    <n v="0"/>
    <m/>
    <m/>
    <m/>
    <m/>
    <m/>
    <m/>
    <m/>
    <m/>
    <m/>
    <n v="-364.41811141448363"/>
    <m/>
    <m/>
    <m/>
    <m/>
    <m/>
    <m/>
    <m/>
    <m/>
    <m/>
    <m/>
    <m/>
    <m/>
    <n v="-779.6117999999999"/>
    <n v="240.30992000000015"/>
    <m/>
    <m/>
    <m/>
    <m/>
    <n v="167.19380999999996"/>
    <n v="73.82998000000002"/>
    <n v="30"/>
    <n v="84.249561455365324"/>
    <n v="0"/>
    <n v="0"/>
    <n v="0"/>
    <n v="0"/>
    <n v="0"/>
    <n v="0"/>
    <n v="0"/>
    <n v="-3.8169254355631921"/>
    <n v="0"/>
    <n v="0"/>
    <n v="73.837690445733955"/>
    <n v="0"/>
    <n v="0"/>
    <n v="0"/>
    <n v="8.6417907063887434"/>
    <n v="0"/>
    <n v="4.8092334623547401"/>
    <m/>
    <n v="0"/>
    <n v="0"/>
    <n v="0"/>
    <n v="0"/>
    <n v="0.61310436220342801"/>
    <n v="0.16466791424771099"/>
    <n v="0"/>
    <n v="0"/>
    <m/>
    <m/>
    <m/>
    <n v="-429.64446252689089"/>
    <n v="0"/>
    <n v="0"/>
    <n v="167.19380999999998"/>
    <n v="73.829980000000035"/>
    <n v="0"/>
    <n v="0"/>
    <n v="156.77731506204213"/>
    <n v="0"/>
    <n v="0"/>
    <n v="0"/>
    <n v="0"/>
    <n v="0"/>
    <n v="0"/>
    <n v="0"/>
    <n v="0"/>
    <n v="0"/>
    <n v="0"/>
    <n v="0"/>
    <n v="0"/>
    <n v="-32.687286233116801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53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2.8260000000000001"/>
    <n v="2.8260000000000001"/>
    <n v="2.8260000000000001"/>
    <n v="2.8260000000000001"/>
    <m/>
    <n v="609.05999999999995"/>
    <n v="286.42"/>
    <m/>
    <n v="2530.6264799999999"/>
    <n v="2530.6264799999999"/>
    <n v="1932.6166199999998"/>
    <n v="0"/>
    <n v="171.99431349289804"/>
    <n v="0"/>
    <n v="0"/>
    <n v="0"/>
    <n v="275.96497577328643"/>
    <n v="1066.0010984205387"/>
    <n v="809.43237365910875"/>
    <n v="0"/>
    <n v="0"/>
    <n v="0"/>
    <n v="0"/>
    <n v="0"/>
    <n v="26.581042186218596"/>
    <m/>
    <n v="4.82634896262927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.734073098863888"/>
    <n v="0"/>
    <n v="4.33"/>
    <n v="47.59"/>
    <n v="1714.18"/>
    <n v="27"/>
    <m/>
    <m/>
    <m/>
    <m/>
    <m/>
    <m/>
    <m/>
    <m/>
    <m/>
    <n v="904.16644675797261"/>
    <m/>
    <m/>
    <m/>
    <m/>
    <m/>
    <m/>
    <m/>
    <m/>
    <m/>
    <m/>
    <m/>
    <m/>
    <n v="1935.3521000000001"/>
    <n v="-595.30438000000004"/>
    <m/>
    <m/>
    <m/>
    <m/>
    <n v="-414.82853999999992"/>
    <n v="-183.18132000000006"/>
    <n v="30"/>
    <n v="-209.03359145993181"/>
    <n v="0"/>
    <n v="0"/>
    <n v="0"/>
    <n v="0"/>
    <n v="0"/>
    <n v="0"/>
    <n v="0"/>
    <n v="9.4702645135220109"/>
    <n v="0"/>
    <n v="0"/>
    <n v="-183.20045057036361"/>
    <n v="0"/>
    <n v="0"/>
    <n v="0"/>
    <n v="-21.441352534025114"/>
    <n v="0"/>
    <n v="-11.932303568581659"/>
    <m/>
    <n v="0"/>
    <n v="0"/>
    <n v="0"/>
    <n v="0"/>
    <n v="-1.5211878205328269"/>
    <n v="-0.40856147995086101"/>
    <n v="0"/>
    <n v="0"/>
    <m/>
    <m/>
    <m/>
    <n v="1066.0010984205387"/>
    <n v="0"/>
    <n v="0"/>
    <n v="-414.82853999999998"/>
    <n v="-183.18132000000014"/>
    <n v="0"/>
    <n v="0"/>
    <n v="-388.98392657184456"/>
    <n v="0"/>
    <n v="0"/>
    <n v="0"/>
    <n v="0"/>
    <n v="0"/>
    <n v="0"/>
    <n v="0"/>
    <n v="0"/>
    <n v="0"/>
    <n v="0"/>
    <n v="0"/>
    <n v="0"/>
    <n v="81.101203595072946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54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3.6"/>
    <n v="3.6"/>
    <n v="3.6"/>
    <n v="3.6"/>
    <m/>
    <n v="510.09"/>
    <n v="286.42"/>
    <m/>
    <n v="2867.4359999999997"/>
    <n v="2867.4359999999997"/>
    <n v="2122.8119999999999"/>
    <n v="0"/>
    <n v="0"/>
    <n v="0"/>
    <n v="0"/>
    <n v="0"/>
    <n v="351.54773983858144"/>
    <n v="1357.9631827013231"/>
    <n v="1031.1240428778456"/>
    <n v="0"/>
    <n v="0"/>
    <n v="0"/>
    <n v="0"/>
    <n v="0"/>
    <n v="0"/>
    <m/>
    <n v="6.14821523901818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0.68034789664189"/>
    <n v="0"/>
    <n v="3.9"/>
    <n v="19.16"/>
    <n v="360.24"/>
    <n v="0"/>
    <m/>
    <m/>
    <m/>
    <m/>
    <m/>
    <m/>
    <m/>
    <n v="1379.8440000000001"/>
    <m/>
    <n v="1151.8043907744875"/>
    <m/>
    <m/>
    <m/>
    <m/>
    <m/>
    <m/>
    <m/>
    <m/>
    <m/>
    <m/>
    <m/>
    <m/>
    <n v="742.96800000000007"/>
    <n v="-260.66999999999985"/>
    <m/>
    <m/>
    <m/>
    <m/>
    <n v="-511.27199999999993"/>
    <n v="-233.35200000000009"/>
    <n v="30"/>
    <n v="-249.14662429403529"/>
    <n v="0"/>
    <n v="0"/>
    <n v="0"/>
    <n v="0"/>
    <n v="0"/>
    <n v="0"/>
    <n v="0"/>
    <n v="12.064031227416592"/>
    <n v="0"/>
    <n v="0"/>
    <n v="-233.3763701533295"/>
    <n v="0"/>
    <n v="0"/>
    <n v="0"/>
    <n v="-27.313824884108413"/>
    <n v="0"/>
    <n v="0"/>
    <m/>
    <n v="0"/>
    <n v="0"/>
    <n v="0"/>
    <n v="0"/>
    <n v="0"/>
    <n v="-0.52046048401383604"/>
    <n v="0"/>
    <n v="0"/>
    <m/>
    <m/>
    <m/>
    <n v="1357.9631827013231"/>
    <n v="0"/>
    <n v="0"/>
    <n v="-511.27199999999993"/>
    <n v="-233.35200000000009"/>
    <n v="0"/>
    <n v="0"/>
    <n v="-495.52092556922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55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7.48"/>
    <n v="7.48"/>
    <n v="7.48"/>
    <n v="7.48"/>
    <m/>
    <n v="510.09"/>
    <n v="286.42"/>
    <m/>
    <n v="5957.8948"/>
    <n v="5957.8948"/>
    <n v="4410.7316000000001"/>
    <n v="0"/>
    <n v="0"/>
    <n v="0"/>
    <n v="0"/>
    <n v="0"/>
    <n v="730.43808166460815"/>
    <n v="2821.5457240571941"/>
    <n v="2142.4466224239682"/>
    <n v="0"/>
    <n v="0"/>
    <n v="0"/>
    <n v="0"/>
    <n v="0"/>
    <n v="0"/>
    <m/>
    <n v="12.7746249966266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0.74694507413372"/>
    <n v="0"/>
    <n v="14.64"/>
    <n v="71.73"/>
    <n v="844.89"/>
    <n v="32"/>
    <m/>
    <m/>
    <m/>
    <m/>
    <m/>
    <m/>
    <m/>
    <n v="1764.3076000000001"/>
    <m/>
    <n v="2393.1935674981019"/>
    <m/>
    <m/>
    <m/>
    <m/>
    <m/>
    <m/>
    <m/>
    <m/>
    <m/>
    <m/>
    <m/>
    <m/>
    <n v="2646.4240000000004"/>
    <n v="-928.37280000000055"/>
    <m/>
    <m/>
    <m/>
    <m/>
    <n v="-1062.3095999999998"/>
    <n v="-484.8536000000002"/>
    <n v="30"/>
    <n v="-517.67131936649548"/>
    <n v="0"/>
    <n v="0"/>
    <n v="0"/>
    <n v="0"/>
    <n v="0"/>
    <n v="0"/>
    <n v="0"/>
    <n v="25.066375994743225"/>
    <n v="0"/>
    <n v="0"/>
    <n v="-484.90423576302919"/>
    <n v="0"/>
    <n v="0"/>
    <n v="0"/>
    <n v="-56.75205837031416"/>
    <n v="0"/>
    <n v="0"/>
    <m/>
    <n v="0"/>
    <n v="0"/>
    <n v="0"/>
    <n v="0"/>
    <n v="0"/>
    <n v="-1.0814012278954142"/>
    <n v="0"/>
    <n v="0"/>
    <m/>
    <m/>
    <m/>
    <n v="2821.5457240571941"/>
    <n v="0"/>
    <n v="0"/>
    <n v="-1062.3095999999996"/>
    <n v="-484.85360000000014"/>
    <n v="0"/>
    <n v="0"/>
    <n v="-1029.5823675716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56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5.4630000000000001"/>
    <n v="5.4630000000000001"/>
    <n v="5.4630000000000001"/>
    <n v="5.4630000000000001"/>
    <m/>
    <n v="510.09"/>
    <n v="286.42"/>
    <m/>
    <n v="4351.3341300000002"/>
    <n v="4351.3341300000002"/>
    <n v="3221.3672099999999"/>
    <n v="0"/>
    <n v="0"/>
    <n v="0"/>
    <n v="0"/>
    <n v="0"/>
    <n v="533.47369520504731"/>
    <n v="2060.709129749258"/>
    <n v="1564.7307350671306"/>
    <n v="0"/>
    <n v="0"/>
    <n v="0"/>
    <n v="0"/>
    <n v="0"/>
    <n v="0"/>
    <m/>
    <n v="9.3299166252100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13242793315408"/>
    <n v="0"/>
    <n v="18.260000000000002"/>
    <n v="88"/>
    <n v="948.39"/>
    <n v="70"/>
    <m/>
    <m/>
    <m/>
    <m/>
    <m/>
    <m/>
    <m/>
    <n v="322.15311000000003"/>
    <m/>
    <n v="1747.8631630002847"/>
    <m/>
    <m/>
    <m/>
    <m/>
    <m/>
    <m/>
    <m/>
    <m/>
    <m/>
    <m/>
    <m/>
    <m/>
    <n v="2897.6219999999998"/>
    <n v="-1018.6141800000009"/>
    <m/>
    <m/>
    <m/>
    <m/>
    <n v="-775.85525999999993"/>
    <n v="-354.11166000000014"/>
    <n v="30"/>
    <n v="-378.08000236619773"/>
    <n v="0"/>
    <n v="0"/>
    <n v="0"/>
    <n v="0"/>
    <n v="0"/>
    <n v="0"/>
    <n v="0"/>
    <n v="18.307167387604636"/>
    <n v="0"/>
    <n v="0"/>
    <n v="-354.14864170767737"/>
    <n v="0"/>
    <n v="0"/>
    <n v="0"/>
    <n v="-41.448729261634526"/>
    <n v="0"/>
    <n v="0"/>
    <m/>
    <n v="0"/>
    <n v="0"/>
    <n v="0"/>
    <n v="0"/>
    <n v="0"/>
    <n v="-0.78979878449099594"/>
    <n v="0"/>
    <n v="0"/>
    <m/>
    <m/>
    <m/>
    <n v="2060.709129749258"/>
    <n v="0"/>
    <n v="0"/>
    <n v="-775.85526000000004"/>
    <n v="-354.11166000000026"/>
    <n v="0"/>
    <n v="0"/>
    <n v="-751.95300455130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57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1.03"/>
    <n v="1.03"/>
    <n v="1.03"/>
    <n v="1.03"/>
    <m/>
    <n v="510.09"/>
    <n v="286.42"/>
    <m/>
    <n v="820.40530000000001"/>
    <n v="820.40530000000001"/>
    <n v="607.36009999999999"/>
    <n v="0"/>
    <n v="0"/>
    <n v="0"/>
    <n v="0"/>
    <n v="0"/>
    <n v="100.58171445381635"/>
    <n v="388.52835505065639"/>
    <n v="295.01604560116135"/>
    <n v="0"/>
    <n v="0"/>
    <n v="0"/>
    <n v="0"/>
    <n v="0"/>
    <n v="0"/>
    <m/>
    <n v="1.75907269338575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527988425983651"/>
    <n v="0"/>
    <n v="5.04"/>
    <n v="24.61"/>
    <n v="348.1"/>
    <n v="18"/>
    <m/>
    <m/>
    <m/>
    <m/>
    <m/>
    <m/>
    <m/>
    <m/>
    <m/>
    <n v="329.54403402714502"/>
    <m/>
    <m/>
    <m/>
    <m/>
    <m/>
    <m/>
    <m/>
    <m/>
    <m/>
    <m/>
    <m/>
    <m/>
    <n v="607.36009999999999"/>
    <n v="-213.0752"/>
    <m/>
    <m/>
    <m/>
    <m/>
    <n v="-146.28059999999999"/>
    <n v="-66.76460000000003"/>
    <n v="30"/>
    <n v="-71.283617506348946"/>
    <n v="0"/>
    <n v="0"/>
    <n v="0"/>
    <n v="0"/>
    <n v="0"/>
    <n v="0"/>
    <n v="0"/>
    <n v="3.4516533789552994"/>
    <n v="0"/>
    <n v="0"/>
    <n v="-66.771572571647027"/>
    <n v="0"/>
    <n v="0"/>
    <n v="0"/>
    <n v="-7.8147887862865737"/>
    <n v="0"/>
    <n v="0"/>
    <m/>
    <n v="0"/>
    <n v="0"/>
    <n v="0"/>
    <n v="0"/>
    <n v="0"/>
    <n v="-0.14890952737062535"/>
    <n v="0"/>
    <n v="0"/>
    <m/>
    <m/>
    <m/>
    <n v="388.52835505065639"/>
    <n v="0"/>
    <n v="0"/>
    <n v="-146.28059999999999"/>
    <n v="-66.76460000000003"/>
    <n v="0"/>
    <n v="0"/>
    <n v="-141.77404259341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58"/>
    <s v="Regular"/>
    <s v="Branca"/>
    <s v="B1"/>
    <s v="Residencial"/>
    <s v="Residencial"/>
    <s v="Não se aplica"/>
    <s v="Não se aplica"/>
    <s v="Fora ponta"/>
    <s v="CATIVO"/>
    <x v="2"/>
    <n v="0"/>
    <n v="0"/>
    <n v="0.04"/>
    <n v="0.04"/>
    <n v="0.04"/>
    <n v="0.04"/>
    <m/>
    <n v="409.62"/>
    <n v="286.42"/>
    <m/>
    <n v="27.841600000000003"/>
    <n v="27.841600000000003"/>
    <n v="21.633600000000001"/>
    <n v="0"/>
    <n v="2.4344559588520598"/>
    <n v="0"/>
    <n v="0"/>
    <n v="0"/>
    <n v="2.2657285166739318"/>
    <n v="8.7513148784814003"/>
    <n v="11.456933809753838"/>
    <n v="0"/>
    <n v="0"/>
    <n v="0"/>
    <n v="0"/>
    <n v="0"/>
    <n v="0.37623555819134602"/>
    <m/>
    <n v="6.831350265575759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3408927544071321"/>
    <n v="0"/>
    <n v="0"/>
    <n v="0"/>
    <n v="0"/>
    <n v="0"/>
    <m/>
    <m/>
    <m/>
    <m/>
    <m/>
    <m/>
    <m/>
    <m/>
    <m/>
    <n v="12.797826564160971"/>
    <m/>
    <m/>
    <m/>
    <m/>
    <m/>
    <m/>
    <m/>
    <m/>
    <m/>
    <m/>
    <m/>
    <m/>
    <n v="21.633600000000001"/>
    <n v="-6.2380000000000067"/>
    <m/>
    <m/>
    <m/>
    <m/>
    <n v="-3.6151999999999997"/>
    <n v="-2.5928000000000009"/>
    <n v="30"/>
    <n v="-3.0150123278210721"/>
    <n v="0"/>
    <n v="0"/>
    <n v="0"/>
    <n v="0"/>
    <n v="0"/>
    <n v="0"/>
    <n v="0"/>
    <n v="7.775279565315607E-2"/>
    <n v="0"/>
    <n v="0"/>
    <n v="-2.5930707794814385"/>
    <n v="0"/>
    <n v="0"/>
    <n v="0"/>
    <n v="-0.30348694315676017"/>
    <n v="0"/>
    <n v="-0.16889318568409939"/>
    <m/>
    <n v="0"/>
    <n v="0"/>
    <n v="0"/>
    <n v="0"/>
    <n v="-2.153132088510723E-2"/>
    <n v="-5.7828942668203959E-3"/>
    <n v="0"/>
    <n v="0"/>
    <m/>
    <m/>
    <m/>
    <n v="8.7513148784814003"/>
    <n v="0"/>
    <n v="0"/>
    <n v="-3.6152000000000015"/>
    <n v="-2.5928000000000004"/>
    <n v="0"/>
    <n v="0"/>
    <n v="-3.1933558315672403"/>
    <n v="0"/>
    <n v="0"/>
    <n v="0"/>
    <n v="0"/>
    <n v="0"/>
    <n v="0"/>
    <n v="0"/>
    <n v="0"/>
    <n v="0"/>
    <n v="0"/>
    <n v="0"/>
    <n v="0"/>
    <n v="1.1479292794773239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59"/>
    <s v="Regular"/>
    <s v="Branca"/>
    <s v="B1"/>
    <s v="Residencial"/>
    <s v="Residencial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28000000000000003"/>
    <n v="1.3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"/>
    <m/>
    <m/>
    <m/>
    <m/>
    <n v="0"/>
    <n v="-17.698635468909799"/>
    <m/>
    <n v="-17.698635468909799"/>
    <m/>
    <n v="0"/>
    <n v="0"/>
    <n v="0"/>
    <n v="0"/>
  </r>
  <r>
    <n v="60"/>
    <s v="Regular"/>
    <s v="Branca"/>
    <s v="B1"/>
    <s v="Residencial"/>
    <s v="Residencial"/>
    <s v="Não se aplica"/>
    <s v="Não se aplica"/>
    <s v="Intermediário"/>
    <s v="CATIVO"/>
    <x v="2"/>
    <n v="0"/>
    <n v="0"/>
    <n v="1.2999999999999999E-2"/>
    <n v="1.2999999999999999E-2"/>
    <n v="1.2999999999999999E-2"/>
    <n v="1.2999999999999999E-2"/>
    <m/>
    <n v="960.47"/>
    <n v="286.42"/>
    <m/>
    <n v="16.209569999999999"/>
    <n v="16.209569999999999"/>
    <n v="12.166829999999997"/>
    <n v="0"/>
    <n v="0.79119818662691943"/>
    <n v="0"/>
    <n v="0"/>
    <n v="0"/>
    <n v="2.209016041922534"/>
    <n v="8.5325363526465399"/>
    <n v="3.7235034881699973"/>
    <n v="0"/>
    <n v="0"/>
    <n v="0"/>
    <n v="0"/>
    <n v="0"/>
    <n v="0.12227655641218745"/>
    <m/>
    <n v="2.22018883631212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357901451823179"/>
    <n v="0"/>
    <n v="0"/>
    <n v="0"/>
    <n v="0"/>
    <n v="0"/>
    <m/>
    <m/>
    <m/>
    <m/>
    <m/>
    <m/>
    <m/>
    <m/>
    <m/>
    <n v="4.1592936333523154"/>
    <m/>
    <m/>
    <m/>
    <m/>
    <m/>
    <m/>
    <m/>
    <m/>
    <m/>
    <m/>
    <m/>
    <m/>
    <n v="9.3590999999999998"/>
    <n v="-6.8804700000000008"/>
    <m/>
    <m/>
    <m/>
    <m/>
    <n v="-3.2000800000000007"/>
    <n v="-0.84266000000000019"/>
    <n v="30"/>
    <n v="-0.92934206621926307"/>
    <n v="0"/>
    <n v="0"/>
    <n v="0"/>
    <n v="0"/>
    <n v="0"/>
    <n v="0"/>
    <n v="0"/>
    <n v="7.5806598909859968E-2"/>
    <n v="0"/>
    <n v="0"/>
    <n v="-0.84274800333146738"/>
    <n v="0"/>
    <n v="0"/>
    <n v="0"/>
    <n v="-9.8633256525947011E-2"/>
    <n v="0"/>
    <n v="-5.4890285347332424E-2"/>
    <m/>
    <n v="0"/>
    <n v="0"/>
    <n v="0"/>
    <n v="0"/>
    <n v="-6.997679287659847E-3"/>
    <n v="-1.8794406367166304E-3"/>
    <n v="0"/>
    <n v="0"/>
    <m/>
    <m/>
    <m/>
    <n v="8.5325363526465399"/>
    <n v="0"/>
    <n v="0"/>
    <n v="-3.2000800000000016"/>
    <n v="-0.84266000000000041"/>
    <n v="0"/>
    <n v="0"/>
    <n v="-3.1135235216803769"/>
    <n v="0"/>
    <n v="0"/>
    <n v="0"/>
    <n v="0"/>
    <n v="0"/>
    <n v="0"/>
    <n v="0"/>
    <n v="0"/>
    <n v="0"/>
    <n v="0"/>
    <n v="0"/>
    <n v="0"/>
    <n v="0.37307701583013025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65"/>
    <s v="Regular"/>
    <s v="Convencional"/>
    <s v="B2"/>
    <s v="Rural"/>
    <s v="Não se aplica"/>
    <s v="Não se aplica"/>
    <s v="Não se aplica"/>
    <s v="Não se aplica"/>
    <s v="CATIVO"/>
    <x v="2"/>
    <n v="0"/>
    <n v="0"/>
    <n v="111.015"/>
    <n v="111.015"/>
    <n v="111.015"/>
    <n v="111.015"/>
    <m/>
    <n v="609.05999999999995"/>
    <n v="286.42"/>
    <m/>
    <n v="99411.712199999994"/>
    <n v="99411.712199999994"/>
    <n v="75919.828049999996"/>
    <n v="0"/>
    <n v="6756.5282067990356"/>
    <n v="0"/>
    <n v="0"/>
    <n v="0"/>
    <n v="10840.853427272255"/>
    <n v="41876.189646552055"/>
    <n v="31797.287672245562"/>
    <n v="0"/>
    <n v="0"/>
    <n v="0"/>
    <n v="0"/>
    <n v="0"/>
    <n v="1044.1947623153069"/>
    <m/>
    <n v="189.595587433223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21.4802282626943"/>
    <n v="0"/>
    <n v="312.37"/>
    <n v="1906.78"/>
    <n v="2864.29"/>
    <n v="331"/>
    <m/>
    <m/>
    <m/>
    <m/>
    <m/>
    <n v="9111.0010499999953"/>
    <m/>
    <m/>
    <m/>
    <n v="35518.767900508254"/>
    <m/>
    <m/>
    <m/>
    <m/>
    <m/>
    <m/>
    <m/>
    <m/>
    <m/>
    <m/>
    <m/>
    <m/>
    <n v="66811.835999999996"/>
    <n v="-20670.234300000011"/>
    <m/>
    <m/>
    <m/>
    <m/>
    <n v="-16295.891849999996"/>
    <n v="-7195.9923000000026"/>
    <n v="30"/>
    <n v="-8211.5584415868216"/>
    <n v="0"/>
    <n v="0"/>
    <n v="0"/>
    <n v="0"/>
    <n v="0"/>
    <n v="0"/>
    <n v="0"/>
    <n v="372.02456297545723"/>
    <n v="0"/>
    <n v="0"/>
    <n v="-7196.7438146032982"/>
    <n v="0"/>
    <n v="0"/>
    <n v="0"/>
    <n v="-842.29007486369301"/>
    <n v="0"/>
    <n v="-468.74192521800796"/>
    <m/>
    <n v="0"/>
    <n v="0"/>
    <n v="0"/>
    <n v="0"/>
    <n v="-59.757489701504483"/>
    <n v="-16.04970017577665"/>
    <n v="0"/>
    <n v="0"/>
    <m/>
    <m/>
    <m/>
    <n v="41876.189646552055"/>
    <n v="0"/>
    <n v="0"/>
    <n v="-16295.89185"/>
    <n v="-7195.9923000000017"/>
    <n v="0"/>
    <n v="0"/>
    <n v="-15280.626542241094"/>
    <n v="0"/>
    <n v="0"/>
    <n v="0"/>
    <n v="0"/>
    <n v="0"/>
    <n v="0"/>
    <n v="0"/>
    <n v="0"/>
    <n v="0"/>
    <n v="0"/>
    <n v="0"/>
    <n v="0"/>
    <n v="3185.9342240293781"/>
    <n v="0"/>
    <n v="0"/>
    <n v="0"/>
    <n v="0"/>
    <n v="0"/>
    <n v="202"/>
    <n v="0"/>
    <n v="0"/>
    <n v="0"/>
    <m/>
    <n v="0"/>
    <n v="-12.3890448282368"/>
    <m/>
    <n v="-17.698635468909799"/>
    <m/>
    <n v="0"/>
    <n v="0"/>
    <n v="0"/>
    <n v="0"/>
  </r>
  <r>
    <n v="66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0.28299999999999997"/>
    <n v="0.28299999999999997"/>
    <n v="0.28299999999999997"/>
    <n v="0.28299999999999997"/>
    <m/>
    <n v="609.05999999999995"/>
    <n v="286.42"/>
    <m/>
    <n v="253.42083999999997"/>
    <n v="253.42083999999997"/>
    <n v="193.53520999999998"/>
    <n v="0"/>
    <n v="17.223775908878324"/>
    <n v="0"/>
    <n v="0"/>
    <n v="0"/>
    <n v="27.635558437310703"/>
    <n v="106.75099464013179"/>
    <n v="81.057806704008399"/>
    <n v="0"/>
    <n v="0"/>
    <n v="0"/>
    <n v="0"/>
    <n v="0"/>
    <n v="2.6618665742037728"/>
    <m/>
    <n v="0.483318031289484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4868162374304585"/>
    <n v="0"/>
    <n v="0.3"/>
    <n v="4.09"/>
    <n v="0"/>
    <n v="3"/>
    <m/>
    <m/>
    <m/>
    <m/>
    <m/>
    <n v="23.225809999999989"/>
    <m/>
    <m/>
    <m/>
    <n v="90.54462294143886"/>
    <m/>
    <m/>
    <m/>
    <m/>
    <m/>
    <m/>
    <m/>
    <m/>
    <m/>
    <m/>
    <m/>
    <m/>
    <n v="168.50400000000002"/>
    <n v="-54.53565999999995"/>
    <m/>
    <m/>
    <m/>
    <m/>
    <n v="-41.541569999999986"/>
    <n v="-18.344060000000006"/>
    <n v="30"/>
    <n v="-20.932946349313795"/>
    <n v="0"/>
    <n v="0"/>
    <n v="0"/>
    <n v="0"/>
    <n v="0"/>
    <n v="0"/>
    <n v="0"/>
    <n v="0.94836689926635742"/>
    <n v="0"/>
    <n v="0"/>
    <n v="-18.345975764831174"/>
    <n v="0"/>
    <n v="0"/>
    <n v="0"/>
    <n v="-2.147170122834078"/>
    <n v="0"/>
    <n v="-1.1949192887150062"/>
    <m/>
    <n v="0"/>
    <n v="0"/>
    <n v="0"/>
    <n v="0"/>
    <n v="-0.15233409526213348"/>
    <n v="-4.0913976937754282E-2"/>
    <n v="0"/>
    <n v="0"/>
    <m/>
    <m/>
    <m/>
    <n v="106.75099464013179"/>
    <n v="0"/>
    <n v="0"/>
    <n v="-41.541569999999979"/>
    <n v="-18.344060000000006"/>
    <n v="0"/>
    <n v="0"/>
    <n v="-38.953450537803263"/>
    <n v="0"/>
    <n v="0"/>
    <n v="0"/>
    <n v="0"/>
    <n v="0"/>
    <n v="0"/>
    <n v="0"/>
    <n v="0"/>
    <n v="0"/>
    <n v="0"/>
    <n v="0"/>
    <n v="0"/>
    <n v="8.1215996523020664"/>
    <n v="0"/>
    <n v="0"/>
    <n v="0"/>
    <n v="0"/>
    <n v="0"/>
    <n v="202"/>
    <n v="0"/>
    <n v="0"/>
    <n v="0"/>
    <m/>
    <n v="0"/>
    <n v="-12.3890448282368"/>
    <m/>
    <n v="-17.698635468909799"/>
    <m/>
    <n v="0"/>
    <n v="0"/>
    <n v="0"/>
    <n v="0"/>
  </r>
  <r>
    <n v="47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28.202000000000002"/>
    <n v="26.509879999999999"/>
    <n v="28.202000000000002"/>
    <n v="26.509879999999999"/>
    <m/>
    <n v="609.05999999999995"/>
    <n v="286.42"/>
    <m/>
    <n v="25254.326959999999"/>
    <n v="25254.326959999999"/>
    <n v="19286.50174"/>
    <n v="0"/>
    <n v="1716.4131737886448"/>
    <n v="0"/>
    <n v="0"/>
    <n v="0"/>
    <n v="2753.9859330354648"/>
    <n v="10638.132688484089"/>
    <n v="8077.7111825669444"/>
    <n v="0"/>
    <n v="0"/>
    <n v="0"/>
    <n v="0"/>
    <n v="0"/>
    <n v="265.26488030280854"/>
    <m/>
    <n v="48.1644350474418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5.39643649474851"/>
    <n v="0"/>
    <n v="65.61"/>
    <n v="302.99"/>
    <n v="5230.7"/>
    <n v="6"/>
    <m/>
    <m/>
    <m/>
    <m/>
    <n v="1157.1901044000019"/>
    <m/>
    <m/>
    <m/>
    <m/>
    <n v="9023.1076190616932"/>
    <m/>
    <m/>
    <m/>
    <m/>
    <m/>
    <m/>
    <m/>
    <m/>
    <m/>
    <m/>
    <m/>
    <m/>
    <n v="18129.393700000001"/>
    <n v="-5609.7036423999962"/>
    <m/>
    <m/>
    <m/>
    <m/>
    <n v="-4139.7715799999996"/>
    <n v="-1828.0536400000008"/>
    <n v="31"/>
    <n v="-2086.0457701178329"/>
    <n v="0"/>
    <n v="0"/>
    <n v="0"/>
    <n v="0"/>
    <n v="0"/>
    <n v="0"/>
    <n v="0"/>
    <n v="94.508280187667424"/>
    <n v="0"/>
    <n v="0"/>
    <n v="-1828.2445530733885"/>
    <n v="0"/>
    <n v="0"/>
    <n v="0"/>
    <n v="-213.9734692726737"/>
    <n v="0"/>
    <n v="-119.07814056657435"/>
    <m/>
    <n v="0"/>
    <n v="0"/>
    <n v="0"/>
    <n v="0"/>
    <n v="-15.180657790044876"/>
    <n v="-4.0772296028217241"/>
    <n v="0"/>
    <n v="0"/>
    <m/>
    <m/>
    <m/>
    <n v="10638.132688484089"/>
    <n v="0"/>
    <n v="0"/>
    <n v="-4139.7715799999987"/>
    <n v="-1828.0536400000001"/>
    <n v="0"/>
    <n v="0"/>
    <n v="-3881.8558730287205"/>
    <n v="0"/>
    <n v="0"/>
    <n v="0"/>
    <n v="0"/>
    <n v="0"/>
    <n v="0"/>
    <n v="0"/>
    <n v="0"/>
    <n v="0"/>
    <n v="0"/>
    <n v="0"/>
    <n v="0"/>
    <n v="809.34753849548724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61"/>
    <s v="Regular"/>
    <s v="Convencional"/>
    <s v="B3"/>
    <s v="Comercial"/>
    <s v="Não se aplica"/>
    <s v="Não se aplica"/>
    <s v="Não se aplica"/>
    <s v="Não se aplica"/>
    <s v="CATIVO"/>
    <x v="2"/>
    <n v="0"/>
    <n v="0"/>
    <n v="15.157"/>
    <n v="15.157"/>
    <n v="15.157"/>
    <n v="15.157"/>
    <m/>
    <n v="609.05999999999995"/>
    <n v="286.42"/>
    <m/>
    <n v="13572.790359999999"/>
    <n v="13572.790359999999"/>
    <n v="10365.417589999999"/>
    <n v="0"/>
    <n v="922.47622420801679"/>
    <n v="0"/>
    <n v="0"/>
    <n v="0"/>
    <n v="1480.1136368703828"/>
    <n v="5717.4022111677659"/>
    <n v="4341.3186438609737"/>
    <n v="0"/>
    <n v="0"/>
    <n v="0"/>
    <n v="0"/>
    <n v="0"/>
    <n v="142.56505888765579"/>
    <m/>
    <n v="25.8856939938329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8.09778696372251"/>
    <n v="0"/>
    <n v="25.25"/>
    <n v="249.67"/>
    <n v="2807.77"/>
    <n v="42"/>
    <m/>
    <m/>
    <m/>
    <m/>
    <m/>
    <m/>
    <m/>
    <m/>
    <m/>
    <n v="4849.4164308246964"/>
    <m/>
    <m/>
    <m/>
    <m/>
    <m/>
    <m/>
    <m/>
    <m/>
    <m/>
    <m/>
    <m/>
    <m/>
    <n v="10367.4692"/>
    <n v="-3205.3511600000002"/>
    <m/>
    <m/>
    <m/>
    <m/>
    <n v="-2224.8960299999994"/>
    <n v="-982.47674000000029"/>
    <n v="30"/>
    <n v="-1121.1331018252631"/>
    <n v="0"/>
    <n v="0"/>
    <n v="0"/>
    <n v="0"/>
    <n v="0"/>
    <n v="0"/>
    <n v="0"/>
    <n v="50.792922587209205"/>
    <n v="0"/>
    <n v="0"/>
    <n v="-982.57934511500434"/>
    <n v="0"/>
    <n v="0"/>
    <n v="0"/>
    <n v="-114.99878993567535"/>
    <n v="0"/>
    <n v="-63.997850385347533"/>
    <m/>
    <n v="0"/>
    <n v="0"/>
    <n v="0"/>
    <n v="0"/>
    <n v="-8.1587557663892767"/>
    <n v="-2.1912832100549196"/>
    <n v="0"/>
    <n v="0"/>
    <m/>
    <m/>
    <m/>
    <n v="5717.4022111677659"/>
    <n v="0"/>
    <n v="0"/>
    <n v="-2224.8960299999999"/>
    <n v="-982.47674000000052"/>
    <n v="0"/>
    <n v="0"/>
    <n v="-2086.2807413480004"/>
    <n v="0"/>
    <n v="0"/>
    <n v="0"/>
    <n v="0"/>
    <n v="0"/>
    <n v="0"/>
    <n v="0"/>
    <n v="0"/>
    <n v="0"/>
    <n v="0"/>
    <n v="0"/>
    <n v="0"/>
    <n v="434.97910222594498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67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5.7809999999999997"/>
    <n v="5.7809999999999997"/>
    <n v="5.7809999999999997"/>
    <n v="5.7809999999999997"/>
    <m/>
    <n v="609.05999999999995"/>
    <n v="286.42"/>
    <m/>
    <n v="5176.7698799999998"/>
    <n v="5176.7698799999998"/>
    <n v="3953.4524699999997"/>
    <n v="0"/>
    <n v="351.83974745309393"/>
    <n v="0"/>
    <n v="0"/>
    <n v="0"/>
    <n v="564.52707889078863"/>
    <n v="2180.662544221208"/>
    <n v="1655.8133588546734"/>
    <n v="0"/>
    <n v="0"/>
    <n v="0"/>
    <n v="0"/>
    <n v="0"/>
    <n v="54.375444047604283"/>
    <m/>
    <n v="9.87300897132336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3.79252533069075"/>
    <n v="0"/>
    <n v="21.16"/>
    <n v="107.08"/>
    <n v="568.65"/>
    <n v="10"/>
    <m/>
    <m/>
    <m/>
    <m/>
    <m/>
    <m/>
    <m/>
    <m/>
    <m/>
    <n v="1849.6058841853642"/>
    <m/>
    <m/>
    <m/>
    <m/>
    <m/>
    <m/>
    <m/>
    <m/>
    <m/>
    <m/>
    <m/>
    <m/>
    <n v="3952.7685999999999"/>
    <n v="-1224.0312800000006"/>
    <m/>
    <m/>
    <m/>
    <m/>
    <n v="-848.59298999999976"/>
    <n v="-374.72442000000012"/>
    <n v="30"/>
    <n v="-427.60905599075249"/>
    <n v="0"/>
    <n v="0"/>
    <n v="0"/>
    <n v="0"/>
    <n v="0"/>
    <n v="0"/>
    <n v="0"/>
    <n v="19.372823479359795"/>
    <n v="0"/>
    <n v="0"/>
    <n v="-374.76355440455472"/>
    <n v="0"/>
    <n v="0"/>
    <n v="0"/>
    <n v="-43.861450459730747"/>
    <n v="0"/>
    <n v="-24.409287660994494"/>
    <m/>
    <n v="0"/>
    <n v="0"/>
    <n v="0"/>
    <n v="0"/>
    <n v="-3.1118141509201251"/>
    <n v="-0.83577279391221815"/>
    <n v="0"/>
    <n v="0"/>
    <m/>
    <m/>
    <m/>
    <n v="2180.662544221208"/>
    <n v="0"/>
    <n v="0"/>
    <n v="-848.59298999999965"/>
    <n v="-374.72442000000024"/>
    <n v="0"/>
    <n v="0"/>
    <n v="-795.72401964325309"/>
    <n v="0"/>
    <n v="0"/>
    <n v="0"/>
    <n v="0"/>
    <n v="0"/>
    <n v="0"/>
    <n v="0"/>
    <n v="0"/>
    <n v="0"/>
    <n v="0"/>
    <n v="0"/>
    <n v="0"/>
    <n v="165.90447911646024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69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26.925000000000001"/>
    <n v="25.3095"/>
    <n v="26.925000000000001"/>
    <n v="25.3095"/>
    <m/>
    <n v="609.05999999999995"/>
    <n v="286.42"/>
    <m/>
    <n v="24110.798999999999"/>
    <n v="24110.798999999999"/>
    <n v="18413.19975"/>
    <n v="0"/>
    <n v="1638.6931673022927"/>
    <n v="0"/>
    <n v="0"/>
    <n v="0"/>
    <n v="2629.2841375427238"/>
    <n v="10156.432970620313"/>
    <n v="7711.9485706905534"/>
    <n v="0"/>
    <n v="0"/>
    <n v="0"/>
    <n v="0"/>
    <n v="0"/>
    <n v="253.25356010754979"/>
    <m/>
    <n v="45.9835264751568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02.58843531030084"/>
    <n v="0"/>
    <n v="7.73"/>
    <n v="358.14"/>
    <n v="4965.6400000000003"/>
    <n v="6"/>
    <m/>
    <m/>
    <m/>
    <m/>
    <n v="1104.7919850000005"/>
    <m/>
    <m/>
    <m/>
    <m/>
    <n v="8614.5370060008536"/>
    <m/>
    <m/>
    <m/>
    <m/>
    <m/>
    <m/>
    <m/>
    <m/>
    <m/>
    <m/>
    <m/>
    <m/>
    <n v="17308.7497"/>
    <n v="-5355.4313599999987"/>
    <m/>
    <m/>
    <m/>
    <m/>
    <n v="-3952.320749999999"/>
    <n v="-1745.2785000000006"/>
    <n v="30"/>
    <n v="-1991.5886235168691"/>
    <n v="0"/>
    <n v="0"/>
    <n v="0"/>
    <n v="0"/>
    <n v="0"/>
    <n v="0"/>
    <n v="0"/>
    <n v="90.228900221719414"/>
    <n v="0"/>
    <n v="0"/>
    <n v="-1745.4607684384437"/>
    <n v="0"/>
    <n v="0"/>
    <n v="0"/>
    <n v="-204.28464861239422"/>
    <n v="0"/>
    <n v="-113.68622561360962"/>
    <m/>
    <n v="0"/>
    <n v="0"/>
    <n v="0"/>
    <n v="0"/>
    <n v="-14.493270370787798"/>
    <n v="-3.8926107033534834"/>
    <n v="0"/>
    <n v="0"/>
    <m/>
    <m/>
    <m/>
    <n v="10156.432970620313"/>
    <n v="0"/>
    <n v="0"/>
    <n v="-3952.3207500000008"/>
    <n v="-1745.2785000000003"/>
    <n v="0"/>
    <n v="0"/>
    <n v="-3706.0835891531906"/>
    <n v="0"/>
    <n v="0"/>
    <n v="0"/>
    <n v="0"/>
    <n v="0"/>
    <n v="0"/>
    <n v="0"/>
    <n v="0"/>
    <n v="0"/>
    <n v="0"/>
    <n v="0"/>
    <n v="0"/>
    <n v="772.69989624817367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68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45.448"/>
    <n v="45.448"/>
    <n v="45.448"/>
    <n v="45.448"/>
    <m/>
    <n v="334.98"/>
    <n v="157.53"/>
    <m/>
    <n v="22383.59448"/>
    <n v="22383.59448"/>
    <n v="17094.356240000001"/>
    <n v="0"/>
    <n v="1521.3158732462396"/>
    <n v="0"/>
    <n v="0"/>
    <n v="0"/>
    <n v="2440.9522011391978"/>
    <n v="9428.9419166876178"/>
    <n v="7159.5525070532585"/>
    <n v="0"/>
    <n v="0"/>
    <n v="0"/>
    <n v="0"/>
    <n v="0"/>
    <n v="235.11336266935413"/>
    <m/>
    <n v="42.6897909446094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7.93729115656242"/>
    <n v="0"/>
    <n v="8.6300000000000008"/>
    <n v="399.11"/>
    <n v="5258.54"/>
    <n v="3"/>
    <m/>
    <m/>
    <m/>
    <m/>
    <m/>
    <m/>
    <m/>
    <m/>
    <m/>
    <n v="7997.4897982098209"/>
    <m/>
    <m/>
    <m/>
    <m/>
    <m/>
    <m/>
    <m/>
    <m/>
    <m/>
    <m/>
    <m/>
    <m/>
    <n v="17095.108500000002"/>
    <n v="-5288.5159800000001"/>
    <m/>
    <m/>
    <m/>
    <m/>
    <n v="-3669.0170400000006"/>
    <n v="-1620.2212000000002"/>
    <n v="30"/>
    <n v="-1848.9339227066921"/>
    <n v="0"/>
    <n v="0"/>
    <n v="0"/>
    <n v="0"/>
    <n v="0"/>
    <n v="0"/>
    <n v="0"/>
    <n v="83.765930603599827"/>
    <n v="0"/>
    <n v="0"/>
    <n v="-1620.4358608057555"/>
    <n v="0"/>
    <n v="0"/>
    <n v="0"/>
    <n v="-189.65202564809317"/>
    <n v="0"/>
    <n v="-105.543040665852"/>
    <m/>
    <n v="0"/>
    <n v="0"/>
    <n v="0"/>
    <n v="0"/>
    <n v="-13.455137734312615"/>
    <n v="-3.6137884562786269"/>
    <n v="0"/>
    <n v="0"/>
    <m/>
    <m/>
    <m/>
    <n v="9428.9419166876178"/>
    <n v="0"/>
    <n v="0"/>
    <n v="-3669.0170400000006"/>
    <n v="-1620.2212000000009"/>
    <n v="0"/>
    <n v="0"/>
    <n v="-3440.6220177496589"/>
    <n v="0"/>
    <n v="0"/>
    <n v="0"/>
    <n v="0"/>
    <n v="0"/>
    <n v="0"/>
    <n v="0"/>
    <n v="0"/>
    <n v="0"/>
    <n v="0"/>
    <n v="0"/>
    <n v="0"/>
    <n v="717.35248603817433"/>
    <n v="0"/>
    <n v="0"/>
    <n v="0"/>
    <n v="0"/>
    <n v="0"/>
    <n v="202"/>
    <n v="0"/>
    <n v="0"/>
    <n v="0"/>
    <m/>
    <n v="0"/>
    <n v="-9.7342495079003708"/>
    <m/>
    <n v="-9.7342495079003708"/>
    <m/>
    <n v="0"/>
    <n v="0"/>
    <n v="0"/>
    <n v="0"/>
  </r>
  <r>
    <n v="70"/>
    <s v="Regular"/>
    <s v="Verde"/>
    <s v="A4"/>
    <s v="Serviço público"/>
    <s v="Água, esgoto e saneamento"/>
    <s v="Não se aplica"/>
    <s v="Não se aplica"/>
    <s v="Ponta"/>
    <s v="CATIVO"/>
    <x v="2"/>
    <n v="0"/>
    <n v="0"/>
    <n v="19.634"/>
    <n v="18.455960000000001"/>
    <n v="19.634"/>
    <n v="18.455960000000001"/>
    <m/>
    <n v="3305.85"/>
    <n v="286.42"/>
    <m/>
    <n v="70530.629180000004"/>
    <n v="70530.629180000004"/>
    <n v="51266.337399999997"/>
    <n v="0"/>
    <n v="1039.6088554402043"/>
    <n v="0"/>
    <n v="0"/>
    <n v="0"/>
    <n v="12801.074883748568"/>
    <n v="50133.233034378492"/>
    <n v="5623.6359605176722"/>
    <n v="0"/>
    <n v="0"/>
    <n v="0"/>
    <n v="0"/>
    <n v="0"/>
    <n v="184.6752237382222"/>
    <m/>
    <n v="26.9002965475891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1.43176081913433"/>
    <n v="0"/>
    <n v="0"/>
    <n v="0"/>
    <n v="0"/>
    <n v="0"/>
    <m/>
    <m/>
    <m/>
    <m/>
    <n v="3075.9802439999985"/>
    <m/>
    <m/>
    <m/>
    <m/>
    <n v="5855.0677213368062"/>
    <m/>
    <m/>
    <m/>
    <m/>
    <m/>
    <m/>
    <m/>
    <m/>
    <m/>
    <m/>
    <m/>
    <m/>
    <n v="48200.906000000003"/>
    <n v="-18097.915429200002"/>
    <m/>
    <m/>
    <m/>
    <m/>
    <n v="-17991.615899999997"/>
    <n v="-1272.6758800000005"/>
    <n v="30"/>
    <n v="-970.86578705598004"/>
    <n v="0"/>
    <n v="0"/>
    <n v="0"/>
    <n v="0"/>
    <n v="0"/>
    <n v="0"/>
    <n v="0"/>
    <n v="439.2933011400728"/>
    <n v="0"/>
    <n v="0"/>
    <n v="-1272.8087921084643"/>
    <n v="0"/>
    <n v="0"/>
    <n v="0"/>
    <n v="-52.380414026057281"/>
    <n v="0"/>
    <n v="-72.12406156794566"/>
    <m/>
    <n v="0"/>
    <n v="0"/>
    <n v="0"/>
    <n v="0"/>
    <n v="-10.568648856454899"/>
    <n v="-2.2771716371318433"/>
    <n v="0"/>
    <n v="0"/>
    <m/>
    <m/>
    <m/>
    <n v="50133.233034378492"/>
    <n v="0"/>
    <n v="0"/>
    <n v="-17991.615899999997"/>
    <n v="-1272.6758800000007"/>
    <n v="0"/>
    <n v="0"/>
    <n v="-18293.622648558292"/>
    <n v="0"/>
    <n v="0"/>
    <n v="0"/>
    <n v="0"/>
    <n v="0"/>
    <n v="0"/>
    <n v="0"/>
    <n v="0"/>
    <n v="0"/>
    <n v="0"/>
    <n v="0"/>
    <n v="0"/>
    <n v="490.21114554335679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71"/>
    <s v="Regular"/>
    <s v="Verde"/>
    <s v="A4"/>
    <s v="Serviço público"/>
    <s v="Água, esgoto e saneamento"/>
    <s v="Não se aplica"/>
    <s v="Não se aplica"/>
    <s v="Fora ponta"/>
    <s v="CATIVO"/>
    <x v="2"/>
    <n v="0"/>
    <n v="0"/>
    <n v="214.208"/>
    <n v="201.35552000000001"/>
    <n v="214.208"/>
    <n v="201.35552000000001"/>
    <m/>
    <n v="100.48"/>
    <n v="286.42"/>
    <m/>
    <n v="82877.075199999992"/>
    <n v="82877.075199999992"/>
    <n v="67492.656640000001"/>
    <n v="0"/>
    <n v="11342.18873923476"/>
    <n v="0"/>
    <n v="0"/>
    <n v="0"/>
    <n v="0"/>
    <n v="0"/>
    <n v="61354.171937993757"/>
    <n v="0"/>
    <n v="0"/>
    <n v="0"/>
    <n v="0"/>
    <n v="0"/>
    <n v="2014.8166612262962"/>
    <m/>
    <n v="293.483687626870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24.9330050700378"/>
    <n v="0"/>
    <n v="0"/>
    <n v="0"/>
    <n v="0"/>
    <n v="0"/>
    <m/>
    <m/>
    <m/>
    <m/>
    <n v="4049.5593983999952"/>
    <m/>
    <m/>
    <m/>
    <m/>
    <n v="63879.104943063794"/>
    <m/>
    <m/>
    <m/>
    <m/>
    <m/>
    <m/>
    <m/>
    <m/>
    <m/>
    <m/>
    <m/>
    <m/>
    <n v="63444.508800000011"/>
    <n v="-14459.971887999985"/>
    <m/>
    <m/>
    <m/>
    <m/>
    <n v="-1499.4559999999999"/>
    <n v="-13884.962560000005"/>
    <n v="30"/>
    <n v="-15384.911783859643"/>
    <n v="0"/>
    <n v="0"/>
    <n v="0"/>
    <n v="0"/>
    <n v="0"/>
    <n v="0"/>
    <n v="0"/>
    <n v="0"/>
    <n v="0"/>
    <n v="0"/>
    <n v="-13886.412638278998"/>
    <n v="0"/>
    <n v="0"/>
    <n v="0"/>
    <n v="-571.47314493703152"/>
    <n v="0"/>
    <n v="-786.87740553868389"/>
    <m/>
    <n v="0"/>
    <n v="0"/>
    <n v="0"/>
    <n v="0"/>
    <n v="-115.30452960392631"/>
    <n v="-24.844065501005332"/>
    <n v="0"/>
    <n v="0"/>
    <m/>
    <m/>
    <m/>
    <n v="0"/>
    <n v="0"/>
    <n v="0"/>
    <n v="-1499.4559999999983"/>
    <n v="-13884.96256"/>
    <n v="0"/>
    <n v="0"/>
    <n v="0"/>
    <n v="0"/>
    <n v="0"/>
    <n v="0"/>
    <n v="0"/>
    <n v="0"/>
    <n v="0"/>
    <n v="0"/>
    <n v="0"/>
    <n v="0"/>
    <n v="0"/>
    <n v="0"/>
    <n v="0"/>
    <n v="5348.2300633875611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72"/>
    <s v="Regular"/>
    <s v="Verde"/>
    <s v="A4"/>
    <s v="Serviço público"/>
    <s v="Água, esgoto e saneamento"/>
    <s v="Não se aplica"/>
    <s v="Não se aplica"/>
    <s v="Não se aplica"/>
    <s v="CATIVO"/>
    <x v="2"/>
    <n v="906"/>
    <n v="851.64"/>
    <n v="0"/>
    <n v="0"/>
    <n v="0"/>
    <n v="0"/>
    <n v="39.21"/>
    <m/>
    <m/>
    <n v="35524.26"/>
    <m/>
    <n v="35524.26"/>
    <n v="27035.040000000001"/>
    <n v="0"/>
    <n v="0"/>
    <n v="0"/>
    <n v="0"/>
    <n v="0"/>
    <n v="11191.120345902509"/>
    <n v="24336.96405409243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2.51"/>
    <n v="2885.53"/>
    <n v="36934.31"/>
    <n v="3"/>
    <m/>
    <m/>
    <m/>
    <m/>
    <n v="1622.1024000000004"/>
    <m/>
    <m/>
    <m/>
    <m/>
    <n v="0"/>
    <m/>
    <m/>
    <m/>
    <m/>
    <m/>
    <m/>
    <m/>
    <m/>
    <m/>
    <m/>
    <m/>
    <m/>
    <n v="25412.937600000001"/>
    <n v="-7979.8968000000059"/>
    <m/>
    <m/>
    <m/>
    <m/>
    <n v="-8489.2200000000012"/>
    <n v="0"/>
    <n v="30"/>
    <n v="384.04464038004153"/>
    <n v="0"/>
    <n v="0"/>
    <n v="0"/>
    <n v="0"/>
    <m/>
    <m/>
    <m/>
    <n v="384.0446403800415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336.964054092437"/>
    <m/>
    <n v="0"/>
    <n v="0"/>
    <n v="-8489.2200000000012"/>
    <m/>
    <n v="0"/>
    <m/>
    <n v="-8880.5610544165629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84"/>
    <s v="Regular"/>
    <s v="Verde"/>
    <s v="A4"/>
    <s v="Comercial"/>
    <s v="Não se aplica"/>
    <s v="Não se aplica"/>
    <s v="Não se aplica"/>
    <s v="Ponta"/>
    <s v="CATIVO"/>
    <x v="3"/>
    <n v="0"/>
    <n v="0"/>
    <n v="1.032"/>
    <n v="1.032"/>
    <n v="1.032"/>
    <n v="1.032"/>
    <m/>
    <n v="3305.85"/>
    <n v="286.42"/>
    <m/>
    <n v="3707.22264"/>
    <n v="3707.22264"/>
    <n v="2694.6552000000001"/>
    <n v="0"/>
    <n v="54.643798452393341"/>
    <n v="0"/>
    <n v="0"/>
    <n v="0"/>
    <n v="672.84859325804837"/>
    <n v="2635.0971015319651"/>
    <n v="295.58889229164907"/>
    <n v="0"/>
    <n v="0"/>
    <n v="0"/>
    <n v="0"/>
    <n v="0"/>
    <n v="9.7068774013367278"/>
    <m/>
    <n v="1.41393022497259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16448900709721"/>
    <n v="0"/>
    <n v="0"/>
    <n v="0"/>
    <n v="0"/>
    <n v="0"/>
    <m/>
    <m/>
    <m/>
    <m/>
    <m/>
    <m/>
    <m/>
    <m/>
    <m/>
    <n v="307.75338129874626"/>
    <m/>
    <m/>
    <m/>
    <m/>
    <m/>
    <m/>
    <m/>
    <m/>
    <m/>
    <m/>
    <m/>
    <m/>
    <n v="2689.433"/>
    <n v="-1017.8196400000006"/>
    <m/>
    <m/>
    <m/>
    <m/>
    <n v="-945.67319999999995"/>
    <n v="-66.894240000000025"/>
    <m/>
    <n v="-51.030533372811192"/>
    <n v="0"/>
    <n v="0"/>
    <n v="0"/>
    <n v="0"/>
    <n v="0"/>
    <n v="0"/>
    <n v="0"/>
    <n v="23.090082855075707"/>
    <n v="0"/>
    <n v="0"/>
    <n v="-66.901226110621138"/>
    <n v="0"/>
    <n v="0"/>
    <n v="0"/>
    <n v="-2.753213164657792"/>
    <n v="0"/>
    <n v="-3.7909764458653399"/>
    <m/>
    <n v="0"/>
    <n v="0"/>
    <n v="0"/>
    <n v="0"/>
    <n v="-0.5555080788357678"/>
    <n v="-0.11969242790669576"/>
    <n v="0"/>
    <n v="0"/>
    <m/>
    <m/>
    <m/>
    <n v="2635.0971015319651"/>
    <n v="0"/>
    <n v="0"/>
    <n v="-945.67320000000018"/>
    <n v="-66.894239999999996"/>
    <n v="0"/>
    <n v="0"/>
    <n v="-961.54724321646904"/>
    <n v="0"/>
    <n v="0"/>
    <n v="0"/>
    <n v="0"/>
    <n v="0"/>
    <n v="0"/>
    <n v="0"/>
    <n v="0"/>
    <n v="0"/>
    <n v="0"/>
    <n v="0"/>
    <n v="0"/>
    <n v="25.766420607148021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85"/>
    <s v="Regular"/>
    <s v="Verde"/>
    <s v="A4"/>
    <s v="Comercial"/>
    <s v="Não se aplica"/>
    <s v="Não se aplica"/>
    <s v="Não se aplica"/>
    <s v="Fora ponta"/>
    <s v="CATIVO"/>
    <x v="3"/>
    <n v="0"/>
    <n v="0"/>
    <n v="18.707999999999998"/>
    <n v="18.707999999999998"/>
    <n v="18.707999999999998"/>
    <n v="18.707999999999998"/>
    <m/>
    <n v="100.48"/>
    <n v="286.42"/>
    <m/>
    <n v="7238.1252000000004"/>
    <n v="7238.1252000000004"/>
    <n v="5894.5166399999998"/>
    <n v="0"/>
    <n v="990.57769520094428"/>
    <n v="0"/>
    <n v="0"/>
    <n v="0"/>
    <n v="0"/>
    <n v="0"/>
    <n v="5358.4079428218702"/>
    <n v="0"/>
    <n v="0"/>
    <n v="0"/>
    <n v="0"/>
    <n v="0"/>
    <n v="175.9653705660925"/>
    <m/>
    <n v="25.6315955899102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0.51672514028544"/>
    <n v="0"/>
    <n v="0"/>
    <n v="0"/>
    <n v="0"/>
    <n v="0"/>
    <m/>
    <m/>
    <m/>
    <m/>
    <m/>
    <m/>
    <m/>
    <m/>
    <m/>
    <n v="5578.9246679621556"/>
    <m/>
    <m/>
    <m/>
    <m/>
    <m/>
    <m/>
    <m/>
    <m/>
    <m/>
    <m/>
    <m/>
    <m/>
    <n v="5895.1468000000004"/>
    <n v="-1343.0083999999997"/>
    <m/>
    <m/>
    <m/>
    <m/>
    <n v="-130.95599999999999"/>
    <n v="-1212.6525600000002"/>
    <m/>
    <n v="-1343.6516360380838"/>
    <n v="0"/>
    <n v="0"/>
    <n v="0"/>
    <n v="0"/>
    <n v="0"/>
    <n v="0"/>
    <n v="0"/>
    <n v="0"/>
    <n v="0"/>
    <n v="0"/>
    <n v="-1212.7792035634684"/>
    <n v="0"/>
    <n v="0"/>
    <n v="0"/>
    <n v="-49.909992136063948"/>
    <n v="0"/>
    <n v="-68.722468361675055"/>
    <m/>
    <n v="0"/>
    <n v="0"/>
    <n v="0"/>
    <n v="0"/>
    <n v="-10.070198777964634"/>
    <n v="-2.1697731989132407"/>
    <n v="0"/>
    <n v="0"/>
    <m/>
    <m/>
    <m/>
    <n v="0"/>
    <n v="0"/>
    <n v="0"/>
    <n v="-130.9559999999999"/>
    <n v="-1212.6525600000004"/>
    <n v="0"/>
    <n v="0"/>
    <n v="0"/>
    <n v="0"/>
    <n v="0"/>
    <n v="0"/>
    <n v="0"/>
    <n v="0"/>
    <n v="0"/>
    <n v="0"/>
    <n v="0"/>
    <n v="0"/>
    <n v="0"/>
    <n v="0"/>
    <n v="0"/>
    <n v="467.09127589004368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86"/>
    <s v="Regular"/>
    <s v="Verde"/>
    <s v="A4"/>
    <s v="Comercial"/>
    <s v="Não se aplica"/>
    <s v="Não se aplica"/>
    <s v="Não se aplica"/>
    <s v="Não se aplica"/>
    <s v="CATIVO"/>
    <x v="3"/>
    <n v="200"/>
    <n v="200"/>
    <n v="0"/>
    <n v="0"/>
    <n v="0"/>
    <n v="0"/>
    <n v="39.21"/>
    <m/>
    <m/>
    <n v="7842"/>
    <m/>
    <n v="7842"/>
    <n v="5968"/>
    <n v="0"/>
    <n v="0"/>
    <n v="0"/>
    <n v="0"/>
    <n v="0"/>
    <n v="2470.4459924729599"/>
    <n v="5372.398245936520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7.11"/>
    <n v="540.54"/>
    <n v="3397.67"/>
    <n v="1"/>
    <m/>
    <m/>
    <m/>
    <m/>
    <m/>
    <m/>
    <m/>
    <m/>
    <m/>
    <n v="0"/>
    <m/>
    <m/>
    <m/>
    <m/>
    <m/>
    <m/>
    <m/>
    <m/>
    <m/>
    <m/>
    <m/>
    <m/>
    <n v="5968"/>
    <n v="-1874.0300000000007"/>
    <m/>
    <m/>
    <m/>
    <m/>
    <n v="-1874.0000000000002"/>
    <n v="0"/>
    <m/>
    <n v="84.77806630906025"/>
    <n v="0"/>
    <n v="0"/>
    <n v="0"/>
    <n v="0"/>
    <m/>
    <m/>
    <m/>
    <n v="84.7780663090602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372.3982459365207"/>
    <m/>
    <n v="0"/>
    <n v="0"/>
    <n v="-1874"/>
    <m/>
    <n v="0"/>
    <m/>
    <n v="-1960.3887537343408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92"/>
    <s v="Regular"/>
    <s v="Verde"/>
    <s v="A4"/>
    <s v="Serviço público"/>
    <s v="Água, esgoto e saneamento"/>
    <s v="Não se aplica"/>
    <s v="Não se aplica"/>
    <s v="Ponta"/>
    <s v="CATIVO"/>
    <x v="3"/>
    <n v="0"/>
    <n v="0"/>
    <n v="22.725999999999999"/>
    <n v="21.362439999999999"/>
    <n v="22.725999999999999"/>
    <n v="21.362439999999999"/>
    <m/>
    <n v="3305.85"/>
    <n v="286.42"/>
    <m/>
    <n v="81637.928019999992"/>
    <n v="81637.928019999992"/>
    <n v="59339.858599999992"/>
    <n v="0"/>
    <n v="1203.3284531289642"/>
    <n v="0"/>
    <n v="0"/>
    <n v="0"/>
    <n v="14817.012723238766"/>
    <n v="58028.310784317284"/>
    <n v="6509.2569440116431"/>
    <n v="0"/>
    <n v="0"/>
    <n v="0"/>
    <n v="0"/>
    <n v="0"/>
    <n v="213.75823238641323"/>
    <m/>
    <n v="31.1366068727977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7.87807865822788"/>
    <n v="0"/>
    <n v="0"/>
    <n v="0"/>
    <n v="0"/>
    <n v="0"/>
    <m/>
    <m/>
    <m/>
    <m/>
    <n v="3560.3915159999988"/>
    <m/>
    <m/>
    <m/>
    <m/>
    <n v="6777.1350226698705"/>
    <m/>
    <m/>
    <m/>
    <m/>
    <m/>
    <m/>
    <m/>
    <m/>
    <m/>
    <m/>
    <m/>
    <m/>
    <n v="55773.096000000005"/>
    <n v="-20966.586338799985"/>
    <m/>
    <m/>
    <m/>
    <m/>
    <n v="-20824.970099999999"/>
    <n v="-1473.0993200000005"/>
    <m/>
    <n v="-1123.7595944093991"/>
    <n v="0"/>
    <n v="0"/>
    <n v="0"/>
    <n v="0"/>
    <n v="0"/>
    <n v="0"/>
    <n v="0"/>
    <n v="508.47405326012631"/>
    <n v="0"/>
    <n v="0"/>
    <n v="-1473.2531633623794"/>
    <n v="0"/>
    <n v="0"/>
    <n v="0"/>
    <n v="-60.629382151175378"/>
    <n v="0"/>
    <n v="-83.482297198387187"/>
    <m/>
    <n v="0"/>
    <n v="0"/>
    <n v="0"/>
    <n v="0"/>
    <n v="-12.233019960873662"/>
    <n v="-2.6357849967127578"/>
    <n v="0"/>
    <n v="0"/>
    <m/>
    <m/>
    <m/>
    <n v="58028.310784317284"/>
    <n v="0"/>
    <n v="0"/>
    <n v="-20824.970099999999"/>
    <n v="-1473.0993200000003"/>
    <n v="0"/>
    <n v="0"/>
    <n v="-21174.537450908407"/>
    <n v="0"/>
    <n v="0"/>
    <n v="0"/>
    <n v="0"/>
    <n v="0"/>
    <n v="0"/>
    <n v="0"/>
    <n v="0"/>
    <n v="0"/>
    <n v="0"/>
    <n v="0"/>
    <n v="0"/>
    <n v="567.41053751748632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73"/>
    <s v="Regular"/>
    <s v="Convencional"/>
    <s v="B1"/>
    <s v="Residencial"/>
    <s v="Residencial"/>
    <s v="Não se aplica"/>
    <s v="Não se aplica"/>
    <s v="Não se aplica"/>
    <s v="CATIVO"/>
    <x v="3"/>
    <n v="0"/>
    <n v="0"/>
    <n v="442.464"/>
    <n v="442.464"/>
    <n v="442.464"/>
    <n v="442.464"/>
    <m/>
    <n v="609.05999999999995"/>
    <n v="286.42"/>
    <m/>
    <n v="396217.66271999996"/>
    <n v="396217.66271999996"/>
    <n v="302587.85567999998"/>
    <n v="0"/>
    <n v="26928.978034437947"/>
    <n v="0"/>
    <n v="0"/>
    <n v="0"/>
    <n v="43207.560877760581"/>
    <n v="166902.72824187731"/>
    <n v="126732.01902997306"/>
    <n v="0"/>
    <n v="0"/>
    <n v="0"/>
    <n v="0"/>
    <n v="0"/>
    <n v="4161.7672504893935"/>
    <m/>
    <n v="755.656640976928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832.419292149933"/>
    <n v="0"/>
    <n v="1562"/>
    <n v="8014.89"/>
    <n v="75019.14"/>
    <n v="3261"/>
    <m/>
    <m/>
    <m/>
    <m/>
    <m/>
    <m/>
    <m/>
    <m/>
    <m/>
    <n v="141564.43832212299"/>
    <m/>
    <m/>
    <m/>
    <m/>
    <m/>
    <m/>
    <m/>
    <m/>
    <m/>
    <m/>
    <m/>
    <m/>
    <n v="302585.1202"/>
    <n v="-93632.572519999987"/>
    <m/>
    <m/>
    <m/>
    <m/>
    <n v="-64949.290559999987"/>
    <n v="-28680.516480000009"/>
    <m/>
    <n v="-32728.180825098127"/>
    <n v="0"/>
    <n v="0"/>
    <n v="0"/>
    <n v="0"/>
    <n v="0"/>
    <n v="0"/>
    <n v="0"/>
    <n v="1482.7498647243483"/>
    <n v="0"/>
    <n v="0"/>
    <n v="-28683.511734311876"/>
    <n v="0"/>
    <n v="0"/>
    <n v="0"/>
    <n v="-3357.0511704228174"/>
    <n v="0"/>
    <n v="-1868.2288627632406"/>
    <m/>
    <n v="0"/>
    <n v="0"/>
    <n v="0"/>
    <n v="0"/>
    <n v="-238.17085910270271"/>
    <n v="-63.968063221860575"/>
    <n v="0"/>
    <n v="0"/>
    <m/>
    <m/>
    <m/>
    <n v="166902.72824187731"/>
    <n v="0"/>
    <n v="0"/>
    <n v="-64949.290559999965"/>
    <n v="-28680.516480000006"/>
    <n v="0"/>
    <n v="0"/>
    <n v="-60902.825225295353"/>
    <n v="0"/>
    <n v="0"/>
    <n v="0"/>
    <n v="0"/>
    <n v="0"/>
    <n v="0"/>
    <n v="0"/>
    <n v="0"/>
    <n v="0"/>
    <n v="0"/>
    <n v="0"/>
    <n v="0"/>
    <n v="12697.934517866366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74"/>
    <s v="Refaturamento - Regular"/>
    <s v="Convencional"/>
    <s v="B1"/>
    <s v="Residencial"/>
    <s v="Residencial"/>
    <s v="Não se aplica"/>
    <s v="Não se aplica"/>
    <s v="Não se aplica"/>
    <s v="CATIVO"/>
    <x v="3"/>
    <n v="0"/>
    <n v="0"/>
    <n v="1.28"/>
    <n v="1.28"/>
    <n v="1.28"/>
    <n v="1.28"/>
    <m/>
    <n v="609.05999999999995"/>
    <n v="286.42"/>
    <m/>
    <n v="1146.2143999999998"/>
    <n v="1146.2143999999998"/>
    <n v="875.35360000000003"/>
    <n v="0"/>
    <n v="77.902590683265913"/>
    <n v="0"/>
    <n v="0"/>
    <n v="0"/>
    <n v="124.99475194260673"/>
    <n v="482.8313538493594"/>
    <n v="366.62188191212283"/>
    <n v="0"/>
    <n v="0"/>
    <n v="0"/>
    <n v="0"/>
    <n v="0"/>
    <n v="12.039537862123073"/>
    <m/>
    <n v="2.18603208498424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908568141028226"/>
    <n v="0"/>
    <n v="8.77"/>
    <n v="33.78"/>
    <n v="377.16"/>
    <n v="0"/>
    <m/>
    <m/>
    <m/>
    <m/>
    <m/>
    <m/>
    <m/>
    <m/>
    <m/>
    <n v="409.53045005315107"/>
    <m/>
    <m/>
    <m/>
    <m/>
    <m/>
    <m/>
    <m/>
    <m/>
    <m/>
    <m/>
    <m/>
    <m/>
    <n v="875.35360000000003"/>
    <n v="-270.89079999999979"/>
    <m/>
    <m/>
    <m/>
    <m/>
    <n v="-187.89119999999997"/>
    <n v="-82.969600000000028"/>
    <m/>
    <n v="-94.679050625871582"/>
    <n v="0"/>
    <n v="0"/>
    <n v="0"/>
    <n v="0"/>
    <n v="0"/>
    <n v="0"/>
    <n v="0"/>
    <n v="4.2894333253036763"/>
    <n v="0"/>
    <n v="0"/>
    <n v="-82.978264943406032"/>
    <n v="0"/>
    <n v="0"/>
    <n v="0"/>
    <n v="-9.7115821810163254"/>
    <n v="0"/>
    <n v="-5.4045819418911805"/>
    <m/>
    <n v="0"/>
    <n v="0"/>
    <n v="0"/>
    <n v="0"/>
    <n v="-0.68900226832343137"/>
    <n v="-0.18505261653825267"/>
    <n v="0"/>
    <n v="0"/>
    <m/>
    <m/>
    <m/>
    <n v="482.8313538493594"/>
    <n v="0"/>
    <n v="0"/>
    <n v="-187.89119999999991"/>
    <n v="-82.969600000000014"/>
    <n v="0"/>
    <n v="0"/>
    <n v="-176.18521798017025"/>
    <n v="0"/>
    <n v="0"/>
    <n v="0"/>
    <n v="0"/>
    <n v="0"/>
    <n v="0"/>
    <n v="0"/>
    <n v="0"/>
    <n v="0"/>
    <n v="0"/>
    <n v="0"/>
    <n v="0"/>
    <n v="36.733736943274366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75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2.3849999999999998"/>
    <n v="2.3849999999999998"/>
    <n v="2.3849999999999998"/>
    <n v="2.3849999999999998"/>
    <m/>
    <n v="609.05999999999995"/>
    <n v="286.42"/>
    <m/>
    <n v="2135.7197999999999"/>
    <n v="2135.7197999999999"/>
    <n v="1631.0299499999996"/>
    <n v="0"/>
    <n v="145.15443654655405"/>
    <n v="0"/>
    <n v="0"/>
    <n v="0"/>
    <n v="232.90037764306018"/>
    <n v="899.65060853962655"/>
    <n v="683.11967840657258"/>
    <n v="0"/>
    <n v="0"/>
    <n v="0"/>
    <n v="0"/>
    <n v="0"/>
    <n v="22.433045157159004"/>
    <m/>
    <n v="4.07319259584954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.950730481525241"/>
    <n v="0"/>
    <n v="8.17"/>
    <n v="35.020000000000003"/>
    <n v="1770.88"/>
    <n v="29"/>
    <m/>
    <m/>
    <m/>
    <m/>
    <m/>
    <m/>
    <m/>
    <m/>
    <m/>
    <n v="763.07040888809786"/>
    <m/>
    <m/>
    <m/>
    <m/>
    <m/>
    <m/>
    <m/>
    <m/>
    <m/>
    <m/>
    <m/>
    <m/>
    <n v="1634.4493"/>
    <n v="-501.3004999999996"/>
    <m/>
    <m/>
    <m/>
    <m/>
    <n v="-350.0941499999999"/>
    <n v="-154.59570000000005"/>
    <m/>
    <n v="-176.41369979898741"/>
    <n v="0"/>
    <n v="0"/>
    <n v="0"/>
    <n v="0"/>
    <n v="0"/>
    <n v="0"/>
    <n v="0"/>
    <n v="7.9924206881634632"/>
    <n v="0"/>
    <n v="0"/>
    <n v="-154.61184522658073"/>
    <n v="0"/>
    <n v="0"/>
    <n v="0"/>
    <n v="-18.095408985721818"/>
    <n v="0"/>
    <n v="-10.070256196414448"/>
    <m/>
    <n v="0"/>
    <n v="0"/>
    <n v="0"/>
    <n v="0"/>
    <n v="-1.283805007774518"/>
    <n v="-0.3448050706591661"/>
    <n v="0"/>
    <n v="0"/>
    <m/>
    <m/>
    <m/>
    <n v="899.65060853962655"/>
    <n v="0"/>
    <n v="0"/>
    <n v="-350.0941499999999"/>
    <n v="-154.59569999999997"/>
    <n v="0"/>
    <n v="0"/>
    <n v="-328.28261318961404"/>
    <n v="0"/>
    <n v="0"/>
    <n v="0"/>
    <n v="0"/>
    <n v="0"/>
    <n v="0"/>
    <n v="0"/>
    <n v="0"/>
    <n v="0"/>
    <n v="0"/>
    <n v="0"/>
    <n v="0"/>
    <n v="68.445283288835441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76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3.66"/>
    <n v="3.66"/>
    <n v="3.66"/>
    <n v="3.66"/>
    <m/>
    <n v="510.09"/>
    <n v="286.42"/>
    <m/>
    <n v="2915.2266"/>
    <n v="2915.2266"/>
    <n v="2158.1922"/>
    <n v="0"/>
    <n v="0"/>
    <n v="0"/>
    <n v="0"/>
    <n v="0"/>
    <n v="357.40686883589115"/>
    <n v="1380.595902413012"/>
    <n v="1048.3094435924763"/>
    <n v="0"/>
    <n v="0"/>
    <n v="0"/>
    <n v="0"/>
    <n v="0"/>
    <n v="0"/>
    <m/>
    <n v="6.25068549300182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2.69168702825259"/>
    <n v="0"/>
    <n v="3.68"/>
    <n v="19.59"/>
    <n v="431.66"/>
    <n v="0"/>
    <m/>
    <m/>
    <m/>
    <m/>
    <m/>
    <m/>
    <m/>
    <n v="1402.8414"/>
    <m/>
    <n v="1171.0011306207289"/>
    <m/>
    <m/>
    <m/>
    <m/>
    <m/>
    <m/>
    <m/>
    <m/>
    <m/>
    <m/>
    <m/>
    <m/>
    <n v="755.35079999999994"/>
    <n v="-265.01400000000012"/>
    <m/>
    <m/>
    <m/>
    <m/>
    <n v="-519.79319999999996"/>
    <n v="-237.24120000000008"/>
    <m/>
    <n v="-253.29906803226913"/>
    <n v="0"/>
    <n v="0"/>
    <n v="0"/>
    <n v="0"/>
    <n v="0"/>
    <n v="0"/>
    <n v="0"/>
    <n v="12.265098414540148"/>
    <n v="0"/>
    <n v="0"/>
    <n v="-237.26597632255164"/>
    <n v="0"/>
    <n v="0"/>
    <n v="0"/>
    <n v="-27.769055298843554"/>
    <n v="0"/>
    <n v="0"/>
    <m/>
    <n v="0"/>
    <n v="0"/>
    <n v="0"/>
    <n v="0"/>
    <n v="0"/>
    <n v="-0.52913482541406598"/>
    <n v="0"/>
    <n v="0"/>
    <m/>
    <m/>
    <m/>
    <n v="1380.595902413012"/>
    <n v="0"/>
    <n v="0"/>
    <n v="-519.79320000000007"/>
    <n v="-237.24120000000016"/>
    <n v="0"/>
    <n v="0"/>
    <n v="-503.77960766204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77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7.7610000000000001"/>
    <n v="7.7610000000000001"/>
    <n v="7.7610000000000001"/>
    <n v="7.7610000000000001"/>
    <m/>
    <n v="510.09"/>
    <n v="286.42"/>
    <m/>
    <n v="6181.7141099999999"/>
    <n v="6181.7141099999999"/>
    <n v="4576.4288699999997"/>
    <n v="0"/>
    <n v="0"/>
    <n v="0"/>
    <n v="0"/>
    <n v="0"/>
    <n v="757.87833580200845"/>
    <n v="2927.542294706936"/>
    <n v="2222.9315824374885"/>
    <n v="0"/>
    <n v="0"/>
    <n v="0"/>
    <n v="0"/>
    <n v="0"/>
    <n v="0"/>
    <m/>
    <n v="13.2545273527833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0.16671667384378"/>
    <n v="0"/>
    <n v="14.16"/>
    <n v="73.56"/>
    <n v="1006.9"/>
    <n v="27"/>
    <m/>
    <m/>
    <m/>
    <m/>
    <m/>
    <m/>
    <m/>
    <n v="1830.58707"/>
    <m/>
    <n v="2483.0982991113324"/>
    <m/>
    <m/>
    <m/>
    <m/>
    <m/>
    <m/>
    <m/>
    <m/>
    <m/>
    <m/>
    <m/>
    <m/>
    <n v="2745.4880000000003"/>
    <n v="-963.60151000000042"/>
    <m/>
    <m/>
    <m/>
    <m/>
    <n v="-1102.2172199999998"/>
    <n v="-503.06802000000016"/>
    <m/>
    <n v="-537.1185975405574"/>
    <n v="0"/>
    <n v="0"/>
    <n v="0"/>
    <n v="0"/>
    <n v="0"/>
    <n v="0"/>
    <n v="0"/>
    <n v="26.008040654438901"/>
    <n v="0"/>
    <n v="0"/>
    <n v="-503.12055798888605"/>
    <n v="0"/>
    <n v="0"/>
    <n v="0"/>
    <n v="-58.884054145990348"/>
    <n v="0"/>
    <n v="0"/>
    <m/>
    <n v="0"/>
    <n v="0"/>
    <n v="0"/>
    <n v="0"/>
    <n v="0"/>
    <n v="-1.1220260601198273"/>
    <n v="0"/>
    <n v="0"/>
    <m/>
    <m/>
    <m/>
    <n v="2927.542294706936"/>
    <n v="0"/>
    <n v="0"/>
    <n v="-1102.21722"/>
    <n v="-503.06801999999993"/>
    <n v="0"/>
    <n v="0"/>
    <n v="-1068.2605287063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78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6.6680000000000001"/>
    <n v="6.6680000000000001"/>
    <n v="6.6680000000000001"/>
    <n v="6.6680000000000001"/>
    <m/>
    <n v="510.09"/>
    <n v="286.42"/>
    <m/>
    <n v="5311.1286799999998"/>
    <n v="5311.1286799999998"/>
    <n v="3931.9195599999998"/>
    <n v="0"/>
    <n v="0"/>
    <n v="0"/>
    <n v="0"/>
    <n v="0"/>
    <n v="651.14453590101698"/>
    <n v="2515.2495839590065"/>
    <n v="1909.870866085965"/>
    <n v="0"/>
    <n v="0"/>
    <n v="0"/>
    <n v="0"/>
    <n v="0"/>
    <n v="0"/>
    <m/>
    <n v="11.387860892714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3.52682215966891"/>
    <n v="0"/>
    <n v="19.100000000000001"/>
    <n v="98.81"/>
    <n v="1199.53"/>
    <n v="73"/>
    <m/>
    <m/>
    <m/>
    <m/>
    <m/>
    <m/>
    <m/>
    <n v="393.21195999999998"/>
    <m/>
    <n v="2133.3976882456341"/>
    <m/>
    <m/>
    <m/>
    <m/>
    <m/>
    <m/>
    <m/>
    <m/>
    <m/>
    <m/>
    <m/>
    <m/>
    <n v="3539.7689999999998"/>
    <n v="-1240.2834800000005"/>
    <m/>
    <m/>
    <m/>
    <m/>
    <n v="-946.98935999999992"/>
    <n v="-432.21976000000018"/>
    <m/>
    <n v="-461.47491410906332"/>
    <n v="0"/>
    <n v="0"/>
    <n v="0"/>
    <n v="0"/>
    <n v="0"/>
    <n v="0"/>
    <n v="0"/>
    <n v="22.345266729003811"/>
    <n v="0"/>
    <n v="0"/>
    <n v="-432.26489893955568"/>
    <n v="0"/>
    <n v="0"/>
    <n v="0"/>
    <n v="-50.5912734242319"/>
    <n v="0"/>
    <n v="0"/>
    <m/>
    <n v="0"/>
    <n v="0"/>
    <n v="0"/>
    <n v="0"/>
    <n v="0"/>
    <n v="-0.96400847427896075"/>
    <n v="0"/>
    <n v="0"/>
    <m/>
    <m/>
    <m/>
    <n v="2515.2495839590065"/>
    <n v="0"/>
    <n v="0"/>
    <n v="-946.98936000000003"/>
    <n v="-432.21976000000018"/>
    <n v="0"/>
    <n v="0"/>
    <n v="-917.81486991544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79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1.5940000000000001"/>
    <n v="1.5940000000000001"/>
    <n v="1.5940000000000001"/>
    <n v="1.5940000000000001"/>
    <m/>
    <n v="510.09"/>
    <n v="286.42"/>
    <m/>
    <n v="1269.6369400000001"/>
    <n v="1269.6369400000001"/>
    <n v="939.93398000000002"/>
    <n v="0"/>
    <n v="0"/>
    <n v="0"/>
    <n v="0"/>
    <n v="0"/>
    <n v="155.65752702852745"/>
    <n v="601.27592034053032"/>
    <n v="456.55881231869051"/>
    <n v="0"/>
    <n v="0"/>
    <n v="0"/>
    <n v="0"/>
    <n v="0"/>
    <n v="0"/>
    <m/>
    <n v="2.72229308083194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.434576263124214"/>
    <n v="0"/>
    <n v="5.88"/>
    <n v="28.54"/>
    <n v="395.47"/>
    <n v="22"/>
    <m/>
    <m/>
    <m/>
    <m/>
    <m/>
    <m/>
    <m/>
    <m/>
    <m/>
    <n v="509.99338858181471"/>
    <m/>
    <m/>
    <m/>
    <m/>
    <m/>
    <m/>
    <m/>
    <m/>
    <m/>
    <m/>
    <m/>
    <m/>
    <n v="937.57529999999997"/>
    <n v="-332.0916400000001"/>
    <m/>
    <m/>
    <m/>
    <m/>
    <n v="-226.37987999999999"/>
    <n v="-103.32308000000003"/>
    <m/>
    <n v="-110.31658864574786"/>
    <n v="0"/>
    <n v="0"/>
    <n v="0"/>
    <n v="0"/>
    <n v="0"/>
    <n v="0"/>
    <n v="0"/>
    <n v="5.341684937917222"/>
    <n v="0"/>
    <n v="0"/>
    <n v="-103.33387056233533"/>
    <n v="0"/>
    <n v="0"/>
    <n v="0"/>
    <n v="-12.093954684796891"/>
    <n v="0"/>
    <n v="0"/>
    <m/>
    <n v="0"/>
    <n v="0"/>
    <n v="0"/>
    <n v="0"/>
    <n v="0"/>
    <n v="-0.23044833653279273"/>
    <n v="0"/>
    <n v="0"/>
    <m/>
    <m/>
    <m/>
    <n v="601.27592034053032"/>
    <n v="0"/>
    <n v="0"/>
    <n v="-226.37988000000007"/>
    <n v="-103.32308"/>
    <n v="0"/>
    <n v="0"/>
    <n v="-219.40565426593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80"/>
    <s v="Regular"/>
    <s v="Branca"/>
    <s v="B1"/>
    <s v="Residencial"/>
    <s v="Residencial"/>
    <s v="Não se aplica"/>
    <s v="Não se aplica"/>
    <s v="Fora ponta"/>
    <s v="CATIVO"/>
    <x v="3"/>
    <n v="0"/>
    <n v="0"/>
    <n v="0.06"/>
    <n v="0.06"/>
    <n v="0.06"/>
    <n v="0.06"/>
    <m/>
    <n v="409.62"/>
    <n v="286.42"/>
    <m/>
    <n v="41.7624"/>
    <n v="41.7624"/>
    <n v="32.450400000000002"/>
    <n v="0"/>
    <n v="3.6516839382780897"/>
    <n v="0"/>
    <n v="0"/>
    <n v="0"/>
    <n v="3.398592775010898"/>
    <n v="13.1269723177221"/>
    <n v="17.185400714630759"/>
    <n v="0"/>
    <n v="0"/>
    <n v="0"/>
    <n v="0"/>
    <n v="0"/>
    <n v="0.56435333728701897"/>
    <m/>
    <n v="0.102470253983636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113391316106979"/>
    <n v="0"/>
    <n v="0"/>
    <n v="0"/>
    <n v="0"/>
    <n v="0"/>
    <m/>
    <m/>
    <m/>
    <m/>
    <m/>
    <m/>
    <m/>
    <m/>
    <m/>
    <n v="19.196739846241456"/>
    <m/>
    <m/>
    <m/>
    <m/>
    <m/>
    <m/>
    <m/>
    <m/>
    <m/>
    <m/>
    <m/>
    <m/>
    <n v="32.450400000000002"/>
    <n v="-9.3419999999999987"/>
    <m/>
    <m/>
    <m/>
    <m/>
    <n v="-5.4227999999999996"/>
    <n v="-3.8892000000000011"/>
    <m/>
    <n v="-4.5225184917316064"/>
    <n v="0"/>
    <n v="0"/>
    <n v="0"/>
    <n v="0"/>
    <n v="0"/>
    <n v="0"/>
    <n v="0"/>
    <n v="0.11662919347973366"/>
    <n v="0"/>
    <n v="0"/>
    <n v="-3.8896061692221586"/>
    <n v="0"/>
    <n v="0"/>
    <n v="0"/>
    <n v="-0.45523041473514003"/>
    <n v="0"/>
    <n v="-0.25333977852614975"/>
    <m/>
    <n v="0"/>
    <n v="0"/>
    <n v="0"/>
    <n v="0"/>
    <n v="-3.229698132766079E-2"/>
    <n v="-8.6743414002305869E-3"/>
    <n v="0"/>
    <n v="0"/>
    <m/>
    <m/>
    <m/>
    <n v="13.1269723177221"/>
    <n v="0"/>
    <n v="0"/>
    <n v="-5.4227999999999987"/>
    <n v="-3.8892000000000024"/>
    <n v="0"/>
    <n v="0"/>
    <n v="-4.7900337473508596"/>
    <n v="0"/>
    <n v="0"/>
    <n v="0"/>
    <n v="0"/>
    <n v="0"/>
    <n v="0"/>
    <n v="0"/>
    <n v="0"/>
    <n v="0"/>
    <n v="0"/>
    <n v="0"/>
    <n v="0"/>
    <n v="1.7218939192159859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81"/>
    <s v="Regular"/>
    <s v="Branca"/>
    <s v="B1"/>
    <s v="Residencial"/>
    <s v="Residencial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32"/>
    <n v="1.51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"/>
    <m/>
    <m/>
    <m/>
    <m/>
    <n v="0"/>
    <n v="-17.698635468909799"/>
    <m/>
    <n v="-17.698635468909799"/>
    <m/>
    <n v="0"/>
    <n v="0"/>
    <n v="0"/>
    <n v="0"/>
  </r>
  <r>
    <n v="82"/>
    <s v="Regular"/>
    <s v="Branca"/>
    <s v="B1"/>
    <s v="Residencial"/>
    <s v="Residencial"/>
    <s v="Não se aplica"/>
    <s v="Não se aplica"/>
    <s v="Intermediário"/>
    <s v="CATIVO"/>
    <x v="3"/>
    <n v="0"/>
    <n v="0"/>
    <n v="7.0000000000000001E-3"/>
    <n v="7.0000000000000001E-3"/>
    <n v="7.0000000000000001E-3"/>
    <n v="7.0000000000000001E-3"/>
    <m/>
    <n v="960.47"/>
    <n v="286.42"/>
    <m/>
    <n v="8.7282299999999999"/>
    <n v="8.7282299999999999"/>
    <n v="6.5513699999999995"/>
    <n v="0"/>
    <n v="0.42602979279911046"/>
    <n v="0"/>
    <n v="0"/>
    <n v="0"/>
    <n v="1.1894701764198259"/>
    <n v="4.5944426514250596"/>
    <n v="2.0049634167069219"/>
    <n v="0"/>
    <n v="0"/>
    <n v="0"/>
    <n v="0"/>
    <n v="0"/>
    <n v="6.5841222683485551E-2"/>
    <m/>
    <n v="1.195486296475758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3465623202124811"/>
    <n v="0"/>
    <n v="0"/>
    <n v="0"/>
    <n v="0"/>
    <n v="0"/>
    <m/>
    <m/>
    <m/>
    <m/>
    <m/>
    <m/>
    <m/>
    <m/>
    <m/>
    <n v="2.2396196487281701"/>
    <m/>
    <m/>
    <m/>
    <m/>
    <m/>
    <m/>
    <m/>
    <m/>
    <m/>
    <m/>
    <m/>
    <m/>
    <n v="9.3590999999999998"/>
    <n v="0.60087000000000046"/>
    <m/>
    <m/>
    <m/>
    <m/>
    <n v="-1.7231200000000007"/>
    <n v="-0.45374000000000014"/>
    <m/>
    <n v="-0.50041495873344966"/>
    <n v="0"/>
    <n v="0"/>
    <n v="0"/>
    <n v="0"/>
    <n v="0"/>
    <n v="0"/>
    <n v="0"/>
    <n v="4.0818937874540051E-2"/>
    <n v="0"/>
    <n v="0"/>
    <n v="-0.45378738640925187"/>
    <n v="0"/>
    <n v="0"/>
    <n v="0"/>
    <n v="-5.3110215052433019E-2"/>
    <n v="0"/>
    <n v="-2.9556307494717438E-2"/>
    <m/>
    <n v="0"/>
    <n v="0"/>
    <n v="0"/>
    <n v="0"/>
    <n v="-3.7679811548937611E-3"/>
    <n v="-1.012006496693571E-3"/>
    <n v="0"/>
    <n v="0"/>
    <m/>
    <m/>
    <m/>
    <n v="4.5944426514250596"/>
    <n v="0"/>
    <n v="0"/>
    <n v="-1.7231200000000007"/>
    <n v="-0.45374000000000003"/>
    <n v="0"/>
    <n v="0"/>
    <n v="-1.6765126655202023"/>
    <n v="0"/>
    <n v="0"/>
    <n v="0"/>
    <n v="0"/>
    <n v="0"/>
    <n v="0"/>
    <n v="0"/>
    <n v="0"/>
    <n v="0"/>
    <n v="0"/>
    <n v="0"/>
    <n v="0"/>
    <n v="0.20088762390853168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87"/>
    <s v="Regular"/>
    <s v="Convencional"/>
    <s v="B2"/>
    <s v="Rural"/>
    <s v="Não se aplica"/>
    <s v="Não se aplica"/>
    <s v="Não se aplica"/>
    <s v="Não se aplica"/>
    <s v="CATIVO"/>
    <x v="3"/>
    <n v="0"/>
    <n v="0"/>
    <n v="115.242"/>
    <n v="115.242"/>
    <n v="115.242"/>
    <n v="115.242"/>
    <m/>
    <n v="609.05999999999995"/>
    <n v="286.42"/>
    <m/>
    <n v="103196.90616000001"/>
    <n v="103196.90616000001"/>
    <n v="78810.546539999996"/>
    <n v="0"/>
    <n v="7013.789340250727"/>
    <n v="0"/>
    <n v="0"/>
    <n v="0"/>
    <n v="11253.629065132722"/>
    <n v="43470.664750240525"/>
    <n v="33007.999152591299"/>
    <n v="0"/>
    <n v="0"/>
    <n v="0"/>
    <n v="0"/>
    <n v="0"/>
    <n v="1083.9534549271775"/>
    <m/>
    <n v="196.814616826370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63.1790700846682"/>
    <n v="0"/>
    <n v="367.88"/>
    <n v="1883.22"/>
    <n v="2887"/>
    <n v="333"/>
    <m/>
    <m/>
    <m/>
    <m/>
    <m/>
    <n v="9457.9109399999961"/>
    <m/>
    <m/>
    <m/>
    <n v="36871.178222675968"/>
    <m/>
    <m/>
    <m/>
    <m/>
    <m/>
    <m/>
    <m/>
    <m/>
    <m/>
    <m/>
    <m/>
    <m/>
    <n v="69351.432000000001"/>
    <n v="-21461.598840000006"/>
    <m/>
    <m/>
    <m/>
    <m/>
    <n v="-16916.373179999995"/>
    <n v="-7469.9864400000024"/>
    <m/>
    <n v="-8524.2212126770974"/>
    <n v="0"/>
    <n v="0"/>
    <n v="0"/>
    <n v="0"/>
    <n v="0"/>
    <n v="0"/>
    <n v="0"/>
    <n v="386.18974630831872"/>
    <n v="0"/>
    <n v="0"/>
    <n v="-7470.7665692249975"/>
    <n v="0"/>
    <n v="0"/>
    <n v="0"/>
    <n v="-874.36105758178383"/>
    <n v="0"/>
    <n v="-486.5897126151749"/>
    <m/>
    <n v="0"/>
    <n v="0"/>
    <n v="0"/>
    <n v="0"/>
    <n v="-62.032812036038194"/>
    <n v="-16.66080752742289"/>
    <n v="0"/>
    <n v="0"/>
    <m/>
    <m/>
    <m/>
    <n v="43470.664750240525"/>
    <n v="0"/>
    <n v="0"/>
    <n v="-16916.373180000002"/>
    <n v="-7469.9864400000042"/>
    <n v="0"/>
    <n v="0"/>
    <n v="-15862.450695680294"/>
    <n v="0"/>
    <n v="0"/>
    <n v="0"/>
    <n v="0"/>
    <n v="0"/>
    <n v="0"/>
    <n v="0"/>
    <n v="0"/>
    <n v="0"/>
    <n v="0"/>
    <n v="0"/>
    <n v="0"/>
    <n v="3307.2416506381442"/>
    <n v="0"/>
    <n v="0"/>
    <n v="0"/>
    <n v="0"/>
    <n v="0"/>
    <n v="202"/>
    <n v="0"/>
    <n v="0"/>
    <n v="0"/>
    <m/>
    <n v="0"/>
    <n v="-12.3890448282368"/>
    <m/>
    <n v="-17.698635468909799"/>
    <m/>
    <n v="0"/>
    <n v="0"/>
    <n v="0"/>
    <n v="0"/>
  </r>
  <r>
    <n v="88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1.2270000000000001"/>
    <n v="1.2270000000000001"/>
    <n v="1.2270000000000001"/>
    <n v="1.2270000000000001"/>
    <m/>
    <n v="609.05999999999995"/>
    <n v="286.42"/>
    <m/>
    <n v="1098.75396"/>
    <n v="1098.75396"/>
    <n v="839.10849000000007"/>
    <n v="0"/>
    <n v="74.676936537786943"/>
    <n v="0"/>
    <n v="0"/>
    <n v="0"/>
    <n v="119.81918799498318"/>
    <n v="462.83911810403436"/>
    <n v="351.44144461419904"/>
    <n v="0"/>
    <n v="0"/>
    <n v="0"/>
    <n v="0"/>
    <n v="0"/>
    <n v="11.541025747519539"/>
    <m/>
    <n v="2.09551669396536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131885241438781"/>
    <n v="0"/>
    <n v="2.97"/>
    <n v="11.31"/>
    <n v="0"/>
    <n v="3"/>
    <m/>
    <m/>
    <m/>
    <m/>
    <m/>
    <n v="100.69988999999997"/>
    <m/>
    <m/>
    <m/>
    <n v="392.57332985563784"/>
    <m/>
    <m/>
    <m/>
    <m/>
    <m/>
    <m/>
    <m/>
    <m/>
    <m/>
    <m/>
    <m/>
    <m/>
    <n v="740.21400000000006"/>
    <n v="-226.71654000000001"/>
    <m/>
    <m/>
    <m/>
    <m/>
    <n v="-180.11132999999998"/>
    <n v="-79.534140000000036"/>
    <m/>
    <n v="-90.758746185894097"/>
    <n v="0"/>
    <n v="0"/>
    <n v="0"/>
    <n v="0"/>
    <n v="0"/>
    <n v="0"/>
    <n v="0"/>
    <n v="4.1118239766778117"/>
    <n v="0"/>
    <n v="0"/>
    <n v="-79.542446160593158"/>
    <n v="0"/>
    <n v="0"/>
    <n v="0"/>
    <n v="-9.3094619813336195"/>
    <n v="0"/>
    <n v="-5.1807984708597559"/>
    <m/>
    <n v="0"/>
    <n v="0"/>
    <n v="0"/>
    <n v="0"/>
    <n v="-0.66047326815066398"/>
    <n v="-0.17739028163471571"/>
    <n v="0"/>
    <n v="0"/>
    <m/>
    <m/>
    <m/>
    <n v="462.83911810403436"/>
    <n v="0"/>
    <n v="0"/>
    <n v="-180.11132999999995"/>
    <n v="-79.534140000000036"/>
    <n v="0"/>
    <n v="0"/>
    <n v="-168.89004879817884"/>
    <n v="0"/>
    <n v="0"/>
    <n v="0"/>
    <n v="0"/>
    <n v="0"/>
    <n v="0"/>
    <n v="0"/>
    <n v="0"/>
    <n v="0"/>
    <n v="0"/>
    <n v="0"/>
    <n v="0"/>
    <n v="35.212730647966914"/>
    <n v="0"/>
    <n v="0"/>
    <n v="0"/>
    <n v="0"/>
    <n v="0"/>
    <n v="202"/>
    <n v="0"/>
    <n v="0"/>
    <n v="0"/>
    <m/>
    <n v="0"/>
    <n v="-12.3890448282368"/>
    <m/>
    <n v="-17.698635468909799"/>
    <m/>
    <n v="0"/>
    <n v="0"/>
    <n v="0"/>
    <n v="0"/>
  </r>
  <r>
    <n v="83"/>
    <s v="Regular"/>
    <s v="Convencional"/>
    <s v="B3"/>
    <s v="Comercial"/>
    <s v="Não se aplica"/>
    <s v="Não se aplica"/>
    <s v="Não se aplica"/>
    <s v="Não se aplica"/>
    <s v="CATIVO"/>
    <x v="3"/>
    <n v="0"/>
    <n v="0"/>
    <n v="16.385000000000002"/>
    <n v="16.385000000000002"/>
    <n v="16.385000000000002"/>
    <n v="16.385000000000002"/>
    <m/>
    <n v="609.05999999999995"/>
    <n v="286.42"/>
    <m/>
    <n v="14672.4398"/>
    <n v="14672.4398"/>
    <n v="11205.20995"/>
    <n v="0"/>
    <n v="997.21402214477519"/>
    <n v="0"/>
    <n v="0"/>
    <n v="0"/>
    <n v="1600.0304770153214"/>
    <n v="6180.6185412669956"/>
    <n v="4693.0465118204165"/>
    <n v="0"/>
    <n v="0"/>
    <n v="0"/>
    <n v="0"/>
    <n v="0"/>
    <n v="154.11549052413014"/>
    <m/>
    <n v="27.982918525364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9.26319452402151"/>
    <n v="0"/>
    <n v="47.39"/>
    <n v="219.14"/>
    <n v="3028.51"/>
    <n v="43"/>
    <m/>
    <m/>
    <m/>
    <m/>
    <m/>
    <m/>
    <m/>
    <m/>
    <m/>
    <n v="5242.3097063444384"/>
    <m/>
    <m/>
    <m/>
    <m/>
    <m/>
    <m/>
    <m/>
    <m/>
    <m/>
    <m/>
    <m/>
    <m/>
    <n v="11208.629300000001"/>
    <n v="-3463.8405000000002"/>
    <m/>
    <m/>
    <m/>
    <m/>
    <n v="-2405.1541499999998"/>
    <n v="-1062.0757000000006"/>
    <m/>
    <n v="-1211.9658160194585"/>
    <n v="0"/>
    <n v="0"/>
    <n v="0"/>
    <n v="0"/>
    <n v="0"/>
    <n v="0"/>
    <n v="0"/>
    <n v="54.908097683672395"/>
    <n v="0"/>
    <n v="0"/>
    <n v="-1062.1866180450843"/>
    <n v="0"/>
    <n v="0"/>
    <n v="0"/>
    <n v="-124.31583909058787"/>
    <n v="0"/>
    <n v="-69.182871185849422"/>
    <m/>
    <n v="0"/>
    <n v="0"/>
    <n v="0"/>
    <n v="0"/>
    <n v="-8.8197673175620537"/>
    <n v="-2.3688180640463052"/>
    <n v="0"/>
    <n v="0"/>
    <m/>
    <m/>
    <m/>
    <n v="6180.6185412669956"/>
    <n v="0"/>
    <n v="0"/>
    <n v="-2405.1541499999994"/>
    <n v="-1062.0757000000003"/>
    <n v="0"/>
    <n v="0"/>
    <n v="-2255.3084348477264"/>
    <n v="0"/>
    <n v="0"/>
    <n v="0"/>
    <n v="0"/>
    <n v="0"/>
    <n v="0"/>
    <n v="0"/>
    <n v="0"/>
    <n v="0"/>
    <n v="0"/>
    <n v="0"/>
    <n v="0"/>
    <n v="470.22053110589889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89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6.4459999999999997"/>
    <n v="6.4459999999999997"/>
    <n v="6.4459999999999997"/>
    <n v="6.4459999999999997"/>
    <m/>
    <n v="609.05999999999995"/>
    <n v="286.42"/>
    <m/>
    <n v="5772.264079999999"/>
    <n v="5772.264079999999"/>
    <n v="4408.2260200000001"/>
    <n v="0"/>
    <n v="392.31257776900941"/>
    <n v="0"/>
    <n v="0"/>
    <n v="0"/>
    <n v="629.46575861097108"/>
    <n v="2431.508521025758"/>
    <n v="1846.284883441831"/>
    <n v="0"/>
    <n v="0"/>
    <n v="0"/>
    <n v="0"/>
    <n v="0"/>
    <n v="60.630360202535407"/>
    <m/>
    <n v="11.0087209529753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6.08486737270934"/>
    <n v="0"/>
    <n v="22.36"/>
    <n v="124.7"/>
    <n v="574.04"/>
    <n v="10"/>
    <m/>
    <m/>
    <m/>
    <m/>
    <m/>
    <m/>
    <m/>
    <m/>
    <m/>
    <n v="2062.3697508145401"/>
    <m/>
    <m/>
    <m/>
    <m/>
    <m/>
    <m/>
    <m/>
    <m/>
    <m/>
    <m/>
    <m/>
    <m/>
    <n v="4410.9615000000003"/>
    <n v="-1361.3325799999993"/>
    <m/>
    <m/>
    <m/>
    <m/>
    <n v="-946.20833999999968"/>
    <n v="-417.82972000000012"/>
    <m/>
    <n v="-476.79778151122446"/>
    <n v="0"/>
    <n v="0"/>
    <n v="0"/>
    <n v="0"/>
    <n v="0"/>
    <n v="0"/>
    <n v="0"/>
    <n v="21.601318136646455"/>
    <n v="0"/>
    <n v="0"/>
    <n v="-417.8733561134336"/>
    <n v="0"/>
    <n v="0"/>
    <n v="0"/>
    <n v="-48.906920889711898"/>
    <n v="0"/>
    <n v="-27.217136872992626"/>
    <m/>
    <n v="0"/>
    <n v="0"/>
    <n v="0"/>
    <n v="0"/>
    <n v="-3.4697723606350266"/>
    <n v="-0.93191341109810644"/>
    <n v="0"/>
    <n v="0"/>
    <m/>
    <m/>
    <m/>
    <n v="2431.508521025758"/>
    <n v="0"/>
    <n v="0"/>
    <n v="-946.20833999999968"/>
    <n v="-417.82972000000018"/>
    <n v="0"/>
    <n v="0"/>
    <n v="-887.25774617201341"/>
    <n v="0"/>
    <n v="0"/>
    <n v="0"/>
    <n v="0"/>
    <n v="0"/>
    <n v="0"/>
    <n v="0"/>
    <n v="0"/>
    <n v="0"/>
    <n v="0"/>
    <n v="0"/>
    <n v="0"/>
    <n v="184.98880338777076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91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27.533000000000001"/>
    <n v="25.881019999999999"/>
    <n v="27.533000000000001"/>
    <n v="25.881019999999999"/>
    <m/>
    <n v="609.05999999999995"/>
    <n v="286.42"/>
    <m/>
    <n v="24655.250840000001"/>
    <n v="24655.250840000001"/>
    <n v="18828.992709999999"/>
    <n v="0"/>
    <n v="1675.6968978768441"/>
    <n v="0"/>
    <n v="0"/>
    <n v="0"/>
    <n v="2688.6566447154619"/>
    <n v="10385.777863698759"/>
    <n v="7886.0939645988119"/>
    <n v="0"/>
    <n v="0"/>
    <n v="0"/>
    <n v="0"/>
    <n v="0"/>
    <n v="258.97234059205823"/>
    <m/>
    <n v="47.0218917155243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2.97000517728918"/>
    <n v="0"/>
    <n v="9.2200000000000006"/>
    <n v="363.67"/>
    <n v="5077.49"/>
    <n v="6"/>
    <m/>
    <m/>
    <m/>
    <m/>
    <n v="1129.7395626000011"/>
    <m/>
    <m/>
    <m/>
    <m/>
    <n v="8809.0639697761017"/>
    <m/>
    <m/>
    <m/>
    <m/>
    <m/>
    <m/>
    <m/>
    <m/>
    <m/>
    <m/>
    <m/>
    <m/>
    <n v="17698.5556"/>
    <n v="-5477.4101895999956"/>
    <m/>
    <m/>
    <m/>
    <m/>
    <n v="-4041.5690699999991"/>
    <n v="-1784.6890600000006"/>
    <m/>
    <n v="-2036.5611725641575"/>
    <n v="0"/>
    <n v="0"/>
    <n v="0"/>
    <n v="0"/>
    <n v="0"/>
    <n v="0"/>
    <n v="0"/>
    <n v="92.266381051239023"/>
    <n v="0"/>
    <n v="0"/>
    <n v="-1784.875444286562"/>
    <n v="0"/>
    <n v="0"/>
    <n v="0"/>
    <n v="-208.8976501483769"/>
    <n v="0"/>
    <n v="-116.25340203600786"/>
    <m/>
    <n v="0"/>
    <n v="0"/>
    <n v="0"/>
    <n v="0"/>
    <n v="-14.820546448241402"/>
    <n v="-3.9805106962091514"/>
    <n v="0"/>
    <n v="0"/>
    <m/>
    <m/>
    <m/>
    <n v="10385.777863698759"/>
    <n v="0"/>
    <n v="0"/>
    <n v="-4041.5690699999996"/>
    <n v="-1784.6890600000015"/>
    <n v="0"/>
    <n v="0"/>
    <n v="-3789.7715676937705"/>
    <n v="0"/>
    <n v="0"/>
    <n v="0"/>
    <n v="0"/>
    <n v="0"/>
    <n v="0"/>
    <n v="0"/>
    <n v="0"/>
    <n v="0"/>
    <n v="0"/>
    <n v="0"/>
    <n v="0"/>
    <n v="790.148421296229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90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46.963999999999999"/>
    <n v="46.963999999999999"/>
    <n v="46.963999999999999"/>
    <n v="46.963999999999999"/>
    <m/>
    <n v="334.98"/>
    <n v="157.53"/>
    <m/>
    <n v="23130.23964"/>
    <n v="23130.23964"/>
    <n v="17664.569319999999"/>
    <n v="0"/>
    <n v="1572.0621077085107"/>
    <n v="0"/>
    <n v="0"/>
    <n v="0"/>
    <n v="2522.3745637718112"/>
    <n v="9743.4612782810527"/>
    <n v="7398.3722923175765"/>
    <n v="0"/>
    <n v="0"/>
    <n v="0"/>
    <n v="0"/>
    <n v="0"/>
    <n v="242.95599287985272"/>
    <m/>
    <n v="44.1137859074687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5.88820062217917"/>
    <n v="0"/>
    <n v="75.67"/>
    <n v="282.64"/>
    <n v="5420.12"/>
    <n v="3"/>
    <m/>
    <m/>
    <m/>
    <m/>
    <m/>
    <m/>
    <m/>
    <m/>
    <m/>
    <n v="8264.2604929397548"/>
    <m/>
    <m/>
    <m/>
    <m/>
    <m/>
    <m/>
    <m/>
    <m/>
    <m/>
    <m/>
    <m/>
    <m/>
    <n v="17663.0648"/>
    <n v="-5467.2048399999985"/>
    <m/>
    <m/>
    <m/>
    <m/>
    <n v="-3791.4037200000007"/>
    <n v="-1674.2666000000002"/>
    <m/>
    <n v="-1910.6084480284517"/>
    <n v="0"/>
    <n v="0"/>
    <n v="0"/>
    <n v="0"/>
    <n v="0"/>
    <n v="0"/>
    <n v="0"/>
    <n v="86.560094280660905"/>
    <n v="0"/>
    <n v="0"/>
    <n v="-1674.4884212040461"/>
    <n v="0"/>
    <n v="0"/>
    <n v="0"/>
    <n v="-195.97821097819588"/>
    <n v="0"/>
    <n v="-109.06361912143711"/>
    <m/>
    <n v="0"/>
    <n v="0"/>
    <n v="0"/>
    <n v="0"/>
    <n v="-13.903958118162649"/>
    <n v="-3.7343328872704902"/>
    <n v="0"/>
    <n v="0"/>
    <m/>
    <m/>
    <m/>
    <n v="9743.4612782810527"/>
    <n v="0"/>
    <n v="0"/>
    <n v="-3791.4037200000002"/>
    <n v="-1674.2665999999999"/>
    <n v="0"/>
    <n v="0"/>
    <n v="-3555.3901698995551"/>
    <n v="0"/>
    <n v="0"/>
    <n v="0"/>
    <n v="0"/>
    <n v="0"/>
    <n v="0"/>
    <n v="0"/>
    <n v="0"/>
    <n v="0"/>
    <n v="0"/>
    <n v="0"/>
    <n v="0"/>
    <n v="741.28107186887905"/>
    <n v="0"/>
    <n v="0"/>
    <n v="0"/>
    <n v="0"/>
    <n v="0"/>
    <n v="202"/>
    <n v="0"/>
    <n v="0"/>
    <n v="0"/>
    <m/>
    <n v="0"/>
    <n v="-9.7342495079003708"/>
    <m/>
    <n v="-9.7342495079003708"/>
    <m/>
    <n v="0"/>
    <n v="0"/>
    <n v="0"/>
    <n v="0"/>
  </r>
  <r>
    <n v="93"/>
    <s v="Regular"/>
    <s v="Verde"/>
    <s v="A4"/>
    <s v="Serviço público"/>
    <s v="Água, esgoto e saneamento"/>
    <s v="Não se aplica"/>
    <s v="Não se aplica"/>
    <s v="Fora ponta"/>
    <s v="CATIVO"/>
    <x v="3"/>
    <n v="0"/>
    <n v="0"/>
    <n v="220.203"/>
    <n v="206.99082000000001"/>
    <n v="220.203"/>
    <n v="206.99082000000001"/>
    <m/>
    <n v="100.48"/>
    <n v="286.42"/>
    <m/>
    <n v="85196.540700000012"/>
    <n v="85196.540700000012"/>
    <n v="69381.561239999995"/>
    <n v="0"/>
    <n v="11659.620494779429"/>
    <n v="0"/>
    <n v="0"/>
    <n v="0"/>
    <n v="0"/>
    <n v="0"/>
    <n v="63071.279892730614"/>
    <n v="0"/>
    <n v="0"/>
    <n v="0"/>
    <n v="0"/>
    <n v="0"/>
    <n v="2071.2049655102242"/>
    <m/>
    <n v="301.69736175352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95.5978418893669"/>
    <n v="0"/>
    <n v="0"/>
    <n v="0"/>
    <n v="0"/>
    <n v="0"/>
    <m/>
    <m/>
    <m/>
    <m/>
    <n v="4162.8936743999966"/>
    <m/>
    <m/>
    <m/>
    <m/>
    <n v="65666.877734619979"/>
    <m/>
    <m/>
    <m/>
    <m/>
    <m/>
    <m/>
    <m/>
    <m/>
    <m/>
    <m/>
    <m/>
    <m/>
    <n v="65218.409200000009"/>
    <n v="-14866.369057999997"/>
    <m/>
    <m/>
    <m/>
    <m/>
    <n v="-1541.421"/>
    <n v="-14273.558460000006"/>
    <m/>
    <n v="-15815.486487625327"/>
    <n v="0"/>
    <n v="0"/>
    <n v="0"/>
    <n v="0"/>
    <n v="0"/>
    <n v="0"/>
    <n v="0"/>
    <n v="0"/>
    <n v="0"/>
    <n v="0"/>
    <n v="-14275.049121353775"/>
    <n v="0"/>
    <n v="0"/>
    <n v="0"/>
    <n v="-587.46685900885632"/>
    <n v="0"/>
    <n v="-808.89959913651546"/>
    <m/>
    <n v="0"/>
    <n v="0"/>
    <n v="0"/>
    <n v="0"/>
    <n v="-118.5315363215816"/>
    <n v="-25.539371804591212"/>
    <n v="0"/>
    <n v="0"/>
    <m/>
    <m/>
    <m/>
    <n v="0"/>
    <n v="0"/>
    <n v="0"/>
    <n v="-1541.4210000000021"/>
    <n v="-14273.558460000007"/>
    <n v="0"/>
    <n v="0"/>
    <n v="0"/>
    <n v="0"/>
    <n v="0"/>
    <n v="0"/>
    <n v="0"/>
    <n v="0"/>
    <n v="0"/>
    <n v="0"/>
    <n v="0"/>
    <n v="0"/>
    <n v="0"/>
    <n v="0"/>
    <n v="0"/>
    <n v="5497.9099970502084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94"/>
    <s v="Regular"/>
    <s v="Verde"/>
    <s v="A4"/>
    <s v="Serviço público"/>
    <s v="Água, esgoto e saneamento"/>
    <s v="Não se aplica"/>
    <s v="Não se aplica"/>
    <s v="Não se aplica"/>
    <s v="CATIVO"/>
    <x v="3"/>
    <n v="906"/>
    <n v="851.64"/>
    <n v="0"/>
    <n v="0"/>
    <n v="0"/>
    <n v="0"/>
    <n v="39.21"/>
    <m/>
    <m/>
    <n v="35524.26"/>
    <m/>
    <n v="35524.26"/>
    <n v="27035.040000000001"/>
    <n v="0"/>
    <n v="0"/>
    <n v="0"/>
    <n v="0"/>
    <n v="0"/>
    <n v="11191.120345902509"/>
    <n v="24336.96405409243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62.64"/>
    <n v="2101.34"/>
    <n v="39047.68"/>
    <n v="3"/>
    <m/>
    <m/>
    <m/>
    <m/>
    <n v="1622.1024000000004"/>
    <m/>
    <m/>
    <m/>
    <m/>
    <n v="0"/>
    <m/>
    <m/>
    <m/>
    <m/>
    <m/>
    <m/>
    <m/>
    <m/>
    <m/>
    <m/>
    <m/>
    <m/>
    <n v="25412.937600000001"/>
    <n v="-7979.8968000000059"/>
    <m/>
    <m/>
    <m/>
    <m/>
    <n v="-8489.2200000000012"/>
    <n v="0"/>
    <m/>
    <n v="384.04464038004153"/>
    <n v="0"/>
    <n v="0"/>
    <n v="0"/>
    <n v="0"/>
    <m/>
    <m/>
    <m/>
    <n v="384.0446403800415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336.964054092437"/>
    <m/>
    <n v="0"/>
    <n v="0"/>
    <n v="-8489.2200000000012"/>
    <m/>
    <n v="0"/>
    <m/>
    <n v="-8880.5610544165629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107"/>
    <s v="Regular"/>
    <s v="Verde"/>
    <s v="A4"/>
    <s v="Comercial"/>
    <s v="Não se aplica"/>
    <s v="Não se aplica"/>
    <s v="Não se aplica"/>
    <s v="Ponta"/>
    <s v="CATIVO"/>
    <x v="4"/>
    <n v="0"/>
    <n v="0"/>
    <n v="0.98199999999999998"/>
    <n v="0.98199999999999998"/>
    <n v="0.98199999999999998"/>
    <n v="0.98199999999999998"/>
    <m/>
    <n v="3305.85"/>
    <n v="286.42"/>
    <m/>
    <n v="3527.6091399999996"/>
    <n v="3527.6091399999996"/>
    <n v="2564.1001999999999"/>
    <n v="0"/>
    <n v="51.996327597141722"/>
    <n v="0"/>
    <n v="0"/>
    <n v="0"/>
    <n v="640.24933970872428"/>
    <n v="2507.427668318207"/>
    <n v="281.26772502945676"/>
    <n v="0"/>
    <n v="0"/>
    <n v="0"/>
    <n v="0"/>
    <n v="0"/>
    <n v="9.2365829535975443"/>
    <m/>
    <n v="1.34542585360764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575124229621569"/>
    <n v="0"/>
    <n v="0"/>
    <n v="0"/>
    <n v="0"/>
    <n v="0"/>
    <m/>
    <m/>
    <m/>
    <m/>
    <m/>
    <m/>
    <m/>
    <m/>
    <m/>
    <n v="292.84284925907832"/>
    <m/>
    <m/>
    <m/>
    <m/>
    <m/>
    <m/>
    <m/>
    <m/>
    <m/>
    <m/>
    <m/>
    <m/>
    <n v="2558.8780000000002"/>
    <n v="-968.76114000000007"/>
    <m/>
    <m/>
    <m/>
    <m/>
    <n v="-899.85569999999984"/>
    <n v="-63.653240000000018"/>
    <n v="31"/>
    <n v="-48.55812381017472"/>
    <n v="0"/>
    <n v="0"/>
    <n v="0"/>
    <n v="0"/>
    <n v="0"/>
    <n v="0"/>
    <n v="0"/>
    <n v="21.971377290391843"/>
    <n v="0"/>
    <n v="0"/>
    <n v="-63.659887636269332"/>
    <n v="0"/>
    <n v="0"/>
    <n v="0"/>
    <n v="-2.6198210539670068"/>
    <n v="0"/>
    <n v="-3.607305106433877"/>
    <m/>
    <n v="0"/>
    <n v="0"/>
    <n v="0"/>
    <n v="0"/>
    <n v="-0.52859392772938207"/>
    <n v="-0.11389337616703021"/>
    <n v="0"/>
    <n v="0"/>
    <m/>
    <m/>
    <m/>
    <n v="2507.427668318207"/>
    <n v="0"/>
    <n v="0"/>
    <n v="-899.85569999999962"/>
    <n v="-63.653240000000039"/>
    <n v="0"/>
    <n v="0"/>
    <n v="-914.96065197536109"/>
    <n v="0"/>
    <n v="0"/>
    <n v="0"/>
    <n v="0"/>
    <n v="0"/>
    <n v="0"/>
    <n v="0"/>
    <n v="0"/>
    <n v="0"/>
    <n v="0"/>
    <n v="0"/>
    <n v="0"/>
    <n v="24.518047515716429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08"/>
    <s v="Regular"/>
    <s v="Verde"/>
    <s v="A4"/>
    <s v="Comercial"/>
    <s v="Não se aplica"/>
    <s v="Não se aplica"/>
    <s v="Não se aplica"/>
    <s v="Fora ponta"/>
    <s v="CATIVO"/>
    <x v="4"/>
    <n v="0"/>
    <n v="0"/>
    <n v="20.568999999999999"/>
    <n v="20.568999999999999"/>
    <n v="20.568999999999999"/>
    <n v="20.568999999999999"/>
    <m/>
    <n v="100.48"/>
    <n v="286.42"/>
    <m/>
    <n v="7958.1460999999999"/>
    <n v="7958.1460999999999"/>
    <n v="6480.8805199999997"/>
    <n v="0"/>
    <n v="1089.1165604334094"/>
    <n v="0"/>
    <n v="0"/>
    <n v="0"/>
    <n v="0"/>
    <n v="0"/>
    <n v="5891.4417883206679"/>
    <n v="0"/>
    <n v="0"/>
    <n v="0"/>
    <n v="0"/>
    <n v="0"/>
    <n v="193.46972991094489"/>
    <m/>
    <n v="28.1813282921137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2.45288215792877"/>
    <n v="0"/>
    <n v="0"/>
    <n v="0"/>
    <n v="0"/>
    <n v="0"/>
    <m/>
    <m/>
    <m/>
    <m/>
    <m/>
    <m/>
    <m/>
    <m/>
    <m/>
    <n v="6133.8946704785967"/>
    <m/>
    <m/>
    <m/>
    <m/>
    <m/>
    <m/>
    <m/>
    <m/>
    <m/>
    <m/>
    <m/>
    <m/>
    <n v="6481.1956"/>
    <n v="-1476.9805000000006"/>
    <m/>
    <m/>
    <m/>
    <m/>
    <n v="-143.983"/>
    <n v="-1333.2825800000003"/>
    <n v="31"/>
    <n v="-1477.3129410769398"/>
    <n v="0"/>
    <n v="0"/>
    <n v="0"/>
    <n v="0"/>
    <n v="0"/>
    <n v="0"/>
    <n v="0"/>
    <n v="0"/>
    <n v="0"/>
    <n v="0"/>
    <n v="-1333.4218215788433"/>
    <n v="0"/>
    <n v="0"/>
    <n v="0"/>
    <n v="-54.874846495974936"/>
    <n v="0"/>
    <n v="-75.558715615313986"/>
    <m/>
    <n v="0"/>
    <n v="0"/>
    <n v="0"/>
    <n v="0"/>
    <n v="-11.071943482144263"/>
    <n v="-2.3856139046635931"/>
    <n v="0"/>
    <n v="0"/>
    <m/>
    <m/>
    <m/>
    <n v="0"/>
    <n v="0"/>
    <n v="0"/>
    <n v="-143.98299999999995"/>
    <n v="-1333.2825800000001"/>
    <n v="0"/>
    <n v="0"/>
    <n v="0"/>
    <n v="0"/>
    <n v="0"/>
    <n v="0"/>
    <n v="0"/>
    <n v="0"/>
    <n v="0"/>
    <n v="0"/>
    <n v="0"/>
    <n v="0"/>
    <n v="0"/>
    <n v="0"/>
    <n v="0"/>
    <n v="513.55572235312752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09"/>
    <s v="Regular"/>
    <s v="Verde"/>
    <s v="A4"/>
    <s v="Comercial"/>
    <s v="Não se aplica"/>
    <s v="Não se aplica"/>
    <s v="Não se aplica"/>
    <s v="Não se aplica"/>
    <s v="CATIVO"/>
    <x v="4"/>
    <n v="200"/>
    <n v="200"/>
    <n v="0"/>
    <n v="0"/>
    <n v="0"/>
    <n v="0"/>
    <n v="39.21"/>
    <m/>
    <m/>
    <n v="7842"/>
    <m/>
    <n v="7842"/>
    <n v="5968"/>
    <n v="0"/>
    <n v="0"/>
    <n v="0"/>
    <n v="0"/>
    <n v="0"/>
    <n v="2470.4459924729599"/>
    <n v="5372.398245936520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1.92"/>
    <n v="562.74"/>
    <n v="3641.69"/>
    <n v="1"/>
    <m/>
    <m/>
    <m/>
    <m/>
    <m/>
    <m/>
    <m/>
    <m/>
    <m/>
    <n v="0"/>
    <m/>
    <m/>
    <m/>
    <m/>
    <m/>
    <m/>
    <m/>
    <m/>
    <m/>
    <m/>
    <m/>
    <m/>
    <n v="5968"/>
    <n v="-1874.0300000000007"/>
    <m/>
    <m/>
    <m/>
    <m/>
    <n v="-1874.0000000000002"/>
    <n v="0"/>
    <n v="31"/>
    <n v="84.77806630906025"/>
    <n v="0"/>
    <n v="0"/>
    <n v="0"/>
    <n v="0"/>
    <m/>
    <m/>
    <m/>
    <n v="84.7780663090602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372.3982459365207"/>
    <m/>
    <n v="0"/>
    <n v="0"/>
    <n v="-1874"/>
    <m/>
    <n v="0"/>
    <m/>
    <n v="-1960.3887537343408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115"/>
    <s v="Regular"/>
    <s v="Verde"/>
    <s v="A4"/>
    <s v="Serviço público"/>
    <s v="Água, esgoto e saneamento"/>
    <s v="Não se aplica"/>
    <s v="Não se aplica"/>
    <s v="Ponta"/>
    <s v="CATIVO"/>
    <x v="4"/>
    <n v="0"/>
    <n v="0"/>
    <n v="19.664000000000001"/>
    <n v="18.484159999999999"/>
    <n v="19.664000000000001"/>
    <n v="18.484159999999999"/>
    <m/>
    <n v="3305.85"/>
    <n v="286.42"/>
    <m/>
    <n v="70638.397280000005"/>
    <n v="70638.397280000005"/>
    <n v="51344.670400000003"/>
    <n v="0"/>
    <n v="1041.1973379533554"/>
    <n v="0"/>
    <n v="0"/>
    <n v="0"/>
    <n v="12820.634435878163"/>
    <n v="50209.834694306752"/>
    <n v="5632.2286608749873"/>
    <n v="0"/>
    <n v="0"/>
    <n v="0"/>
    <n v="0"/>
    <n v="0"/>
    <n v="184.9574004068657"/>
    <m/>
    <n v="26.9413991704081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1.78537968561972"/>
    <n v="0"/>
    <n v="0"/>
    <n v="0"/>
    <n v="0"/>
    <n v="0"/>
    <m/>
    <m/>
    <m/>
    <m/>
    <n v="3080.6802240000061"/>
    <m/>
    <m/>
    <m/>
    <m/>
    <n v="5864.0140405606071"/>
    <m/>
    <m/>
    <m/>
    <m/>
    <m/>
    <m/>
    <m/>
    <m/>
    <m/>
    <m/>
    <m/>
    <m/>
    <n v="48253.127999999997"/>
    <n v="-18146.995443199994"/>
    <m/>
    <m/>
    <m/>
    <m/>
    <n v="-18019.106400000001"/>
    <n v="-1274.6204800000005"/>
    <n v="31"/>
    <n v="-972.34923279356371"/>
    <n v="0"/>
    <n v="0"/>
    <n v="0"/>
    <n v="0"/>
    <n v="0"/>
    <n v="0"/>
    <n v="0"/>
    <n v="439.96452447888441"/>
    <n v="0"/>
    <n v="0"/>
    <n v="-1274.7535951930749"/>
    <n v="0"/>
    <n v="0"/>
    <n v="0"/>
    <n v="-52.460449292471736"/>
    <n v="0"/>
    <n v="-72.234264371604695"/>
    <m/>
    <n v="0"/>
    <n v="0"/>
    <n v="0"/>
    <n v="0"/>
    <n v="-10.584797347118695"/>
    <n v="-2.2806510681756471"/>
    <n v="0"/>
    <n v="0"/>
    <m/>
    <m/>
    <m/>
    <n v="50209.834694306752"/>
    <n v="0"/>
    <n v="0"/>
    <n v="-18019.106399999997"/>
    <n v="-1274.6204800000005"/>
    <n v="0"/>
    <n v="0"/>
    <n v="-18321.574603302957"/>
    <n v="0"/>
    <n v="0"/>
    <n v="0"/>
    <n v="0"/>
    <n v="0"/>
    <n v="0"/>
    <n v="0"/>
    <n v="0"/>
    <n v="0"/>
    <n v="0"/>
    <n v="0"/>
    <n v="0"/>
    <n v="490.96016939821578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95"/>
    <s v="Regular"/>
    <s v="Convencional"/>
    <s v="B1"/>
    <s v="Residencial"/>
    <s v="Residencial"/>
    <s v="Não se aplica"/>
    <s v="Não se aplica"/>
    <s v="Não se aplica"/>
    <s v="CATIVO"/>
    <x v="4"/>
    <n v="0"/>
    <n v="0"/>
    <n v="541.529"/>
    <n v="541.529"/>
    <n v="541.529"/>
    <n v="541.529"/>
    <m/>
    <n v="609.05999999999995"/>
    <n v="286.42"/>
    <m/>
    <n v="484928.38892"/>
    <n v="484928.38892"/>
    <n v="370335.43722999998"/>
    <n v="0"/>
    <n v="32958.212523529932"/>
    <n v="0"/>
    <n v="0"/>
    <n v="0"/>
    <n v="52881.471113068656"/>
    <n v="204271.23454585136"/>
    <n v="155106.54772655465"/>
    <n v="0"/>
    <n v="0"/>
    <n v="0"/>
    <n v="0"/>
    <n v="0"/>
    <n v="5093.5616397950353"/>
    <m/>
    <n v="924.843569491743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153.307810033497"/>
    <n v="0"/>
    <n v="1854.13"/>
    <n v="8423.4500000000007"/>
    <n v="106214.67"/>
    <n v="3263"/>
    <m/>
    <m/>
    <m/>
    <m/>
    <m/>
    <m/>
    <m/>
    <m/>
    <m/>
    <n v="173259.85553658815"/>
    <m/>
    <m/>
    <m/>
    <m/>
    <m/>
    <m/>
    <m/>
    <m/>
    <m/>
    <m/>
    <m/>
    <m/>
    <n v="370336.12109999999"/>
    <n v="-114592.29782000004"/>
    <m/>
    <m/>
    <m/>
    <m/>
    <n v="-79491.041909999985"/>
    <n v="-35101.909780000009"/>
    <n v="31"/>
    <n v="-40055.821567482519"/>
    <n v="0"/>
    <n v="0"/>
    <n v="0"/>
    <n v="0"/>
    <n v="0"/>
    <n v="0"/>
    <n v="0"/>
    <n v="1814.7285462643486"/>
    <n v="0"/>
    <n v="0"/>
    <n v="-35105.575653545078"/>
    <n v="0"/>
    <n v="0"/>
    <n v="0"/>
    <n v="-4108.6745210184308"/>
    <n v="0"/>
    <n v="-2286.5139487581255"/>
    <m/>
    <n v="0"/>
    <n v="0"/>
    <n v="0"/>
    <n v="0"/>
    <n v="-291.495866689781"/>
    <n v="-78.290123735424572"/>
    <n v="0"/>
    <n v="0"/>
    <m/>
    <m/>
    <m/>
    <n v="204271.23454585136"/>
    <n v="0"/>
    <n v="0"/>
    <n v="-79491.04191"/>
    <n v="-35101.909780000016"/>
    <n v="0"/>
    <n v="0"/>
    <n v="-74538.597584049698"/>
    <n v="0"/>
    <n v="0"/>
    <n v="0"/>
    <n v="0"/>
    <n v="0"/>
    <n v="0"/>
    <n v="0"/>
    <n v="0"/>
    <n v="0"/>
    <n v="0"/>
    <n v="0"/>
    <n v="0"/>
    <n v="15540.924869651893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96"/>
    <s v="Refaturamento - Regular"/>
    <s v="Convencional"/>
    <s v="B1"/>
    <s v="Residencial"/>
    <s v="Residencial"/>
    <s v="Não se aplica"/>
    <s v="Não se aplica"/>
    <s v="Não se aplica"/>
    <s v="CATIVO"/>
    <x v="4"/>
    <n v="0"/>
    <n v="0"/>
    <n v="-0.48299999999999998"/>
    <n v="-0.48299999999999998"/>
    <n v="-0.48299999999999998"/>
    <n v="-0.48299999999999998"/>
    <m/>
    <n v="609.05999999999995"/>
    <n v="286.42"/>
    <m/>
    <n v="-432.51684"/>
    <n v="-432.51684"/>
    <n v="-330.30920999999995"/>
    <n v="0"/>
    <n v="-29.396055703138622"/>
    <n v="0"/>
    <n v="0"/>
    <n v="0"/>
    <n v="-47.165988428343006"/>
    <n v="-182.19339367909419"/>
    <n v="-138.3424757527776"/>
    <n v="0"/>
    <n v="0"/>
    <n v="0"/>
    <n v="0"/>
    <n v="0"/>
    <n v="-4.5430443651605028"/>
    <m/>
    <n v="-0.824885544568273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6.191280009466119"/>
    <n v="0"/>
    <n v="-2.15"/>
    <n v="-8.11"/>
    <n v="-164.66"/>
    <n v="0"/>
    <m/>
    <m/>
    <m/>
    <m/>
    <m/>
    <m/>
    <m/>
    <m/>
    <m/>
    <n v="-154.53375576224371"/>
    <m/>
    <m/>
    <m/>
    <m/>
    <m/>
    <m/>
    <m/>
    <m/>
    <m/>
    <m/>
    <m/>
    <m/>
    <n v="-328.25759999999997"/>
    <n v="104.22924000000006"/>
    <m/>
    <m/>
    <m/>
    <m/>
    <n v="70.899569999999983"/>
    <n v="31.308060000000008"/>
    <n v="31"/>
    <n v="35.726548009606205"/>
    <n v="0"/>
    <n v="0"/>
    <n v="0"/>
    <n v="0"/>
    <n v="0"/>
    <n v="0"/>
    <n v="0"/>
    <n v="-1.6185908563450582"/>
    <n v="0"/>
    <n v="0"/>
    <n v="31.311329662238364"/>
    <n v="0"/>
    <n v="0"/>
    <n v="0"/>
    <n v="3.664604838617878"/>
    <n v="0"/>
    <n v="2.0393852171355036"/>
    <m/>
    <n v="0"/>
    <n v="0"/>
    <n v="0"/>
    <n v="0"/>
    <n v="0.25999069968766975"/>
    <n v="6.9828448271856303E-2"/>
    <n v="0"/>
    <n v="0"/>
    <m/>
    <m/>
    <m/>
    <n v="-182.19339367909419"/>
    <n v="0"/>
    <n v="0"/>
    <n v="70.899570000000011"/>
    <n v="31.308059999999998"/>
    <n v="0"/>
    <n v="0"/>
    <n v="66.482390847204854"/>
    <n v="0"/>
    <n v="0"/>
    <n v="0"/>
    <n v="0"/>
    <n v="0"/>
    <n v="0"/>
    <n v="0"/>
    <n v="0"/>
    <n v="0"/>
    <n v="0"/>
    <n v="0"/>
    <n v="0"/>
    <n v="-13.861246049688686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97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4.0149999999999997"/>
    <n v="4.0149999999999997"/>
    <n v="4.0149999999999997"/>
    <n v="4.0149999999999997"/>
    <m/>
    <n v="609.05999999999995"/>
    <n v="286.42"/>
    <m/>
    <n v="3595.3521999999994"/>
    <n v="3595.3521999999994"/>
    <n v="2745.7380499999999"/>
    <n v="0"/>
    <n v="244.35851686977549"/>
    <n v="0"/>
    <n v="0"/>
    <n v="0"/>
    <n v="392.07338206997343"/>
    <n v="1514.50616070717"/>
    <n v="1149.9897311540415"/>
    <n v="0"/>
    <n v="0"/>
    <n v="0"/>
    <n v="0"/>
    <n v="0"/>
    <n v="37.764644153456352"/>
    <m/>
    <n v="6.85696782907166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4.59211022361586"/>
    <n v="0"/>
    <n v="11.57"/>
    <n v="54.55"/>
    <n v="2343.12"/>
    <n v="30"/>
    <m/>
    <m/>
    <m/>
    <m/>
    <m/>
    <m/>
    <m/>
    <m/>
    <m/>
    <n v="1284.5818413776574"/>
    <m/>
    <m/>
    <m/>
    <m/>
    <m/>
    <m/>
    <m/>
    <m/>
    <m/>
    <m/>
    <m/>
    <m/>
    <n v="2749.1573999999996"/>
    <n v="-846.22480000000041"/>
    <m/>
    <m/>
    <m/>
    <m/>
    <n v="-589.36184999999978"/>
    <n v="-260.25230000000005"/>
    <n v="31"/>
    <n v="-296.98155333037062"/>
    <n v="0"/>
    <n v="0"/>
    <n v="0"/>
    <n v="0"/>
    <n v="0"/>
    <n v="0"/>
    <n v="0"/>
    <n v="13.454745938354847"/>
    <n v="0"/>
    <n v="0"/>
    <n v="-260.27947949044938"/>
    <n v="0"/>
    <n v="0"/>
    <n v="0"/>
    <n v="-30.462501919359781"/>
    <n v="0"/>
    <n v="-16.952653513041497"/>
    <m/>
    <n v="0"/>
    <n v="0"/>
    <n v="0"/>
    <n v="0"/>
    <n v="-2.1612063338426353"/>
    <n v="-0.58045801203209724"/>
    <n v="0"/>
    <n v="0"/>
    <m/>
    <m/>
    <m/>
    <n v="1514.50616070717"/>
    <n v="0"/>
    <n v="0"/>
    <n v="-589.36184999999978"/>
    <n v="-260.2523000000001"/>
    <n v="0"/>
    <n v="0"/>
    <n v="-552.64347671123699"/>
    <n v="0"/>
    <n v="0"/>
    <n v="0"/>
    <n v="0"/>
    <n v="0"/>
    <n v="0"/>
    <n v="0"/>
    <n v="0"/>
    <n v="0"/>
    <n v="0"/>
    <n v="0"/>
    <n v="0"/>
    <n v="115.22340142753639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98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-0.40899999999999997"/>
    <n v="-0.40899999999999997"/>
    <n v="-0.40899999999999997"/>
    <n v="-0.40899999999999997"/>
    <m/>
    <n v="609.05999999999995"/>
    <n v="286.42"/>
    <m/>
    <n v="-366.25131999999996"/>
    <n v="-366.25131999999996"/>
    <n v="-279.70282999999995"/>
    <n v="0"/>
    <n v="-24.892312179262312"/>
    <n v="0"/>
    <n v="0"/>
    <n v="0"/>
    <n v="-39.939729331661056"/>
    <n v="-154.2797060346781"/>
    <n v="-117.147148204733"/>
    <n v="0"/>
    <n v="0"/>
    <n v="0"/>
    <n v="0"/>
    <n v="0"/>
    <n v="-3.8470085825065126"/>
    <m/>
    <n v="-0.698505564655121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3.710628413812925"/>
    <n v="0"/>
    <n v="-2.2799999999999998"/>
    <n v="-10.52"/>
    <n v="-116.85"/>
    <n v="2"/>
    <m/>
    <m/>
    <m/>
    <m/>
    <m/>
    <m/>
    <m/>
    <m/>
    <m/>
    <n v="-130.85777661854593"/>
    <m/>
    <m/>
    <m/>
    <m/>
    <m/>
    <m/>
    <m/>
    <m/>
    <m/>
    <m/>
    <m/>
    <m/>
    <n v="-280.38669999999996"/>
    <n v="85.834620000000029"/>
    <m/>
    <m/>
    <m/>
    <m/>
    <n v="60.037109999999984"/>
    <n v="26.511380000000006"/>
    <n v="31"/>
    <n v="30.252915395298004"/>
    <n v="0"/>
    <n v="0"/>
    <n v="0"/>
    <n v="0"/>
    <n v="0"/>
    <n v="0"/>
    <n v="0"/>
    <n v="-1.3706079922259349"/>
    <n v="0"/>
    <n v="0"/>
    <n v="26.51414872019771"/>
    <n v="0"/>
    <n v="0"/>
    <n v="0"/>
    <n v="3.1031539937778732"/>
    <n v="0"/>
    <n v="1.7269328236199222"/>
    <m/>
    <n v="0"/>
    <n v="0"/>
    <n v="0"/>
    <n v="0"/>
    <n v="0.22015775605022103"/>
    <n v="5.9130093878238643E-2"/>
    <n v="0"/>
    <n v="0"/>
    <m/>
    <m/>
    <m/>
    <n v="-154.2797060346781"/>
    <n v="0"/>
    <n v="0"/>
    <n v="60.037109999999984"/>
    <n v="26.511380000000017"/>
    <n v="0"/>
    <n v="0"/>
    <n v="56.29668293272627"/>
    <n v="0"/>
    <n v="0"/>
    <n v="0"/>
    <n v="0"/>
    <n v="0"/>
    <n v="0"/>
    <n v="0"/>
    <n v="0"/>
    <n v="0"/>
    <n v="0"/>
    <n v="0"/>
    <n v="0"/>
    <n v="-11.737576882655636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99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3.6"/>
    <n v="3.6"/>
    <n v="3.6"/>
    <n v="3.6"/>
    <m/>
    <n v="510.09"/>
    <n v="286.42"/>
    <m/>
    <n v="2867.4359999999997"/>
    <n v="2867.4359999999997"/>
    <n v="2122.8119999999999"/>
    <n v="0"/>
    <n v="0"/>
    <n v="0"/>
    <n v="0"/>
    <n v="0"/>
    <n v="351.54773983858144"/>
    <n v="1357.9631827013231"/>
    <n v="1031.1240428778456"/>
    <n v="0"/>
    <n v="0"/>
    <n v="0"/>
    <n v="0"/>
    <n v="0"/>
    <n v="0"/>
    <m/>
    <n v="6.14821523901818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0.68034789664189"/>
    <n v="0"/>
    <n v="3.99"/>
    <n v="18.22"/>
    <n v="464.9"/>
    <n v="0"/>
    <m/>
    <m/>
    <m/>
    <m/>
    <m/>
    <m/>
    <m/>
    <n v="1379.8440000000001"/>
    <m/>
    <n v="1151.8043907744875"/>
    <m/>
    <m/>
    <m/>
    <m/>
    <m/>
    <m/>
    <m/>
    <m/>
    <m/>
    <m/>
    <m/>
    <m/>
    <n v="742.96800000000007"/>
    <n v="-260.66999999999985"/>
    <m/>
    <m/>
    <m/>
    <m/>
    <n v="-511.27199999999993"/>
    <n v="-233.35200000000009"/>
    <n v="31"/>
    <n v="-249.14662429403529"/>
    <n v="0"/>
    <n v="0"/>
    <n v="0"/>
    <n v="0"/>
    <n v="0"/>
    <n v="0"/>
    <n v="0"/>
    <n v="12.064031227416592"/>
    <n v="0"/>
    <n v="0"/>
    <n v="-233.3763701533295"/>
    <n v="0"/>
    <n v="0"/>
    <n v="0"/>
    <n v="-27.313824884108413"/>
    <n v="0"/>
    <n v="0"/>
    <m/>
    <n v="0"/>
    <n v="0"/>
    <n v="0"/>
    <n v="0"/>
    <n v="0"/>
    <n v="-0.52046048401383604"/>
    <n v="0"/>
    <n v="0"/>
    <m/>
    <m/>
    <m/>
    <n v="1357.9631827013231"/>
    <n v="0"/>
    <n v="0"/>
    <n v="-511.27199999999993"/>
    <n v="-233.35200000000009"/>
    <n v="0"/>
    <n v="0"/>
    <n v="-495.52092556922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00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7.7949999999999999"/>
    <n v="7.7949999999999999"/>
    <n v="7.7949999999999999"/>
    <n v="7.7949999999999999"/>
    <m/>
    <n v="510.09"/>
    <n v="286.42"/>
    <m/>
    <n v="6208.7954499999996"/>
    <n v="6208.7954499999996"/>
    <n v="4596.4776499999998"/>
    <n v="0"/>
    <n v="0"/>
    <n v="0"/>
    <n v="0"/>
    <n v="0"/>
    <n v="761.19850890048394"/>
    <n v="2940.3675025435596"/>
    <n v="2232.6699761757795"/>
    <n v="0"/>
    <n v="0"/>
    <n v="0"/>
    <n v="0"/>
    <n v="0"/>
    <n v="0"/>
    <m/>
    <n v="13.3125938300407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1.30647551508986"/>
    <n v="0"/>
    <n v="15.24"/>
    <n v="69.38"/>
    <n v="1084.1199999999999"/>
    <n v="20"/>
    <m/>
    <m/>
    <m/>
    <m/>
    <m/>
    <m/>
    <m/>
    <n v="1838.6066499999997"/>
    <m/>
    <n v="2493.9764516908695"/>
    <m/>
    <m/>
    <m/>
    <m/>
    <m/>
    <m/>
    <m/>
    <m/>
    <m/>
    <m/>
    <m/>
    <m/>
    <n v="2759.64"/>
    <n v="-965.69845000000078"/>
    <m/>
    <m/>
    <m/>
    <m/>
    <n v="-1107.0458999999998"/>
    <n v="-505.27190000000019"/>
    <n v="31"/>
    <n v="-539.47164899222389"/>
    <n v="0"/>
    <n v="0"/>
    <n v="0"/>
    <n v="0"/>
    <n v="0"/>
    <n v="0"/>
    <n v="0"/>
    <n v="26.121978727142277"/>
    <n v="0"/>
    <n v="0"/>
    <n v="-505.32466815144562"/>
    <n v="0"/>
    <n v="0"/>
    <n v="0"/>
    <n v="-59.142018047673616"/>
    <n v="0"/>
    <n v="0"/>
    <m/>
    <n v="0"/>
    <n v="0"/>
    <n v="0"/>
    <n v="0"/>
    <n v="0"/>
    <n v="-1.1269415202466249"/>
    <n v="0"/>
    <n v="0"/>
    <m/>
    <m/>
    <m/>
    <n v="2940.3675025435596"/>
    <n v="0"/>
    <n v="0"/>
    <n v="-1107.0458999999996"/>
    <n v="-505.27190000000019"/>
    <n v="0"/>
    <n v="0"/>
    <n v="-1072.9404485589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01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7.4980000000000002"/>
    <n v="7.4980000000000002"/>
    <n v="7.4980000000000002"/>
    <n v="7.4980000000000002"/>
    <m/>
    <n v="510.09"/>
    <n v="286.42"/>
    <m/>
    <n v="5972.2319800000005"/>
    <n v="5972.2319800000005"/>
    <n v="4421.34566"/>
    <n v="0"/>
    <n v="0"/>
    <n v="0"/>
    <n v="0"/>
    <n v="0"/>
    <n v="732.19582036380098"/>
    <n v="2828.3355399707007"/>
    <n v="2147.602242638357"/>
    <n v="0"/>
    <n v="0"/>
    <n v="0"/>
    <n v="0"/>
    <n v="0"/>
    <n v="0"/>
    <m/>
    <n v="12.8053660728217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1.35034681361691"/>
    <n v="0"/>
    <n v="22.88"/>
    <n v="104.93"/>
    <n v="1354.07"/>
    <n v="71"/>
    <m/>
    <m/>
    <m/>
    <m/>
    <m/>
    <m/>
    <m/>
    <n v="442.15706"/>
    <m/>
    <n v="2398.9525894519738"/>
    <m/>
    <m/>
    <m/>
    <m/>
    <m/>
    <m/>
    <m/>
    <m/>
    <m/>
    <m/>
    <m/>
    <m/>
    <n v="3980.25"/>
    <n v="-1394.7962800000005"/>
    <m/>
    <m/>
    <m/>
    <m/>
    <n v="-1064.8659599999999"/>
    <n v="-486.02036000000015"/>
    <n v="31"/>
    <n v="-518.91705248796552"/>
    <n v="0"/>
    <n v="0"/>
    <n v="0"/>
    <n v="0"/>
    <n v="0"/>
    <n v="0"/>
    <n v="0"/>
    <n v="25.126696150880434"/>
    <n v="0"/>
    <n v="0"/>
    <n v="-486.07111761379542"/>
    <n v="0"/>
    <n v="0"/>
    <n v="0"/>
    <n v="-56.888627494734692"/>
    <n v="0"/>
    <n v="0"/>
    <m/>
    <n v="0"/>
    <n v="0"/>
    <n v="0"/>
    <n v="0"/>
    <n v="0"/>
    <n v="-1.0840035303154831"/>
    <n v="0"/>
    <n v="0"/>
    <m/>
    <m/>
    <m/>
    <n v="2828.3355399707007"/>
    <n v="0"/>
    <n v="0"/>
    <n v="-1064.8659599999996"/>
    <n v="-486.02036000000021"/>
    <n v="0"/>
    <n v="0"/>
    <n v="-1032.0599721994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02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2.44"/>
    <n v="2.44"/>
    <n v="2.44"/>
    <n v="2.44"/>
    <m/>
    <n v="510.09"/>
    <n v="286.42"/>
    <m/>
    <n v="1943.4844000000001"/>
    <n v="1943.4844000000001"/>
    <n v="1438.7947999999999"/>
    <n v="0"/>
    <n v="0"/>
    <n v="0"/>
    <n v="0"/>
    <n v="0"/>
    <n v="238.27124589059406"/>
    <n v="920.39726827534128"/>
    <n v="698.87296239498414"/>
    <n v="0"/>
    <n v="0"/>
    <n v="0"/>
    <n v="0"/>
    <n v="0"/>
    <n v="0"/>
    <m/>
    <n v="4.1671236620012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.794458018835059"/>
    <n v="0"/>
    <n v="8.83"/>
    <n v="41.27"/>
    <n v="575.45000000000005"/>
    <n v="29"/>
    <m/>
    <m/>
    <m/>
    <m/>
    <m/>
    <m/>
    <m/>
    <m/>
    <m/>
    <n v="780.66742041381917"/>
    <m/>
    <m/>
    <m/>
    <m/>
    <m/>
    <m/>
    <m/>
    <m/>
    <m/>
    <m/>
    <m/>
    <m/>
    <n v="1438.7947999999999"/>
    <n v="-504.71960000000013"/>
    <m/>
    <m/>
    <m/>
    <m/>
    <n v="-346.52879999999993"/>
    <n v="-158.16080000000005"/>
    <n v="31"/>
    <n v="-168.86604535484605"/>
    <n v="0"/>
    <n v="0"/>
    <n v="0"/>
    <n v="0"/>
    <n v="0"/>
    <n v="0"/>
    <n v="0"/>
    <n v="8.1767322763601271"/>
    <n v="0"/>
    <n v="0"/>
    <n v="-158.17731754836768"/>
    <n v="0"/>
    <n v="0"/>
    <n v="0"/>
    <n v="-18.512703532562369"/>
    <n v="0"/>
    <n v="0"/>
    <m/>
    <n v="0"/>
    <n v="0"/>
    <n v="0"/>
    <n v="0"/>
    <n v="0"/>
    <n v="-0.35275655027604458"/>
    <n v="0"/>
    <n v="0"/>
    <m/>
    <m/>
    <m/>
    <n v="920.39726827534128"/>
    <n v="0"/>
    <n v="0"/>
    <n v="-346.52880000000005"/>
    <n v="-158.16080000000011"/>
    <n v="0"/>
    <n v="0"/>
    <n v="-335.85307177469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03"/>
    <s v="Regular"/>
    <s v="Branca"/>
    <s v="B1"/>
    <s v="Residencial"/>
    <s v="Residencial"/>
    <s v="Não se aplica"/>
    <s v="Não se aplica"/>
    <s v="Fora ponta"/>
    <s v="CATIVO"/>
    <x v="4"/>
    <n v="0"/>
    <n v="0"/>
    <n v="3.1E-2"/>
    <n v="3.1E-2"/>
    <n v="3.1E-2"/>
    <n v="3.1E-2"/>
    <m/>
    <n v="409.62"/>
    <n v="286.42"/>
    <m/>
    <n v="21.57724"/>
    <n v="21.57724"/>
    <n v="16.76604"/>
    <n v="0"/>
    <n v="1.8867033681103464"/>
    <n v="0"/>
    <n v="0"/>
    <n v="0"/>
    <n v="1.7559396004222974"/>
    <n v="6.7822690308230849"/>
    <n v="8.8791237025592249"/>
    <n v="0"/>
    <n v="0"/>
    <n v="0"/>
    <n v="0"/>
    <n v="0"/>
    <n v="0.29158255759829316"/>
    <m/>
    <n v="5.294296455821213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391918846655273"/>
    <n v="0"/>
    <n v="0"/>
    <n v="0"/>
    <n v="0"/>
    <n v="0"/>
    <m/>
    <m/>
    <m/>
    <m/>
    <m/>
    <m/>
    <m/>
    <m/>
    <m/>
    <n v="9.9183155872247522"/>
    <m/>
    <m/>
    <m/>
    <m/>
    <m/>
    <m/>
    <m/>
    <m/>
    <m/>
    <m/>
    <m/>
    <m/>
    <n v="16.225200000000001"/>
    <n v="-5.3820399999999999"/>
    <m/>
    <m/>
    <m/>
    <m/>
    <n v="-2.8017799999999999"/>
    <n v="-2.0094200000000009"/>
    <n v="31"/>
    <n v="-2.3366345540613285"/>
    <n v="0"/>
    <n v="0"/>
    <n v="0"/>
    <n v="0"/>
    <n v="0"/>
    <n v="0"/>
    <n v="0"/>
    <n v="6.0258416631195688E-2"/>
    <n v="0"/>
    <n v="0"/>
    <n v="-2.0096298540981143"/>
    <n v="0"/>
    <n v="0"/>
    <n v="0"/>
    <n v="-0.23520238094648904"/>
    <n v="0"/>
    <n v="-0.13089221890517733"/>
    <m/>
    <n v="0"/>
    <n v="0"/>
    <n v="0"/>
    <n v="0"/>
    <n v="-1.6686773685958112E-2"/>
    <n v="-4.4817430567858085E-3"/>
    <n v="0"/>
    <n v="0"/>
    <m/>
    <m/>
    <m/>
    <n v="6.7822690308230849"/>
    <n v="0"/>
    <n v="0"/>
    <n v="-2.801779999999999"/>
    <n v="-2.0094200000000004"/>
    <n v="0"/>
    <n v="0"/>
    <n v="-2.4748507694646111"/>
    <n v="0"/>
    <n v="0"/>
    <n v="0"/>
    <n v="0"/>
    <n v="0"/>
    <n v="0"/>
    <n v="0"/>
    <n v="0"/>
    <n v="0"/>
    <n v="0"/>
    <n v="0"/>
    <n v="0"/>
    <n v="0.88964519159492605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04"/>
    <s v="Regular"/>
    <s v="Branca"/>
    <s v="B1"/>
    <s v="Residencial"/>
    <s v="Residencial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36"/>
    <n v="1.6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"/>
    <m/>
    <m/>
    <m/>
    <m/>
    <n v="0"/>
    <n v="-17.698635468909799"/>
    <m/>
    <n v="-17.698635468909799"/>
    <m/>
    <n v="0"/>
    <n v="0"/>
    <n v="0"/>
    <n v="0"/>
  </r>
  <r>
    <n v="105"/>
    <s v="Regular"/>
    <s v="Branca"/>
    <s v="B1"/>
    <s v="Residencial"/>
    <s v="Residencial"/>
    <s v="Não se aplica"/>
    <s v="Não se aplica"/>
    <s v="Intermediário"/>
    <s v="CATIVO"/>
    <x v="4"/>
    <n v="0"/>
    <n v="0"/>
    <n v="0.03"/>
    <n v="0.03"/>
    <n v="0.03"/>
    <n v="0.03"/>
    <m/>
    <n v="960.47"/>
    <n v="286.42"/>
    <m/>
    <n v="37.406700000000001"/>
    <n v="37.406700000000001"/>
    <n v="28.077299999999997"/>
    <n v="0"/>
    <n v="1.8258419691390448"/>
    <n v="0"/>
    <n v="0"/>
    <n v="0"/>
    <n v="5.09772932751354"/>
    <n v="19.690468506107401"/>
    <n v="8.5927003573153797"/>
    <n v="0"/>
    <n v="0"/>
    <n v="0"/>
    <n v="0"/>
    <n v="0"/>
    <n v="0.28217666864350949"/>
    <m/>
    <n v="5.123512699181819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056695658053489"/>
    <n v="0"/>
    <n v="0"/>
    <n v="0"/>
    <n v="0"/>
    <n v="0"/>
    <m/>
    <m/>
    <m/>
    <m/>
    <m/>
    <m/>
    <m/>
    <m/>
    <m/>
    <n v="9.5983699231207282"/>
    <m/>
    <m/>
    <m/>
    <m/>
    <m/>
    <m/>
    <m/>
    <m/>
    <m/>
    <m/>
    <m/>
    <m/>
    <n v="28.077299999999997"/>
    <n v="-9.3594000000000044"/>
    <m/>
    <m/>
    <m/>
    <m/>
    <n v="-7.384800000000002"/>
    <n v="-1.9446000000000006"/>
    <n v="31"/>
    <n v="-2.1446355374290711"/>
    <n v="0"/>
    <n v="0"/>
    <n v="0"/>
    <n v="0"/>
    <n v="0"/>
    <n v="0"/>
    <n v="0"/>
    <n v="0.17493830517659958"/>
    <n v="0"/>
    <n v="0"/>
    <n v="-1.9448030846110793"/>
    <n v="0"/>
    <n v="0"/>
    <n v="0"/>
    <n v="-0.22761520736757002"/>
    <n v="0"/>
    <n v="-0.12666988926307488"/>
    <m/>
    <n v="0"/>
    <n v="0"/>
    <n v="0"/>
    <n v="0"/>
    <n v="-1.6148490663830395E-2"/>
    <n v="-4.3371707001152934E-3"/>
    <n v="0"/>
    <n v="0"/>
    <m/>
    <m/>
    <m/>
    <n v="19.690468506107401"/>
    <n v="0"/>
    <n v="0"/>
    <n v="-7.384800000000002"/>
    <n v="-1.9446000000000012"/>
    <n v="0"/>
    <n v="0"/>
    <n v="-7.1850542808008697"/>
    <n v="0"/>
    <n v="0"/>
    <n v="0"/>
    <n v="0"/>
    <n v="0"/>
    <n v="0"/>
    <n v="0"/>
    <n v="0"/>
    <n v="0"/>
    <n v="0"/>
    <n v="0"/>
    <n v="0"/>
    <n v="0.86094695960799295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10"/>
    <s v="Regular"/>
    <s v="Convencional"/>
    <s v="B2"/>
    <s v="Rural"/>
    <s v="Não se aplica"/>
    <s v="Não se aplica"/>
    <s v="Não se aplica"/>
    <s v="Não se aplica"/>
    <s v="CATIVO"/>
    <x v="4"/>
    <n v="0"/>
    <n v="0"/>
    <n v="132.32300000000001"/>
    <n v="132.32300000000001"/>
    <n v="132.32300000000001"/>
    <n v="132.32300000000001"/>
    <m/>
    <n v="609.05999999999995"/>
    <n v="286.42"/>
    <m/>
    <n v="118492.60003999999"/>
    <n v="118492.60003999999"/>
    <n v="90491.730009999999"/>
    <n v="0"/>
    <n v="8053.3628960795286"/>
    <n v="0"/>
    <n v="0"/>
    <n v="0"/>
    <n v="12921.625438516836"/>
    <n v="49913.822840163113"/>
    <n v="37900.396312701436"/>
    <n v="0"/>
    <n v="0"/>
    <n v="0"/>
    <n v="0"/>
    <n v="0"/>
    <n v="1244.6154441638371"/>
    <m/>
    <n v="225.986190297945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35.7737985353733"/>
    <n v="0"/>
    <n v="410.33"/>
    <n v="1847.62"/>
    <n v="3347.39"/>
    <n v="334"/>
    <m/>
    <m/>
    <m/>
    <m/>
    <m/>
    <n v="10859.748609999997"/>
    <m/>
    <m/>
    <m/>
    <n v="42336.17011123681"/>
    <m/>
    <m/>
    <m/>
    <m/>
    <m/>
    <m/>
    <m/>
    <m/>
    <m/>
    <m/>
    <m/>
    <m/>
    <n v="79630.175999999992"/>
    <n v="-24643.024460000015"/>
    <m/>
    <m/>
    <m/>
    <m/>
    <n v="-19423.693169999995"/>
    <n v="-8577.1768600000032"/>
    <n v="31"/>
    <n v="-9787.6687624743718"/>
    <n v="0"/>
    <n v="0"/>
    <n v="0"/>
    <n v="0"/>
    <n v="0"/>
    <n v="0"/>
    <n v="0"/>
    <n v="443.43022336262402"/>
    <n v="0"/>
    <n v="0"/>
    <n v="-8578.0726188330627"/>
    <n v="0"/>
    <n v="0"/>
    <n v="0"/>
    <n v="-1003.9575694832988"/>
    <n v="0"/>
    <n v="-558.71132523192864"/>
    <m/>
    <n v="0"/>
    <n v="0"/>
    <n v="0"/>
    <n v="0"/>
    <n v="-71.227224337001189"/>
    <n v="-19.13024795171188"/>
    <n v="0"/>
    <n v="0"/>
    <m/>
    <m/>
    <m/>
    <n v="49913.822840163113"/>
    <n v="0"/>
    <n v="0"/>
    <n v="-19423.693169999991"/>
    <n v="-8577.1768600000069"/>
    <n v="0"/>
    <n v="0"/>
    <n v="-18213.559842804741"/>
    <n v="0"/>
    <n v="0"/>
    <n v="0"/>
    <n v="0"/>
    <n v="0"/>
    <n v="0"/>
    <n v="0"/>
    <n v="0"/>
    <n v="0"/>
    <n v="0"/>
    <n v="0"/>
    <n v="0"/>
    <n v="3797.4361512069486"/>
    <n v="0"/>
    <n v="0"/>
    <n v="0"/>
    <n v="0"/>
    <n v="0"/>
    <n v="202"/>
    <n v="0"/>
    <n v="0"/>
    <n v="0"/>
    <m/>
    <n v="0"/>
    <n v="-12.3890448282368"/>
    <m/>
    <n v="-17.698635468909799"/>
    <m/>
    <n v="0"/>
    <n v="0"/>
    <n v="0"/>
    <n v="0"/>
  </r>
  <r>
    <n v="111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3.0249999999999999"/>
    <n v="3.0249999999999999"/>
    <n v="3.0249999999999999"/>
    <n v="3.0249999999999999"/>
    <m/>
    <n v="609.05999999999995"/>
    <n v="286.42"/>
    <m/>
    <n v="2708.8269999999998"/>
    <n v="2708.8269999999998"/>
    <n v="2068.7067499999998"/>
    <n v="0"/>
    <n v="184.10573188818702"/>
    <n v="0"/>
    <n v="0"/>
    <n v="0"/>
    <n v="295.39775361436352"/>
    <n v="1141.0662854643062"/>
    <n v="866.43061936263405"/>
    <n v="0"/>
    <n v="0"/>
    <n v="0"/>
    <n v="0"/>
    <n v="0"/>
    <n v="28.452814088220542"/>
    <m/>
    <n v="5.16620863834166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1.40501455203936"/>
    <n v="0"/>
    <n v="3.4"/>
    <n v="15.75"/>
    <n v="0"/>
    <n v="5"/>
    <m/>
    <m/>
    <m/>
    <m/>
    <m/>
    <n v="248.26174999999989"/>
    <m/>
    <m/>
    <m/>
    <n v="967.83563391467339"/>
    <m/>
    <m/>
    <m/>
    <m/>
    <m/>
    <m/>
    <m/>
    <m/>
    <m/>
    <m/>
    <m/>
    <m/>
    <n v="1823.454"/>
    <n v="-560.33650000000011"/>
    <m/>
    <m/>
    <m/>
    <m/>
    <n v="-444.03974999999986"/>
    <n v="-196.08050000000006"/>
    <n v="31"/>
    <n v="-223.75322511192326"/>
    <n v="0"/>
    <n v="0"/>
    <n v="0"/>
    <n v="0"/>
    <n v="0"/>
    <n v="0"/>
    <n v="0"/>
    <n v="10.137137350815351"/>
    <n v="0"/>
    <n v="0"/>
    <n v="-196.10097769828383"/>
    <n v="0"/>
    <n v="0"/>
    <n v="0"/>
    <n v="-22.951200076229981"/>
    <n v="0"/>
    <n v="-12.772547167360045"/>
    <m/>
    <n v="0"/>
    <n v="0"/>
    <n v="0"/>
    <n v="0"/>
    <n v="-1.6283061419362355"/>
    <n v="-0.43733137892829266"/>
    <n v="0"/>
    <n v="0"/>
    <m/>
    <m/>
    <m/>
    <n v="1141.0662854643062"/>
    <n v="0"/>
    <n v="0"/>
    <n v="-444.03974999999991"/>
    <n v="-196.08050000000014"/>
    <n v="0"/>
    <n v="0"/>
    <n v="-416.37522217969911"/>
    <n v="0"/>
    <n v="0"/>
    <n v="0"/>
    <n v="0"/>
    <n v="0"/>
    <n v="0"/>
    <n v="0"/>
    <n v="0"/>
    <n v="0"/>
    <n v="0"/>
    <n v="0"/>
    <n v="0"/>
    <n v="86.812151760472617"/>
    <n v="0"/>
    <n v="0"/>
    <n v="0"/>
    <n v="0"/>
    <n v="0"/>
    <n v="202"/>
    <n v="0"/>
    <n v="0"/>
    <n v="0"/>
    <m/>
    <n v="0"/>
    <n v="-12.3890448282368"/>
    <m/>
    <n v="-17.698635468909799"/>
    <m/>
    <n v="0"/>
    <n v="0"/>
    <n v="0"/>
    <n v="0"/>
  </r>
  <r>
    <n v="106"/>
    <s v="Regular"/>
    <s v="Convencional"/>
    <s v="B3"/>
    <s v="Comercial"/>
    <s v="Não se aplica"/>
    <s v="Não se aplica"/>
    <s v="Não se aplica"/>
    <s v="Não se aplica"/>
    <s v="CATIVO"/>
    <x v="4"/>
    <n v="0"/>
    <n v="0"/>
    <n v="19.715"/>
    <n v="19.715"/>
    <n v="19.715"/>
    <n v="19.715"/>
    <m/>
    <n v="609.05999999999995"/>
    <n v="286.42"/>
    <m/>
    <n v="17654.388200000001"/>
    <n v="17654.388200000001"/>
    <n v="13482.497049999998"/>
    <n v="0"/>
    <n v="1199.8824807192091"/>
    <n v="0"/>
    <n v="0"/>
    <n v="0"/>
    <n v="1925.212136366009"/>
    <n v="7436.7344852657188"/>
    <n v="5646.836251482423"/>
    <n v="0"/>
    <n v="0"/>
    <n v="0"/>
    <n v="0"/>
    <n v="0"/>
    <n v="185.43710074355965"/>
    <m/>
    <n v="33.670017621456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0.89251632841524"/>
    <n v="0"/>
    <n v="43.16"/>
    <n v="197.2"/>
    <n v="3626.55"/>
    <n v="42"/>
    <m/>
    <m/>
    <m/>
    <m/>
    <m/>
    <m/>
    <m/>
    <m/>
    <m/>
    <n v="6307.7287678108387"/>
    <m/>
    <m/>
    <m/>
    <m/>
    <m/>
    <m/>
    <m/>
    <m/>
    <m/>
    <m/>
    <m/>
    <m/>
    <n v="13485.916399999998"/>
    <n v="-4168.5017999999982"/>
    <m/>
    <m/>
    <m/>
    <m/>
    <n v="-2893.9648499999994"/>
    <n v="-1277.9263000000003"/>
    <n v="31"/>
    <n v="-1458.2792836633253"/>
    <n v="0"/>
    <n v="0"/>
    <n v="0"/>
    <n v="0"/>
    <n v="0"/>
    <n v="0"/>
    <n v="0"/>
    <n v="66.06732656903273"/>
    <n v="0"/>
    <n v="0"/>
    <n v="-1278.0597604369141"/>
    <n v="0"/>
    <n v="0"/>
    <n v="0"/>
    <n v="-149.58112710838816"/>
    <n v="0"/>
    <n v="-83.243228894050617"/>
    <m/>
    <n v="0"/>
    <n v="0"/>
    <n v="0"/>
    <n v="0"/>
    <n v="-10.612249781247215"/>
    <n v="-2.8502440117591057"/>
    <n v="0"/>
    <n v="0"/>
    <m/>
    <m/>
    <m/>
    <n v="7436.7344852657188"/>
    <n v="0"/>
    <n v="0"/>
    <n v="-2893.9648500000003"/>
    <n v="-1277.9263000000001"/>
    <n v="0"/>
    <n v="0"/>
    <n v="-2713.6652909992627"/>
    <n v="0"/>
    <n v="0"/>
    <n v="0"/>
    <n v="0"/>
    <n v="0"/>
    <n v="0"/>
    <n v="0"/>
    <n v="0"/>
    <n v="0"/>
    <n v="0"/>
    <n v="0"/>
    <n v="0"/>
    <n v="565.78564362238603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12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6.3730000000000002"/>
    <n v="6.3730000000000002"/>
    <n v="6.3730000000000002"/>
    <n v="6.3730000000000002"/>
    <m/>
    <n v="609.05999999999995"/>
    <n v="286.42"/>
    <m/>
    <n v="5706.8940400000001"/>
    <n v="5706.8940400000001"/>
    <n v="4358.3035099999997"/>
    <n v="0"/>
    <n v="387.86969564410447"/>
    <n v="0"/>
    <n v="0"/>
    <n v="0"/>
    <n v="622.33715166424429"/>
    <n v="2403.9720453765372"/>
    <n v="1825.3759792390304"/>
    <n v="0"/>
    <n v="0"/>
    <n v="0"/>
    <n v="0"/>
    <n v="0"/>
    <n v="59.943730308836209"/>
    <m/>
    <n v="10.8840488106285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3.63773809591632"/>
    <n v="0"/>
    <n v="25.94"/>
    <n v="115.53"/>
    <n v="521.76"/>
    <n v="10"/>
    <m/>
    <m/>
    <m/>
    <m/>
    <m/>
    <m/>
    <m/>
    <m/>
    <m/>
    <n v="2039.0137173349467"/>
    <m/>
    <m/>
    <m/>
    <m/>
    <m/>
    <m/>
    <m/>
    <m/>
    <m/>
    <m/>
    <m/>
    <m/>
    <n v="4356.2519000000002"/>
    <n v="-1350.6721400000006"/>
    <m/>
    <m/>
    <m/>
    <m/>
    <n v="-935.49266999999975"/>
    <n v="-413.09786000000014"/>
    <n v="31"/>
    <n v="-471.39811690521765"/>
    <n v="0"/>
    <n v="0"/>
    <n v="0"/>
    <n v="0"/>
    <n v="0"/>
    <n v="0"/>
    <n v="0"/>
    <n v="21.356686392312781"/>
    <n v="0"/>
    <n v="0"/>
    <n v="-413.14100194088019"/>
    <n v="0"/>
    <n v="0"/>
    <n v="0"/>
    <n v="-48.3530572184508"/>
    <n v="0"/>
    <n v="-26.90890680911923"/>
    <m/>
    <n v="0"/>
    <n v="0"/>
    <n v="0"/>
    <n v="0"/>
    <n v="-3.4304777000197149"/>
    <n v="-0.92135962906115942"/>
    <n v="0"/>
    <n v="0"/>
    <m/>
    <m/>
    <m/>
    <n v="2403.9720453765372"/>
    <n v="0"/>
    <n v="0"/>
    <n v="-935.49266999999963"/>
    <n v="-413.09786000000008"/>
    <n v="0"/>
    <n v="0"/>
    <n v="-877.2096829590821"/>
    <n v="0"/>
    <n v="0"/>
    <n v="0"/>
    <n v="0"/>
    <n v="0"/>
    <n v="0"/>
    <n v="0"/>
    <n v="0"/>
    <n v="0"/>
    <n v="0"/>
    <n v="0"/>
    <n v="0"/>
    <n v="182.89383245272464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14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37.966000000000001"/>
    <n v="35.688040000000001"/>
    <n v="37.966000000000001"/>
    <n v="35.688040000000001"/>
    <m/>
    <n v="609.05999999999995"/>
    <n v="286.42"/>
    <m/>
    <n v="33997.793680000002"/>
    <n v="33997.793680000002"/>
    <n v="25963.808420000001"/>
    <n v="0"/>
    <n v="2310.6638733444329"/>
    <n v="0"/>
    <n v="0"/>
    <n v="0"/>
    <n v="3707.461525197662"/>
    <n v="14321.230609566233"/>
    <n v="10874.348725527856"/>
    <n v="0"/>
    <n v="0"/>
    <n v="0"/>
    <n v="0"/>
    <n v="0"/>
    <n v="357.10398005731611"/>
    <m/>
    <n v="64.8397610457123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72.7083578455295"/>
    <n v="0"/>
    <n v="91.83"/>
    <n v="343.67"/>
    <n v="6983.36"/>
    <n v="6"/>
    <m/>
    <m/>
    <m/>
    <m/>
    <n v="1557.8285052000001"/>
    <m/>
    <m/>
    <m/>
    <m/>
    <n v="12147.057083373385"/>
    <m/>
    <m/>
    <m/>
    <m/>
    <m/>
    <m/>
    <m/>
    <m/>
    <m/>
    <m/>
    <m/>
    <m/>
    <n v="24407.320299999996"/>
    <n v="-7550.6357591999986"/>
    <m/>
    <m/>
    <m/>
    <m/>
    <n v="-5573.0291399999987"/>
    <n v="-2460.9561200000007"/>
    <n v="31"/>
    <n v="-2808.2694031733154"/>
    <n v="0"/>
    <n v="0"/>
    <n v="0"/>
    <n v="0"/>
    <n v="0"/>
    <n v="0"/>
    <n v="0"/>
    <n v="127.22861377224899"/>
    <n v="0"/>
    <n v="0"/>
    <n v="-2461.2131303448077"/>
    <n v="0"/>
    <n v="0"/>
    <n v="0"/>
    <n v="-288.05463209723894"/>
    <n v="0"/>
    <n v="-160.30496719206349"/>
    <m/>
    <n v="0"/>
    <n v="0"/>
    <n v="0"/>
    <n v="0"/>
    <n v="-20.436453218099587"/>
    <n v="-5.4888340933525726"/>
    <n v="0"/>
    <n v="0"/>
    <m/>
    <m/>
    <m/>
    <n v="14321.230609566233"/>
    <n v="0"/>
    <n v="0"/>
    <n v="-5573.0291399999987"/>
    <n v="-2460.9561200000007"/>
    <n v="0"/>
    <n v="0"/>
    <n v="-5225.8187389337054"/>
    <n v="0"/>
    <n v="0"/>
    <n v="0"/>
    <n v="0"/>
    <n v="0"/>
    <n v="0"/>
    <n v="0"/>
    <n v="0"/>
    <n v="0"/>
    <n v="0"/>
    <n v="0"/>
    <n v="0"/>
    <n v="1089.557075615902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13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46.963999999999999"/>
    <n v="46.963999999999999"/>
    <n v="46.963999999999999"/>
    <n v="46.963999999999999"/>
    <m/>
    <n v="334.98"/>
    <n v="157.53"/>
    <m/>
    <n v="23130.23964"/>
    <n v="23130.23964"/>
    <n v="17664.569319999999"/>
    <n v="0"/>
    <n v="1572.0621077085107"/>
    <n v="0"/>
    <n v="0"/>
    <n v="0"/>
    <n v="2522.3745637718112"/>
    <n v="9743.4612782810527"/>
    <n v="7398.3722923175765"/>
    <n v="0"/>
    <n v="0"/>
    <n v="0"/>
    <n v="0"/>
    <n v="0"/>
    <n v="242.95599287985272"/>
    <m/>
    <n v="44.1137859074687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5.88820062217917"/>
    <n v="0"/>
    <n v="34.82"/>
    <n v="160.66"/>
    <n v="5384.38"/>
    <n v="3"/>
    <m/>
    <m/>
    <m/>
    <m/>
    <m/>
    <m/>
    <m/>
    <m/>
    <m/>
    <n v="8264.2604929397548"/>
    <m/>
    <m/>
    <m/>
    <m/>
    <m/>
    <m/>
    <m/>
    <m/>
    <m/>
    <m/>
    <m/>
    <m/>
    <n v="17663.0648"/>
    <n v="-5467.2048399999985"/>
    <m/>
    <m/>
    <m/>
    <m/>
    <n v="-3791.4037200000007"/>
    <n v="-1674.2666000000002"/>
    <n v="31"/>
    <n v="-1910.6084480284517"/>
    <n v="0"/>
    <n v="0"/>
    <n v="0"/>
    <n v="0"/>
    <n v="0"/>
    <n v="0"/>
    <n v="0"/>
    <n v="86.560094280660905"/>
    <n v="0"/>
    <n v="0"/>
    <n v="-1674.4884212040461"/>
    <n v="0"/>
    <n v="0"/>
    <n v="0"/>
    <n v="-195.97821097819588"/>
    <n v="0"/>
    <n v="-109.06361912143711"/>
    <m/>
    <n v="0"/>
    <n v="0"/>
    <n v="0"/>
    <n v="0"/>
    <n v="-13.903958118162649"/>
    <n v="-3.7343328872704902"/>
    <n v="0"/>
    <n v="0"/>
    <m/>
    <m/>
    <m/>
    <n v="9743.4612782810527"/>
    <n v="0"/>
    <n v="0"/>
    <n v="-3791.4037200000002"/>
    <n v="-1674.2665999999999"/>
    <n v="0"/>
    <n v="0"/>
    <n v="-3555.3901698995551"/>
    <n v="0"/>
    <n v="0"/>
    <n v="0"/>
    <n v="0"/>
    <n v="0"/>
    <n v="0"/>
    <n v="0"/>
    <n v="0"/>
    <n v="0"/>
    <n v="0"/>
    <n v="0"/>
    <n v="0"/>
    <n v="741.28107186887905"/>
    <n v="0"/>
    <n v="0"/>
    <n v="0"/>
    <n v="0"/>
    <n v="0"/>
    <n v="202"/>
    <n v="0"/>
    <n v="0"/>
    <n v="0"/>
    <m/>
    <n v="0"/>
    <n v="-9.7342495079003708"/>
    <m/>
    <n v="-9.7342495079003708"/>
    <m/>
    <n v="0"/>
    <n v="0"/>
    <n v="0"/>
    <n v="0"/>
  </r>
  <r>
    <n v="116"/>
    <s v="Regular"/>
    <s v="Verde"/>
    <s v="A4"/>
    <s v="Serviço público"/>
    <s v="Água, esgoto e saneamento"/>
    <s v="Não se aplica"/>
    <s v="Não se aplica"/>
    <s v="Fora ponta"/>
    <s v="CATIVO"/>
    <x v="4"/>
    <n v="0"/>
    <n v="0"/>
    <n v="200.84200000000001"/>
    <n v="188.79148000000001"/>
    <n v="200.84200000000001"/>
    <n v="188.79148000000001"/>
    <m/>
    <n v="100.48"/>
    <n v="286.42"/>
    <m/>
    <n v="77705.769800000009"/>
    <n v="77705.769800000009"/>
    <n v="63281.297360000004"/>
    <n v="0"/>
    <n v="10634.466830208899"/>
    <n v="0"/>
    <n v="0"/>
    <n v="0"/>
    <n v="0"/>
    <n v="0"/>
    <n v="57525.837505464515"/>
    <n v="0"/>
    <n v="0"/>
    <n v="0"/>
    <n v="0"/>
    <n v="0"/>
    <n v="1889.097549456658"/>
    <m/>
    <n v="275.171099073591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7.3840127552498"/>
    <n v="0"/>
    <n v="0"/>
    <n v="0"/>
    <n v="0"/>
    <n v="0"/>
    <m/>
    <m/>
    <m/>
    <m/>
    <n v="3796.8778416000018"/>
    <m/>
    <m/>
    <m/>
    <m/>
    <n v="59893.221518219761"/>
    <m/>
    <m/>
    <m/>
    <m/>
    <m/>
    <m/>
    <m/>
    <m/>
    <m/>
    <m/>
    <m/>
    <m/>
    <n v="59483.953199999989"/>
    <n v="-13559.500412000009"/>
    <m/>
    <m/>
    <m/>
    <m/>
    <n v="-1405.894"/>
    <n v="-13018.578440000005"/>
    <n v="31"/>
    <n v="-14424.934888024429"/>
    <n v="0"/>
    <n v="0"/>
    <n v="0"/>
    <n v="0"/>
    <n v="0"/>
    <n v="0"/>
    <n v="0"/>
    <n v="0"/>
    <n v="0"/>
    <n v="0"/>
    <n v="-13019.938037315274"/>
    <n v="0"/>
    <n v="0"/>
    <n v="0"/>
    <n v="-535.81476590717079"/>
    <n v="0"/>
    <n v="-737.7783830818662"/>
    <m/>
    <n v="0"/>
    <n v="0"/>
    <n v="0"/>
    <n v="0"/>
    <n v="-108.10983873016767"/>
    <n v="-23.293862989957944"/>
    <n v="0"/>
    <n v="0"/>
    <m/>
    <m/>
    <m/>
    <n v="0"/>
    <n v="0"/>
    <n v="0"/>
    <n v="-1405.8940000000002"/>
    <n v="-13018.578440000005"/>
    <n v="0"/>
    <n v="0"/>
    <n v="0"/>
    <n v="0"/>
    <n v="0"/>
    <n v="0"/>
    <n v="0"/>
    <n v="0"/>
    <n v="0"/>
    <n v="0"/>
    <n v="0"/>
    <n v="0"/>
    <n v="0"/>
    <n v="0"/>
    <n v="0"/>
    <n v="5014.5149685860688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17"/>
    <s v="Regular"/>
    <s v="Verde"/>
    <s v="A4"/>
    <s v="Serviço público"/>
    <s v="Água, esgoto e saneamento"/>
    <s v="Não se aplica"/>
    <s v="Não se aplica"/>
    <s v="Não se aplica"/>
    <s v="CATIVO"/>
    <x v="4"/>
    <n v="556"/>
    <n v="522.64"/>
    <n v="0"/>
    <n v="0"/>
    <n v="0"/>
    <n v="0"/>
    <n v="39.21"/>
    <m/>
    <m/>
    <n v="21800.760000000002"/>
    <m/>
    <n v="21800.760000000002"/>
    <n v="16591.04"/>
    <n v="0"/>
    <n v="0"/>
    <n v="0"/>
    <n v="0"/>
    <n v="0"/>
    <n v="6867.8398590748293"/>
    <n v="14935.26712370352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21.37"/>
    <n v="1021.14"/>
    <n v="35224.160000000003"/>
    <n v="2"/>
    <m/>
    <m/>
    <m/>
    <m/>
    <n v="995.46240000000046"/>
    <m/>
    <m/>
    <m/>
    <m/>
    <n v="0"/>
    <m/>
    <m/>
    <m/>
    <m/>
    <m/>
    <m/>
    <m/>
    <m/>
    <m/>
    <m/>
    <m/>
    <m/>
    <n v="15595.577599999999"/>
    <n v="-4897.1667999999972"/>
    <m/>
    <m/>
    <m/>
    <m/>
    <n v="-5209.72"/>
    <n v="0"/>
    <n v="31"/>
    <n v="235.68302433918689"/>
    <n v="0"/>
    <n v="0"/>
    <n v="0"/>
    <n v="0"/>
    <m/>
    <m/>
    <m/>
    <n v="235.6830243391868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935.267123703527"/>
    <m/>
    <n v="0"/>
    <n v="0"/>
    <n v="-5209.7200000000012"/>
    <m/>
    <n v="0"/>
    <m/>
    <n v="-5449.8807353814664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129"/>
    <s v="Regular"/>
    <s v="Verde"/>
    <s v="A4"/>
    <s v="Comercial"/>
    <s v="Não se aplica"/>
    <s v="Não se aplica"/>
    <s v="Não se aplica"/>
    <s v="Ponta"/>
    <s v="CATIVO"/>
    <x v="5"/>
    <n v="0"/>
    <n v="0"/>
    <n v="0.85699999999999998"/>
    <n v="0.85699999999999998"/>
    <n v="0.85699999999999998"/>
    <n v="0.85699999999999998"/>
    <m/>
    <n v="3305.85"/>
    <n v="286.42"/>
    <m/>
    <n v="3078.57539"/>
    <n v="3078.57539"/>
    <n v="2237.7127"/>
    <n v="0"/>
    <n v="45.377650459012685"/>
    <n v="0"/>
    <n v="0"/>
    <n v="0"/>
    <n v="558.75120583541423"/>
    <n v="2188.2540852838119"/>
    <n v="245.46480687397599"/>
    <n v="0"/>
    <n v="0"/>
    <n v="0"/>
    <n v="0"/>
    <n v="0"/>
    <n v="8.0608468342495883"/>
    <m/>
    <n v="1.17416492519526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10171228593247"/>
    <n v="0"/>
    <n v="0"/>
    <n v="0"/>
    <n v="0"/>
    <n v="0"/>
    <m/>
    <m/>
    <m/>
    <m/>
    <m/>
    <m/>
    <m/>
    <m/>
    <m/>
    <n v="255.56651915990847"/>
    <m/>
    <m/>
    <m/>
    <m/>
    <m/>
    <m/>
    <m/>
    <m/>
    <m/>
    <m/>
    <m/>
    <m/>
    <n v="2245.5459999999998"/>
    <n v="-833.0593900000008"/>
    <m/>
    <m/>
    <m/>
    <m/>
    <n v="-785.31194999999991"/>
    <n v="-55.550740000000019"/>
    <n v="29"/>
    <n v="-42.377099903584281"/>
    <n v="0"/>
    <n v="0"/>
    <n v="0"/>
    <n v="0"/>
    <n v="0"/>
    <n v="0"/>
    <n v="0"/>
    <n v="19.174613378682011"/>
    <n v="0"/>
    <n v="0"/>
    <n v="-55.556541450389801"/>
    <n v="0"/>
    <n v="0"/>
    <n v="0"/>
    <n v="-2.2863407772400475"/>
    <n v="0"/>
    <n v="-3.1481267578552234"/>
    <m/>
    <n v="0"/>
    <n v="0"/>
    <n v="0"/>
    <n v="0"/>
    <n v="-0.46130854996342219"/>
    <n v="-9.9395746817866559E-2"/>
    <n v="0"/>
    <n v="0"/>
    <m/>
    <m/>
    <m/>
    <n v="2188.2540852838119"/>
    <n v="0"/>
    <n v="0"/>
    <n v="-785.3119499999998"/>
    <n v="-55.550740000000019"/>
    <n v="0"/>
    <n v="0"/>
    <n v="-798.49417387259109"/>
    <n v="0"/>
    <n v="0"/>
    <n v="0"/>
    <n v="0"/>
    <n v="0"/>
    <n v="0"/>
    <n v="0"/>
    <n v="0"/>
    <n v="0"/>
    <n v="0"/>
    <n v="0"/>
    <n v="0"/>
    <n v="21.397114787137454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30"/>
    <s v="Regular"/>
    <s v="Verde"/>
    <s v="A4"/>
    <s v="Comercial"/>
    <s v="Não se aplica"/>
    <s v="Não se aplica"/>
    <s v="Não se aplica"/>
    <s v="Fora ponta"/>
    <s v="CATIVO"/>
    <x v="5"/>
    <n v="0"/>
    <n v="0"/>
    <n v="20.474"/>
    <n v="20.474"/>
    <n v="20.474"/>
    <n v="20.474"/>
    <m/>
    <n v="100.48"/>
    <n v="286.42"/>
    <m/>
    <n v="7921.3906000000006"/>
    <n v="7921.3906000000006"/>
    <n v="6450.9479200000005"/>
    <n v="0"/>
    <n v="1084.0863658084313"/>
    <n v="0"/>
    <n v="0"/>
    <n v="0"/>
    <n v="0"/>
    <n v="0"/>
    <n v="5864.2315705225028"/>
    <n v="0"/>
    <n v="0"/>
    <n v="0"/>
    <n v="0"/>
    <n v="0"/>
    <n v="192.57617046024046"/>
    <m/>
    <n v="28.0511699865203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1.33308908072507"/>
    <n v="0"/>
    <n v="0"/>
    <n v="0"/>
    <n v="0"/>
    <n v="0"/>
    <m/>
    <m/>
    <m/>
    <m/>
    <m/>
    <m/>
    <m/>
    <m/>
    <m/>
    <n v="6105.5646596032275"/>
    <m/>
    <m/>
    <m/>
    <m/>
    <m/>
    <m/>
    <m/>
    <m/>
    <m/>
    <m/>
    <m/>
    <m/>
    <n v="6449.6876000000002"/>
    <n v="-1471.7330000000011"/>
    <m/>
    <m/>
    <m/>
    <m/>
    <n v="-143.31800000000001"/>
    <n v="-1327.1246800000004"/>
    <n v="29"/>
    <n v="-1470.4898223350301"/>
    <n v="0"/>
    <n v="0"/>
    <n v="0"/>
    <n v="0"/>
    <n v="0"/>
    <n v="0"/>
    <n v="0"/>
    <n v="0"/>
    <n v="0"/>
    <n v="0"/>
    <n v="-1327.2632784775742"/>
    <n v="0"/>
    <n v="0"/>
    <n v="0"/>
    <n v="-54.62140148566246"/>
    <n v="0"/>
    <n v="-75.209740070394218"/>
    <m/>
    <n v="0"/>
    <n v="0"/>
    <n v="0"/>
    <n v="0"/>
    <n v="-11.020806595042131"/>
    <n v="-2.3745957063582246"/>
    <n v="0"/>
    <n v="0"/>
    <m/>
    <m/>
    <m/>
    <n v="0"/>
    <n v="0"/>
    <n v="0"/>
    <n v="-143.31799999999976"/>
    <n v="-1327.1246799999999"/>
    <n v="0"/>
    <n v="0"/>
    <n v="0"/>
    <n v="0"/>
    <n v="0"/>
    <n v="0"/>
    <n v="0"/>
    <n v="0"/>
    <n v="0"/>
    <n v="0"/>
    <n v="0"/>
    <n v="0"/>
    <n v="0"/>
    <n v="0"/>
    <n v="0"/>
    <n v="511.18381347940749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31"/>
    <s v="Regular"/>
    <s v="Verde"/>
    <s v="A4"/>
    <s v="Comercial"/>
    <s v="Não se aplica"/>
    <s v="Não se aplica"/>
    <s v="Não se aplica"/>
    <s v="Não se aplica"/>
    <s v="CATIVO"/>
    <x v="5"/>
    <n v="206"/>
    <n v="206"/>
    <n v="0"/>
    <n v="0"/>
    <n v="0"/>
    <n v="0"/>
    <n v="39.21"/>
    <m/>
    <m/>
    <n v="8077.26"/>
    <m/>
    <n v="8077.26"/>
    <n v="6147.04"/>
    <n v="0"/>
    <n v="0"/>
    <n v="0"/>
    <n v="0"/>
    <n v="0"/>
    <n v="2544.559372247149"/>
    <n v="5533.57019331461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0.51"/>
    <n v="556.25"/>
    <n v="4070.07"/>
    <n v="1"/>
    <m/>
    <m/>
    <m/>
    <m/>
    <m/>
    <m/>
    <m/>
    <m/>
    <m/>
    <n v="0"/>
    <m/>
    <m/>
    <m/>
    <m/>
    <m/>
    <m/>
    <m/>
    <m/>
    <m/>
    <m/>
    <m/>
    <m/>
    <n v="6147.04"/>
    <n v="-1930.2500000000009"/>
    <m/>
    <m/>
    <m/>
    <m/>
    <n v="-1930.2200000000003"/>
    <n v="0"/>
    <n v="29"/>
    <n v="87.321408298331789"/>
    <n v="0"/>
    <n v="0"/>
    <n v="0"/>
    <n v="0"/>
    <m/>
    <m/>
    <m/>
    <n v="87.321408298331789"/>
    <n v="0"/>
    <n v="0"/>
    <m/>
    <m/>
    <n v="0"/>
    <n v="0"/>
    <n v="0"/>
    <n v="0"/>
    <n v="0"/>
    <m/>
    <n v="0"/>
    <n v="0"/>
    <m/>
    <n v="0"/>
    <n v="0"/>
    <n v="0"/>
    <n v="0"/>
    <n v="0"/>
    <m/>
    <m/>
    <n v="5533.5701933146156"/>
    <m/>
    <n v="0"/>
    <n v="0"/>
    <n v="-1930.2200000000003"/>
    <m/>
    <n v="0"/>
    <m/>
    <n v="-2019.2004163463703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138"/>
    <s v="Regular"/>
    <s v="Verde"/>
    <s v="A4"/>
    <s v="Serviço público"/>
    <s v="Água, esgoto e saneamento"/>
    <s v="Não se aplica"/>
    <s v="Não se aplica"/>
    <s v="Ponta"/>
    <s v="CATIVO"/>
    <x v="5"/>
    <n v="0"/>
    <n v="0"/>
    <n v="18.574000000000002"/>
    <n v="17.45956"/>
    <n v="18.574000000000002"/>
    <n v="17.45956"/>
    <m/>
    <n v="3305.85"/>
    <n v="286.42"/>
    <m/>
    <n v="66722.822979999997"/>
    <n v="66722.822979999997"/>
    <n v="48498.571400000001"/>
    <n v="0"/>
    <n v="983.48247330887011"/>
    <n v="0"/>
    <n v="0"/>
    <n v="0"/>
    <n v="12109.970708502899"/>
    <n v="47426.641050246828"/>
    <n v="5320.0272145591953"/>
    <n v="0"/>
    <n v="0"/>
    <n v="0"/>
    <n v="0"/>
    <n v="0"/>
    <n v="174.70498144615155"/>
    <m/>
    <n v="25.4480038746521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8.93722753665077"/>
    <n v="0"/>
    <n v="0"/>
    <n v="0"/>
    <n v="0"/>
    <n v="0"/>
    <m/>
    <m/>
    <m/>
    <m/>
    <n v="2909.914284000005"/>
    <m/>
    <m/>
    <m/>
    <m/>
    <n v="5538.9644420958457"/>
    <m/>
    <m/>
    <m/>
    <m/>
    <m/>
    <m/>
    <m/>
    <m/>
    <m/>
    <m/>
    <m/>
    <m/>
    <n v="45589.806000000004"/>
    <n v="-17129.677601200005"/>
    <m/>
    <m/>
    <m/>
    <m/>
    <n v="-17020.284899999999"/>
    <n v="-1203.9666800000005"/>
    <n v="29"/>
    <n v="-918.45070432809007"/>
    <n v="0"/>
    <n v="0"/>
    <n v="0"/>
    <n v="0"/>
    <n v="0"/>
    <n v="0"/>
    <n v="0"/>
    <n v="415.57674316877456"/>
    <n v="0"/>
    <n v="0"/>
    <n v="-1204.0924164522057"/>
    <n v="0"/>
    <n v="0"/>
    <n v="0"/>
    <n v="-49.552501279412638"/>
    <n v="0"/>
    <n v="-68.230229171998758"/>
    <m/>
    <n v="0"/>
    <n v="0"/>
    <n v="0"/>
    <n v="0"/>
    <n v="-9.9980688529995518"/>
    <n v="-2.154231740250939"/>
    <n v="0"/>
    <n v="0"/>
    <m/>
    <m/>
    <m/>
    <n v="47426.641050246828"/>
    <n v="0"/>
    <n v="0"/>
    <n v="-17020.284899999999"/>
    <n v="-1203.9666800000005"/>
    <n v="0"/>
    <n v="0"/>
    <n v="-17305.986914246805"/>
    <n v="0"/>
    <n v="0"/>
    <n v="0"/>
    <n v="0"/>
    <n v="0"/>
    <n v="0"/>
    <n v="0"/>
    <n v="0"/>
    <n v="0"/>
    <n v="0"/>
    <n v="0"/>
    <n v="0"/>
    <n v="463.7456360050071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18"/>
    <s v="Regular"/>
    <s v="Convencional"/>
    <s v="B1"/>
    <s v="Residencial"/>
    <s v="Residencial"/>
    <s v="Não se aplica"/>
    <s v="Não se aplica"/>
    <s v="Não se aplica"/>
    <s v="CATIVO"/>
    <x v="5"/>
    <n v="0"/>
    <n v="0"/>
    <n v="465.08600000000001"/>
    <n v="465.08600000000001"/>
    <n v="465.08600000000001"/>
    <n v="465.08600000000001"/>
    <m/>
    <n v="609.05999999999995"/>
    <n v="286.42"/>
    <m/>
    <n v="416475.21127999999"/>
    <n v="416475.21127999999"/>
    <n v="318058.36282000004"/>
    <n v="0"/>
    <n v="28305.78460196673"/>
    <n v="0"/>
    <n v="0"/>
    <n v="0"/>
    <n v="45416.647814046242"/>
    <n v="175436.01799717435"/>
    <n v="133211.48794607935"/>
    <n v="0"/>
    <n v="0"/>
    <n v="0"/>
    <n v="0"/>
    <n v="0"/>
    <n v="4374.5472704245085"/>
    <m/>
    <n v="794.291342403892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590.761189404886"/>
    <n v="0"/>
    <n v="1492.88"/>
    <n v="6987.54"/>
    <n v="81864.070000000007"/>
    <n v="3276"/>
    <m/>
    <m/>
    <m/>
    <m/>
    <m/>
    <m/>
    <m/>
    <m/>
    <m/>
    <n v="148802.24913548422"/>
    <m/>
    <m/>
    <m/>
    <m/>
    <m/>
    <m/>
    <m/>
    <m/>
    <m/>
    <m/>
    <m/>
    <m/>
    <n v="318061.09829999995"/>
    <n v="-98414.142980000062"/>
    <m/>
    <m/>
    <m/>
    <m/>
    <n v="-68269.973939999982"/>
    <n v="-30146.874520000012"/>
    <n v="29"/>
    <n v="-34401.485108893801"/>
    <n v="0"/>
    <n v="0"/>
    <n v="0"/>
    <n v="0"/>
    <n v="0"/>
    <n v="0"/>
    <n v="0"/>
    <n v="1558.558896509523"/>
    <n v="0"/>
    <n v="0"/>
    <n v="-30150.022913647597"/>
    <n v="0"/>
    <n v="0"/>
    <n v="0"/>
    <n v="-3528.6882111251234"/>
    <n v="0"/>
    <n v="-1963.7464039268816"/>
    <m/>
    <n v="0"/>
    <n v="0"/>
    <n v="0"/>
    <n v="0"/>
    <n v="-250.34789762927448"/>
    <n v="-67.238579074460858"/>
    <n v="0"/>
    <n v="0"/>
    <m/>
    <m/>
    <m/>
    <n v="175436.01799717435"/>
    <n v="0"/>
    <n v="0"/>
    <n v="-68269.973939999967"/>
    <n v="-30146.874520000012"/>
    <n v="0"/>
    <n v="0"/>
    <n v="-64016.623663691775"/>
    <n v="0"/>
    <n v="0"/>
    <n v="0"/>
    <n v="0"/>
    <n v="0"/>
    <n v="0"/>
    <n v="0"/>
    <n v="0"/>
    <n v="0"/>
    <n v="0"/>
    <n v="0"/>
    <n v="0"/>
    <n v="13347.145921874768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19"/>
    <s v="Refaturamento - Regular"/>
    <s v="Convencional"/>
    <s v="B1"/>
    <s v="Residencial"/>
    <s v="Residencial"/>
    <s v="Não se aplica"/>
    <s v="Não se aplica"/>
    <s v="Não se aplica"/>
    <s v="CATIVO"/>
    <x v="5"/>
    <n v="0"/>
    <n v="0"/>
    <n v="-0.8"/>
    <n v="-0.8"/>
    <n v="-0.8"/>
    <n v="-0.8"/>
    <m/>
    <n v="609.05999999999995"/>
    <n v="286.42"/>
    <m/>
    <n v="-716.38400000000001"/>
    <n v="-716.38400000000001"/>
    <n v="-547.096"/>
    <n v="0"/>
    <n v="-48.689119177041199"/>
    <n v="0"/>
    <n v="0"/>
    <n v="0"/>
    <n v="-78.121719964129213"/>
    <n v="-301.76959615584963"/>
    <n v="-229.13867619507678"/>
    <n v="0"/>
    <n v="0"/>
    <n v="0"/>
    <n v="0"/>
    <n v="0"/>
    <n v="-7.5247111638269208"/>
    <m/>
    <n v="-1.36627005311515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6.817855088142643"/>
    <n v="0"/>
    <n v="-3.69"/>
    <n v="-16.809999999999999"/>
    <n v="-336.79"/>
    <n v="0"/>
    <m/>
    <m/>
    <m/>
    <m/>
    <m/>
    <m/>
    <m/>
    <m/>
    <m/>
    <n v="-255.95653128321942"/>
    <m/>
    <m/>
    <m/>
    <m/>
    <m/>
    <m/>
    <m/>
    <m/>
    <m/>
    <m/>
    <m/>
    <m/>
    <n v="-547.096"/>
    <n v="169.25800000000004"/>
    <m/>
    <m/>
    <m/>
    <m/>
    <n v="117.43199999999997"/>
    <n v="51.856000000000023"/>
    <n v="29"/>
    <n v="59.174406641169753"/>
    <n v="0"/>
    <n v="0"/>
    <n v="0"/>
    <n v="0"/>
    <n v="0"/>
    <n v="0"/>
    <n v="0"/>
    <n v="-2.6808958283147888"/>
    <n v="0"/>
    <n v="0"/>
    <n v="51.861415589628763"/>
    <n v="0"/>
    <n v="0"/>
    <n v="0"/>
    <n v="6.0697388631352034"/>
    <n v="0"/>
    <n v="3.3778637136819967"/>
    <m/>
    <n v="0"/>
    <n v="0"/>
    <n v="0"/>
    <n v="0"/>
    <n v="0.43062641770214505"/>
    <n v="0.11565788533640808"/>
    <n v="0"/>
    <n v="0"/>
    <m/>
    <m/>
    <m/>
    <n v="-301.76959615584963"/>
    <n v="0"/>
    <n v="0"/>
    <n v="117.43199999999996"/>
    <n v="51.856000000000023"/>
    <n v="0"/>
    <n v="0"/>
    <n v="110.11576123760642"/>
    <n v="0"/>
    <n v="0"/>
    <n v="0"/>
    <n v="0"/>
    <n v="0"/>
    <n v="0"/>
    <n v="0"/>
    <n v="0"/>
    <n v="0"/>
    <n v="0"/>
    <n v="0"/>
    <n v="0"/>
    <n v="-22.95858558954648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20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3.8490000000000002"/>
    <n v="3.8490000000000002"/>
    <n v="3.8490000000000002"/>
    <n v="3.8490000000000002"/>
    <m/>
    <n v="609.05999999999995"/>
    <n v="286.42"/>
    <m/>
    <n v="3446.7025200000003"/>
    <n v="3446.7025200000003"/>
    <n v="2632.2156299999997"/>
    <n v="0"/>
    <n v="234.25552464053948"/>
    <n v="0"/>
    <n v="0"/>
    <n v="0"/>
    <n v="375.86312517741663"/>
    <n v="1451.8889695048315"/>
    <n v="1102.4434558435632"/>
    <n v="0"/>
    <n v="0"/>
    <n v="0"/>
    <n v="0"/>
    <n v="0"/>
    <n v="36.203266586962272"/>
    <m/>
    <n v="6.5734667930502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9.0274052928263"/>
    <n v="0"/>
    <n v="9.07"/>
    <n v="43"/>
    <n v="2430.92"/>
    <n v="32"/>
    <m/>
    <m/>
    <m/>
    <m/>
    <m/>
    <m/>
    <m/>
    <m/>
    <m/>
    <n v="1231.4708611363894"/>
    <m/>
    <m/>
    <m/>
    <m/>
    <m/>
    <m/>
    <m/>
    <m/>
    <m/>
    <m/>
    <m/>
    <m/>
    <n v="2632.8995"/>
    <n v="-813.83302000000094"/>
    <m/>
    <m/>
    <m/>
    <m/>
    <n v="-564.99470999999994"/>
    <n v="-249.4921800000001"/>
    <n v="29"/>
    <n v="-284.70286395232779"/>
    <n v="0"/>
    <n v="0"/>
    <n v="0"/>
    <n v="0"/>
    <n v="0"/>
    <n v="0"/>
    <n v="0"/>
    <n v="12.898460053979591"/>
    <n v="0"/>
    <n v="0"/>
    <n v="-249.51823575560149"/>
    <n v="0"/>
    <n v="0"/>
    <n v="0"/>
    <n v="-29.203031105259257"/>
    <n v="0"/>
    <n v="-16.251746792452508"/>
    <m/>
    <n v="0"/>
    <n v="0"/>
    <n v="0"/>
    <n v="0"/>
    <n v="-2.0718513521694462"/>
    <n v="-0.55645900082479205"/>
    <n v="0"/>
    <n v="0"/>
    <m/>
    <m/>
    <m/>
    <n v="1451.8889695048315"/>
    <n v="0"/>
    <n v="0"/>
    <n v="-564.99471000000017"/>
    <n v="-249.49218000000019"/>
    <n v="0"/>
    <n v="0"/>
    <n v="-529.79445625443384"/>
    <n v="0"/>
    <n v="0"/>
    <n v="0"/>
    <n v="0"/>
    <n v="0"/>
    <n v="0"/>
    <n v="0"/>
    <n v="0"/>
    <n v="0"/>
    <n v="0"/>
    <n v="0"/>
    <n v="0"/>
    <n v="110.4594949177055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21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3.72"/>
    <n v="3.72"/>
    <n v="3.72"/>
    <n v="3.72"/>
    <m/>
    <n v="510.09"/>
    <n v="286.42"/>
    <m/>
    <n v="2963.0172000000002"/>
    <n v="2963.0172000000002"/>
    <n v="2193.5724"/>
    <n v="0"/>
    <n v="0"/>
    <n v="0"/>
    <n v="0"/>
    <n v="0"/>
    <n v="363.2659978332008"/>
    <n v="1403.2286221247007"/>
    <n v="1065.4948443071071"/>
    <n v="0"/>
    <n v="0"/>
    <n v="0"/>
    <n v="0"/>
    <n v="0"/>
    <n v="0"/>
    <m/>
    <n v="6.35315574698545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.70302615986328"/>
    <n v="0"/>
    <n v="3.88"/>
    <n v="17.989999999999998"/>
    <n v="442.2"/>
    <n v="1"/>
    <m/>
    <m/>
    <m/>
    <m/>
    <m/>
    <m/>
    <m/>
    <n v="1425.8388"/>
    <m/>
    <n v="1190.1978704669705"/>
    <m/>
    <m/>
    <m/>
    <m/>
    <m/>
    <m/>
    <m/>
    <m/>
    <m/>
    <m/>
    <m/>
    <m/>
    <n v="767.73360000000002"/>
    <n v="-269.35799999999995"/>
    <m/>
    <m/>
    <m/>
    <m/>
    <n v="-528.31439999999998"/>
    <n v="-241.13040000000009"/>
    <n v="29"/>
    <n v="-257.4515117705032"/>
    <n v="0"/>
    <n v="0"/>
    <n v="0"/>
    <n v="0"/>
    <n v="0"/>
    <n v="0"/>
    <n v="0"/>
    <n v="12.466165601663818"/>
    <n v="0"/>
    <n v="0"/>
    <n v="-241.15558249177377"/>
    <n v="0"/>
    <n v="0"/>
    <n v="0"/>
    <n v="-28.224285713578695"/>
    <n v="0"/>
    <n v="0"/>
    <m/>
    <n v="0"/>
    <n v="0"/>
    <n v="0"/>
    <n v="0"/>
    <n v="0"/>
    <n v="-0.53780916681429769"/>
    <n v="0"/>
    <n v="0"/>
    <m/>
    <m/>
    <m/>
    <n v="1403.2286221247007"/>
    <n v="0"/>
    <n v="0"/>
    <n v="-528.31439999999975"/>
    <n v="-241.13040000000012"/>
    <n v="0"/>
    <n v="0"/>
    <n v="-512.03828975486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22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8.0180000000000007"/>
    <n v="8.0180000000000007"/>
    <n v="8.0180000000000007"/>
    <n v="8.0180000000000007"/>
    <m/>
    <n v="510.09"/>
    <n v="286.42"/>
    <m/>
    <n v="6386.4171800000004"/>
    <n v="6386.4171800000004"/>
    <n v="4727.9740600000005"/>
    <n v="0"/>
    <n v="0"/>
    <n v="0"/>
    <n v="0"/>
    <n v="0"/>
    <n v="782.97493834048498"/>
    <n v="3024.4857774720031"/>
    <n v="2296.5423821651571"/>
    <n v="0"/>
    <n v="0"/>
    <n v="0"/>
    <n v="0"/>
    <n v="0"/>
    <n v="0"/>
    <m/>
    <n v="13.6934416073466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8.78195262090964"/>
    <n v="0"/>
    <n v="14.8"/>
    <n v="69.14"/>
    <n v="1030.6300000000001"/>
    <n v="24"/>
    <m/>
    <m/>
    <m/>
    <m/>
    <m/>
    <m/>
    <m/>
    <n v="1891.2056600000001"/>
    <m/>
    <n v="2565.3243347860666"/>
    <m/>
    <m/>
    <m/>
    <m/>
    <m/>
    <m/>
    <m/>
    <m/>
    <m/>
    <m/>
    <m/>
    <m/>
    <n v="2837.4760000000001"/>
    <n v="-994.43638000000101"/>
    <m/>
    <m/>
    <m/>
    <m/>
    <n v="-1138.7163599999999"/>
    <n v="-519.72676000000024"/>
    <n v="29"/>
    <n v="-554.90489821932579"/>
    <n v="0"/>
    <n v="0"/>
    <n v="0"/>
    <n v="0"/>
    <n v="0"/>
    <n v="0"/>
    <n v="0"/>
    <n v="26.86927843928504"/>
    <n v="0"/>
    <n v="0"/>
    <n v="-519.78103774705414"/>
    <n v="0"/>
    <n v="0"/>
    <n v="0"/>
    <n v="-60.833957755772559"/>
    <n v="0"/>
    <n v="0"/>
    <m/>
    <n v="0"/>
    <n v="0"/>
    <n v="0"/>
    <n v="0"/>
    <n v="0"/>
    <n v="-1.1591811557841485"/>
    <n v="0"/>
    <n v="0"/>
    <m/>
    <m/>
    <m/>
    <n v="3024.4857774720031"/>
    <n v="0"/>
    <n v="0"/>
    <n v="-1138.7163599999999"/>
    <n v="-519.72676000000024"/>
    <n v="0"/>
    <n v="0"/>
    <n v="-1103.6352170039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23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7.2069999999999999"/>
    <n v="7.2069999999999999"/>
    <n v="7.2069999999999999"/>
    <n v="7.2069999999999999"/>
    <m/>
    <n v="510.09"/>
    <n v="286.42"/>
    <m/>
    <n v="5740.4475700000003"/>
    <n v="5740.4475700000003"/>
    <n v="4249.7516899999991"/>
    <n v="0"/>
    <n v="0"/>
    <n v="0"/>
    <n v="0"/>
    <n v="0"/>
    <n v="703.77904472684895"/>
    <n v="2718.56684936901"/>
    <n v="2064.2530491723978"/>
    <n v="0"/>
    <n v="0"/>
    <n v="0"/>
    <n v="0"/>
    <n v="0"/>
    <n v="0"/>
    <m/>
    <n v="12.3083853410011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1.59535202530503"/>
    <n v="0"/>
    <n v="20.77"/>
    <n v="97.38"/>
    <n v="1233.79"/>
    <n v="74"/>
    <m/>
    <m/>
    <m/>
    <m/>
    <m/>
    <m/>
    <m/>
    <n v="424.99678999999998"/>
    <m/>
    <n v="2305.848401197703"/>
    <m/>
    <m/>
    <m/>
    <m/>
    <m/>
    <m/>
    <m/>
    <m/>
    <m/>
    <m/>
    <m/>
    <m/>
    <n v="3826.3469999999998"/>
    <n v="-1340.0930200000003"/>
    <m/>
    <m/>
    <m/>
    <m/>
    <n v="-1023.5381399999999"/>
    <n v="-467.15774000000016"/>
    <n v="29"/>
    <n v="-498.7777003575311"/>
    <n v="0"/>
    <n v="0"/>
    <n v="0"/>
    <n v="0"/>
    <n v="0"/>
    <n v="0"/>
    <n v="0"/>
    <n v="24.151520293330918"/>
    <n v="0"/>
    <n v="0"/>
    <n v="-467.20652769306821"/>
    <n v="0"/>
    <n v="0"/>
    <n v="0"/>
    <n v="-54.680759983269269"/>
    <n v="0"/>
    <n v="0"/>
    <m/>
    <n v="0"/>
    <n v="0"/>
    <n v="0"/>
    <n v="0"/>
    <n v="0"/>
    <n v="-1.0419329745243644"/>
    <n v="0"/>
    <n v="0"/>
    <m/>
    <m/>
    <m/>
    <n v="2718.56684936901"/>
    <n v="0"/>
    <n v="0"/>
    <n v="-1023.5381400000001"/>
    <n v="-467.1577400000001"/>
    <n v="0"/>
    <n v="0"/>
    <n v="-992.00536404928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24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2.125"/>
    <n v="2.125"/>
    <n v="2.125"/>
    <n v="2.125"/>
    <m/>
    <n v="510.09"/>
    <n v="286.42"/>
    <m/>
    <n v="1692.5837499999998"/>
    <n v="1692.5837499999998"/>
    <n v="1253.0487499999999"/>
    <n v="0"/>
    <n v="0"/>
    <n v="0"/>
    <n v="0"/>
    <n v="0"/>
    <n v="207.51081865471821"/>
    <n v="801.57548978897546"/>
    <n v="608.64960864317266"/>
    <n v="0"/>
    <n v="0"/>
    <n v="0"/>
    <n v="0"/>
    <n v="0"/>
    <n v="0"/>
    <m/>
    <n v="3.62915482858712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.234927577878892"/>
    <n v="0"/>
    <n v="7.4"/>
    <n v="34.909999999999997"/>
    <n v="500.67"/>
    <n v="26"/>
    <m/>
    <m/>
    <m/>
    <m/>
    <m/>
    <m/>
    <m/>
    <m/>
    <m/>
    <n v="679.88453622105158"/>
    <m/>
    <m/>
    <m/>
    <m/>
    <m/>
    <m/>
    <m/>
    <m/>
    <m/>
    <m/>
    <m/>
    <m/>
    <n v="1255.9970999999998"/>
    <n v="-436.61664999999994"/>
    <m/>
    <m/>
    <m/>
    <m/>
    <n v="-301.79249999999996"/>
    <n v="-137.74250000000004"/>
    <n v="29"/>
    <n v="-147.06571572911798"/>
    <n v="0"/>
    <n v="0"/>
    <n v="0"/>
    <n v="0"/>
    <n v="0"/>
    <n v="0"/>
    <n v="0"/>
    <n v="7.1211295439611604"/>
    <n v="0"/>
    <n v="0"/>
    <n v="-137.75688515995137"/>
    <n v="0"/>
    <n v="0"/>
    <n v="0"/>
    <n v="-16.122743855202884"/>
    <n v="0"/>
    <n v="0"/>
    <m/>
    <n v="0"/>
    <n v="0"/>
    <n v="0"/>
    <n v="0"/>
    <n v="0"/>
    <n v="-0.30721625792483387"/>
    <n v="0"/>
    <n v="0"/>
    <m/>
    <m/>
    <m/>
    <n v="801.57548978897546"/>
    <n v="0"/>
    <n v="0"/>
    <n v="-301.7924999999999"/>
    <n v="-137.74250000000006"/>
    <n v="0"/>
    <n v="0"/>
    <n v="-292.49499078739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25"/>
    <s v="Regular"/>
    <s v="Branca"/>
    <s v="B1"/>
    <s v="Residencial"/>
    <s v="Residencial"/>
    <s v="Não se aplica"/>
    <s v="Não se aplica"/>
    <s v="Fora ponta"/>
    <s v="CATIVO"/>
    <x v="5"/>
    <n v="0"/>
    <n v="0"/>
    <n v="3.7999999999999999E-2"/>
    <n v="3.7999999999999999E-2"/>
    <n v="3.7999999999999999E-2"/>
    <n v="3.7999999999999999E-2"/>
    <m/>
    <n v="409.62"/>
    <n v="286.42"/>
    <m/>
    <n v="26.44952"/>
    <n v="26.44952"/>
    <n v="20.551919999999999"/>
    <n v="0"/>
    <n v="2.312733160909457"/>
    <n v="0"/>
    <n v="0"/>
    <n v="0"/>
    <n v="2.1524420908402351"/>
    <n v="8.3137491345573302"/>
    <n v="10.884087119266146"/>
    <n v="0"/>
    <n v="0"/>
    <n v="0"/>
    <n v="0"/>
    <n v="0"/>
    <n v="0.35742378028177868"/>
    <m/>
    <n v="6.489782752296971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738481166867754"/>
    <n v="0"/>
    <n v="0"/>
    <n v="0"/>
    <n v="0"/>
    <n v="0"/>
    <m/>
    <m/>
    <m/>
    <m/>
    <m/>
    <m/>
    <m/>
    <m/>
    <m/>
    <n v="12.157935235952921"/>
    <m/>
    <m/>
    <m/>
    <m/>
    <m/>
    <m/>
    <m/>
    <m/>
    <m/>
    <m/>
    <m/>
    <m/>
    <n v="21.633600000000001"/>
    <n v="-4.8459199999999996"/>
    <m/>
    <m/>
    <m/>
    <m/>
    <n v="-3.4344399999999999"/>
    <n v="-2.4631600000000007"/>
    <n v="29"/>
    <n v="-2.8642617114300126"/>
    <n v="0"/>
    <n v="0"/>
    <n v="0"/>
    <n v="0"/>
    <n v="0"/>
    <n v="0"/>
    <n v="0"/>
    <n v="7.3865155870498356E-2"/>
    <n v="0"/>
    <n v="0"/>
    <n v="-2.4634172405073667"/>
    <n v="0"/>
    <n v="0"/>
    <n v="0"/>
    <n v="-0.28831259599892212"/>
    <n v="0"/>
    <n v="-0.16044852639989493"/>
    <m/>
    <n v="0"/>
    <n v="0"/>
    <n v="0"/>
    <n v="0"/>
    <n v="-2.0454754840851852E-2"/>
    <n v="-5.4937495534793726E-3"/>
    <n v="0"/>
    <n v="0"/>
    <m/>
    <m/>
    <m/>
    <n v="8.3137491345573302"/>
    <n v="0"/>
    <n v="0"/>
    <n v="-3.4344400000000004"/>
    <n v="-2.4631600000000002"/>
    <n v="0"/>
    <n v="0"/>
    <n v="-3.0336880399888786"/>
    <n v="0"/>
    <n v="0"/>
    <n v="0"/>
    <n v="0"/>
    <n v="0"/>
    <n v="0"/>
    <n v="0"/>
    <n v="0"/>
    <n v="0"/>
    <n v="0"/>
    <n v="0"/>
    <n v="0"/>
    <n v="1.0905328155034577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26"/>
    <s v="Regular"/>
    <s v="Branca"/>
    <s v="B1"/>
    <s v="Residencial"/>
    <s v="Residencial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26"/>
    <n v="1.21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"/>
    <m/>
    <m/>
    <m/>
    <m/>
    <n v="0"/>
    <n v="-17.698635468909799"/>
    <m/>
    <n v="-17.698635468909799"/>
    <m/>
    <n v="0"/>
    <n v="0"/>
    <n v="0"/>
    <n v="0"/>
  </r>
  <r>
    <n v="127"/>
    <s v="Regular"/>
    <s v="Branca"/>
    <s v="B1"/>
    <s v="Residencial"/>
    <s v="Residencial"/>
    <s v="Não se aplica"/>
    <s v="Não se aplica"/>
    <s v="Intermediário"/>
    <s v="CATIVO"/>
    <x v="5"/>
    <n v="0"/>
    <n v="0"/>
    <n v="1.2E-2"/>
    <n v="1.2E-2"/>
    <n v="1.2E-2"/>
    <n v="1.2E-2"/>
    <m/>
    <n v="960.47"/>
    <n v="286.42"/>
    <m/>
    <n v="14.962680000000001"/>
    <n v="14.962680000000001"/>
    <n v="11.230919999999999"/>
    <n v="0"/>
    <n v="0.73033678765561794"/>
    <n v="0"/>
    <n v="0"/>
    <n v="0"/>
    <n v="2.0390917310054157"/>
    <n v="7.8761874024429597"/>
    <n v="3.4370801429261517"/>
    <n v="0"/>
    <n v="0"/>
    <n v="0"/>
    <n v="0"/>
    <n v="0"/>
    <n v="0.1128706674574038"/>
    <m/>
    <n v="2.049405079672728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0226782632213964"/>
    <n v="0"/>
    <n v="0"/>
    <n v="0"/>
    <n v="0"/>
    <n v="0"/>
    <m/>
    <m/>
    <m/>
    <m/>
    <m/>
    <m/>
    <m/>
    <m/>
    <m/>
    <n v="3.8393479692482915"/>
    <m/>
    <m/>
    <m/>
    <m/>
    <m/>
    <m/>
    <m/>
    <m/>
    <m/>
    <m/>
    <m/>
    <m/>
    <n v="9.3590999999999998"/>
    <n v="-5.6335800000000003"/>
    <m/>
    <m/>
    <m/>
    <m/>
    <n v="-2.953920000000001"/>
    <n v="-0.77784000000000031"/>
    <n v="29"/>
    <n v="-0.85785421497162684"/>
    <n v="0"/>
    <n v="0"/>
    <n v="0"/>
    <n v="0"/>
    <n v="0"/>
    <n v="0"/>
    <n v="0"/>
    <n v="6.9975322070640278E-2"/>
    <n v="0"/>
    <n v="0"/>
    <n v="-0.77792123384443146"/>
    <n v="0"/>
    <n v="0"/>
    <n v="0"/>
    <n v="-9.104608294702804E-2"/>
    <n v="0"/>
    <n v="-5.0667955705229861E-2"/>
    <m/>
    <n v="0"/>
    <n v="0"/>
    <n v="0"/>
    <n v="0"/>
    <n v="-6.4593962655321718E-3"/>
    <n v="-1.7348682800461188E-3"/>
    <n v="0"/>
    <n v="0"/>
    <m/>
    <m/>
    <m/>
    <n v="7.8761874024429597"/>
    <n v="0"/>
    <n v="0"/>
    <n v="-2.9539200000000019"/>
    <n v="-0.77784000000000031"/>
    <n v="0"/>
    <n v="0"/>
    <n v="-2.8740217123203475"/>
    <n v="0"/>
    <n v="0"/>
    <n v="0"/>
    <n v="0"/>
    <n v="0"/>
    <n v="0"/>
    <n v="0"/>
    <n v="0"/>
    <n v="0"/>
    <n v="0"/>
    <n v="0"/>
    <n v="0"/>
    <n v="0.3443787838431972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32"/>
    <s v="Regular"/>
    <s v="Convencional"/>
    <s v="B2"/>
    <s v="Rural"/>
    <s v="Não se aplica"/>
    <s v="Não se aplica"/>
    <s v="Não se aplica"/>
    <s v="Não se aplica"/>
    <s v="CATIVO"/>
    <x v="5"/>
    <n v="0"/>
    <n v="0"/>
    <n v="128.40199999999999"/>
    <n v="128.40199999999999"/>
    <n v="128.40199999999999"/>
    <n v="128.40199999999999"/>
    <m/>
    <n v="609.05999999999995"/>
    <n v="286.42"/>
    <m/>
    <n v="114981.42295999997"/>
    <n v="114981.42295999997"/>
    <n v="87810.275739999983"/>
    <n v="0"/>
    <n v="7814.7253507130545"/>
    <n v="0"/>
    <n v="0"/>
    <n v="0"/>
    <n v="12538.731358542645"/>
    <n v="48434.774607004249"/>
    <n v="36777.330376000304"/>
    <n v="0"/>
    <n v="0"/>
    <n v="0"/>
    <n v="0"/>
    <n v="0"/>
    <n v="1207.7349535721301"/>
    <m/>
    <n v="219.289759200114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04.3327862846136"/>
    <n v="0"/>
    <n v="373.92"/>
    <n v="1732.39"/>
    <n v="3240.44"/>
    <n v="331"/>
    <m/>
    <m/>
    <m/>
    <m/>
    <m/>
    <n v="10537.952139999994"/>
    <m/>
    <m/>
    <m/>
    <n v="41081.663162284916"/>
    <m/>
    <m/>
    <m/>
    <m/>
    <m/>
    <m/>
    <m/>
    <m/>
    <m/>
    <m/>
    <m/>
    <m/>
    <n v="77271.12"/>
    <n v="-23912.254039999985"/>
    <m/>
    <m/>
    <m/>
    <m/>
    <n v="-18848.129579999993"/>
    <n v="-8323.0176400000018"/>
    <n v="29"/>
    <n v="-9497.6402019243396"/>
    <n v="0"/>
    <n v="0"/>
    <n v="0"/>
    <n v="0"/>
    <n v="0"/>
    <n v="0"/>
    <n v="0"/>
    <n v="430.29048268409679"/>
    <n v="0"/>
    <n v="0"/>
    <n v="-8323.8868556743873"/>
    <n v="0"/>
    <n v="0"/>
    <n v="0"/>
    <n v="-974.20826188035744"/>
    <n v="0"/>
    <n v="-542.15557070524483"/>
    <m/>
    <n v="0"/>
    <n v="0"/>
    <n v="0"/>
    <n v="0"/>
    <n v="-69.116616607238484"/>
    <n v="-18.56337974120683"/>
    <n v="0"/>
    <n v="0"/>
    <m/>
    <m/>
    <m/>
    <n v="48434.774607004249"/>
    <n v="0"/>
    <n v="0"/>
    <n v="-18848.129579999986"/>
    <n v="-8323.0176399999982"/>
    <n v="0"/>
    <n v="0"/>
    <n v="-17673.854968038922"/>
    <n v="0"/>
    <n v="0"/>
    <n v="0"/>
    <n v="0"/>
    <n v="0"/>
    <n v="0"/>
    <n v="0"/>
    <n v="0"/>
    <n v="0"/>
    <n v="0"/>
    <n v="0"/>
    <n v="0"/>
    <n v="3684.9103835861833"/>
    <n v="0"/>
    <n v="0"/>
    <n v="0"/>
    <n v="0"/>
    <n v="0"/>
    <n v="202"/>
    <n v="0"/>
    <n v="0"/>
    <n v="0"/>
    <m/>
    <n v="0"/>
    <n v="-12.3890448282368"/>
    <m/>
    <n v="-17.698635468909799"/>
    <m/>
    <n v="0"/>
    <n v="0"/>
    <n v="0"/>
    <n v="0"/>
  </r>
  <r>
    <n v="133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1.198"/>
    <n v="1.198"/>
    <n v="1.198"/>
    <n v="1.198"/>
    <m/>
    <n v="609.05999999999995"/>
    <n v="286.42"/>
    <m/>
    <n v="1072.78504"/>
    <n v="1072.78504"/>
    <n v="819.27625999999987"/>
    <n v="0"/>
    <n v="72.911955967619193"/>
    <n v="0"/>
    <n v="0"/>
    <n v="0"/>
    <n v="116.98727564628348"/>
    <n v="451.89997024338476"/>
    <n v="343.13516760212747"/>
    <n v="0"/>
    <n v="0"/>
    <n v="0"/>
    <n v="0"/>
    <n v="0"/>
    <n v="11.268254967830813"/>
    <m/>
    <n v="2.04598940453994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.159737994493604"/>
    <n v="0"/>
    <n v="1.25"/>
    <n v="5.88"/>
    <n v="0"/>
    <n v="4"/>
    <m/>
    <m/>
    <m/>
    <m/>
    <m/>
    <n v="98.319859999999949"/>
    <m/>
    <m/>
    <m/>
    <n v="383.29490559662105"/>
    <m/>
    <m/>
    <m/>
    <m/>
    <m/>
    <m/>
    <m/>
    <m/>
    <m/>
    <m/>
    <m/>
    <m/>
    <n v="722.16"/>
    <n v="-221.91796000000011"/>
    <m/>
    <m/>
    <m/>
    <m/>
    <n v="-175.85441999999995"/>
    <n v="-77.654360000000025"/>
    <n v="29"/>
    <n v="-88.613673945151504"/>
    <n v="0"/>
    <n v="0"/>
    <n v="0"/>
    <n v="0"/>
    <n v="0"/>
    <n v="0"/>
    <n v="0"/>
    <n v="4.014641502901398"/>
    <n v="0"/>
    <n v="0"/>
    <n v="-77.662469845469104"/>
    <n v="0"/>
    <n v="0"/>
    <n v="0"/>
    <n v="-9.0894339475449648"/>
    <n v="0"/>
    <n v="-5.0583509112387901"/>
    <m/>
    <n v="0"/>
    <n v="0"/>
    <n v="0"/>
    <n v="0"/>
    <n v="-0.64486306050896225"/>
    <n v="-0.17319768329127117"/>
    <n v="0"/>
    <n v="0"/>
    <m/>
    <m/>
    <m/>
    <n v="451.89997024338476"/>
    <n v="0"/>
    <n v="0"/>
    <n v="-175.85442"/>
    <n v="-77.654360000000054"/>
    <n v="0"/>
    <n v="0"/>
    <n v="-164.89835245331557"/>
    <n v="0"/>
    <n v="0"/>
    <n v="0"/>
    <n v="0"/>
    <n v="0"/>
    <n v="0"/>
    <n v="0"/>
    <n v="0"/>
    <n v="0"/>
    <n v="0"/>
    <n v="0"/>
    <n v="0"/>
    <n v="34.380481920345851"/>
    <n v="0"/>
    <n v="0"/>
    <n v="0"/>
    <n v="0"/>
    <n v="0"/>
    <n v="202"/>
    <n v="0"/>
    <n v="0"/>
    <n v="0"/>
    <m/>
    <n v="0"/>
    <n v="-12.3890448282368"/>
    <m/>
    <n v="-17.698635468909799"/>
    <m/>
    <n v="0"/>
    <n v="0"/>
    <n v="0"/>
    <n v="0"/>
  </r>
  <r>
    <n v="134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-0.82199999999999995"/>
    <n v="-0.82199999999999995"/>
    <n v="-0.82199999999999995"/>
    <n v="-0.82199999999999995"/>
    <m/>
    <n v="609.05999999999995"/>
    <n v="286.42"/>
    <m/>
    <n v="-736.0845599999999"/>
    <n v="-736.0845599999999"/>
    <n v="-562.14113999999995"/>
    <n v="0"/>
    <n v="-50.02806995440983"/>
    <n v="0"/>
    <n v="0"/>
    <n v="0"/>
    <n v="-80.270067263142749"/>
    <n v="-310.06826005013545"/>
    <n v="-235.43998979044139"/>
    <n v="0"/>
    <n v="0"/>
    <n v="0"/>
    <n v="0"/>
    <n v="0"/>
    <n v="-7.7316407208321598"/>
    <m/>
    <n v="-1.40384247957581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7.555346103066562"/>
    <n v="0"/>
    <n v="-0.88"/>
    <n v="-4.03"/>
    <n v="0"/>
    <n v="2"/>
    <m/>
    <m/>
    <m/>
    <m/>
    <m/>
    <n v="-67.461539999999971"/>
    <m/>
    <m/>
    <m/>
    <n v="-262.99533589350796"/>
    <m/>
    <m/>
    <m/>
    <m/>
    <m/>
    <m/>
    <m/>
    <m/>
    <m/>
    <m/>
    <m/>
    <m/>
    <n v="-493.47599999999994"/>
    <n v="154.24644000000006"/>
    <m/>
    <m/>
    <m/>
    <m/>
    <n v="120.66137999999997"/>
    <n v="53.282040000000016"/>
    <n v="29"/>
    <n v="60.801702823801861"/>
    <n v="0"/>
    <n v="0"/>
    <n v="0"/>
    <n v="0"/>
    <n v="0"/>
    <n v="0"/>
    <n v="0"/>
    <n v="-2.7546204635934544"/>
    <n v="0"/>
    <n v="0"/>
    <n v="53.287604518343556"/>
    <n v="0"/>
    <n v="0"/>
    <n v="0"/>
    <n v="6.2366566818714197"/>
    <n v="0"/>
    <n v="3.4707549658082542"/>
    <m/>
    <n v="0"/>
    <n v="0"/>
    <n v="0"/>
    <n v="0"/>
    <n v="0.4424686441889536"/>
    <n v="0.11883847718315921"/>
    <n v="0"/>
    <n v="0"/>
    <m/>
    <m/>
    <m/>
    <n v="-310.06826005013545"/>
    <n v="0"/>
    <n v="0"/>
    <n v="120.66137999999995"/>
    <n v="53.282040000000023"/>
    <n v="0"/>
    <n v="0"/>
    <n v="113.14394467164055"/>
    <n v="0"/>
    <n v="0"/>
    <n v="0"/>
    <n v="0"/>
    <n v="0"/>
    <n v="0"/>
    <n v="0"/>
    <n v="0"/>
    <n v="0"/>
    <n v="0"/>
    <n v="0"/>
    <n v="0"/>
    <n v="-23.589946693259005"/>
    <n v="0"/>
    <n v="0"/>
    <n v="0"/>
    <n v="0"/>
    <n v="0"/>
    <n v="202"/>
    <n v="0"/>
    <n v="0"/>
    <n v="0"/>
    <m/>
    <n v="0"/>
    <n v="-12.3890448282368"/>
    <m/>
    <n v="-17.698635468909799"/>
    <m/>
    <n v="0"/>
    <n v="0"/>
    <n v="0"/>
    <n v="0"/>
  </r>
  <r>
    <n v="128"/>
    <s v="Regular"/>
    <s v="Convencional"/>
    <s v="B3"/>
    <s v="Comercial"/>
    <s v="Não se aplica"/>
    <s v="Não se aplica"/>
    <s v="Não se aplica"/>
    <s v="Não se aplica"/>
    <s v="CATIVO"/>
    <x v="5"/>
    <n v="0"/>
    <n v="0"/>
    <n v="16.547999999999998"/>
    <n v="16.547999999999998"/>
    <n v="16.547999999999998"/>
    <n v="16.547999999999998"/>
    <m/>
    <n v="609.05999999999995"/>
    <n v="286.42"/>
    <m/>
    <n v="14818.403039999997"/>
    <n v="14818.403039999997"/>
    <n v="11316.680759999997"/>
    <n v="0"/>
    <n v="1007.1344301770971"/>
    <n v="0"/>
    <n v="0"/>
    <n v="0"/>
    <n v="1615.9477774580125"/>
    <n v="6242.1040964837484"/>
    <n v="4739.7335170951628"/>
    <n v="0"/>
    <n v="0"/>
    <n v="0"/>
    <n v="0"/>
    <n v="0"/>
    <n v="155.64865042375982"/>
    <m/>
    <n v="28.2612960486869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4.72733249823045"/>
    <n v="0"/>
    <n v="38.33"/>
    <n v="178.1"/>
    <n v="3047.09"/>
    <n v="43"/>
    <m/>
    <m/>
    <m/>
    <m/>
    <m/>
    <m/>
    <m/>
    <m/>
    <m/>
    <n v="5294.4608495933935"/>
    <m/>
    <m/>
    <m/>
    <m/>
    <m/>
    <m/>
    <m/>
    <m/>
    <m/>
    <m/>
    <m/>
    <m/>
    <n v="11318.048500000001"/>
    <n v="-3500.3845399999973"/>
    <m/>
    <m/>
    <m/>
    <m/>
    <n v="-2429.080919999999"/>
    <n v="-1072.6413600000003"/>
    <n v="29"/>
    <n v="-1224.0226013725951"/>
    <n v="0"/>
    <n v="0"/>
    <n v="0"/>
    <n v="0"/>
    <n v="0"/>
    <n v="0"/>
    <n v="0"/>
    <n v="55.454330208691317"/>
    <n v="0"/>
    <n v="0"/>
    <n v="-1072.7533814714711"/>
    <n v="0"/>
    <n v="0"/>
    <n v="0"/>
    <n v="-125.5525483839516"/>
    <n v="0"/>
    <n v="-69.871110917512055"/>
    <m/>
    <n v="0"/>
    <n v="0"/>
    <n v="0"/>
    <n v="0"/>
    <n v="-8.9075074501688505"/>
    <n v="-2.3923833581835972"/>
    <n v="0"/>
    <n v="0"/>
    <m/>
    <m/>
    <m/>
    <n v="6242.1040964837484"/>
    <n v="0"/>
    <n v="0"/>
    <n v="-2429.0809199999994"/>
    <n v="-1072.6413600000001"/>
    <n v="0"/>
    <n v="0"/>
    <n v="-2277.7445211998879"/>
    <n v="0"/>
    <n v="0"/>
    <n v="0"/>
    <n v="0"/>
    <n v="0"/>
    <n v="0"/>
    <n v="0"/>
    <n v="0"/>
    <n v="0"/>
    <n v="0"/>
    <n v="0"/>
    <n v="0"/>
    <n v="474.89834291976888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35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6.9450000000000003"/>
    <n v="6.9450000000000003"/>
    <n v="6.9450000000000003"/>
    <n v="6.9450000000000003"/>
    <m/>
    <n v="609.05999999999995"/>
    <n v="286.42"/>
    <m/>
    <n v="6219.1085999999996"/>
    <n v="6219.1085999999996"/>
    <n v="4749.4771499999997"/>
    <n v="0"/>
    <n v="422.68241585568893"/>
    <n v="0"/>
    <n v="0"/>
    <n v="0"/>
    <n v="678.19418143859673"/>
    <n v="2619.7373066279697"/>
    <n v="1989.2101327185103"/>
    <n v="0"/>
    <n v="0"/>
    <n v="0"/>
    <n v="0"/>
    <n v="0"/>
    <n v="65.32389879097245"/>
    <m/>
    <n v="11.8609318986059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2.81250448393831"/>
    <n v="0"/>
    <n v="26.57"/>
    <n v="122.83"/>
    <n v="512.23"/>
    <n v="10"/>
    <m/>
    <m/>
    <m/>
    <m/>
    <m/>
    <m/>
    <m/>
    <m/>
    <m/>
    <n v="2222.0226372024485"/>
    <m/>
    <m/>
    <m/>
    <m/>
    <m/>
    <m/>
    <m/>
    <m/>
    <m/>
    <m/>
    <m/>
    <m/>
    <n v="4752.8964999999998"/>
    <n v="-1466.2421000000004"/>
    <m/>
    <m/>
    <m/>
    <m/>
    <n v="-1019.4565499999998"/>
    <n v="-450.17490000000015"/>
    <n v="29"/>
    <n v="-513.70781765365473"/>
    <n v="0"/>
    <n v="0"/>
    <n v="0"/>
    <n v="0"/>
    <n v="0"/>
    <n v="0"/>
    <n v="0"/>
    <n v="23.273526909557745"/>
    <n v="0"/>
    <n v="0"/>
    <n v="-450.22191408746471"/>
    <n v="0"/>
    <n v="0"/>
    <n v="0"/>
    <n v="-52.692920505592468"/>
    <n v="0"/>
    <n v="-29.324079364401825"/>
    <m/>
    <n v="0"/>
    <n v="0"/>
    <n v="0"/>
    <n v="0"/>
    <n v="-3.7383755886767389"/>
    <n v="-1.0040550170766913"/>
    <n v="0"/>
    <n v="0"/>
    <m/>
    <m/>
    <m/>
    <n v="2619.7373066279697"/>
    <n v="0"/>
    <n v="0"/>
    <n v="-1019.4565499999999"/>
    <n v="-450.17490000000021"/>
    <n v="0"/>
    <n v="0"/>
    <n v="-955.94245224397082"/>
    <n v="0"/>
    <n v="0"/>
    <n v="0"/>
    <n v="0"/>
    <n v="0"/>
    <n v="0"/>
    <n v="0"/>
    <n v="0"/>
    <n v="0"/>
    <n v="0"/>
    <n v="0"/>
    <n v="0"/>
    <n v="199.30922114925039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37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30.204000000000001"/>
    <n v="28.391760000000001"/>
    <n v="30.204000000000001"/>
    <n v="28.391760000000001"/>
    <m/>
    <n v="609.05999999999995"/>
    <n v="286.42"/>
    <m/>
    <n v="27047.077920000003"/>
    <n v="27047.077920000003"/>
    <n v="20655.609479999999"/>
    <n v="0"/>
    <n v="1838.2576945291905"/>
    <n v="0"/>
    <n v="0"/>
    <n v="0"/>
    <n v="2949.4855372456982"/>
    <n v="11393.311102864101"/>
    <n v="8651.1307197451242"/>
    <n v="0"/>
    <n v="0"/>
    <n v="0"/>
    <n v="0"/>
    <n v="0"/>
    <n v="284.09546999028538"/>
    <m/>
    <n v="51.5835258553625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12.5081188528254"/>
    <n v="0"/>
    <n v="33.89"/>
    <n v="156.66"/>
    <n v="5519.62"/>
    <n v="6"/>
    <m/>
    <m/>
    <m/>
    <m/>
    <n v="1239.3365687999994"/>
    <m/>
    <m/>
    <m/>
    <m/>
    <n v="9663.6388385979499"/>
    <m/>
    <m/>
    <m/>
    <m/>
    <m/>
    <m/>
    <m/>
    <m/>
    <m/>
    <m/>
    <m/>
    <m/>
    <n v="19415.069299999999"/>
    <n v="-6009.2139447999944"/>
    <m/>
    <m/>
    <m/>
    <m/>
    <n v="-4433.6451599999991"/>
    <n v="-1957.8232800000008"/>
    <n v="29"/>
    <n v="-2234.1297227373634"/>
    <n v="0"/>
    <n v="0"/>
    <n v="0"/>
    <n v="0"/>
    <n v="0"/>
    <n v="0"/>
    <n v="0"/>
    <n v="101.21722199802525"/>
    <n v="0"/>
    <n v="0"/>
    <n v="-1958.0277455864343"/>
    <n v="0"/>
    <n v="0"/>
    <n v="0"/>
    <n v="-229.16299077766951"/>
    <n v="0"/>
    <n v="-127.53124451006374"/>
    <m/>
    <n v="0"/>
    <n v="0"/>
    <n v="0"/>
    <n v="0"/>
    <n v="-16.258300400344467"/>
    <n v="-4.366663460876083"/>
    <n v="0"/>
    <n v="0"/>
    <m/>
    <m/>
    <m/>
    <n v="11393.311102864101"/>
    <n v="0"/>
    <n v="0"/>
    <n v="-4433.64516"/>
    <n v="-1957.8232800000014"/>
    <n v="0"/>
    <n v="0"/>
    <n v="-4157.4205655258293"/>
    <n v="0"/>
    <n v="0"/>
    <n v="0"/>
    <n v="0"/>
    <n v="0"/>
    <n v="0"/>
    <n v="0"/>
    <n v="0"/>
    <n v="0"/>
    <n v="0"/>
    <n v="0"/>
    <n v="0"/>
    <n v="866.80139893332728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36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43.518000000000001"/>
    <n v="43.518000000000001"/>
    <n v="43.518000000000001"/>
    <n v="43.518000000000001"/>
    <m/>
    <n v="334.98"/>
    <n v="157.53"/>
    <m/>
    <n v="21433.050180000002"/>
    <n v="21433.050180000002"/>
    <n v="16368.425340000002"/>
    <n v="0"/>
    <n v="1456.7114982382031"/>
    <n v="0"/>
    <n v="0"/>
    <n v="0"/>
    <n v="2337.2944439617936"/>
    <n v="9028.5313837883241"/>
    <n v="6855.514126076916"/>
    <n v="0"/>
    <n v="0"/>
    <n v="0"/>
    <n v="0"/>
    <n v="0"/>
    <n v="225.12901154385128"/>
    <m/>
    <n v="40.8769213678823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2.35334968648306"/>
    <n v="0"/>
    <n v="32.270000000000003"/>
    <n v="148.97999999999999"/>
    <n v="4989.32"/>
    <n v="3"/>
    <m/>
    <m/>
    <m/>
    <m/>
    <m/>
    <m/>
    <m/>
    <m/>
    <m/>
    <n v="7657.8674757633989"/>
    <m/>
    <m/>
    <m/>
    <m/>
    <m/>
    <m/>
    <m/>
    <m/>
    <m/>
    <m/>
    <m/>
    <m/>
    <n v="16369.177600000001"/>
    <n v="-5063.9025799999999"/>
    <m/>
    <m/>
    <m/>
    <m/>
    <n v="-3513.2081400000006"/>
    <n v="-1551.4167000000002"/>
    <n v="29"/>
    <n v="-1770.4168818946873"/>
    <n v="0"/>
    <n v="0"/>
    <n v="0"/>
    <n v="0"/>
    <n v="0"/>
    <n v="0"/>
    <n v="0"/>
    <n v="80.208716951405677"/>
    <n v="0"/>
    <n v="0"/>
    <n v="-1551.6222449952656"/>
    <n v="0"/>
    <n v="0"/>
    <n v="0"/>
    <n v="-181.5982408940705"/>
    <n v="0"/>
    <n v="-101.06103775076031"/>
    <m/>
    <n v="0"/>
    <n v="0"/>
    <n v="0"/>
    <n v="0"/>
    <n v="-12.88375030632406"/>
    <n v="-3.4603248996728766"/>
    <n v="0"/>
    <n v="0"/>
    <m/>
    <m/>
    <m/>
    <n v="9028.5313837883241"/>
    <n v="0"/>
    <n v="0"/>
    <n v="-3513.2081400000006"/>
    <n v="-1551.4167000000007"/>
    <n v="0"/>
    <n v="0"/>
    <n v="-3294.512167057509"/>
    <n v="0"/>
    <n v="0"/>
    <n v="0"/>
    <n v="0"/>
    <n v="0"/>
    <n v="0"/>
    <n v="0"/>
    <n v="0"/>
    <n v="0"/>
    <n v="0"/>
    <n v="0"/>
    <n v="0"/>
    <n v="686.88931278404482"/>
    <n v="0"/>
    <n v="0"/>
    <n v="0"/>
    <n v="0"/>
    <n v="0"/>
    <n v="202"/>
    <n v="0"/>
    <n v="0"/>
    <n v="0"/>
    <m/>
    <n v="0"/>
    <n v="-9.7342495079003708"/>
    <m/>
    <n v="-9.7342495079003708"/>
    <m/>
    <n v="0"/>
    <n v="0"/>
    <n v="0"/>
    <n v="0"/>
  </r>
  <r>
    <n v="139"/>
    <s v="Regular"/>
    <s v="Verde"/>
    <s v="A4"/>
    <s v="Serviço público"/>
    <s v="Água, esgoto e saneamento"/>
    <s v="Não se aplica"/>
    <s v="Não se aplica"/>
    <s v="Fora ponta"/>
    <s v="CATIVO"/>
    <x v="5"/>
    <n v="0"/>
    <n v="0"/>
    <n v="193.44"/>
    <n v="181.83359999999999"/>
    <n v="193.44"/>
    <n v="181.83359999999999"/>
    <m/>
    <n v="100.48"/>
    <n v="286.42"/>
    <m/>
    <n v="74841.936000000002"/>
    <n v="74841.936000000002"/>
    <n v="60949.075199999992"/>
    <n v="0"/>
    <n v="10242.535244797449"/>
    <n v="0"/>
    <n v="0"/>
    <n v="0"/>
    <n v="0"/>
    <n v="0"/>
    <n v="55405.731903969565"/>
    <n v="0"/>
    <n v="0"/>
    <n v="0"/>
    <n v="0"/>
    <n v="0"/>
    <n v="1819.4751594133493"/>
    <m/>
    <n v="265.029711936724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80.134451097756"/>
    <n v="0"/>
    <n v="0"/>
    <n v="0"/>
    <n v="0"/>
    <n v="0"/>
    <m/>
    <m/>
    <m/>
    <m/>
    <n v="3656.9445120000028"/>
    <m/>
    <m/>
    <m/>
    <m/>
    <n v="57685.866355067323"/>
    <m/>
    <m/>
    <m/>
    <m/>
    <m/>
    <m/>
    <m/>
    <m/>
    <m/>
    <m/>
    <m/>
    <m/>
    <n v="57290.996400000004"/>
    <n v="-13060.453439999997"/>
    <m/>
    <m/>
    <m/>
    <m/>
    <n v="-1354.08"/>
    <n v="-12538.780800000004"/>
    <n v="29"/>
    <n v="-13893.306204575987"/>
    <n v="0"/>
    <n v="0"/>
    <n v="0"/>
    <n v="0"/>
    <n v="0"/>
    <n v="0"/>
    <n v="0"/>
    <n v="0"/>
    <n v="0"/>
    <n v="0"/>
    <n v="-12540.090289572239"/>
    <n v="0"/>
    <n v="0"/>
    <n v="0"/>
    <n v="-516.06739784050728"/>
    <n v="0"/>
    <n v="-710.58767799243287"/>
    <m/>
    <n v="0"/>
    <n v="0"/>
    <n v="0"/>
    <n v="0"/>
    <n v="-104.1254678003786"/>
    <n v="-22.435371370417869"/>
    <n v="0"/>
    <n v="0"/>
    <m/>
    <m/>
    <m/>
    <n v="0"/>
    <n v="0"/>
    <n v="0"/>
    <n v="-1354.0800000000017"/>
    <n v="-12538.780800000008"/>
    <n v="0"/>
    <n v="0"/>
    <n v="0"/>
    <n v="0"/>
    <n v="0"/>
    <n v="0"/>
    <n v="0"/>
    <n v="0"/>
    <n v="0"/>
    <n v="0"/>
    <n v="0"/>
    <n v="0"/>
    <n v="0"/>
    <n v="0"/>
    <n v="0"/>
    <n v="4829.7058161305358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40"/>
    <s v="Regular"/>
    <s v="Verde"/>
    <s v="A4"/>
    <s v="Serviço público"/>
    <s v="Água, esgoto e saneamento"/>
    <s v="Não se aplica"/>
    <s v="Não se aplica"/>
    <s v="Não se aplica"/>
    <s v="CATIVO"/>
    <x v="5"/>
    <n v="556"/>
    <n v="522.64"/>
    <n v="0"/>
    <n v="0"/>
    <n v="0"/>
    <n v="0"/>
    <n v="39.21"/>
    <m/>
    <m/>
    <n v="21800.760000000002"/>
    <m/>
    <n v="21800.760000000002"/>
    <n v="16591.04"/>
    <n v="0"/>
    <n v="0"/>
    <n v="0"/>
    <n v="0"/>
    <n v="0"/>
    <n v="6867.8398590748293"/>
    <n v="14935.26712370352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12.68"/>
    <n v="981.78"/>
    <n v="33560.75"/>
    <n v="2"/>
    <m/>
    <m/>
    <m/>
    <m/>
    <n v="995.46240000000046"/>
    <m/>
    <m/>
    <m/>
    <m/>
    <n v="0"/>
    <m/>
    <m/>
    <m/>
    <m/>
    <m/>
    <m/>
    <m/>
    <m/>
    <m/>
    <m/>
    <m/>
    <m/>
    <n v="15595.577599999999"/>
    <n v="-4897.1667999999972"/>
    <m/>
    <m/>
    <m/>
    <m/>
    <n v="-5209.72"/>
    <n v="0"/>
    <n v="29"/>
    <n v="235.68302433918689"/>
    <n v="0"/>
    <n v="0"/>
    <n v="0"/>
    <n v="0"/>
    <m/>
    <m/>
    <m/>
    <n v="235.6830243391868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935.267123703527"/>
    <m/>
    <n v="0"/>
    <n v="0"/>
    <n v="-5209.7200000000012"/>
    <m/>
    <n v="0"/>
    <m/>
    <n v="-5449.8807353814664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150"/>
    <s v="Regular"/>
    <s v="Verde"/>
    <s v="A4"/>
    <s v="Comercial"/>
    <s v="Não se aplica"/>
    <s v="Não se aplica"/>
    <s v="Não se aplica"/>
    <s v="Ponta"/>
    <s v="CATIVO"/>
    <x v="6"/>
    <n v="0"/>
    <n v="0"/>
    <n v="1.0409999999999999"/>
    <n v="1.0409999999999999"/>
    <n v="1.0409999999999999"/>
    <n v="1.0409999999999999"/>
    <m/>
    <n v="3305.85"/>
    <n v="286.42"/>
    <m/>
    <n v="3739.5530699999995"/>
    <n v="3739.5530699999995"/>
    <n v="2718.1550999999995"/>
    <n v="0"/>
    <n v="55.120343206338624"/>
    <n v="0"/>
    <n v="0"/>
    <n v="0"/>
    <n v="678.71645889692661"/>
    <n v="2658.0775995104414"/>
    <n v="298.16670239884365"/>
    <n v="0"/>
    <n v="0"/>
    <n v="0"/>
    <n v="0"/>
    <n v="0"/>
    <n v="9.79153040192978"/>
    <m/>
    <n v="1.42626101181829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270574667042824"/>
    <n v="0"/>
    <n v="0"/>
    <n v="0"/>
    <n v="0"/>
    <n v="0"/>
    <m/>
    <m/>
    <m/>
    <m/>
    <m/>
    <m/>
    <m/>
    <m/>
    <m/>
    <n v="310.43727706588646"/>
    <m/>
    <m/>
    <m/>
    <m/>
    <m/>
    <m/>
    <m/>
    <m/>
    <m/>
    <m/>
    <m/>
    <m/>
    <n v="2715.5439999999999"/>
    <n v="-1024.0390700000003"/>
    <m/>
    <m/>
    <m/>
    <m/>
    <n v="-953.92034999999987"/>
    <n v="-67.477620000000016"/>
    <n v="31"/>
    <n v="-51.475567094085363"/>
    <n v="0"/>
    <n v="0"/>
    <n v="0"/>
    <n v="0"/>
    <n v="0"/>
    <n v="0"/>
    <n v="0"/>
    <n v="23.291449856718828"/>
    <n v="0"/>
    <n v="0"/>
    <n v="-67.484667036004453"/>
    <n v="0"/>
    <n v="0"/>
    <n v="0"/>
    <n v="-2.7772237445821339"/>
    <n v="0"/>
    <n v="-3.8240372869629979"/>
    <m/>
    <n v="0"/>
    <n v="0"/>
    <n v="0"/>
    <n v="0"/>
    <n v="-0.56035262603491631"/>
    <n v="-0.12073625721983561"/>
    <n v="0"/>
    <n v="0"/>
    <m/>
    <m/>
    <m/>
    <n v="2658.0775995104414"/>
    <n v="0"/>
    <n v="0"/>
    <n v="-953.92034999999987"/>
    <n v="-67.477620000000002"/>
    <n v="0"/>
    <n v="0"/>
    <n v="-969.93282963986849"/>
    <n v="0"/>
    <n v="0"/>
    <n v="0"/>
    <n v="0"/>
    <n v="0"/>
    <n v="0"/>
    <n v="0"/>
    <n v="0"/>
    <n v="0"/>
    <n v="0"/>
    <n v="0"/>
    <n v="0"/>
    <n v="25.991127763605704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51"/>
    <s v="Regular"/>
    <s v="Verde"/>
    <s v="A4"/>
    <s v="Comercial"/>
    <s v="Não se aplica"/>
    <s v="Não se aplica"/>
    <s v="Não se aplica"/>
    <s v="Fora ponta"/>
    <s v="CATIVO"/>
    <x v="6"/>
    <n v="0"/>
    <n v="0"/>
    <n v="20.995000000000001"/>
    <n v="20.995000000000001"/>
    <n v="20.995000000000001"/>
    <n v="20.995000000000001"/>
    <m/>
    <n v="100.48"/>
    <n v="286.42"/>
    <m/>
    <n v="8122.9655000000002"/>
    <n v="8122.9655000000002"/>
    <n v="6615.1046000000006"/>
    <n v="0"/>
    <n v="1111.6730121201533"/>
    <n v="0"/>
    <n v="0"/>
    <n v="0"/>
    <n v="0"/>
    <n v="0"/>
    <n v="6013.4581333945462"/>
    <n v="0"/>
    <n v="0"/>
    <n v="0"/>
    <n v="0"/>
    <n v="0"/>
    <n v="197.47663860568275"/>
    <m/>
    <n v="28.7649855361431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7.47427006202125"/>
    <n v="0"/>
    <n v="0"/>
    <n v="0"/>
    <n v="0"/>
    <n v="0"/>
    <m/>
    <m/>
    <m/>
    <m/>
    <m/>
    <m/>
    <m/>
    <m/>
    <m/>
    <n v="6260.932403456567"/>
    <m/>
    <m/>
    <m/>
    <m/>
    <m/>
    <m/>
    <m/>
    <m/>
    <m/>
    <m/>
    <m/>
    <m/>
    <n v="6616.6799999999994"/>
    <n v="-1506.3155000000015"/>
    <m/>
    <m/>
    <m/>
    <m/>
    <n v="-146.965"/>
    <n v="-1360.8959000000004"/>
    <n v="31"/>
    <n v="-1507.9092419617064"/>
    <n v="0"/>
    <n v="0"/>
    <n v="0"/>
    <n v="0"/>
    <n v="0"/>
    <n v="0"/>
    <n v="0"/>
    <n v="0"/>
    <n v="0"/>
    <n v="0"/>
    <n v="-1361.0380253803196"/>
    <n v="0"/>
    <n v="0"/>
    <n v="0"/>
    <n v="-56.011347279060431"/>
    <n v="0"/>
    <n v="-77.123595427270175"/>
    <m/>
    <n v="0"/>
    <n v="0"/>
    <n v="0"/>
    <n v="0"/>
    <n v="-11.30125204957065"/>
    <n v="-2.435021825485542"/>
    <n v="0"/>
    <n v="0"/>
    <m/>
    <m/>
    <m/>
    <n v="0"/>
    <n v="0"/>
    <n v="0"/>
    <n v="-146.96499999999992"/>
    <n v="-1360.8959000000004"/>
    <n v="0"/>
    <n v="0"/>
    <n v="0"/>
    <n v="0"/>
    <n v="0"/>
    <n v="0"/>
    <n v="0"/>
    <n v="0"/>
    <n v="0"/>
    <n v="0"/>
    <n v="0"/>
    <n v="0"/>
    <n v="0"/>
    <n v="0"/>
    <n v="0"/>
    <n v="524.19186109212467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52"/>
    <s v="Regular"/>
    <s v="Verde"/>
    <s v="A4"/>
    <s v="Comercial"/>
    <s v="Não se aplica"/>
    <s v="Não se aplica"/>
    <s v="Não se aplica"/>
    <s v="Não se aplica"/>
    <s v="CATIVO"/>
    <x v="6"/>
    <n v="200"/>
    <n v="200"/>
    <n v="0"/>
    <n v="0"/>
    <n v="0"/>
    <n v="0"/>
    <n v="39.21"/>
    <m/>
    <m/>
    <n v="7842"/>
    <m/>
    <n v="7842"/>
    <n v="5968"/>
    <n v="0"/>
    <n v="0"/>
    <n v="0"/>
    <n v="0"/>
    <n v="0"/>
    <n v="2470.4459924729599"/>
    <n v="5372.398245936520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4.33"/>
    <n v="573.86"/>
    <n v="3825.03"/>
    <n v="1"/>
    <m/>
    <m/>
    <m/>
    <m/>
    <m/>
    <m/>
    <m/>
    <m/>
    <m/>
    <n v="0"/>
    <m/>
    <m/>
    <m/>
    <m/>
    <m/>
    <m/>
    <m/>
    <m/>
    <m/>
    <m/>
    <m/>
    <m/>
    <n v="5968"/>
    <n v="-1874.0300000000007"/>
    <m/>
    <m/>
    <m/>
    <m/>
    <n v="-1874.0000000000002"/>
    <n v="0"/>
    <n v="31"/>
    <n v="84.77806630906025"/>
    <n v="0"/>
    <n v="0"/>
    <n v="0"/>
    <n v="0"/>
    <m/>
    <m/>
    <m/>
    <n v="84.7780663090602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372.3982459365207"/>
    <m/>
    <n v="0"/>
    <n v="0"/>
    <n v="-1874"/>
    <m/>
    <n v="0"/>
    <m/>
    <n v="-1960.3887537343408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157"/>
    <s v="Regular"/>
    <s v="Verde"/>
    <s v="A4"/>
    <s v="Serviço público"/>
    <s v="Água, esgoto e saneamento"/>
    <s v="Não se aplica"/>
    <s v="Não se aplica"/>
    <s v="Ponta"/>
    <s v="CATIVO"/>
    <x v="6"/>
    <n v="0"/>
    <n v="0"/>
    <n v="20.591999999999999"/>
    <n v="19.356480000000001"/>
    <n v="20.591999999999999"/>
    <n v="19.356480000000001"/>
    <m/>
    <n v="3305.85"/>
    <n v="286.42"/>
    <m/>
    <n v="73972.023839999994"/>
    <n v="73972.023839999994"/>
    <n v="53767.771199999996"/>
    <n v="0"/>
    <n v="1090.3343970268252"/>
    <n v="0"/>
    <n v="0"/>
    <n v="0"/>
    <n v="13425.676581753616"/>
    <n v="52579.379374754091"/>
    <n v="5898.0295252612759"/>
    <n v="0"/>
    <n v="0"/>
    <n v="0"/>
    <n v="0"/>
    <n v="0"/>
    <n v="193.68606535690492"/>
    <m/>
    <n v="28.2128403029416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2.72398995556756"/>
    <n v="0"/>
    <n v="0"/>
    <n v="0"/>
    <n v="0"/>
    <n v="0"/>
    <m/>
    <m/>
    <m/>
    <m/>
    <n v="3226.0662719999937"/>
    <m/>
    <m/>
    <m/>
    <m/>
    <n v="6140.7535152168439"/>
    <m/>
    <m/>
    <m/>
    <m/>
    <m/>
    <m/>
    <m/>
    <m/>
    <m/>
    <m/>
    <m/>
    <m/>
    <n v="50550.896000000001"/>
    <n v="-18982.836409600008"/>
    <m/>
    <m/>
    <m/>
    <m/>
    <n v="-18869.479199999998"/>
    <n v="-1334.7734400000004"/>
    <n v="31"/>
    <n v="-1018.237154276092"/>
    <n v="0"/>
    <n v="0"/>
    <n v="0"/>
    <n v="0"/>
    <n v="0"/>
    <n v="0"/>
    <n v="0"/>
    <n v="460.72769975941628"/>
    <n v="0"/>
    <n v="0"/>
    <n v="-1334.9128372770447"/>
    <n v="0"/>
    <n v="0"/>
    <n v="0"/>
    <n v="-54.93620686689269"/>
    <n v="0"/>
    <n v="-75.643204431452546"/>
    <m/>
    <n v="0"/>
    <n v="0"/>
    <n v="0"/>
    <n v="0"/>
    <n v="-11.084323991653207"/>
    <n v="-2.3882814684638376"/>
    <n v="0"/>
    <n v="0"/>
    <m/>
    <m/>
    <m/>
    <n v="52579.379374754091"/>
    <n v="0"/>
    <n v="0"/>
    <n v="-18869.479199999994"/>
    <n v="-1334.7734400000008"/>
    <n v="0"/>
    <n v="0"/>
    <n v="-19186.22173673792"/>
    <n v="0"/>
    <n v="0"/>
    <n v="0"/>
    <n v="0"/>
    <n v="0"/>
    <n v="0"/>
    <n v="0"/>
    <n v="0"/>
    <n v="0"/>
    <n v="0"/>
    <n v="0"/>
    <n v="0"/>
    <n v="514.12997397518598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58"/>
    <s v="Regular"/>
    <s v="Verde"/>
    <s v="A4"/>
    <s v="Serviço público"/>
    <s v="Água, esgoto e saneamento"/>
    <s v="Não se aplica"/>
    <s v="Não se aplica"/>
    <s v="Fora ponta"/>
    <s v="CATIVO"/>
    <x v="6"/>
    <n v="0"/>
    <n v="0"/>
    <n v="190.35400000000001"/>
    <n v="178.93276"/>
    <n v="190.35400000000001"/>
    <n v="178.93276"/>
    <m/>
    <n v="100.48"/>
    <n v="286.42"/>
    <m/>
    <n v="73647.962600000013"/>
    <n v="73647.962600000013"/>
    <n v="59976.738320000004"/>
    <n v="0"/>
    <n v="10079.13334361132"/>
    <n v="0"/>
    <n v="0"/>
    <n v="0"/>
    <n v="0"/>
    <n v="0"/>
    <n v="54521.829460547058"/>
    <n v="0"/>
    <n v="0"/>
    <n v="0"/>
    <n v="0"/>
    <n v="0"/>
    <n v="1790.4485860988871"/>
    <m/>
    <n v="260.801622136079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43.7588570319599"/>
    <n v="0"/>
    <n v="0"/>
    <n v="0"/>
    <n v="0"/>
    <n v="0"/>
    <m/>
    <m/>
    <m/>
    <m/>
    <n v="3598.6042992000039"/>
    <m/>
    <m/>
    <m/>
    <m/>
    <n v="56765.588317579015"/>
    <m/>
    <m/>
    <m/>
    <m/>
    <m/>
    <m/>
    <m/>
    <m/>
    <m/>
    <m/>
    <m/>
    <m/>
    <n v="56377.2644"/>
    <n v="-12851.850443999996"/>
    <m/>
    <m/>
    <m/>
    <m/>
    <n v="-1332.4780000000001"/>
    <n v="-12338.746280000005"/>
    <n v="31"/>
    <n v="-13671.662578917771"/>
    <n v="0"/>
    <n v="0"/>
    <n v="0"/>
    <n v="0"/>
    <n v="0"/>
    <n v="0"/>
    <n v="0"/>
    <n v="0"/>
    <n v="0"/>
    <n v="0"/>
    <n v="-12340.034878935243"/>
    <n v="0"/>
    <n v="0"/>
    <n v="0"/>
    <n v="-507.83443676867228"/>
    <n v="0"/>
    <n v="-699.25148292272388"/>
    <m/>
    <n v="0"/>
    <n v="0"/>
    <n v="0"/>
    <n v="0"/>
    <n v="-102.4643263940925"/>
    <n v="-22.0774538970457"/>
    <n v="0"/>
    <n v="0"/>
    <m/>
    <m/>
    <m/>
    <n v="0"/>
    <n v="0"/>
    <n v="0"/>
    <n v="-1332.4779999999992"/>
    <n v="-12338.746280000007"/>
    <n v="0"/>
    <n v="0"/>
    <n v="0"/>
    <n v="0"/>
    <n v="0"/>
    <n v="0"/>
    <n v="0"/>
    <n v="0"/>
    <n v="0"/>
    <n v="0"/>
    <n v="0"/>
    <n v="0"/>
    <n v="0"/>
    <n v="0"/>
    <n v="0"/>
    <n v="4752.6562289273779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59"/>
    <s v="Regular"/>
    <s v="Verde"/>
    <s v="A4"/>
    <s v="Serviço público"/>
    <s v="Água, esgoto e saneamento"/>
    <s v="Não se aplica"/>
    <s v="Não se aplica"/>
    <s v="Não se aplica"/>
    <s v="CATIVO"/>
    <x v="6"/>
    <n v="556"/>
    <n v="522.64"/>
    <n v="0"/>
    <n v="0"/>
    <n v="0"/>
    <n v="0"/>
    <n v="39.21"/>
    <m/>
    <m/>
    <n v="21800.760000000002"/>
    <m/>
    <n v="21800.760000000002"/>
    <n v="16591.04"/>
    <n v="0"/>
    <n v="0"/>
    <n v="0"/>
    <n v="0"/>
    <n v="0"/>
    <n v="6867.8398590748293"/>
    <n v="14935.26712370352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7.29"/>
    <n v="865.87"/>
    <n v="34478.839999999997"/>
    <n v="2"/>
    <m/>
    <m/>
    <m/>
    <m/>
    <n v="995.46240000000046"/>
    <m/>
    <m/>
    <m/>
    <m/>
    <n v="0"/>
    <m/>
    <m/>
    <m/>
    <m/>
    <m/>
    <m/>
    <m/>
    <m/>
    <m/>
    <m/>
    <m/>
    <m/>
    <n v="15595.577599999999"/>
    <n v="-4897.1667999999972"/>
    <m/>
    <m/>
    <m/>
    <m/>
    <n v="-5209.72"/>
    <n v="0"/>
    <n v="31"/>
    <n v="235.68302433918689"/>
    <n v="0"/>
    <n v="0"/>
    <n v="0"/>
    <n v="0"/>
    <m/>
    <m/>
    <m/>
    <n v="235.6830243391868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935.267123703527"/>
    <m/>
    <n v="0"/>
    <n v="0"/>
    <n v="-5209.7200000000012"/>
    <m/>
    <n v="0"/>
    <m/>
    <n v="-5449.8807353814664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141"/>
    <s v="Regular"/>
    <s v="Convencional"/>
    <s v="B1"/>
    <s v="Residencial"/>
    <s v="Residencial"/>
    <s v="Não se aplica"/>
    <s v="Não se aplica"/>
    <s v="Não se aplica"/>
    <s v="CATIVO"/>
    <x v="6"/>
    <n v="0"/>
    <n v="0"/>
    <n v="501.85"/>
    <n v="501.85"/>
    <n v="501.85"/>
    <n v="501.85"/>
    <m/>
    <n v="609.05999999999995"/>
    <n v="286.42"/>
    <m/>
    <n v="449396.63800000004"/>
    <n v="449396.63800000004"/>
    <n v="343200.15950000001"/>
    <n v="0"/>
    <n v="30543.293073747656"/>
    <n v="0"/>
    <n v="0"/>
    <n v="0"/>
    <n v="49006.731454997804"/>
    <n v="189303.8397885164"/>
    <n v="143741.55581062409"/>
    <n v="0"/>
    <n v="0"/>
    <n v="0"/>
    <n v="0"/>
    <n v="0"/>
    <n v="4720.3453719581748"/>
    <m/>
    <n v="857.078282694798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823.175719980482"/>
    <n v="0"/>
    <n v="1560.85"/>
    <n v="7285.57"/>
    <n v="93235.71"/>
    <n v="3273"/>
    <m/>
    <m/>
    <m/>
    <m/>
    <m/>
    <m/>
    <m/>
    <m/>
    <m/>
    <n v="160564.73153060456"/>
    <m/>
    <m/>
    <m/>
    <m/>
    <m/>
    <m/>
    <m/>
    <m/>
    <m/>
    <m/>
    <m/>
    <m/>
    <n v="343200.15950000001"/>
    <n v="-106196.50850000005"/>
    <m/>
    <m/>
    <m/>
    <m/>
    <n v="-73666.561499999982"/>
    <n v="-32529.917000000012"/>
    <n v="31"/>
    <n v="-37120.844966088771"/>
    <n v="0"/>
    <n v="0"/>
    <n v="0"/>
    <n v="0"/>
    <n v="0"/>
    <n v="0"/>
    <n v="0"/>
    <n v="1681.759464299721"/>
    <n v="0"/>
    <n v="0"/>
    <n v="-32533.314267068985"/>
    <n v="0"/>
    <n v="0"/>
    <n v="0"/>
    <n v="-3807.6230605805013"/>
    <n v="0"/>
    <n v="-2118.9761308891357"/>
    <m/>
    <n v="0"/>
    <n v="0"/>
    <n v="0"/>
    <n v="0"/>
    <n v="-270.13733465477617"/>
    <n v="-72.553637195095462"/>
    <n v="0"/>
    <n v="0"/>
    <m/>
    <m/>
    <m/>
    <n v="189303.8397885164"/>
    <n v="0"/>
    <n v="0"/>
    <n v="-73666.561500000011"/>
    <n v="-32529.917000000001"/>
    <n v="0"/>
    <n v="0"/>
    <n v="-69076.99347136596"/>
    <n v="0"/>
    <n v="0"/>
    <n v="0"/>
    <n v="0"/>
    <n v="0"/>
    <n v="0"/>
    <n v="0"/>
    <n v="0"/>
    <n v="0"/>
    <n v="0"/>
    <n v="0"/>
    <n v="0"/>
    <n v="14402.207722642375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42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3.74"/>
    <n v="3.74"/>
    <n v="3.74"/>
    <n v="3.74"/>
    <m/>
    <n v="510.09"/>
    <n v="286.42"/>
    <m/>
    <n v="2978.9474"/>
    <n v="2978.9474"/>
    <n v="2205.3658"/>
    <n v="0"/>
    <n v="0"/>
    <n v="0"/>
    <n v="0"/>
    <n v="0"/>
    <n v="365.21904083230407"/>
    <n v="1410.772862028597"/>
    <n v="1071.2233112119841"/>
    <n v="0"/>
    <n v="0"/>
    <n v="0"/>
    <n v="0"/>
    <n v="0"/>
    <n v="0"/>
    <m/>
    <n v="6.3873124983133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5.37347253706686"/>
    <n v="0"/>
    <n v="3.89"/>
    <n v="17.95"/>
    <n v="485.37"/>
    <n v="2"/>
    <m/>
    <m/>
    <m/>
    <m/>
    <m/>
    <m/>
    <m/>
    <n v="1433.5046000000002"/>
    <m/>
    <n v="1196.5967837490509"/>
    <m/>
    <m/>
    <m/>
    <m/>
    <m/>
    <m/>
    <m/>
    <m/>
    <m/>
    <m/>
    <m/>
    <m/>
    <n v="771.86120000000005"/>
    <n v="-270.80600000000004"/>
    <m/>
    <m/>
    <m/>
    <m/>
    <n v="-531.15479999999991"/>
    <n v="-242.4268000000001"/>
    <n v="31"/>
    <n v="-258.83565968324774"/>
    <n v="0"/>
    <n v="0"/>
    <n v="0"/>
    <n v="0"/>
    <n v="0"/>
    <n v="0"/>
    <n v="0"/>
    <n v="12.533187997371613"/>
    <n v="0"/>
    <n v="0"/>
    <n v="-242.4521178815146"/>
    <n v="0"/>
    <n v="0"/>
    <n v="0"/>
    <n v="-28.37602918515708"/>
    <n v="0"/>
    <n v="0"/>
    <m/>
    <n v="0"/>
    <n v="0"/>
    <n v="0"/>
    <n v="0"/>
    <n v="0"/>
    <n v="-0.54070061394770708"/>
    <n v="0"/>
    <n v="0"/>
    <m/>
    <m/>
    <m/>
    <n v="1410.772862028597"/>
    <n v="0"/>
    <n v="0"/>
    <n v="-531.1547999999998"/>
    <n v="-242.42680000000007"/>
    <n v="0"/>
    <n v="0"/>
    <n v="-514.79118378581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43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8.0980000000000008"/>
    <n v="8.0980000000000008"/>
    <n v="8.0980000000000008"/>
    <n v="8.0980000000000008"/>
    <m/>
    <n v="510.09"/>
    <n v="286.42"/>
    <m/>
    <n v="6450.1379799999995"/>
    <n v="6450.1379799999995"/>
    <n v="4775.1476600000005"/>
    <n v="0"/>
    <n v="0"/>
    <n v="0"/>
    <n v="0"/>
    <n v="0"/>
    <n v="790.78711033689797"/>
    <n v="3054.6627370875881"/>
    <n v="2319.456249784665"/>
    <n v="0"/>
    <n v="0"/>
    <n v="0"/>
    <n v="0"/>
    <n v="0"/>
    <n v="0"/>
    <m/>
    <n v="13.8300686126581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1.46373812972394"/>
    <n v="0"/>
    <n v="14.52"/>
    <n v="67.709999999999994"/>
    <n v="1130.3800000000001"/>
    <n v="20"/>
    <m/>
    <m/>
    <m/>
    <m/>
    <m/>
    <m/>
    <m/>
    <n v="1910.0752600000001"/>
    <m/>
    <n v="2590.9199879143889"/>
    <m/>
    <m/>
    <m/>
    <m/>
    <m/>
    <m/>
    <m/>
    <m/>
    <m/>
    <m/>
    <m/>
    <m/>
    <n v="2865.7799999999997"/>
    <n v="-1004.3651800000016"/>
    <m/>
    <m/>
    <m/>
    <m/>
    <n v="-1150.0779599999998"/>
    <n v="-524.91236000000026"/>
    <n v="31"/>
    <n v="-560.44148987030485"/>
    <n v="0"/>
    <n v="0"/>
    <n v="0"/>
    <n v="0"/>
    <n v="0"/>
    <n v="0"/>
    <n v="0"/>
    <n v="27.137368022116448"/>
    <n v="0"/>
    <n v="0"/>
    <n v="-524.96717930601744"/>
    <n v="0"/>
    <n v="0"/>
    <n v="0"/>
    <n v="-61.440931642086127"/>
    <n v="0"/>
    <n v="0"/>
    <m/>
    <n v="0"/>
    <n v="0"/>
    <n v="0"/>
    <n v="0"/>
    <n v="0"/>
    <n v="-1.1707469443177896"/>
    <n v="0"/>
    <n v="0"/>
    <m/>
    <m/>
    <m/>
    <n v="3054.6627370875881"/>
    <n v="0"/>
    <n v="0"/>
    <n v="-1150.0779599999996"/>
    <n v="-524.91236000000004"/>
    <n v="0"/>
    <n v="0"/>
    <n v="-1114.6467931276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44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7.8490000000000002"/>
    <n v="7.8490000000000002"/>
    <n v="7.8490000000000002"/>
    <n v="7.8490000000000002"/>
    <m/>
    <n v="510.09"/>
    <n v="286.42"/>
    <m/>
    <n v="6251.80699"/>
    <n v="6251.80699"/>
    <n v="4628.3198300000004"/>
    <n v="0"/>
    <n v="0"/>
    <n v="0"/>
    <n v="0"/>
    <n v="0"/>
    <n v="766.47172499806265"/>
    <n v="2960.7369502840793"/>
    <n v="2248.1368368189469"/>
    <n v="0"/>
    <n v="0"/>
    <n v="0"/>
    <n v="0"/>
    <n v="0"/>
    <n v="0"/>
    <m/>
    <n v="13.4048170586260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3.11668073353951"/>
    <n v="0"/>
    <n v="21.97"/>
    <n v="103.21"/>
    <n v="1408.57"/>
    <n v="72"/>
    <m/>
    <m/>
    <m/>
    <m/>
    <m/>
    <m/>
    <m/>
    <n v="462.85552999999999"/>
    <m/>
    <n v="2511.2535175524863"/>
    <m/>
    <m/>
    <m/>
    <m/>
    <m/>
    <m/>
    <m/>
    <m/>
    <m/>
    <m/>
    <m/>
    <m/>
    <n v="4165.994999999999"/>
    <n v="-1460.6691400000018"/>
    <m/>
    <m/>
    <m/>
    <m/>
    <n v="-1114.71498"/>
    <n v="-508.77218000000016"/>
    <n v="31"/>
    <n v="-543.20884835663355"/>
    <n v="0"/>
    <n v="0"/>
    <n v="0"/>
    <n v="0"/>
    <n v="0"/>
    <n v="0"/>
    <n v="0"/>
    <n v="26.302939195553563"/>
    <n v="0"/>
    <n v="0"/>
    <n v="-508.825313703745"/>
    <n v="0"/>
    <n v="0"/>
    <n v="0"/>
    <n v="-59.55172542093527"/>
    <n v="0"/>
    <n v="0"/>
    <m/>
    <n v="0"/>
    <n v="0"/>
    <n v="0"/>
    <n v="0"/>
    <n v="0"/>
    <n v="-1.1347484275068318"/>
    <n v="0"/>
    <n v="0"/>
    <m/>
    <m/>
    <m/>
    <n v="2960.7369502840793"/>
    <n v="0"/>
    <n v="0"/>
    <n v="-1114.7149800000002"/>
    <n v="-508.77217999999993"/>
    <n v="0"/>
    <n v="0"/>
    <n v="-1080.3732624424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45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2.6110000000000002"/>
    <n v="2.6110000000000002"/>
    <n v="2.6110000000000002"/>
    <n v="2.6110000000000002"/>
    <m/>
    <n v="510.09"/>
    <n v="286.42"/>
    <m/>
    <n v="2079.6876099999999"/>
    <n v="2079.6876099999999"/>
    <n v="1539.6283700000001"/>
    <n v="0"/>
    <n v="0"/>
    <n v="0"/>
    <n v="0"/>
    <n v="0"/>
    <n v="254.96976353292672"/>
    <n v="984.90051945365417"/>
    <n v="747.8513544316819"/>
    <n v="0"/>
    <n v="0"/>
    <n v="0"/>
    <n v="0"/>
    <n v="0"/>
    <n v="0"/>
    <m/>
    <n v="4.45916388585457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.526774543925555"/>
    <n v="0"/>
    <n v="8.81"/>
    <n v="41.47"/>
    <n v="614.46"/>
    <n v="32"/>
    <m/>
    <m/>
    <m/>
    <m/>
    <m/>
    <m/>
    <m/>
    <m/>
    <m/>
    <n v="835.37812897560741"/>
    <m/>
    <m/>
    <m/>
    <m/>
    <m/>
    <m/>
    <m/>
    <m/>
    <m/>
    <m/>
    <m/>
    <m/>
    <n v="1539.0387000000001"/>
    <n v="-540.67891000000054"/>
    <m/>
    <m/>
    <m/>
    <m/>
    <n v="-370.81421999999998"/>
    <n v="-169.24502000000007"/>
    <n v="31"/>
    <n v="-180.70051000881278"/>
    <n v="0"/>
    <n v="0"/>
    <n v="0"/>
    <n v="0"/>
    <n v="0"/>
    <n v="0"/>
    <n v="0"/>
    <n v="8.7497737596623892"/>
    <n v="0"/>
    <n v="0"/>
    <n v="-169.26269513065085"/>
    <n v="0"/>
    <n v="0"/>
    <n v="0"/>
    <n v="-19.810110214557525"/>
    <n v="0"/>
    <n v="0"/>
    <m/>
    <n v="0"/>
    <n v="0"/>
    <n v="0"/>
    <n v="0"/>
    <n v="0"/>
    <n v="-0.37747842326670078"/>
    <n v="0"/>
    <n v="0"/>
    <m/>
    <m/>
    <m/>
    <n v="984.90051945365417"/>
    <n v="0"/>
    <n v="0"/>
    <n v="-370.81421999999998"/>
    <n v="-169.24502000000007"/>
    <n v="0"/>
    <n v="0"/>
    <n v="-359.39031573923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46"/>
    <s v="Regular"/>
    <s v="Branca"/>
    <s v="B1"/>
    <s v="Residencial"/>
    <s v="Residencial"/>
    <s v="Não se aplica"/>
    <s v="Não se aplica"/>
    <s v="Fora ponta"/>
    <s v="CATIVO"/>
    <x v="6"/>
    <n v="0"/>
    <n v="0"/>
    <n v="6.2E-2"/>
    <n v="6.2E-2"/>
    <n v="6.2E-2"/>
    <n v="6.2E-2"/>
    <m/>
    <n v="409.62"/>
    <n v="286.42"/>
    <m/>
    <n v="43.15448"/>
    <n v="43.15448"/>
    <n v="33.532080000000001"/>
    <n v="0"/>
    <n v="3.7734067362206929"/>
    <n v="0"/>
    <n v="0"/>
    <n v="0"/>
    <n v="3.5118792008445947"/>
    <n v="13.56453806164617"/>
    <n v="17.75824740511845"/>
    <n v="0"/>
    <n v="0"/>
    <n v="0"/>
    <n v="0"/>
    <n v="0"/>
    <n v="0.58316511519658631"/>
    <m/>
    <n v="0.105885929116424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783837693310545"/>
    <n v="0"/>
    <n v="0"/>
    <n v="0"/>
    <n v="0"/>
    <n v="0"/>
    <m/>
    <m/>
    <m/>
    <m/>
    <m/>
    <m/>
    <m/>
    <m/>
    <m/>
    <n v="19.836631174449504"/>
    <m/>
    <m/>
    <m/>
    <m/>
    <m/>
    <m/>
    <m/>
    <m/>
    <m/>
    <m/>
    <m/>
    <m/>
    <n v="32.450400000000002"/>
    <n v="-10.734079999999999"/>
    <m/>
    <m/>
    <m/>
    <m/>
    <n v="-5.6035599999999999"/>
    <n v="-4.0188400000000017"/>
    <n v="31"/>
    <n v="-4.6732691081226569"/>
    <n v="0"/>
    <n v="0"/>
    <n v="0"/>
    <n v="0"/>
    <n v="0"/>
    <n v="0"/>
    <n v="0"/>
    <n v="0.12051683326239138"/>
    <n v="0"/>
    <n v="0"/>
    <n v="-4.0192597081962287"/>
    <n v="0"/>
    <n v="0"/>
    <n v="0"/>
    <n v="-0.47040476189297808"/>
    <n v="0"/>
    <n v="-0.26178443781035465"/>
    <m/>
    <n v="0"/>
    <n v="0"/>
    <n v="0"/>
    <n v="0"/>
    <n v="-3.3373547371916223E-2"/>
    <n v="-8.9634861135716171E-3"/>
    <n v="0"/>
    <n v="0"/>
    <m/>
    <m/>
    <m/>
    <n v="13.56453806164617"/>
    <n v="0"/>
    <n v="0"/>
    <n v="-5.6035599999999981"/>
    <n v="-4.0188400000000009"/>
    <n v="0"/>
    <n v="0"/>
    <n v="-4.9497015389292223"/>
    <n v="0"/>
    <n v="0"/>
    <n v="0"/>
    <n v="0"/>
    <n v="0"/>
    <n v="0"/>
    <n v="0"/>
    <n v="0"/>
    <n v="0"/>
    <n v="0"/>
    <n v="0"/>
    <n v="0"/>
    <n v="1.7792903831898521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47"/>
    <s v="Regular"/>
    <s v="Branca"/>
    <s v="B1"/>
    <s v="Residencial"/>
    <s v="Residencial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8"/>
    <n v="2.25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"/>
    <m/>
    <m/>
    <m/>
    <m/>
    <n v="0"/>
    <n v="-17.698635468909799"/>
    <m/>
    <n v="-17.698635468909799"/>
    <m/>
    <n v="0"/>
    <n v="0"/>
    <n v="0"/>
    <n v="0"/>
  </r>
  <r>
    <n v="148"/>
    <s v="Regular"/>
    <s v="Branca"/>
    <s v="B1"/>
    <s v="Residencial"/>
    <s v="Residencial"/>
    <s v="Não se aplica"/>
    <s v="Não se aplica"/>
    <s v="Intermediário"/>
    <s v="CATIVO"/>
    <x v="6"/>
    <n v="0"/>
    <n v="0"/>
    <n v="2.8000000000000001E-2"/>
    <n v="2.8000000000000001E-2"/>
    <n v="2.8000000000000001E-2"/>
    <n v="2.8000000000000001E-2"/>
    <m/>
    <n v="960.47"/>
    <n v="286.42"/>
    <m/>
    <n v="34.91292"/>
    <n v="34.91292"/>
    <n v="26.205479999999998"/>
    <n v="0"/>
    <n v="1.7041191711964419"/>
    <n v="0"/>
    <n v="0"/>
    <n v="0"/>
    <n v="4.7578807056793035"/>
    <n v="18.377770605700238"/>
    <n v="8.0198536668276876"/>
    <n v="0"/>
    <n v="0"/>
    <n v="0"/>
    <n v="0"/>
    <n v="0"/>
    <n v="0.2633648907339422"/>
    <m/>
    <n v="4.781945185903032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3862492808499243"/>
    <n v="0"/>
    <n v="0"/>
    <n v="0"/>
    <n v="0"/>
    <n v="0"/>
    <m/>
    <m/>
    <m/>
    <m/>
    <m/>
    <m/>
    <m/>
    <m/>
    <m/>
    <n v="8.9584785949126804"/>
    <m/>
    <m/>
    <m/>
    <m/>
    <m/>
    <m/>
    <m/>
    <m/>
    <m/>
    <m/>
    <m/>
    <m/>
    <n v="28.077299999999997"/>
    <n v="-6.8656200000000034"/>
    <m/>
    <m/>
    <m/>
    <m/>
    <n v="-6.8924800000000026"/>
    <n v="-1.8149600000000006"/>
    <n v="31"/>
    <n v="-2.0016598349337986"/>
    <n v="0"/>
    <n v="0"/>
    <n v="0"/>
    <n v="0"/>
    <n v="0"/>
    <n v="0"/>
    <n v="0"/>
    <n v="0.1632757514981602"/>
    <n v="0"/>
    <n v="0"/>
    <n v="-1.8151495456370075"/>
    <n v="0"/>
    <n v="0"/>
    <n v="0"/>
    <n v="-0.21244086020973207"/>
    <n v="0"/>
    <n v="-0.11822522997886975"/>
    <m/>
    <n v="0"/>
    <n v="0"/>
    <n v="0"/>
    <n v="0"/>
    <n v="-1.5071924619575044E-2"/>
    <n v="-4.048025986774284E-3"/>
    <n v="0"/>
    <n v="0"/>
    <m/>
    <m/>
    <m/>
    <n v="18.377770605700238"/>
    <n v="0"/>
    <n v="0"/>
    <n v="-6.8924800000000026"/>
    <n v="-1.8149600000000001"/>
    <n v="0"/>
    <n v="0"/>
    <n v="-6.7060506620808091"/>
    <n v="0"/>
    <n v="0"/>
    <n v="0"/>
    <n v="0"/>
    <n v="0"/>
    <n v="0"/>
    <n v="0"/>
    <n v="0"/>
    <n v="0"/>
    <n v="0"/>
    <n v="0"/>
    <n v="0"/>
    <n v="0.80355049563412673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60"/>
    <s v="Regular"/>
    <s v="Convencional"/>
    <s v="B1"/>
    <s v="Residencial"/>
    <s v="Residencial"/>
    <s v="Não se aplica"/>
    <s v="Não se aplica"/>
    <s v="Não se aplica"/>
    <s v="CATIVO"/>
    <x v="7"/>
    <n v="0"/>
    <n v="0"/>
    <n v="454.63400000000001"/>
    <n v="454.63400000000001"/>
    <n v="454.63400000000001"/>
    <n v="454.63400000000001"/>
    <m/>
    <n v="609.05999999999995"/>
    <n v="286.42"/>
    <m/>
    <n v="407115.65431999997"/>
    <n v="407115.65431999997"/>
    <n v="310910.55358000001"/>
    <n v="0"/>
    <n v="27669.661259918685"/>
    <n v="0"/>
    <n v="0"/>
    <n v="0"/>
    <n v="44395.987542714895"/>
    <n v="171493.39822339817"/>
    <n v="130217.79114159067"/>
    <n v="0"/>
    <n v="0"/>
    <n v="0"/>
    <n v="0"/>
    <n v="0"/>
    <n v="4276.2369190691106"/>
    <m/>
    <n v="776.441024159942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240.385912678303"/>
    <n v="0"/>
    <n v="1762.15"/>
    <n v="8215.77"/>
    <n v="75605.259999999995"/>
    <n v="3280"/>
    <m/>
    <m/>
    <m/>
    <m/>
    <m/>
    <m/>
    <m/>
    <m/>
    <m/>
    <n v="145458.17705426898"/>
    <m/>
    <m/>
    <m/>
    <m/>
    <m/>
    <m/>
    <m/>
    <m/>
    <m/>
    <m/>
    <m/>
    <m/>
    <n v="310907.81810000003"/>
    <n v="-96207.866219999967"/>
    <m/>
    <m/>
    <m/>
    <m/>
    <n v="-66735.724859999988"/>
    <n v="-29469.375880000011"/>
    <n v="30"/>
    <n v="-33628.37148612694"/>
    <n v="0"/>
    <n v="0"/>
    <n v="0"/>
    <n v="0"/>
    <n v="0"/>
    <n v="0"/>
    <n v="0"/>
    <n v="1523.5329925125916"/>
    <n v="0"/>
    <n v="0"/>
    <n v="-29472.453518969109"/>
    <n v="0"/>
    <n v="0"/>
    <n v="0"/>
    <n v="-3449.3870728782622"/>
    <n v="0"/>
    <n v="-1919.6146145076236"/>
    <m/>
    <n v="0"/>
    <n v="0"/>
    <n v="0"/>
    <n v="0"/>
    <n v="-244.72176348199628"/>
    <n v="-65.727508802540683"/>
    <n v="0"/>
    <n v="0"/>
    <m/>
    <m/>
    <m/>
    <n v="171493.39822339817"/>
    <n v="0"/>
    <n v="0"/>
    <n v="-66735.724859999988"/>
    <n v="-29469.375880000007"/>
    <n v="0"/>
    <n v="0"/>
    <n v="-62577.961243122438"/>
    <n v="0"/>
    <n v="0"/>
    <n v="0"/>
    <n v="0"/>
    <n v="0"/>
    <n v="0"/>
    <n v="0"/>
    <n v="0"/>
    <n v="0"/>
    <n v="0"/>
    <n v="0"/>
    <n v="0"/>
    <n v="13047.192001147343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61"/>
    <s v="Refaturamento - Regular"/>
    <s v="Convencional"/>
    <s v="B1"/>
    <s v="Residencial"/>
    <s v="Residencial"/>
    <s v="Não se aplica"/>
    <s v="Não se aplica"/>
    <s v="Não se aplica"/>
    <s v="CATIVO"/>
    <x v="7"/>
    <n v="0"/>
    <n v="0"/>
    <n v="-0.56000000000000005"/>
    <n v="-0.56000000000000005"/>
    <n v="-0.56000000000000005"/>
    <n v="-0.56000000000000005"/>
    <m/>
    <n v="609.05999999999995"/>
    <n v="286.42"/>
    <m/>
    <n v="-501.46879999999999"/>
    <n v="-501.46879999999999"/>
    <n v="-382.96719999999999"/>
    <n v="0"/>
    <n v="-34.082383423928839"/>
    <n v="0"/>
    <n v="0"/>
    <n v="0"/>
    <n v="-54.685203974890449"/>
    <n v="-211.23871730909474"/>
    <n v="-160.39707333655375"/>
    <n v="0"/>
    <n v="0"/>
    <n v="0"/>
    <n v="0"/>
    <n v="0"/>
    <n v="-5.2672978146788445"/>
    <m/>
    <n v="-0.956389037180606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8.772498561699852"/>
    <n v="0"/>
    <n v="-2.7"/>
    <n v="-12.88"/>
    <n v="-194.34"/>
    <n v="0"/>
    <m/>
    <m/>
    <m/>
    <m/>
    <m/>
    <m/>
    <m/>
    <m/>
    <m/>
    <n v="-179.16957189825359"/>
    <m/>
    <m/>
    <m/>
    <m/>
    <m/>
    <m/>
    <m/>
    <m/>
    <m/>
    <m/>
    <m/>
    <m/>
    <n v="-382.96719999999999"/>
    <n v="118.47160000000002"/>
    <m/>
    <m/>
    <m/>
    <m/>
    <n v="82.202399999999983"/>
    <n v="36.299200000000013"/>
    <n v="30"/>
    <n v="41.422084648818753"/>
    <n v="0"/>
    <n v="0"/>
    <n v="0"/>
    <n v="0"/>
    <n v="0"/>
    <n v="0"/>
    <n v="0"/>
    <n v="-1.8766270798203522"/>
    <n v="0"/>
    <n v="0"/>
    <n v="36.302990912740128"/>
    <n v="0"/>
    <n v="0"/>
    <n v="0"/>
    <n v="4.2488172041946424"/>
    <n v="0"/>
    <n v="2.3645045995773941"/>
    <m/>
    <n v="0"/>
    <n v="0"/>
    <n v="0"/>
    <n v="0"/>
    <n v="0.301438492391501"/>
    <n v="8.096051973548557E-2"/>
    <n v="0"/>
    <n v="0"/>
    <m/>
    <m/>
    <m/>
    <n v="-211.23871730909474"/>
    <n v="0"/>
    <n v="0"/>
    <n v="82.202400000000011"/>
    <n v="36.299200000000013"/>
    <n v="0"/>
    <n v="0"/>
    <n v="77.081032866324477"/>
    <n v="0"/>
    <n v="0"/>
    <n v="0"/>
    <n v="0"/>
    <n v="0"/>
    <n v="0"/>
    <n v="0"/>
    <n v="0"/>
    <n v="0"/>
    <n v="0"/>
    <n v="0"/>
    <n v="0"/>
    <n v="-16.071009912682538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53"/>
    <s v="Regular"/>
    <s v="Convencional"/>
    <s v="B2"/>
    <s v="Rural"/>
    <s v="Não se aplica"/>
    <s v="Não se aplica"/>
    <s v="Não se aplica"/>
    <s v="Não se aplica"/>
    <s v="CATIVO"/>
    <x v="6"/>
    <n v="0"/>
    <n v="0"/>
    <n v="132.58600000000001"/>
    <n v="132.58600000000001"/>
    <n v="132.58600000000001"/>
    <n v="132.58600000000001"/>
    <m/>
    <n v="609.05999999999995"/>
    <n v="286.42"/>
    <m/>
    <n v="118728.11128"/>
    <n v="118728.11128"/>
    <n v="90671.587820000001"/>
    <n v="0"/>
    <n v="8069.3694440089812"/>
    <n v="0"/>
    <n v="0"/>
    <n v="0"/>
    <n v="12947.307953955045"/>
    <n v="50013.029594899352"/>
    <n v="37975.725652500565"/>
    <n v="0"/>
    <n v="0"/>
    <n v="0"/>
    <n v="0"/>
    <n v="0"/>
    <n v="1247.0891929589452"/>
    <m/>
    <n v="226.435351577906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44.5901683956008"/>
    <n v="0"/>
    <n v="370.9"/>
    <n v="1719.54"/>
    <n v="3343.99"/>
    <n v="332"/>
    <m/>
    <m/>
    <m/>
    <m/>
    <m/>
    <n v="10881.333019999996"/>
    <m/>
    <m/>
    <m/>
    <n v="42420.315820896169"/>
    <m/>
    <m/>
    <m/>
    <m/>
    <m/>
    <m/>
    <m/>
    <m/>
    <m/>
    <m/>
    <m/>
    <m/>
    <n v="79792.661999999997"/>
    <n v="-24687.787720000008"/>
    <m/>
    <m/>
    <m/>
    <m/>
    <n v="-19462.298939999997"/>
    <n v="-8594.2245200000034"/>
    <n v="31"/>
    <n v="-9807.122348657671"/>
    <n v="0"/>
    <n v="0"/>
    <n v="0"/>
    <n v="0"/>
    <n v="0"/>
    <n v="0"/>
    <n v="0"/>
    <n v="444.31156786618158"/>
    <n v="0"/>
    <n v="0"/>
    <n v="-8595.1220592081518"/>
    <n v="0"/>
    <n v="0"/>
    <n v="0"/>
    <n v="-1005.9529961345552"/>
    <n v="0"/>
    <n v="-559.82179792780153"/>
    <m/>
    <n v="0"/>
    <n v="0"/>
    <n v="0"/>
    <n v="0"/>
    <n v="-71.368792771820608"/>
    <n v="-19.168270481516231"/>
    <n v="0"/>
    <n v="0"/>
    <m/>
    <m/>
    <m/>
    <n v="50013.029594899352"/>
    <n v="0"/>
    <n v="0"/>
    <n v="-19462.298939999993"/>
    <n v="-8594.2245199999998"/>
    <n v="0"/>
    <n v="0"/>
    <n v="-18249.760399311606"/>
    <n v="0"/>
    <n v="0"/>
    <n v="0"/>
    <n v="0"/>
    <n v="0"/>
    <n v="0"/>
    <n v="0"/>
    <n v="0"/>
    <n v="0"/>
    <n v="0"/>
    <n v="0"/>
    <n v="0"/>
    <n v="3804.9837862195122"/>
    <n v="0"/>
    <n v="0"/>
    <n v="0"/>
    <n v="0"/>
    <n v="0"/>
    <n v="202"/>
    <n v="0"/>
    <n v="0"/>
    <n v="0"/>
    <m/>
    <n v="0"/>
    <n v="-12.3890448282368"/>
    <m/>
    <n v="-17.698635468909799"/>
    <m/>
    <n v="0"/>
    <n v="0"/>
    <n v="0"/>
    <n v="0"/>
  </r>
  <r>
    <n v="149"/>
    <s v="Regular"/>
    <s v="Convencional"/>
    <s v="B3"/>
    <s v="Comercial"/>
    <s v="Não se aplica"/>
    <s v="Não se aplica"/>
    <s v="Não se aplica"/>
    <s v="Não se aplica"/>
    <s v="CATIVO"/>
    <x v="6"/>
    <n v="0"/>
    <n v="0"/>
    <n v="19.779"/>
    <n v="19.779"/>
    <n v="19.779"/>
    <n v="19.779"/>
    <m/>
    <n v="609.05999999999995"/>
    <n v="286.42"/>
    <m/>
    <n v="17711.698919999999"/>
    <n v="17711.698919999999"/>
    <n v="13526.264729999999"/>
    <n v="0"/>
    <n v="1203.7776102533724"/>
    <n v="0"/>
    <n v="0"/>
    <n v="0"/>
    <n v="1931.4618739631394"/>
    <n v="7460.8760529581868"/>
    <n v="5665.1673455780292"/>
    <n v="0"/>
    <n v="0"/>
    <n v="0"/>
    <n v="0"/>
    <n v="0"/>
    <n v="186.03907763666581"/>
    <m/>
    <n v="33.7793192257057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3.03794473546668"/>
    <n v="0"/>
    <n v="48.56"/>
    <n v="225.14"/>
    <n v="3645.45"/>
    <n v="44"/>
    <m/>
    <m/>
    <m/>
    <m/>
    <m/>
    <m/>
    <m/>
    <m/>
    <m/>
    <n v="6328.2052903134954"/>
    <m/>
    <m/>
    <m/>
    <m/>
    <m/>
    <m/>
    <m/>
    <m/>
    <m/>
    <m/>
    <m/>
    <m/>
    <n v="13526.9486"/>
    <n v="-4184.780319999998"/>
    <m/>
    <m/>
    <m/>
    <m/>
    <n v="-2903.3594099999991"/>
    <n v="-1282.0747800000004"/>
    <n v="31"/>
    <n v="-1463.013236194618"/>
    <n v="0"/>
    <n v="0"/>
    <n v="0"/>
    <n v="0"/>
    <n v="0"/>
    <n v="0"/>
    <n v="0"/>
    <n v="66.281798235297856"/>
    <n v="0"/>
    <n v="0"/>
    <n v="-1282.2086736840838"/>
    <n v="0"/>
    <n v="0"/>
    <n v="0"/>
    <n v="-150.06670621743899"/>
    <n v="0"/>
    <n v="-83.513457991145287"/>
    <m/>
    <n v="0"/>
    <n v="0"/>
    <n v="0"/>
    <n v="0"/>
    <n v="-10.646699894663385"/>
    <n v="-2.8594966425860164"/>
    <n v="0"/>
    <n v="0"/>
    <m/>
    <m/>
    <m/>
    <n v="7460.8760529581868"/>
    <n v="0"/>
    <n v="0"/>
    <n v="-2903.3594099999991"/>
    <n v="-1282.0747800000008"/>
    <n v="0"/>
    <n v="0"/>
    <n v="-2722.4745518982718"/>
    <n v="0"/>
    <n v="0"/>
    <n v="0"/>
    <n v="0"/>
    <n v="0"/>
    <n v="0"/>
    <n v="0"/>
    <n v="0"/>
    <n v="0"/>
    <n v="0"/>
    <n v="0"/>
    <n v="0"/>
    <n v="567.62233046954975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54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7.6479999999999997"/>
    <n v="7.6479999999999997"/>
    <n v="7.6479999999999997"/>
    <n v="7.6479999999999997"/>
    <m/>
    <n v="609.05999999999995"/>
    <n v="286.42"/>
    <m/>
    <n v="6848.6310400000002"/>
    <n v="6848.6310400000002"/>
    <n v="5230.23776"/>
    <n v="0"/>
    <n v="465.46797933251383"/>
    <n v="0"/>
    <n v="0"/>
    <n v="0"/>
    <n v="746.84364285707511"/>
    <n v="2884.917339249922"/>
    <n v="2190.5657444249341"/>
    <n v="0"/>
    <n v="0"/>
    <n v="0"/>
    <n v="0"/>
    <n v="0"/>
    <n v="71.936238726185351"/>
    <m/>
    <n v="13.0615417077808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6.37869464264367"/>
    <n v="0"/>
    <n v="28.7"/>
    <n v="132.82"/>
    <n v="563.88"/>
    <n v="10"/>
    <m/>
    <m/>
    <m/>
    <m/>
    <m/>
    <m/>
    <m/>
    <m/>
    <m/>
    <n v="2446.9444390675776"/>
    <m/>
    <m/>
    <m/>
    <m/>
    <m/>
    <m/>
    <m/>
    <m/>
    <m/>
    <m/>
    <m/>
    <m/>
    <n v="5231.6054999999997"/>
    <n v="-1617.0555400000012"/>
    <m/>
    <m/>
    <m/>
    <m/>
    <n v="-1122.6499199999996"/>
    <n v="-495.74336000000017"/>
    <n v="31"/>
    <n v="-565.70732748958289"/>
    <n v="0"/>
    <n v="0"/>
    <n v="0"/>
    <n v="0"/>
    <n v="0"/>
    <n v="0"/>
    <n v="0"/>
    <n v="25.629364118689523"/>
    <n v="0"/>
    <n v="0"/>
    <n v="-495.79513303685121"/>
    <n v="0"/>
    <n v="0"/>
    <n v="0"/>
    <n v="-58.026703531572565"/>
    <n v="0"/>
    <n v="-32.29237710279989"/>
    <m/>
    <n v="0"/>
    <n v="0"/>
    <n v="0"/>
    <n v="0"/>
    <n v="-4.1167885532324959"/>
    <n v="-1.1056893838160597"/>
    <n v="0"/>
    <n v="0"/>
    <m/>
    <m/>
    <m/>
    <n v="2884.917339249922"/>
    <n v="0"/>
    <n v="0"/>
    <n v="-1122.6499199999998"/>
    <n v="-495.74336000000017"/>
    <n v="0"/>
    <n v="0"/>
    <n v="-1052.7066774315169"/>
    <n v="0"/>
    <n v="0"/>
    <n v="0"/>
    <n v="0"/>
    <n v="0"/>
    <n v="0"/>
    <n v="0"/>
    <n v="0"/>
    <n v="0"/>
    <n v="0"/>
    <n v="0"/>
    <n v="0"/>
    <n v="219.48407823606433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56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24.367000000000001"/>
    <n v="22.904979999999998"/>
    <n v="24.367000000000001"/>
    <n v="22.904979999999998"/>
    <m/>
    <n v="609.05999999999995"/>
    <n v="286.42"/>
    <m/>
    <n v="21820.16116"/>
    <n v="21820.16116"/>
    <n v="16663.860290000001"/>
    <n v="0"/>
    <n v="1483.0097087337037"/>
    <n v="0"/>
    <n v="0"/>
    <n v="0"/>
    <n v="2379.4899379574204"/>
    <n v="9191.5246869119837"/>
    <n v="6979.2776535567955"/>
    <n v="0"/>
    <n v="0"/>
    <n v="0"/>
    <n v="0"/>
    <n v="0"/>
    <n v="229.19329616121323"/>
    <m/>
    <n v="41.614877980321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6.83834366596477"/>
    <n v="0"/>
    <n v="23.47"/>
    <n v="108.6"/>
    <n v="4447.92"/>
    <n v="6"/>
    <m/>
    <m/>
    <m/>
    <m/>
    <n v="999.83161740000173"/>
    <m/>
    <m/>
    <m/>
    <m/>
    <n v="7796.1159972227606"/>
    <m/>
    <m/>
    <m/>
    <m/>
    <m/>
    <m/>
    <m/>
    <m/>
    <m/>
    <m/>
    <m/>
    <m/>
    <n v="15660.622999999998"/>
    <n v="-4850.3584903999999"/>
    <m/>
    <m/>
    <m/>
    <m/>
    <n v="-3576.8319299999994"/>
    <n v="-1579.4689400000007"/>
    <n v="31"/>
    <n v="-1802.3784582817261"/>
    <n v="0"/>
    <n v="0"/>
    <n v="0"/>
    <n v="0"/>
    <n v="0"/>
    <n v="0"/>
    <n v="0"/>
    <n v="81.656735810683585"/>
    <n v="0"/>
    <n v="0"/>
    <n v="-1579.6338920906055"/>
    <n v="0"/>
    <n v="0"/>
    <n v="0"/>
    <n v="-184.87665859751939"/>
    <n v="0"/>
    <n v="-102.8855063891117"/>
    <m/>
    <n v="0"/>
    <n v="0"/>
    <n v="0"/>
    <n v="0"/>
    <n v="-13.116342400185204"/>
    <n v="-3.5227946149903175"/>
    <n v="0"/>
    <n v="0"/>
    <m/>
    <m/>
    <m/>
    <n v="9191.5246869119837"/>
    <n v="0"/>
    <n v="0"/>
    <n v="-3576.8319300000003"/>
    <n v="-1579.4689400000007"/>
    <n v="0"/>
    <n v="0"/>
    <n v="-3353.9884425959435"/>
    <n v="0"/>
    <n v="0"/>
    <n v="0"/>
    <n v="0"/>
    <n v="0"/>
    <n v="0"/>
    <n v="0"/>
    <n v="0"/>
    <n v="0"/>
    <n v="0"/>
    <n v="0"/>
    <n v="0"/>
    <n v="699.28981882559879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55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46.963999999999999"/>
    <n v="46.963999999999999"/>
    <n v="46.963999999999999"/>
    <n v="46.963999999999999"/>
    <m/>
    <n v="334.98"/>
    <n v="157.53"/>
    <m/>
    <n v="23130.23964"/>
    <n v="23130.23964"/>
    <n v="17664.569319999999"/>
    <n v="0"/>
    <n v="1572.0621077085107"/>
    <n v="0"/>
    <n v="0"/>
    <n v="0"/>
    <n v="2522.3745637718112"/>
    <n v="9743.4612782810527"/>
    <n v="7398.3722923175765"/>
    <n v="0"/>
    <n v="0"/>
    <n v="0"/>
    <n v="0"/>
    <n v="0"/>
    <n v="242.95599287985272"/>
    <m/>
    <n v="44.1137859074687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5.88820062217917"/>
    <n v="0"/>
    <n v="29.88"/>
    <n v="138.18"/>
    <n v="5378.35"/>
    <n v="3"/>
    <m/>
    <m/>
    <m/>
    <m/>
    <m/>
    <m/>
    <m/>
    <m/>
    <m/>
    <n v="8264.2604929397548"/>
    <m/>
    <m/>
    <m/>
    <m/>
    <m/>
    <m/>
    <m/>
    <m/>
    <m/>
    <m/>
    <m/>
    <m/>
    <n v="17663.0648"/>
    <n v="-5467.2048399999985"/>
    <m/>
    <m/>
    <m/>
    <m/>
    <n v="-3791.4037200000007"/>
    <n v="-1674.2666000000002"/>
    <n v="31"/>
    <n v="-1910.6084480284517"/>
    <n v="0"/>
    <n v="0"/>
    <n v="0"/>
    <n v="0"/>
    <n v="0"/>
    <n v="0"/>
    <n v="0"/>
    <n v="86.560094280660905"/>
    <n v="0"/>
    <n v="0"/>
    <n v="-1674.4884212040461"/>
    <n v="0"/>
    <n v="0"/>
    <n v="0"/>
    <n v="-195.97821097819588"/>
    <n v="0"/>
    <n v="-109.06361912143711"/>
    <m/>
    <n v="0"/>
    <n v="0"/>
    <n v="0"/>
    <n v="0"/>
    <n v="-13.903958118162649"/>
    <n v="-3.7343328872704902"/>
    <n v="0"/>
    <n v="0"/>
    <m/>
    <m/>
    <m/>
    <n v="9743.4612782810527"/>
    <n v="0"/>
    <n v="0"/>
    <n v="-3791.4037200000002"/>
    <n v="-1674.2665999999999"/>
    <n v="0"/>
    <n v="0"/>
    <n v="-3555.3901698995551"/>
    <n v="0"/>
    <n v="0"/>
    <n v="0"/>
    <n v="0"/>
    <n v="0"/>
    <n v="0"/>
    <n v="0"/>
    <n v="0"/>
    <n v="0"/>
    <n v="0"/>
    <n v="0"/>
    <n v="0"/>
    <n v="741.28107186887905"/>
    <n v="0"/>
    <n v="0"/>
    <n v="0"/>
    <n v="0"/>
    <n v="0"/>
    <n v="202"/>
    <n v="0"/>
    <n v="0"/>
    <n v="0"/>
    <m/>
    <n v="0"/>
    <n v="-9.7342495079003708"/>
    <m/>
    <n v="-9.7342495079003708"/>
    <m/>
    <n v="0"/>
    <n v="0"/>
    <n v="0"/>
    <n v="0"/>
  </r>
  <r>
    <n v="174"/>
    <s v="Regular"/>
    <s v="Verde"/>
    <s v="A4"/>
    <s v="Comercial"/>
    <s v="Não se aplica"/>
    <s v="Não se aplica"/>
    <s v="Não se aplica"/>
    <s v="Ponta"/>
    <s v="CATIVO"/>
    <x v="7"/>
    <n v="0"/>
    <n v="0"/>
    <n v="0.8"/>
    <n v="0.8"/>
    <n v="0.8"/>
    <n v="0.8"/>
    <m/>
    <n v="3305.85"/>
    <n v="286.42"/>
    <m/>
    <n v="2873.8160000000003"/>
    <n v="2873.8160000000003"/>
    <n v="2088.88"/>
    <n v="0"/>
    <n v="42.359533684025848"/>
    <n v="0"/>
    <n v="0"/>
    <n v="0"/>
    <n v="521.58805678918486"/>
    <n v="2042.710931420128"/>
    <n v="229.13867619507678"/>
    <n v="0"/>
    <n v="0"/>
    <n v="0"/>
    <n v="0"/>
    <n v="0"/>
    <n v="7.5247111638269208"/>
    <m/>
    <n v="1.09606994183922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4298364396102397"/>
    <n v="0"/>
    <n v="0"/>
    <n v="0"/>
    <n v="0"/>
    <n v="0"/>
    <m/>
    <m/>
    <m/>
    <m/>
    <m/>
    <m/>
    <m/>
    <m/>
    <m/>
    <n v="238.56851263468701"/>
    <m/>
    <m/>
    <m/>
    <m/>
    <m/>
    <m/>
    <m/>
    <m/>
    <m/>
    <m/>
    <m/>
    <m/>
    <n v="2088.88"/>
    <n v="-784.9660000000008"/>
    <m/>
    <m/>
    <m/>
    <m/>
    <n v="-733.07999999999993"/>
    <n v="-51.856000000000023"/>
    <n v="30"/>
    <n v="-39.558553002179337"/>
    <n v="0"/>
    <n v="0"/>
    <n v="0"/>
    <n v="0"/>
    <n v="0"/>
    <n v="0"/>
    <n v="0"/>
    <n v="17.899289034942285"/>
    <n v="0"/>
    <n v="0"/>
    <n v="-51.861415589628763"/>
    <n v="0"/>
    <n v="0"/>
    <n v="0"/>
    <n v="-2.1342737710525519"/>
    <n v="0"/>
    <n v="-2.938741430903363"/>
    <m/>
    <n v="0"/>
    <n v="0"/>
    <n v="0"/>
    <n v="0"/>
    <n v="-0.43062641770214505"/>
    <n v="-9.278482783464792E-2"/>
    <n v="0"/>
    <n v="0"/>
    <m/>
    <m/>
    <m/>
    <n v="2042.710931420128"/>
    <n v="0"/>
    <n v="0"/>
    <n v="-733.08000000000015"/>
    <n v="-51.856000000000023"/>
    <n v="0"/>
    <n v="0"/>
    <n v="-745.38545985772794"/>
    <n v="0"/>
    <n v="0"/>
    <n v="0"/>
    <n v="0"/>
    <n v="0"/>
    <n v="0"/>
    <n v="0"/>
    <n v="0"/>
    <n v="0"/>
    <n v="0"/>
    <n v="0"/>
    <n v="0"/>
    <n v="19.973969462905444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75"/>
    <s v="Regular"/>
    <s v="Verde"/>
    <s v="A4"/>
    <s v="Comercial"/>
    <s v="Não se aplica"/>
    <s v="Não se aplica"/>
    <s v="Não se aplica"/>
    <s v="Fora ponta"/>
    <s v="CATIVO"/>
    <x v="7"/>
    <n v="0"/>
    <n v="0"/>
    <n v="17.364000000000001"/>
    <n v="17.364000000000001"/>
    <n v="17.364000000000001"/>
    <n v="17.364000000000001"/>
    <m/>
    <n v="100.48"/>
    <n v="286.42"/>
    <m/>
    <n v="6718.1316000000006"/>
    <n v="6718.1316000000006"/>
    <n v="5471.0491199999997"/>
    <n v="0"/>
    <n v="919.41367861178094"/>
    <n v="0"/>
    <n v="0"/>
    <n v="0"/>
    <n v="0"/>
    <n v="0"/>
    <n v="4973.4549668141417"/>
    <n v="0"/>
    <n v="0"/>
    <n v="0"/>
    <n v="0"/>
    <n v="0"/>
    <n v="163.32385581086331"/>
    <m/>
    <n v="23.7901980876203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4.67459992174028"/>
    <n v="0"/>
    <n v="0"/>
    <n v="0"/>
    <n v="0"/>
    <n v="0"/>
    <m/>
    <m/>
    <m/>
    <m/>
    <m/>
    <m/>
    <m/>
    <m/>
    <m/>
    <n v="5178.1295667358818"/>
    <m/>
    <m/>
    <m/>
    <m/>
    <m/>
    <m/>
    <m/>
    <m/>
    <m/>
    <m/>
    <m/>
    <m/>
    <n v="5469.7887999999994"/>
    <n v="-1248.372800000001"/>
    <m/>
    <m/>
    <m/>
    <m/>
    <n v="-121.548"/>
    <n v="-1125.5344800000005"/>
    <n v="30"/>
    <n v="-1247.12246141572"/>
    <n v="0"/>
    <n v="0"/>
    <n v="0"/>
    <n v="0"/>
    <n v="0"/>
    <n v="0"/>
    <n v="0"/>
    <n v="0"/>
    <n v="0"/>
    <n v="0"/>
    <n v="-1125.6520253728927"/>
    <n v="0"/>
    <n v="0"/>
    <n v="0"/>
    <n v="-46.324412200695662"/>
    <n v="0"/>
    <n v="-63.785382757757475"/>
    <m/>
    <n v="0"/>
    <n v="0"/>
    <n v="0"/>
    <n v="0"/>
    <n v="-9.3467463962250577"/>
    <n v="-2.0138946881510336"/>
    <n v="0"/>
    <n v="0"/>
    <m/>
    <m/>
    <m/>
    <n v="0"/>
    <n v="0"/>
    <n v="0"/>
    <n v="-121.548"/>
    <n v="-1125.5344800000003"/>
    <n v="0"/>
    <n v="0"/>
    <n v="0"/>
    <n v="0"/>
    <n v="0"/>
    <n v="0"/>
    <n v="0"/>
    <n v="0"/>
    <n v="0"/>
    <n v="0"/>
    <n v="0"/>
    <n v="0"/>
    <n v="0"/>
    <n v="0"/>
    <n v="0"/>
    <n v="433.53500719236263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76"/>
    <s v="Regular"/>
    <s v="Verde"/>
    <s v="A4"/>
    <s v="Comercial"/>
    <s v="Não se aplica"/>
    <s v="Não se aplica"/>
    <s v="Não se aplica"/>
    <s v="Não se aplica"/>
    <s v="CATIVO"/>
    <x v="7"/>
    <n v="200"/>
    <n v="200"/>
    <n v="0"/>
    <n v="0"/>
    <n v="0"/>
    <n v="0"/>
    <n v="39.21"/>
    <m/>
    <m/>
    <n v="7842"/>
    <m/>
    <n v="7842"/>
    <n v="5968"/>
    <n v="0"/>
    <n v="0"/>
    <n v="0"/>
    <n v="0"/>
    <n v="0"/>
    <n v="2470.4459924729599"/>
    <n v="5372.398245936520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9.96"/>
    <n v="461.36"/>
    <n v="2825.17"/>
    <n v="1"/>
    <m/>
    <m/>
    <m/>
    <m/>
    <m/>
    <m/>
    <m/>
    <m/>
    <m/>
    <n v="0"/>
    <m/>
    <m/>
    <m/>
    <m/>
    <m/>
    <m/>
    <m/>
    <m/>
    <m/>
    <m/>
    <m/>
    <m/>
    <n v="5968"/>
    <n v="-1874.0300000000007"/>
    <m/>
    <m/>
    <m/>
    <m/>
    <n v="-1874.0000000000002"/>
    <n v="0"/>
    <n v="30"/>
    <n v="84.77806630906025"/>
    <n v="0"/>
    <n v="0"/>
    <n v="0"/>
    <n v="0"/>
    <m/>
    <m/>
    <m/>
    <n v="84.7780663090602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372.3982459365207"/>
    <m/>
    <n v="0"/>
    <n v="0"/>
    <n v="-1874"/>
    <m/>
    <n v="0"/>
    <m/>
    <n v="-1960.3887537343408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182"/>
    <s v="Regular"/>
    <s v="Verde"/>
    <s v="A4"/>
    <s v="Serviço público"/>
    <s v="Água, esgoto e saneamento"/>
    <s v="Não se aplica"/>
    <s v="Não se aplica"/>
    <s v="Ponta"/>
    <s v="CATIVO"/>
    <x v="7"/>
    <n v="0"/>
    <n v="0"/>
    <n v="18.384"/>
    <n v="17.28096"/>
    <n v="18.384"/>
    <n v="17.28096"/>
    <m/>
    <n v="3305.85"/>
    <n v="286.42"/>
    <m/>
    <n v="66040.291679999995"/>
    <n v="66040.291679999995"/>
    <n v="48002.462399999997"/>
    <n v="0"/>
    <n v="973.42208405891392"/>
    <n v="0"/>
    <n v="0"/>
    <n v="0"/>
    <n v="11986.093545015467"/>
    <n v="46941.497204034538"/>
    <n v="5265.6067789628642"/>
    <n v="0"/>
    <n v="0"/>
    <n v="0"/>
    <n v="0"/>
    <n v="0"/>
    <n v="172.91786254474263"/>
    <m/>
    <n v="25.1876872634653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6.69764138224332"/>
    <n v="0"/>
    <n v="0"/>
    <n v="0"/>
    <n v="0"/>
    <n v="0"/>
    <m/>
    <m/>
    <m/>
    <m/>
    <n v="2880.1477440000003"/>
    <m/>
    <m/>
    <m/>
    <m/>
    <n v="5482.3044203451072"/>
    <m/>
    <m/>
    <m/>
    <m/>
    <m/>
    <m/>
    <m/>
    <m/>
    <m/>
    <m/>
    <m/>
    <m/>
    <n v="45119.808000000005"/>
    <n v="-16958.096179199994"/>
    <m/>
    <m/>
    <m/>
    <m/>
    <n v="-16846.178399999997"/>
    <n v="-1191.6508800000004"/>
    <n v="30"/>
    <n v="-909.05554799007587"/>
    <n v="0"/>
    <n v="0"/>
    <n v="0"/>
    <n v="0"/>
    <n v="0"/>
    <n v="0"/>
    <n v="0"/>
    <n v="411.32566202297676"/>
    <n v="0"/>
    <n v="0"/>
    <n v="-1191.775330249669"/>
    <n v="0"/>
    <n v="0"/>
    <n v="0"/>
    <n v="-49.045611258787659"/>
    <n v="0"/>
    <n v="-67.532278082159223"/>
    <m/>
    <n v="0"/>
    <n v="0"/>
    <n v="0"/>
    <n v="0"/>
    <n v="-9.8957950787952882"/>
    <n v="-2.132195343640209"/>
    <n v="0"/>
    <n v="0"/>
    <m/>
    <m/>
    <m/>
    <n v="46941.497204034538"/>
    <n v="0"/>
    <n v="0"/>
    <n v="-16846.178399999997"/>
    <n v="-1191.6508800000001"/>
    <n v="0"/>
    <n v="0"/>
    <n v="-17128.957867530586"/>
    <n v="0"/>
    <n v="0"/>
    <n v="0"/>
    <n v="0"/>
    <n v="0"/>
    <n v="0"/>
    <n v="0"/>
    <n v="0"/>
    <n v="0"/>
    <n v="0"/>
    <n v="0"/>
    <n v="0"/>
    <n v="459.00181825756704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83"/>
    <s v="Regular"/>
    <s v="Verde"/>
    <s v="A4"/>
    <s v="Serviço público"/>
    <s v="Água, esgoto e saneamento"/>
    <s v="Não se aplica"/>
    <s v="Não se aplica"/>
    <s v="Fora ponta"/>
    <s v="CATIVO"/>
    <x v="7"/>
    <n v="0"/>
    <n v="0"/>
    <n v="187.297"/>
    <n v="176.05918"/>
    <n v="187.297"/>
    <n v="176.05918"/>
    <m/>
    <n v="100.48"/>
    <n v="286.42"/>
    <m/>
    <n v="72465.209300000002"/>
    <n v="72465.209300000002"/>
    <n v="59013.538760000003"/>
    <n v="0"/>
    <n v="9917.2669755212355"/>
    <n v="0"/>
    <n v="0"/>
    <n v="0"/>
    <n v="0"/>
    <n v="0"/>
    <n v="53646.233294136618"/>
    <n v="0"/>
    <n v="0"/>
    <n v="0"/>
    <n v="0"/>
    <n v="0"/>
    <n v="1761.6947835641133"/>
    <m/>
    <n v="256.613264870826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07.7250945370988"/>
    <n v="0"/>
    <n v="0"/>
    <n v="0"/>
    <n v="0"/>
    <n v="0"/>
    <m/>
    <m/>
    <m/>
    <m/>
    <n v="3540.8123255999999"/>
    <m/>
    <m/>
    <m/>
    <m/>
    <n v="55853.958388673716"/>
    <m/>
    <m/>
    <m/>
    <m/>
    <m/>
    <m/>
    <m/>
    <m/>
    <m/>
    <m/>
    <m/>
    <m/>
    <n v="55472.984800000006"/>
    <n v="-12644.341941999985"/>
    <m/>
    <m/>
    <m/>
    <m/>
    <n v="-1311.079"/>
    <n v="-12140.591540000003"/>
    <n v="30"/>
    <n v="-13452.101800033422"/>
    <n v="0"/>
    <n v="0"/>
    <n v="0"/>
    <n v="0"/>
    <n v="0"/>
    <n v="0"/>
    <n v="0"/>
    <n v="0"/>
    <n v="0"/>
    <n v="0"/>
    <n v="-12141.859444613372"/>
    <n v="0"/>
    <n v="0"/>
    <n v="0"/>
    <n v="-499.67884312103729"/>
    <n v="0"/>
    <n v="-688.0218172298828"/>
    <m/>
    <n v="0"/>
    <n v="0"/>
    <n v="0"/>
    <n v="0"/>
    <n v="-100.81879519544827"/>
    <n v="-21.722899873682564"/>
    <n v="0"/>
    <n v="0"/>
    <m/>
    <m/>
    <m/>
    <n v="0"/>
    <n v="0"/>
    <n v="0"/>
    <n v="-1311.0789999999979"/>
    <n v="-12140.591540000001"/>
    <n v="0"/>
    <n v="0"/>
    <n v="0"/>
    <n v="0"/>
    <n v="0"/>
    <n v="0"/>
    <n v="0"/>
    <n v="0"/>
    <n v="0"/>
    <n v="0"/>
    <n v="0"/>
    <n v="0"/>
    <n v="0"/>
    <n v="0"/>
    <n v="0"/>
    <n v="4676.3306981172509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84"/>
    <s v="Regular"/>
    <s v="Verde"/>
    <s v="A4"/>
    <s v="Serviço público"/>
    <s v="Água, esgoto e saneamento"/>
    <s v="Não se aplica"/>
    <s v="Não se aplica"/>
    <s v="Não se aplica"/>
    <s v="CATIVO"/>
    <x v="7"/>
    <n v="556"/>
    <n v="522.64"/>
    <n v="0"/>
    <n v="0"/>
    <n v="0"/>
    <n v="0"/>
    <n v="39.21"/>
    <m/>
    <m/>
    <n v="21800.760000000002"/>
    <m/>
    <n v="21800.760000000002"/>
    <n v="16591.04"/>
    <n v="0"/>
    <n v="0"/>
    <n v="0"/>
    <n v="0"/>
    <n v="0"/>
    <n v="6867.8398590748293"/>
    <n v="14935.26712370352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88.14"/>
    <n v="1791.57"/>
    <n v="29725.62"/>
    <n v="2"/>
    <m/>
    <m/>
    <m/>
    <m/>
    <n v="995.46240000000046"/>
    <m/>
    <m/>
    <m/>
    <m/>
    <n v="0"/>
    <m/>
    <m/>
    <m/>
    <m/>
    <m/>
    <m/>
    <m/>
    <m/>
    <m/>
    <m/>
    <m/>
    <m/>
    <n v="15595.577599999999"/>
    <n v="-4897.1667999999972"/>
    <m/>
    <m/>
    <m/>
    <m/>
    <n v="-5209.72"/>
    <n v="0"/>
    <n v="30"/>
    <n v="235.68302433918689"/>
    <n v="0"/>
    <n v="0"/>
    <n v="0"/>
    <n v="0"/>
    <m/>
    <m/>
    <m/>
    <n v="235.6830243391868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935.267123703527"/>
    <m/>
    <n v="0"/>
    <n v="0"/>
    <n v="-5209.7200000000012"/>
    <m/>
    <n v="0"/>
    <m/>
    <n v="-5449.8807353814664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162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4.4779999999999998"/>
    <n v="4.4779999999999998"/>
    <n v="4.4779999999999998"/>
    <n v="4.4779999999999998"/>
    <m/>
    <n v="609.05999999999995"/>
    <n v="286.42"/>
    <m/>
    <n v="4009.9594399999996"/>
    <n v="4009.9594399999996"/>
    <n v="3062.3698599999998"/>
    <n v="0"/>
    <n v="272.53734459348811"/>
    <n v="0"/>
    <n v="0"/>
    <n v="0"/>
    <n v="437.2863274992132"/>
    <n v="1689.1553144823681"/>
    <n v="1282.6037400019422"/>
    <n v="0"/>
    <n v="0"/>
    <n v="0"/>
    <n v="0"/>
    <n v="0"/>
    <n v="42.119570739521187"/>
    <m/>
    <n v="7.6476966223120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0.11294385587843"/>
    <n v="0"/>
    <n v="15.03"/>
    <n v="70.13"/>
    <n v="2329.3200000000002"/>
    <n v="36"/>
    <m/>
    <m/>
    <m/>
    <m/>
    <m/>
    <m/>
    <m/>
    <m/>
    <m/>
    <n v="1432.7166838578207"/>
    <m/>
    <m/>
    <m/>
    <m/>
    <m/>
    <m/>
    <m/>
    <m/>
    <m/>
    <m/>
    <m/>
    <m/>
    <n v="3063.7375999999999"/>
    <n v="-946.25184000000036"/>
    <m/>
    <m/>
    <m/>
    <m/>
    <n v="-657.32561999999984"/>
    <n v="-290.26396000000005"/>
    <n v="30"/>
    <n v="-331.22874117394804"/>
    <n v="0"/>
    <n v="0"/>
    <n v="0"/>
    <n v="0"/>
    <n v="0"/>
    <n v="0"/>
    <n v="0"/>
    <n v="15.00631439899206"/>
    <n v="0"/>
    <n v="0"/>
    <n v="-290.29427376294711"/>
    <n v="0"/>
    <n v="0"/>
    <n v="0"/>
    <n v="-33.975363286399286"/>
    <n v="0"/>
    <n v="-18.907592137335001"/>
    <m/>
    <n v="0"/>
    <n v="0"/>
    <n v="0"/>
    <n v="0"/>
    <n v="-2.4104313730877607"/>
    <n v="-0.64739501317054327"/>
    <n v="0"/>
    <n v="0"/>
    <m/>
    <m/>
    <m/>
    <n v="1689.1553144823681"/>
    <n v="0"/>
    <n v="0"/>
    <n v="-657.32561999999962"/>
    <n v="-290.26396000000022"/>
    <n v="0"/>
    <n v="0"/>
    <n v="-616.37297352750193"/>
    <n v="0"/>
    <n v="0"/>
    <n v="0"/>
    <n v="0"/>
    <n v="0"/>
    <n v="0"/>
    <n v="0"/>
    <n v="0"/>
    <n v="0"/>
    <n v="0"/>
    <n v="0"/>
    <n v="0"/>
    <n v="128.5106828374864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63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3.84"/>
    <n v="3.84"/>
    <n v="3.84"/>
    <n v="3.84"/>
    <m/>
    <n v="510.09"/>
    <n v="286.42"/>
    <m/>
    <n v="3058.5983999999999"/>
    <n v="3058.5983999999999"/>
    <n v="2264.3328000000001"/>
    <n v="0"/>
    <n v="0"/>
    <n v="0"/>
    <n v="0"/>
    <n v="0"/>
    <n v="374.98425582782016"/>
    <n v="1448.494061548078"/>
    <n v="1099.8656457363686"/>
    <n v="0"/>
    <n v="0"/>
    <n v="0"/>
    <n v="0"/>
    <n v="0"/>
    <n v="0"/>
    <m/>
    <n v="6.55809625495272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8.72570442308466"/>
    <n v="0"/>
    <n v="4.4000000000000004"/>
    <n v="20.69"/>
    <n v="477.22"/>
    <n v="0"/>
    <m/>
    <m/>
    <m/>
    <m/>
    <m/>
    <m/>
    <m/>
    <n v="1471.8335999999999"/>
    <m/>
    <n v="1228.5913501594532"/>
    <m/>
    <m/>
    <m/>
    <m/>
    <m/>
    <m/>
    <m/>
    <m/>
    <m/>
    <m/>
    <m/>
    <m/>
    <n v="792.49919999999997"/>
    <n v="-278.04600000000005"/>
    <m/>
    <m/>
    <m/>
    <m/>
    <n v="-545.35679999999991"/>
    <n v="-248.90880000000007"/>
    <n v="30"/>
    <n v="-265.75639924697066"/>
    <n v="0"/>
    <n v="0"/>
    <n v="0"/>
    <n v="0"/>
    <n v="0"/>
    <n v="0"/>
    <n v="0"/>
    <n v="12.868299975911043"/>
    <n v="0"/>
    <n v="0"/>
    <n v="-248.93479483021815"/>
    <n v="0"/>
    <n v="0"/>
    <n v="0"/>
    <n v="-29.134746543048962"/>
    <n v="0"/>
    <n v="0"/>
    <m/>
    <n v="0"/>
    <n v="0"/>
    <n v="0"/>
    <n v="0"/>
    <n v="0"/>
    <n v="-0.55515784961475756"/>
    <n v="0"/>
    <n v="0"/>
    <m/>
    <m/>
    <m/>
    <n v="1448.494061548078"/>
    <n v="0"/>
    <n v="0"/>
    <n v="-545.35679999999979"/>
    <n v="-248.90880000000016"/>
    <n v="0"/>
    <n v="0"/>
    <n v="-528.55565394051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64"/>
    <s v="Refaturamento - 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-0.02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"/>
    <m/>
    <m/>
    <m/>
    <m/>
    <n v="0"/>
    <n v="-17.698635468909799"/>
    <m/>
    <n v="-17.698635468909799"/>
    <m/>
    <n v="0"/>
    <n v="0"/>
    <n v="0"/>
    <n v="0"/>
  </r>
  <r>
    <n v="165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8.4"/>
    <n v="8.4"/>
    <n v="8.4"/>
    <n v="8.4"/>
    <m/>
    <n v="510.09"/>
    <n v="286.42"/>
    <m/>
    <n v="6690.6840000000011"/>
    <n v="6690.6840000000011"/>
    <n v="4953.2280000000001"/>
    <n v="0"/>
    <n v="0"/>
    <n v="0"/>
    <n v="0"/>
    <n v="0"/>
    <n v="820.27805962335663"/>
    <n v="3168.5807596364211"/>
    <n v="2405.9561000483063"/>
    <n v="0"/>
    <n v="0"/>
    <n v="0"/>
    <n v="0"/>
    <n v="0"/>
    <n v="0"/>
    <m/>
    <n v="14.3458355577090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1.58747842549775"/>
    <n v="0"/>
    <n v="16.96"/>
    <n v="79.5"/>
    <n v="1113.1199999999999"/>
    <n v="23"/>
    <m/>
    <m/>
    <m/>
    <m/>
    <m/>
    <m/>
    <m/>
    <n v="1981.308"/>
    <m/>
    <n v="2687.5435784738042"/>
    <m/>
    <m/>
    <m/>
    <m/>
    <m/>
    <m/>
    <m/>
    <m/>
    <m/>
    <m/>
    <m/>
    <m/>
    <n v="2971.92"/>
    <n v="-1042.5540000000005"/>
    <m/>
    <m/>
    <m/>
    <m/>
    <n v="-1192.9679999999998"/>
    <n v="-544.48800000000017"/>
    <n v="30"/>
    <n v="-581.34212335274924"/>
    <n v="0"/>
    <n v="0"/>
    <n v="0"/>
    <n v="0"/>
    <n v="0"/>
    <n v="0"/>
    <n v="0"/>
    <n v="28.149406197305439"/>
    <n v="0"/>
    <n v="0"/>
    <n v="-544.54486369110214"/>
    <n v="0"/>
    <n v="0"/>
    <n v="0"/>
    <n v="-63.732258062919641"/>
    <n v="0"/>
    <n v="0"/>
    <m/>
    <n v="0"/>
    <n v="0"/>
    <n v="0"/>
    <n v="0"/>
    <n v="0"/>
    <n v="-1.2144077960322832"/>
    <n v="0"/>
    <n v="0"/>
    <m/>
    <m/>
    <m/>
    <n v="3168.5807596364211"/>
    <n v="0"/>
    <n v="0"/>
    <n v="-1192.9680000000003"/>
    <n v="-544.48800000000028"/>
    <n v="0"/>
    <n v="0"/>
    <n v="-1156.2154929948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66"/>
    <s v="Refaturamento - 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02"/>
    <n v="-0.1"/>
    <n v="-0.04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"/>
    <m/>
    <m/>
    <m/>
    <m/>
    <n v="0"/>
    <n v="-17.698635468909799"/>
    <m/>
    <n v="-17.698635468909799"/>
    <m/>
    <n v="0"/>
    <n v="0"/>
    <n v="0"/>
    <n v="0"/>
  </r>
  <r>
    <n v="167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7.9470000000000001"/>
    <n v="7.9470000000000001"/>
    <n v="7.9470000000000001"/>
    <n v="7.9470000000000001"/>
    <m/>
    <n v="510.09"/>
    <n v="286.42"/>
    <m/>
    <n v="6329.8649700000005"/>
    <n v="6329.8649700000005"/>
    <n v="4686.1074900000003"/>
    <n v="0"/>
    <n v="0"/>
    <n v="0"/>
    <n v="0"/>
    <n v="0"/>
    <n v="776.04163569366847"/>
    <n v="2997.7037258131709"/>
    <n v="2276.2063246528442"/>
    <n v="0"/>
    <n v="0"/>
    <n v="0"/>
    <n v="0"/>
    <n v="0"/>
    <n v="0"/>
    <m/>
    <n v="13.5721851401326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6.40186798183697"/>
    <n v="0"/>
    <n v="24.54"/>
    <n v="114.26"/>
    <n v="1365.44"/>
    <n v="79"/>
    <m/>
    <m/>
    <m/>
    <m/>
    <m/>
    <m/>
    <m/>
    <n v="468.63459"/>
    <m/>
    <n v="2542.608192634681"/>
    <m/>
    <m/>
    <m/>
    <m/>
    <m/>
    <m/>
    <m/>
    <m/>
    <m/>
    <m/>
    <m/>
    <m/>
    <n v="4219.0649999999996"/>
    <n v="-1477.8514200000009"/>
    <m/>
    <m/>
    <m/>
    <m/>
    <n v="-1128.63294"/>
    <n v="-515.12454000000014"/>
    <n v="30"/>
    <n v="-549.99117312908311"/>
    <n v="0"/>
    <n v="0"/>
    <n v="0"/>
    <n v="0"/>
    <n v="0"/>
    <n v="0"/>
    <n v="0"/>
    <n v="26.631348934522066"/>
    <n v="0"/>
    <n v="0"/>
    <n v="-515.17833711347498"/>
    <n v="0"/>
    <n v="0"/>
    <n v="0"/>
    <n v="-60.295268431669314"/>
    <n v="0"/>
    <n v="0"/>
    <m/>
    <n v="0"/>
    <n v="0"/>
    <n v="0"/>
    <n v="0"/>
    <n v="0"/>
    <n v="-1.1489165184605419"/>
    <n v="0"/>
    <n v="0"/>
    <m/>
    <m/>
    <m/>
    <n v="2997.7037258131709"/>
    <n v="0"/>
    <n v="0"/>
    <n v="-1128.63294"/>
    <n v="-515.12454000000002"/>
    <n v="0"/>
    <n v="0"/>
    <n v="-1093.8624431940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68"/>
    <s v="Refaturamento - 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05"/>
    <n v="-0.14000000000000001"/>
    <n v="-0.03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"/>
    <m/>
    <m/>
    <m/>
    <m/>
    <n v="0"/>
    <n v="-17.698635468909799"/>
    <m/>
    <n v="-17.698635468909799"/>
    <m/>
    <n v="0"/>
    <n v="0"/>
    <n v="0"/>
    <n v="0"/>
  </r>
  <r>
    <n v="169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2.0590000000000002"/>
    <n v="2.0590000000000002"/>
    <n v="2.0590000000000002"/>
    <n v="2.0590000000000002"/>
    <m/>
    <n v="510.09"/>
    <n v="286.42"/>
    <m/>
    <n v="1640.0140900000001"/>
    <n v="1640.0140900000001"/>
    <n v="1214.1305299999999"/>
    <n v="0"/>
    <n v="0"/>
    <n v="0"/>
    <n v="0"/>
    <n v="0"/>
    <n v="201.06577675767755"/>
    <n v="776.67949810611799"/>
    <n v="589.74566785707896"/>
    <n v="0"/>
    <n v="0"/>
    <n v="0"/>
    <n v="0"/>
    <n v="0"/>
    <n v="0"/>
    <m/>
    <n v="3.5164375492051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.022454533107123"/>
    <n v="0"/>
    <n v="7.14"/>
    <n v="33.659999999999997"/>
    <n v="485.03"/>
    <n v="26"/>
    <m/>
    <m/>
    <m/>
    <m/>
    <m/>
    <m/>
    <m/>
    <m/>
    <m/>
    <n v="658.76812239018614"/>
    <m/>
    <m/>
    <m/>
    <m/>
    <m/>
    <m/>
    <m/>
    <m/>
    <m/>
    <m/>
    <m/>
    <m/>
    <n v="1214.7202"/>
    <n v="-425.32389000000012"/>
    <m/>
    <m/>
    <m/>
    <m/>
    <n v="-292.41917999999998"/>
    <n v="-133.46438000000006"/>
    <n v="30"/>
    <n v="-142.49802761706076"/>
    <n v="0"/>
    <n v="0"/>
    <n v="0"/>
    <n v="0"/>
    <n v="0"/>
    <n v="0"/>
    <n v="0"/>
    <n v="6.8999556381251921"/>
    <n v="0"/>
    <n v="0"/>
    <n v="-133.4783183738071"/>
    <n v="0"/>
    <n v="0"/>
    <n v="0"/>
    <n v="-15.621990398994221"/>
    <n v="0"/>
    <n v="0"/>
    <m/>
    <n v="0"/>
    <n v="0"/>
    <n v="0"/>
    <n v="0"/>
    <n v="0"/>
    <n v="-0.29767448238458005"/>
    <n v="0"/>
    <n v="0"/>
    <m/>
    <m/>
    <m/>
    <n v="776.67949810611799"/>
    <n v="0"/>
    <n v="0"/>
    <n v="-292.41917999999998"/>
    <n v="-133.46438000000012"/>
    <n v="0"/>
    <n v="0"/>
    <n v="-283.41044048528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70"/>
    <s v="Regular"/>
    <s v="Branca"/>
    <s v="B1"/>
    <s v="Residencial"/>
    <s v="Residencial"/>
    <s v="Não se aplica"/>
    <s v="Não se aplica"/>
    <s v="Fora ponta"/>
    <s v="CATIVO"/>
    <x v="7"/>
    <n v="0"/>
    <n v="0"/>
    <n v="4.1000000000000002E-2"/>
    <n v="4.1000000000000002E-2"/>
    <n v="4.1000000000000002E-2"/>
    <n v="4.1000000000000002E-2"/>
    <m/>
    <n v="409.62"/>
    <n v="286.42"/>
    <m/>
    <n v="28.537640000000003"/>
    <n v="28.537640000000003"/>
    <n v="22.174440000000001"/>
    <n v="0"/>
    <n v="2.4953173578233616"/>
    <n v="0"/>
    <n v="0"/>
    <n v="0"/>
    <n v="2.3223717295907802"/>
    <n v="8.9700977504434345"/>
    <n v="11.743357154997685"/>
    <n v="0"/>
    <n v="0"/>
    <n v="0"/>
    <n v="0"/>
    <n v="0"/>
    <n v="0.38564144714612969"/>
    <m/>
    <n v="7.002134022215154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3744150732673104"/>
    <n v="0"/>
    <n v="0"/>
    <n v="0"/>
    <n v="0"/>
    <n v="0"/>
    <m/>
    <m/>
    <m/>
    <m/>
    <m/>
    <m/>
    <m/>
    <m/>
    <m/>
    <n v="13.117772228264997"/>
    <m/>
    <m/>
    <m/>
    <m/>
    <m/>
    <m/>
    <m/>
    <m/>
    <m/>
    <m/>
    <m/>
    <m/>
    <n v="21.633600000000001"/>
    <n v="-6.9340400000000066"/>
    <m/>
    <m/>
    <m/>
    <m/>
    <n v="-3.7055799999999999"/>
    <n v="-2.657620000000001"/>
    <n v="30"/>
    <n v="-3.0903876360166009"/>
    <n v="0"/>
    <n v="0"/>
    <n v="0"/>
    <n v="0"/>
    <n v="0"/>
    <n v="0"/>
    <n v="0"/>
    <n v="7.9696615544484928E-2"/>
    <n v="0"/>
    <n v="0"/>
    <n v="-2.6578975489684744"/>
    <n v="0"/>
    <n v="0"/>
    <n v="0"/>
    <n v="-0.3110741167356792"/>
    <n v="0"/>
    <n v="-0.17311551532620228"/>
    <m/>
    <n v="0"/>
    <n v="0"/>
    <n v="0"/>
    <n v="0"/>
    <n v="-2.2069603907234947E-2"/>
    <n v="-5.9274666234909179E-3"/>
    <n v="0"/>
    <n v="0"/>
    <m/>
    <m/>
    <m/>
    <n v="8.9700977504434345"/>
    <n v="0"/>
    <n v="0"/>
    <n v="-3.7055800000000012"/>
    <n v="-2.6576200000000014"/>
    <n v="0"/>
    <n v="0"/>
    <n v="-3.2731897273564199"/>
    <n v="0"/>
    <n v="0"/>
    <n v="0"/>
    <n v="0"/>
    <n v="0"/>
    <n v="0"/>
    <n v="0"/>
    <n v="0"/>
    <n v="0"/>
    <n v="0"/>
    <n v="0"/>
    <n v="0"/>
    <n v="1.176627511464257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71"/>
    <s v="Regular"/>
    <s v="Branca"/>
    <s v="B1"/>
    <s v="Residencial"/>
    <s v="Residencial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3"/>
    <n v="1.3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"/>
    <m/>
    <m/>
    <m/>
    <m/>
    <n v="0"/>
    <n v="-17.698635468909799"/>
    <m/>
    <n v="-17.698635468909799"/>
    <m/>
    <n v="0"/>
    <n v="0"/>
    <n v="0"/>
    <n v="0"/>
  </r>
  <r>
    <n v="172"/>
    <s v="Regular"/>
    <s v="Branca"/>
    <s v="B1"/>
    <s v="Residencial"/>
    <s v="Residencial"/>
    <s v="Não se aplica"/>
    <s v="Não se aplica"/>
    <s v="Intermediário"/>
    <s v="CATIVO"/>
    <x v="7"/>
    <n v="0"/>
    <n v="0"/>
    <n v="1.9E-2"/>
    <n v="1.9E-2"/>
    <n v="1.9E-2"/>
    <n v="1.9E-2"/>
    <m/>
    <n v="960.47"/>
    <n v="286.42"/>
    <m/>
    <n v="23.690910000000002"/>
    <n v="23.690910000000002"/>
    <n v="17.782289999999996"/>
    <n v="0"/>
    <n v="1.1563665804547285"/>
    <n v="0"/>
    <n v="0"/>
    <n v="0"/>
    <n v="3.2285619074252416"/>
    <n v="12.470630053868019"/>
    <n v="5.4420435596330732"/>
    <n v="0"/>
    <n v="0"/>
    <n v="0"/>
    <n v="0"/>
    <n v="0"/>
    <n v="0.17871189014088934"/>
    <m/>
    <n v="3.244891376148485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3692405834338772"/>
    <n v="0"/>
    <n v="0"/>
    <n v="0"/>
    <n v="0"/>
    <n v="0"/>
    <m/>
    <m/>
    <m/>
    <m/>
    <m/>
    <m/>
    <m/>
    <m/>
    <m/>
    <n v="6.0789676179764607"/>
    <m/>
    <m/>
    <m/>
    <m/>
    <m/>
    <m/>
    <m/>
    <m/>
    <m/>
    <m/>
    <m/>
    <m/>
    <n v="18.7182"/>
    <n v="-5.0027100000000075"/>
    <m/>
    <m/>
    <m/>
    <m/>
    <n v="-4.6770400000000016"/>
    <n v="-1.2315800000000003"/>
    <n v="30"/>
    <n v="-1.3582691737050769"/>
    <n v="0"/>
    <n v="0"/>
    <n v="0"/>
    <n v="0"/>
    <n v="0"/>
    <n v="0"/>
    <n v="0"/>
    <n v="0.11079425994518033"/>
    <n v="0"/>
    <n v="0"/>
    <n v="-1.2317086202536833"/>
    <n v="0"/>
    <n v="0"/>
    <n v="0"/>
    <n v="-0.14415629799946106"/>
    <n v="0"/>
    <n v="-8.0224263199947465E-2"/>
    <m/>
    <n v="0"/>
    <n v="0"/>
    <n v="0"/>
    <n v="0"/>
    <n v="-1.0227377420425926E-2"/>
    <n v="-2.7468747767396863E-3"/>
    <n v="0"/>
    <n v="0"/>
    <m/>
    <m/>
    <m/>
    <n v="12.470630053868019"/>
    <n v="0"/>
    <n v="0"/>
    <n v="-4.6770400000000034"/>
    <n v="-1.2315800000000001"/>
    <n v="0"/>
    <n v="0"/>
    <n v="-4.5505343778405498"/>
    <n v="0"/>
    <n v="0"/>
    <n v="0"/>
    <n v="0"/>
    <n v="0"/>
    <n v="0"/>
    <n v="0"/>
    <n v="0"/>
    <n v="0"/>
    <n v="0"/>
    <n v="0"/>
    <n v="0"/>
    <n v="0.54526640775172885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77"/>
    <s v="Regular"/>
    <s v="Convencional"/>
    <s v="B2"/>
    <s v="Rural"/>
    <s v="Não se aplica"/>
    <s v="Não se aplica"/>
    <s v="Não se aplica"/>
    <s v="Não se aplica"/>
    <s v="CATIVO"/>
    <x v="7"/>
    <n v="0"/>
    <n v="0"/>
    <n v="122.051"/>
    <n v="122.051"/>
    <n v="122.051"/>
    <n v="122.051"/>
    <m/>
    <n v="609.05999999999995"/>
    <n v="286.42"/>
    <m/>
    <n v="109294.22947999999"/>
    <n v="109294.22947999999"/>
    <n v="83467.017370000001"/>
    <n v="0"/>
    <n v="7428.1946058463191"/>
    <n v="0"/>
    <n v="0"/>
    <n v="0"/>
    <n v="11918.542554177417"/>
    <n v="46039.101225521998"/>
    <n v="34958.255710356643"/>
    <n v="0"/>
    <n v="0"/>
    <n v="0"/>
    <n v="0"/>
    <n v="0"/>
    <n v="1147.9981528202993"/>
    <m/>
    <n v="208.443282815946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91.4325392036221"/>
    <n v="0"/>
    <n v="421.41"/>
    <n v="1952.67"/>
    <n v="3068.03"/>
    <n v="327"/>
    <m/>
    <m/>
    <m/>
    <m/>
    <m/>
    <n v="10016.725569999995"/>
    <m/>
    <m/>
    <m/>
    <n v="39049.688249560262"/>
    <m/>
    <m/>
    <m/>
    <m/>
    <m/>
    <m/>
    <m/>
    <m/>
    <m/>
    <m/>
    <m/>
    <m/>
    <n v="73449.69"/>
    <n v="-22728.969020000004"/>
    <m/>
    <m/>
    <m/>
    <m/>
    <n v="-17915.866289999994"/>
    <n v="-7911.3458200000032"/>
    <n v="30"/>
    <n v="-9027.8693812017591"/>
    <n v="0"/>
    <n v="0"/>
    <n v="0"/>
    <n v="0"/>
    <n v="0"/>
    <n v="0"/>
    <n v="0"/>
    <n v="409.00752092706171"/>
    <n v="0"/>
    <n v="0"/>
    <n v="-7912.1720426622232"/>
    <n v="0"/>
    <n v="0"/>
    <n v="0"/>
    <n v="-926.02212248064325"/>
    <n v="0"/>
    <n v="-515.33955514825175"/>
    <m/>
    <n v="0"/>
    <n v="0"/>
    <n v="0"/>
    <n v="0"/>
    <n v="-65.697981133705525"/>
    <n v="-17.64520070399243"/>
    <n v="0"/>
    <n v="0"/>
    <m/>
    <m/>
    <m/>
    <n v="46039.101225521998"/>
    <n v="0"/>
    <n v="0"/>
    <n v="-17915.866289999991"/>
    <n v="-7911.3458200000059"/>
    <n v="0"/>
    <n v="0"/>
    <n v="-16799.673468513869"/>
    <n v="0"/>
    <n v="0"/>
    <n v="0"/>
    <n v="0"/>
    <n v="0"/>
    <n v="0"/>
    <n v="0"/>
    <n v="0"/>
    <n v="0"/>
    <n v="0"/>
    <n v="0"/>
    <n v="0"/>
    <n v="3502.6479122371716"/>
    <n v="0"/>
    <n v="0"/>
    <n v="0"/>
    <n v="0"/>
    <n v="0"/>
    <n v="202"/>
    <n v="0"/>
    <n v="0"/>
    <n v="0"/>
    <m/>
    <n v="0"/>
    <n v="-12.3890448282368"/>
    <m/>
    <n v="-17.698635468909799"/>
    <m/>
    <n v="0"/>
    <n v="0"/>
    <n v="0"/>
    <n v="0"/>
  </r>
  <r>
    <n v="178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3.11"/>
    <n v="3.11"/>
    <n v="3.11"/>
    <n v="3.11"/>
    <m/>
    <n v="609.05999999999995"/>
    <n v="286.42"/>
    <m/>
    <n v="2784.9427999999998"/>
    <n v="2784.9427999999998"/>
    <n v="2126.8356999999996"/>
    <n v="0"/>
    <n v="189.27895080074765"/>
    <n v="0"/>
    <n v="0"/>
    <n v="0"/>
    <n v="303.69818636055226"/>
    <n v="1173.1293050558652"/>
    <n v="890.77660370836099"/>
    <n v="0"/>
    <n v="0"/>
    <n v="0"/>
    <n v="0"/>
    <n v="0"/>
    <n v="29.252314649377151"/>
    <m/>
    <n v="5.31137483148515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.25441165515451"/>
    <n v="0"/>
    <n v="6.8"/>
    <n v="31.46"/>
    <n v="0"/>
    <n v="6"/>
    <m/>
    <m/>
    <m/>
    <m/>
    <m/>
    <n v="255.2376999999999"/>
    <m/>
    <m/>
    <m/>
    <n v="995.03101536351551"/>
    <m/>
    <m/>
    <m/>
    <m/>
    <m/>
    <m/>
    <m/>
    <m/>
    <m/>
    <m/>
    <m/>
    <m/>
    <n v="1871.598"/>
    <n v="-579.17420000000038"/>
    <m/>
    <m/>
    <m/>
    <m/>
    <n v="-456.51689999999985"/>
    <n v="-201.59020000000007"/>
    <n v="30"/>
    <n v="-230.04050581754746"/>
    <n v="0"/>
    <n v="0"/>
    <n v="0"/>
    <n v="0"/>
    <n v="0"/>
    <n v="0"/>
    <n v="0"/>
    <n v="10.421982532573793"/>
    <n v="0"/>
    <n v="0"/>
    <n v="-201.61125310468185"/>
    <n v="0"/>
    <n v="0"/>
    <n v="0"/>
    <n v="-23.596109830438095"/>
    <n v="0"/>
    <n v="-13.131445186938748"/>
    <m/>
    <n v="0"/>
    <n v="0"/>
    <n v="0"/>
    <n v="0"/>
    <n v="-1.674060198817088"/>
    <n v="-0.44962002924528566"/>
    <n v="0"/>
    <n v="0"/>
    <m/>
    <m/>
    <m/>
    <n v="1173.1293050558652"/>
    <n v="0"/>
    <n v="0"/>
    <n v="-456.51689999999985"/>
    <n v="-201.5902000000001"/>
    <n v="0"/>
    <n v="0"/>
    <n v="-428.0750218111948"/>
    <n v="0"/>
    <n v="0"/>
    <n v="0"/>
    <n v="0"/>
    <n v="0"/>
    <n v="0"/>
    <n v="0"/>
    <n v="0"/>
    <n v="0"/>
    <n v="0"/>
    <n v="0"/>
    <n v="0"/>
    <n v="89.251501479361934"/>
    <n v="0"/>
    <n v="0"/>
    <n v="0"/>
    <n v="0"/>
    <n v="0"/>
    <n v="202"/>
    <n v="0"/>
    <n v="0"/>
    <n v="0"/>
    <m/>
    <n v="0"/>
    <n v="-12.3890448282368"/>
    <m/>
    <n v="-17.698635468909799"/>
    <m/>
    <n v="0"/>
    <n v="0"/>
    <n v="0"/>
    <n v="0"/>
  </r>
  <r>
    <n v="173"/>
    <s v="Regular"/>
    <s v="Convencional"/>
    <s v="B3"/>
    <s v="Comercial"/>
    <s v="Não se aplica"/>
    <s v="Não se aplica"/>
    <s v="Não se aplica"/>
    <s v="Não se aplica"/>
    <s v="CATIVO"/>
    <x v="7"/>
    <n v="0"/>
    <n v="0"/>
    <n v="16.95"/>
    <n v="16.95"/>
    <n v="16.95"/>
    <n v="16.95"/>
    <m/>
    <n v="609.05999999999995"/>
    <n v="286.42"/>
    <m/>
    <n v="15178.385999999999"/>
    <n v="15178.385999999999"/>
    <n v="11591.5965"/>
    <n v="0"/>
    <n v="1031.6007125635604"/>
    <n v="0"/>
    <n v="0"/>
    <n v="0"/>
    <n v="1655.2039417399874"/>
    <n v="6393.7433185520631"/>
    <n v="4854.8757018831893"/>
    <n v="0"/>
    <n v="0"/>
    <n v="0"/>
    <n v="0"/>
    <n v="0"/>
    <n v="159.42981778358288"/>
    <m/>
    <n v="28.9478467503772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8.20330468002214"/>
    <n v="0"/>
    <n v="54.56"/>
    <n v="252.81"/>
    <n v="2979.76"/>
    <n v="43"/>
    <m/>
    <m/>
    <m/>
    <m/>
    <m/>
    <m/>
    <m/>
    <m/>
    <m/>
    <n v="5423.0790065632118"/>
    <m/>
    <m/>
    <m/>
    <m/>
    <m/>
    <m/>
    <m/>
    <m/>
    <m/>
    <m/>
    <m/>
    <m/>
    <n v="11591.5965"/>
    <n v="-3586.8194999999996"/>
    <m/>
    <m/>
    <m/>
    <m/>
    <n v="-2488.0904999999993"/>
    <n v="-1098.6990000000003"/>
    <n v="30"/>
    <n v="-1253.757740709786"/>
    <n v="0"/>
    <n v="0"/>
    <n v="0"/>
    <n v="0"/>
    <n v="0"/>
    <n v="0"/>
    <n v="0"/>
    <n v="56.801480362419852"/>
    <n v="0"/>
    <n v="0"/>
    <n v="-1098.8137428052596"/>
    <n v="0"/>
    <n v="0"/>
    <n v="0"/>
    <n v="-128.60259216267707"/>
    <n v="0"/>
    <n v="-71.568487433637301"/>
    <m/>
    <n v="0"/>
    <n v="0"/>
    <n v="0"/>
    <n v="0"/>
    <n v="-9.1238972250642121"/>
    <n v="-2.4505014455651413"/>
    <n v="0"/>
    <n v="0"/>
    <m/>
    <m/>
    <m/>
    <n v="6393.7433185520631"/>
    <n v="0"/>
    <n v="0"/>
    <n v="-2488.0904999999993"/>
    <n v="-1098.6990000000005"/>
    <n v="0"/>
    <n v="0"/>
    <n v="-2333.0776912217852"/>
    <n v="0"/>
    <n v="0"/>
    <n v="0"/>
    <n v="0"/>
    <n v="0"/>
    <n v="0"/>
    <n v="0"/>
    <n v="0"/>
    <n v="0"/>
    <n v="0"/>
    <n v="0"/>
    <n v="0"/>
    <n v="486.435032178516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79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6.5309999999999997"/>
    <n v="6.5309999999999997"/>
    <n v="6.5309999999999997"/>
    <n v="6.5309999999999997"/>
    <m/>
    <n v="609.05999999999995"/>
    <n v="286.42"/>
    <m/>
    <n v="5848.3798799999995"/>
    <n v="5848.3798799999995"/>
    <n v="4466.3549699999994"/>
    <n v="0"/>
    <n v="397.48579668157004"/>
    <n v="0"/>
    <n v="0"/>
    <n v="0"/>
    <n v="637.76619135715976"/>
    <n v="2463.5715406173172"/>
    <n v="1870.6308677875579"/>
    <n v="0"/>
    <n v="0"/>
    <n v="0"/>
    <n v="0"/>
    <n v="0"/>
    <n v="61.42986076369202"/>
    <m/>
    <n v="11.1538871461188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8.93426447582448"/>
    <n v="0"/>
    <n v="29.49"/>
    <n v="136.33000000000001"/>
    <n v="439.54"/>
    <n v="10"/>
    <m/>
    <m/>
    <m/>
    <m/>
    <m/>
    <m/>
    <m/>
    <m/>
    <m/>
    <n v="2089.5651322633826"/>
    <m/>
    <m/>
    <m/>
    <m/>
    <m/>
    <m/>
    <m/>
    <m/>
    <m/>
    <m/>
    <m/>
    <m/>
    <n v="4465.6710999999996"/>
    <n v="-1382.7387800000006"/>
    <m/>
    <m/>
    <m/>
    <m/>
    <n v="-958.68548999999973"/>
    <n v="-423.33942000000013"/>
    <n v="30"/>
    <n v="-483.08506221684911"/>
    <n v="0"/>
    <n v="0"/>
    <n v="0"/>
    <n v="0"/>
    <n v="0"/>
    <n v="0"/>
    <n v="0"/>
    <n v="21.886163318404897"/>
    <n v="0"/>
    <n v="0"/>
    <n v="-423.38363151983185"/>
    <n v="0"/>
    <n v="0"/>
    <n v="0"/>
    <n v="-49.551830643919999"/>
    <n v="0"/>
    <n v="-27.576034892571386"/>
    <m/>
    <n v="0"/>
    <n v="0"/>
    <n v="0"/>
    <n v="0"/>
    <n v="-3.5155264175158862"/>
    <n v="-0.94420206141509944"/>
    <n v="0"/>
    <n v="0"/>
    <m/>
    <m/>
    <m/>
    <n v="2463.5715406173172"/>
    <n v="0"/>
    <n v="0"/>
    <n v="-958.68548999999985"/>
    <n v="-423.33942000000025"/>
    <n v="0"/>
    <n v="0"/>
    <n v="-898.95754580350922"/>
    <n v="0"/>
    <n v="0"/>
    <n v="0"/>
    <n v="0"/>
    <n v="0"/>
    <n v="0"/>
    <n v="0"/>
    <n v="0"/>
    <n v="0"/>
    <n v="0"/>
    <n v="0"/>
    <n v="0"/>
    <n v="187.42815310666006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81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41.77"/>
    <n v="39.263800000000003"/>
    <n v="41.77"/>
    <n v="39.263800000000003"/>
    <m/>
    <n v="609.05999999999995"/>
    <n v="286.42"/>
    <m/>
    <n v="37404.1996"/>
    <n v="37404.1996"/>
    <n v="28565.249899999999"/>
    <n v="0"/>
    <n v="2542.1806350312636"/>
    <n v="0"/>
    <n v="0"/>
    <n v="0"/>
    <n v="4078.9303036270962"/>
    <n v="15756.145039287299"/>
    <n v="11963.903130835448"/>
    <n v="0"/>
    <n v="0"/>
    <n v="0"/>
    <n v="0"/>
    <n v="0"/>
    <n v="392.88398164131308"/>
    <m/>
    <n v="71.3363751482748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00.2272587896477"/>
    <n v="0"/>
    <n v="109.85"/>
    <n v="507.18"/>
    <n v="7698.73"/>
    <n v="6"/>
    <m/>
    <m/>
    <m/>
    <m/>
    <n v="1713.9149939999998"/>
    <m/>
    <m/>
    <m/>
    <m/>
    <n v="13364.130389625096"/>
    <m/>
    <m/>
    <m/>
    <m/>
    <m/>
    <m/>
    <m/>
    <m/>
    <m/>
    <m/>
    <m/>
    <m/>
    <n v="26848.736199999999"/>
    <n v="-8311.2414239999998"/>
    <m/>
    <m/>
    <m/>
    <m/>
    <n v="-6131.4182999999994"/>
    <n v="-2707.5314000000012"/>
    <n v="30"/>
    <n v="-3089.6437067520783"/>
    <n v="0"/>
    <n v="0"/>
    <n v="0"/>
    <n v="0"/>
    <n v="0"/>
    <n v="0"/>
    <n v="0"/>
    <n v="139.97627343588601"/>
    <n v="0"/>
    <n v="0"/>
    <n v="-2707.8141614734923"/>
    <n v="0"/>
    <n v="0"/>
    <n v="0"/>
    <n v="-316.91624039144676"/>
    <n v="0"/>
    <n v="-176.36670915062086"/>
    <m/>
    <n v="0"/>
    <n v="0"/>
    <n v="0"/>
    <n v="0"/>
    <n v="-22.484081834273184"/>
    <n v="-6.0387873381272072"/>
    <n v="0"/>
    <n v="0"/>
    <m/>
    <m/>
    <m/>
    <n v="15756.145039287299"/>
    <n v="0"/>
    <n v="0"/>
    <n v="-6131.4183000000012"/>
    <n v="-2707.5314000000017"/>
    <n v="0"/>
    <n v="0"/>
    <n v="-5749.4191836185255"/>
    <n v="0"/>
    <n v="0"/>
    <n v="0"/>
    <n v="0"/>
    <n v="0"/>
    <n v="0"/>
    <n v="0"/>
    <n v="0"/>
    <n v="0"/>
    <n v="0"/>
    <n v="0"/>
    <n v="0"/>
    <n v="1198.7251500941957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80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42.676000000000002"/>
    <n v="42.676000000000002"/>
    <n v="42.676000000000002"/>
    <n v="42.676000000000002"/>
    <m/>
    <n v="334.98"/>
    <n v="157.53"/>
    <m/>
    <n v="21018.356760000002"/>
    <n v="21018.356760000002"/>
    <n v="16051.72388"/>
    <n v="0"/>
    <n v="1428.5265843745933"/>
    <n v="0"/>
    <n v="0"/>
    <n v="0"/>
    <n v="2292.0717333175585"/>
    <n v="8853.8445088136068"/>
    <n v="6722.8714748944913"/>
    <n v="0"/>
    <n v="0"/>
    <n v="0"/>
    <n v="0"/>
    <n v="0"/>
    <n v="220.77314436889097"/>
    <m/>
    <n v="40.0860217908852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6.82916382233452"/>
    <n v="0"/>
    <n v="56.61"/>
    <n v="261.38"/>
    <n v="4258.45"/>
    <n v="3"/>
    <m/>
    <m/>
    <m/>
    <m/>
    <m/>
    <m/>
    <m/>
    <m/>
    <m/>
    <n v="7509.7006387168258"/>
    <m/>
    <m/>
    <m/>
    <m/>
    <m/>
    <m/>
    <m/>
    <m/>
    <m/>
    <m/>
    <m/>
    <m/>
    <n v="16053.2284"/>
    <n v="-4965.1583600000013"/>
    <m/>
    <m/>
    <m/>
    <m/>
    <n v="-3445.2334800000008"/>
    <n v="-1521.3994000000002"/>
    <n v="30"/>
    <n v="-1736.1622972502792"/>
    <n v="0"/>
    <n v="0"/>
    <n v="0"/>
    <n v="0"/>
    <n v="0"/>
    <n v="0"/>
    <n v="0"/>
    <n v="78.656813378790048"/>
    <n v="0"/>
    <n v="0"/>
    <n v="-1521.6009680458192"/>
    <n v="0"/>
    <n v="0"/>
    <n v="0"/>
    <n v="-178.08462080967308"/>
    <n v="0"/>
    <n v="-99.105676893502277"/>
    <m/>
    <n v="0"/>
    <n v="0"/>
    <n v="0"/>
    <n v="0"/>
    <n v="-12.634471438776728"/>
    <n v="-3.3933734412987704"/>
    <n v="0"/>
    <n v="0"/>
    <m/>
    <m/>
    <m/>
    <n v="8853.8445088136068"/>
    <n v="0"/>
    <n v="0"/>
    <n v="-3445.2334800000026"/>
    <n v="-1521.3994000000002"/>
    <n v="0"/>
    <n v="0"/>
    <n v="-3230.7689057710895"/>
    <n v="0"/>
    <n v="0"/>
    <n v="0"/>
    <n v="0"/>
    <n v="0"/>
    <n v="0"/>
    <n v="0"/>
    <n v="0"/>
    <n v="0"/>
    <n v="0"/>
    <n v="0"/>
    <n v="0"/>
    <n v="673.59916155089616"/>
    <n v="0"/>
    <n v="0"/>
    <n v="0"/>
    <n v="0"/>
    <n v="0"/>
    <n v="202"/>
    <n v="0"/>
    <n v="0"/>
    <n v="0"/>
    <m/>
    <n v="0"/>
    <n v="-9.7342495079003708"/>
    <m/>
    <n v="-9.7342495079003708"/>
    <m/>
    <n v="0"/>
    <n v="0"/>
    <n v="0"/>
    <n v="0"/>
  </r>
  <r>
    <n v="196"/>
    <s v="Regular"/>
    <s v="Verde"/>
    <s v="A4"/>
    <s v="Comercial"/>
    <s v="Não se aplica"/>
    <s v="Não se aplica"/>
    <s v="Não se aplica"/>
    <s v="Ponta"/>
    <s v="CATIVO"/>
    <x v="8"/>
    <n v="0"/>
    <n v="0"/>
    <n v="1.1870000000000001"/>
    <n v="1.1870000000000001"/>
    <n v="1.1870000000000001"/>
    <n v="1.1870000000000001"/>
    <m/>
    <n v="3305.85"/>
    <n v="286.42"/>
    <m/>
    <n v="4264.0244899999998"/>
    <n v="4264.0244899999998"/>
    <n v="3099.3757000000005"/>
    <n v="0"/>
    <n v="62.850958103673349"/>
    <n v="0"/>
    <n v="0"/>
    <n v="0"/>
    <n v="773.90627926095294"/>
    <n v="3030.8723444946149"/>
    <n v="339.98451080444516"/>
    <n v="0"/>
    <n v="0"/>
    <n v="0"/>
    <n v="0"/>
    <n v="0"/>
    <n v="11.164790189328194"/>
    <m/>
    <n v="1.62629377620394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991519817271694"/>
    <n v="0"/>
    <n v="0"/>
    <n v="0"/>
    <n v="0"/>
    <n v="0"/>
    <m/>
    <m/>
    <m/>
    <m/>
    <m/>
    <m/>
    <m/>
    <m/>
    <m/>
    <n v="353.97603062171686"/>
    <m/>
    <m/>
    <m/>
    <m/>
    <m/>
    <m/>
    <m/>
    <m/>
    <m/>
    <m/>
    <m/>
    <m/>
    <n v="3107.2089999999998"/>
    <n v="-1156.8454900000006"/>
    <m/>
    <m/>
    <m/>
    <m/>
    <n v="-1087.7074499999999"/>
    <n v="-76.941340000000025"/>
    <n v="31"/>
    <n v="-58.695003016983264"/>
    <n v="0"/>
    <n v="0"/>
    <n v="0"/>
    <n v="0"/>
    <n v="0"/>
    <n v="0"/>
    <n v="0"/>
    <n v="26.558070105595789"/>
    <n v="0"/>
    <n v="0"/>
    <n v="-76.949375381111679"/>
    <n v="0"/>
    <n v="0"/>
    <n v="0"/>
    <n v="-3.1667287077992246"/>
    <n v="0"/>
    <n v="-4.3603575981028655"/>
    <m/>
    <n v="0"/>
    <n v="0"/>
    <n v="0"/>
    <n v="0"/>
    <n v="-0.63894194726555753"/>
    <n v="-0.13766948829965875"/>
    <n v="0"/>
    <n v="0"/>
    <m/>
    <m/>
    <m/>
    <n v="3030.8723444946149"/>
    <n v="0"/>
    <n v="0"/>
    <n v="-1087.7074499999999"/>
    <n v="-76.941340000000025"/>
    <n v="0"/>
    <n v="0"/>
    <n v="-1105.9656760639039"/>
    <n v="0"/>
    <n v="0"/>
    <n v="0"/>
    <n v="0"/>
    <n v="0"/>
    <n v="0"/>
    <n v="0"/>
    <n v="0"/>
    <n v="0"/>
    <n v="0"/>
    <n v="0"/>
    <n v="0"/>
    <n v="29.63637719058595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97"/>
    <s v="Regular"/>
    <s v="Verde"/>
    <s v="A4"/>
    <s v="Comercial"/>
    <s v="Não se aplica"/>
    <s v="Não se aplica"/>
    <s v="Não se aplica"/>
    <s v="Fora ponta"/>
    <s v="CATIVO"/>
    <x v="8"/>
    <n v="0"/>
    <n v="0"/>
    <n v="22.233000000000001"/>
    <n v="22.233000000000001"/>
    <n v="22.233000000000001"/>
    <n v="22.233000000000001"/>
    <m/>
    <n v="100.48"/>
    <n v="286.42"/>
    <m/>
    <n v="8601.9477000000006"/>
    <n v="8601.9477000000006"/>
    <n v="7005.1736400000009"/>
    <n v="0"/>
    <n v="1177.2243904961833"/>
    <n v="0"/>
    <n v="0"/>
    <n v="0"/>
    <n v="0"/>
    <n v="0"/>
    <n v="6368.0502348064274"/>
    <n v="0"/>
    <n v="0"/>
    <n v="0"/>
    <n v="0"/>
    <n v="0"/>
    <n v="209.12112913170489"/>
    <m/>
    <n v="30.4611537711393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2.06694195231807"/>
    <n v="0"/>
    <n v="0"/>
    <n v="0"/>
    <n v="0"/>
    <n v="0"/>
    <m/>
    <m/>
    <m/>
    <m/>
    <m/>
    <m/>
    <m/>
    <m/>
    <m/>
    <n v="6630.1171767587457"/>
    <m/>
    <m/>
    <m/>
    <m/>
    <m/>
    <m/>
    <m/>
    <m/>
    <m/>
    <m/>
    <m/>
    <m/>
    <n v="7004.2284"/>
    <n v="-1597.7493000000013"/>
    <m/>
    <m/>
    <m/>
    <m/>
    <n v="-155.631"/>
    <n v="-1441.1430600000006"/>
    <n v="31"/>
    <n v="-1596.8252525141515"/>
    <n v="0"/>
    <n v="0"/>
    <n v="0"/>
    <n v="0"/>
    <n v="0"/>
    <n v="0"/>
    <n v="0"/>
    <n v="0"/>
    <n v="0"/>
    <n v="0"/>
    <n v="-1441.2935660052699"/>
    <n v="0"/>
    <n v="0"/>
    <n v="0"/>
    <n v="-59.314135939764242"/>
    <n v="0"/>
    <n v="-81.671297791593133"/>
    <m/>
    <n v="0"/>
    <n v="0"/>
    <n v="0"/>
    <n v="0"/>
    <n v="-11.96764643096472"/>
    <n v="-2.5786063465596563"/>
    <n v="0"/>
    <n v="0"/>
    <m/>
    <m/>
    <m/>
    <n v="0"/>
    <n v="0"/>
    <n v="0"/>
    <n v="-155.63099999999986"/>
    <n v="-1441.1430600000003"/>
    <n v="0"/>
    <n v="0"/>
    <n v="0"/>
    <n v="0"/>
    <n v="0"/>
    <n v="0"/>
    <n v="0"/>
    <n v="0"/>
    <n v="0"/>
    <n v="0"/>
    <n v="0"/>
    <n v="0"/>
    <n v="0"/>
    <n v="0"/>
    <n v="0"/>
    <n v="555.10157883597083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98"/>
    <s v="Regular"/>
    <s v="Verde"/>
    <s v="A4"/>
    <s v="Comercial"/>
    <s v="Não se aplica"/>
    <s v="Não se aplica"/>
    <s v="Não se aplica"/>
    <s v="Não se aplica"/>
    <s v="CATIVO"/>
    <x v="8"/>
    <n v="200"/>
    <n v="200"/>
    <n v="0"/>
    <n v="0"/>
    <n v="0"/>
    <n v="0"/>
    <n v="39.21"/>
    <m/>
    <m/>
    <n v="7842"/>
    <m/>
    <n v="7842"/>
    <n v="5968"/>
    <n v="0"/>
    <n v="0"/>
    <n v="0"/>
    <n v="0"/>
    <n v="0"/>
    <n v="2470.4459924729599"/>
    <n v="5372.398245936520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8.42"/>
    <n v="500.45"/>
    <n v="3321.85"/>
    <n v="1"/>
    <m/>
    <m/>
    <m/>
    <m/>
    <m/>
    <m/>
    <m/>
    <m/>
    <m/>
    <n v="0"/>
    <m/>
    <m/>
    <m/>
    <m/>
    <m/>
    <m/>
    <m/>
    <m/>
    <m/>
    <m/>
    <m/>
    <m/>
    <n v="5968"/>
    <n v="-1874.0300000000007"/>
    <m/>
    <m/>
    <m/>
    <m/>
    <n v="-1874.0000000000002"/>
    <n v="0"/>
    <n v="31"/>
    <n v="84.77806630906025"/>
    <n v="0"/>
    <n v="0"/>
    <n v="0"/>
    <n v="0"/>
    <m/>
    <m/>
    <m/>
    <n v="84.7780663090602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372.3982459365207"/>
    <m/>
    <n v="0"/>
    <n v="0"/>
    <n v="-1874"/>
    <m/>
    <n v="0"/>
    <m/>
    <n v="-1960.3887537343408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205"/>
    <s v="Regular"/>
    <s v="Verde"/>
    <s v="A4"/>
    <s v="Serviço público"/>
    <s v="Água, esgoto e saneamento"/>
    <s v="Não se aplica"/>
    <s v="Não se aplica"/>
    <s v="Ponta"/>
    <s v="CATIVO"/>
    <x v="8"/>
    <n v="0"/>
    <n v="0"/>
    <n v="20.672000000000001"/>
    <n v="19.43168"/>
    <n v="20.672000000000001"/>
    <n v="19.43168"/>
    <m/>
    <n v="3305.85"/>
    <n v="286.42"/>
    <m/>
    <n v="74259.405440000002"/>
    <n v="74259.405440000002"/>
    <n v="53976.659200000002"/>
    <n v="0"/>
    <n v="1094.5703503952277"/>
    <n v="0"/>
    <n v="0"/>
    <n v="0"/>
    <n v="13477.835387432535"/>
    <n v="52783.650467896106"/>
    <n v="5920.9433928807839"/>
    <n v="0"/>
    <n v="0"/>
    <n v="0"/>
    <n v="0"/>
    <n v="0"/>
    <n v="194.43853647328763"/>
    <m/>
    <n v="28.3224472971255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3.6669735995286"/>
    <n v="0"/>
    <n v="0"/>
    <n v="0"/>
    <n v="0"/>
    <n v="0"/>
    <m/>
    <m/>
    <m/>
    <m/>
    <n v="3238.5995520000015"/>
    <m/>
    <m/>
    <m/>
    <m/>
    <n v="6164.6103664803122"/>
    <m/>
    <m/>
    <m/>
    <m/>
    <m/>
    <m/>
    <m/>
    <m/>
    <m/>
    <m/>
    <m/>
    <m/>
    <n v="50733.673000000003"/>
    <n v="-19070.198113599989"/>
    <m/>
    <m/>
    <m/>
    <m/>
    <n v="-18942.787199999999"/>
    <n v="-1339.9590400000004"/>
    <n v="31"/>
    <n v="-1022.1930095763055"/>
    <n v="0"/>
    <n v="0"/>
    <n v="0"/>
    <n v="0"/>
    <n v="0"/>
    <n v="0"/>
    <n v="0"/>
    <n v="462.5176286629121"/>
    <n v="0"/>
    <n v="0"/>
    <n v="-1340.0989788360075"/>
    <n v="0"/>
    <n v="0"/>
    <n v="0"/>
    <n v="-55.149634243997951"/>
    <n v="0"/>
    <n v="-75.937078574542738"/>
    <m/>
    <n v="0"/>
    <n v="0"/>
    <n v="0"/>
    <n v="0"/>
    <n v="-11.127386633423413"/>
    <n v="-2.3975599512473025"/>
    <n v="0"/>
    <n v="0"/>
    <m/>
    <m/>
    <m/>
    <n v="52783.650467896106"/>
    <n v="0"/>
    <n v="0"/>
    <n v="-18942.787199999999"/>
    <n v="-1339.9590399999997"/>
    <n v="0"/>
    <n v="0"/>
    <n v="-19260.760282723691"/>
    <n v="0"/>
    <n v="0"/>
    <n v="0"/>
    <n v="0"/>
    <n v="0"/>
    <n v="0"/>
    <n v="0"/>
    <n v="0"/>
    <n v="0"/>
    <n v="0"/>
    <n v="0"/>
    <n v="0"/>
    <n v="516.12737092147665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06"/>
    <s v="Regular"/>
    <s v="Verde"/>
    <s v="A4"/>
    <s v="Serviço público"/>
    <s v="Água, esgoto e saneamento"/>
    <s v="Não se aplica"/>
    <s v="Não se aplica"/>
    <s v="Fora ponta"/>
    <s v="CATIVO"/>
    <x v="8"/>
    <n v="0"/>
    <n v="0"/>
    <n v="206.12899999999999"/>
    <n v="193.76125999999999"/>
    <n v="206.12899999999999"/>
    <n v="193.76125999999999"/>
    <m/>
    <n v="100.48"/>
    <n v="286.42"/>
    <m/>
    <n v="79751.310100000002"/>
    <n v="79751.310100000002"/>
    <n v="64947.125319999999"/>
    <n v="0"/>
    <n v="10914.410398443204"/>
    <n v="0"/>
    <n v="0"/>
    <n v="0"/>
    <n v="0"/>
    <n v="0"/>
    <n v="59040.157731768726"/>
    <n v="0"/>
    <n v="0"/>
    <n v="0"/>
    <n v="0"/>
    <n v="0"/>
    <n v="1938.8264843605989"/>
    <m/>
    <n v="282.414751301721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29.7034443255238"/>
    <n v="0"/>
    <n v="0"/>
    <n v="0"/>
    <n v="0"/>
    <n v="0"/>
    <m/>
    <m/>
    <m/>
    <m/>
    <n v="3896.8275191999992"/>
    <m/>
    <m/>
    <m/>
    <m/>
    <n v="61469.861176094251"/>
    <m/>
    <m/>
    <m/>
    <m/>
    <m/>
    <m/>
    <m/>
    <m/>
    <m/>
    <m/>
    <m/>
    <m/>
    <n v="61049.900800000003"/>
    <n v="-13916.360693999988"/>
    <m/>
    <m/>
    <m/>
    <m/>
    <n v="-1442.903"/>
    <n v="-13361.281780000003"/>
    <n v="31"/>
    <n v="-14804.659401587276"/>
    <n v="0"/>
    <n v="0"/>
    <n v="0"/>
    <n v="0"/>
    <n v="0"/>
    <n v="0"/>
    <n v="0"/>
    <n v="0"/>
    <n v="0"/>
    <n v="0"/>
    <n v="-13362.67716759324"/>
    <n v="0"/>
    <n v="0"/>
    <n v="0"/>
    <n v="-549.9196476916145"/>
    <n v="0"/>
    <n v="-757.19979051334849"/>
    <m/>
    <n v="0"/>
    <n v="0"/>
    <n v="0"/>
    <n v="0"/>
    <n v="-110.95574106815661"/>
    <n v="-23.907054720910196"/>
    <n v="0"/>
    <n v="0"/>
    <m/>
    <m/>
    <m/>
    <n v="0"/>
    <n v="0"/>
    <n v="0"/>
    <n v="-1442.9029999999984"/>
    <n v="-13361.281780000005"/>
    <n v="0"/>
    <n v="0"/>
    <n v="0"/>
    <n v="0"/>
    <n v="0"/>
    <n v="0"/>
    <n v="0"/>
    <n v="0"/>
    <n v="0"/>
    <n v="0"/>
    <n v="0"/>
    <n v="0"/>
    <n v="0"/>
    <n v="0"/>
    <n v="0"/>
    <n v="5146.5179392740447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07"/>
    <s v="Regular"/>
    <s v="Verde"/>
    <s v="A4"/>
    <s v="Serviço público"/>
    <s v="Água, esgoto e saneamento"/>
    <s v="Não se aplica"/>
    <s v="Não se aplica"/>
    <s v="Não se aplica"/>
    <s v="CATIVO"/>
    <x v="8"/>
    <n v="556"/>
    <n v="522.64"/>
    <n v="0"/>
    <n v="0"/>
    <n v="0"/>
    <n v="0"/>
    <n v="39.21"/>
    <m/>
    <m/>
    <n v="21800.760000000002"/>
    <m/>
    <n v="21800.760000000002"/>
    <n v="16591.04"/>
    <n v="0"/>
    <n v="0"/>
    <n v="0"/>
    <n v="0"/>
    <n v="0"/>
    <n v="6867.8398590748293"/>
    <n v="14935.26712370352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27.9"/>
    <n v="1975.25"/>
    <n v="29233.84"/>
    <n v="2"/>
    <m/>
    <m/>
    <m/>
    <m/>
    <n v="995.46240000000046"/>
    <m/>
    <m/>
    <m/>
    <m/>
    <n v="0"/>
    <m/>
    <m/>
    <m/>
    <m/>
    <m/>
    <m/>
    <m/>
    <m/>
    <m/>
    <m/>
    <m/>
    <m/>
    <n v="15595.577599999999"/>
    <n v="-4897.1667999999972"/>
    <m/>
    <m/>
    <m/>
    <m/>
    <n v="-5209.72"/>
    <n v="0"/>
    <n v="31"/>
    <n v="235.68302433918689"/>
    <n v="0"/>
    <n v="0"/>
    <n v="0"/>
    <n v="0"/>
    <m/>
    <m/>
    <m/>
    <n v="235.6830243391868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935.267123703527"/>
    <m/>
    <n v="0"/>
    <n v="0"/>
    <n v="-5209.7200000000012"/>
    <m/>
    <n v="0"/>
    <m/>
    <n v="-5449.8807353814664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185"/>
    <s v="Regular"/>
    <s v="Convencional"/>
    <s v="B1"/>
    <s v="Residencial"/>
    <s v="Residencial"/>
    <s v="Não se aplica"/>
    <s v="Não se aplica"/>
    <s v="Não se aplica"/>
    <s v="CATIVO"/>
    <x v="8"/>
    <n v="0"/>
    <n v="0"/>
    <n v="414.59500000000003"/>
    <n v="414.59500000000003"/>
    <n v="414.59500000000003"/>
    <n v="414.59500000000003"/>
    <m/>
    <n v="609.05999999999995"/>
    <n v="286.42"/>
    <m/>
    <n v="371261.5306"/>
    <n v="371261.5306"/>
    <n v="283529.08265"/>
    <n v="0"/>
    <n v="25232.831706506746"/>
    <n v="0"/>
    <n v="0"/>
    <n v="0"/>
    <n v="40486.093110660186"/>
    <n v="156390.20714779309"/>
    <n v="118749.68682137234"/>
    <n v="0"/>
    <n v="0"/>
    <n v="0"/>
    <n v="0"/>
    <n v="0"/>
    <n v="3899.6345312085277"/>
    <m/>
    <n v="708.060915839095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98.185787835624"/>
    <n v="0"/>
    <n v="1396.73"/>
    <n v="6510.51"/>
    <n v="54893.93"/>
    <n v="3286"/>
    <m/>
    <m/>
    <m/>
    <m/>
    <m/>
    <m/>
    <m/>
    <m/>
    <m/>
    <n v="132647.87260920796"/>
    <m/>
    <m/>
    <m/>
    <m/>
    <m/>
    <m/>
    <m/>
    <m/>
    <m/>
    <m/>
    <m/>
    <m/>
    <n v="283532.50199999998"/>
    <n v="-87729.058600000048"/>
    <m/>
    <m/>
    <m/>
    <m/>
    <n v="-60858.400049999989"/>
    <n v="-26874.047900000012"/>
    <n v="31"/>
    <n v="-30666.76640174468"/>
    <n v="0"/>
    <n v="0"/>
    <n v="0"/>
    <n v="0"/>
    <n v="0"/>
    <n v="0"/>
    <n v="0"/>
    <n v="1389.3575074252149"/>
    <n v="0"/>
    <n v="0"/>
    <n v="-26876.854495477688"/>
    <n v="0"/>
    <n v="0"/>
    <n v="0"/>
    <n v="-3145.6042299519249"/>
    <n v="0"/>
    <n v="-1750.5567579674826"/>
    <m/>
    <n v="0"/>
    <n v="0"/>
    <n v="0"/>
    <n v="0"/>
    <n v="-223.16944955902591"/>
    <n v="-59.938976213810065"/>
    <n v="0"/>
    <n v="0"/>
    <m/>
    <m/>
    <m/>
    <n v="156390.20714779309"/>
    <n v="0"/>
    <n v="0"/>
    <n v="-60858.400049999967"/>
    <n v="-26874.047900000005"/>
    <n v="0"/>
    <n v="0"/>
    <n v="-57066.805037881772"/>
    <n v="0"/>
    <n v="0"/>
    <n v="0"/>
    <n v="0"/>
    <n v="0"/>
    <n v="0"/>
    <n v="0"/>
    <n v="0"/>
    <n v="0"/>
    <n v="0"/>
    <n v="0"/>
    <n v="0"/>
    <n v="11898.143490622529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86"/>
    <s v="Refaturamento - Regular"/>
    <s v="Convencional"/>
    <s v="B1"/>
    <s v="Residencial"/>
    <s v="Residencial"/>
    <s v="Não se aplica"/>
    <s v="Não se aplica"/>
    <s v="Não se aplica"/>
    <s v="CATIVO"/>
    <x v="8"/>
    <n v="0"/>
    <n v="0"/>
    <n v="-1.095"/>
    <n v="-1.095"/>
    <n v="-1.095"/>
    <n v="-1.095"/>
    <m/>
    <n v="609.05999999999995"/>
    <n v="286.42"/>
    <m/>
    <n v="-980.55059999999992"/>
    <n v="-980.55059999999992"/>
    <n v="-748.83764999999994"/>
    <n v="0"/>
    <n v="-66.643231873575132"/>
    <n v="0"/>
    <n v="0"/>
    <n v="0"/>
    <n v="-106.92910420090185"/>
    <n v="-413.04713473831913"/>
    <n v="-313.63356304201136"/>
    <n v="0"/>
    <n v="0"/>
    <n v="0"/>
    <n v="0"/>
    <n v="0"/>
    <n v="-10.299448405488096"/>
    <m/>
    <n v="-1.87008213520136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6.706939151895241"/>
    <n v="0"/>
    <n v="-2.46"/>
    <n v="-13.26"/>
    <n v="-373.79"/>
    <n v="0"/>
    <m/>
    <m/>
    <m/>
    <m/>
    <m/>
    <m/>
    <m/>
    <m/>
    <m/>
    <n v="-350.34050219390662"/>
    <m/>
    <m/>
    <m/>
    <m/>
    <m/>
    <m/>
    <m/>
    <m/>
    <m/>
    <m/>
    <m/>
    <m/>
    <n v="-752.25700000000006"/>
    <n v="228.26359999999988"/>
    <m/>
    <m/>
    <m/>
    <m/>
    <n v="160.73504999999994"/>
    <n v="70.97790000000002"/>
    <n v="31"/>
    <n v="80.994969090101165"/>
    <n v="0"/>
    <n v="0"/>
    <n v="0"/>
    <n v="0"/>
    <n v="0"/>
    <n v="0"/>
    <n v="0"/>
    <n v="-3.6694761650058751"/>
    <n v="0"/>
    <n v="0"/>
    <n v="70.985312588304396"/>
    <n v="0"/>
    <n v="0"/>
    <n v="0"/>
    <n v="8.3079550689163106"/>
    <n v="0"/>
    <n v="4.6234509581022252"/>
    <m/>
    <n v="0"/>
    <n v="0"/>
    <n v="0"/>
    <n v="0"/>
    <n v="0.58941990922980914"/>
    <n v="0.15830673055420852"/>
    <n v="0"/>
    <n v="0"/>
    <m/>
    <m/>
    <m/>
    <n v="-413.04713473831913"/>
    <n v="0"/>
    <n v="0"/>
    <n v="160.73504999999994"/>
    <n v="70.977900000000034"/>
    <n v="0"/>
    <n v="0"/>
    <n v="150.72094819397375"/>
    <n v="0"/>
    <n v="0"/>
    <n v="0"/>
    <n v="0"/>
    <n v="0"/>
    <n v="0"/>
    <n v="0"/>
    <n v="0"/>
    <n v="0"/>
    <n v="0"/>
    <n v="0"/>
    <n v="0"/>
    <n v="-31.42456402569174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87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4.42"/>
    <n v="4.42"/>
    <n v="4.42"/>
    <n v="4.42"/>
    <m/>
    <n v="609.05999999999995"/>
    <n v="286.42"/>
    <m/>
    <n v="3958.0215999999996"/>
    <n v="3958.0215999999996"/>
    <n v="3022.7053999999998"/>
    <n v="0"/>
    <n v="269.00738345315261"/>
    <n v="0"/>
    <n v="0"/>
    <n v="0"/>
    <n v="431.62250280181382"/>
    <n v="1667.277018761069"/>
    <n v="1265.9911859777992"/>
    <n v="0"/>
    <n v="0"/>
    <n v="0"/>
    <n v="0"/>
    <n v="0"/>
    <n v="41.574029180143732"/>
    <m/>
    <n v="7.54864204346121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8.16864936198809"/>
    <n v="0"/>
    <n v="12.49"/>
    <n v="58.3"/>
    <n v="1998.39"/>
    <n v="36"/>
    <m/>
    <m/>
    <m/>
    <m/>
    <m/>
    <m/>
    <m/>
    <m/>
    <m/>
    <n v="1414.1598353397874"/>
    <m/>
    <m/>
    <m/>
    <m/>
    <m/>
    <m/>
    <m/>
    <m/>
    <m/>
    <m/>
    <m/>
    <m/>
    <n v="3022.7053999999998"/>
    <n v="-935.34620000000041"/>
    <m/>
    <m/>
    <m/>
    <m/>
    <n v="-648.81179999999983"/>
    <n v="-286.50440000000009"/>
    <n v="31"/>
    <n v="-326.93859669246285"/>
    <n v="0"/>
    <n v="0"/>
    <n v="0"/>
    <n v="0"/>
    <n v="0"/>
    <n v="0"/>
    <n v="0"/>
    <n v="14.811949451439261"/>
    <n v="0"/>
    <n v="0"/>
    <n v="-286.53432113269901"/>
    <n v="0"/>
    <n v="0"/>
    <n v="0"/>
    <n v="-33.535307218821984"/>
    <n v="0"/>
    <n v="-18.662697018093013"/>
    <m/>
    <n v="0"/>
    <n v="0"/>
    <n v="0"/>
    <n v="0"/>
    <n v="-2.3792109578043465"/>
    <n v="-0.63900981648365462"/>
    <n v="0"/>
    <n v="0"/>
    <m/>
    <m/>
    <m/>
    <n v="1667.277018761069"/>
    <n v="0"/>
    <n v="0"/>
    <n v="-648.81179999999972"/>
    <n v="-286.50440000000003"/>
    <n v="0"/>
    <n v="0"/>
    <n v="-608.38958083777538"/>
    <n v="0"/>
    <n v="0"/>
    <n v="0"/>
    <n v="0"/>
    <n v="0"/>
    <n v="0"/>
    <n v="0"/>
    <n v="0"/>
    <n v="0"/>
    <n v="0"/>
    <n v="0"/>
    <n v="0"/>
    <n v="126.8461853822443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88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3.93"/>
    <n v="3.93"/>
    <n v="3.93"/>
    <n v="3.93"/>
    <m/>
    <n v="510.09"/>
    <n v="286.42"/>
    <m/>
    <n v="3130.2843000000003"/>
    <n v="3130.2843000000003"/>
    <n v="2317.4031"/>
    <n v="0"/>
    <n v="0"/>
    <n v="0"/>
    <n v="0"/>
    <n v="0"/>
    <n v="383.77294932378476"/>
    <n v="1482.4431411156113"/>
    <n v="1125.6437468083147"/>
    <n v="0"/>
    <n v="0"/>
    <n v="0"/>
    <n v="0"/>
    <n v="0"/>
    <n v="0"/>
    <m/>
    <n v="6.71180163592818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1.74271312050072"/>
    <n v="0"/>
    <n v="4.51"/>
    <n v="21.03"/>
    <n v="416.5"/>
    <n v="0"/>
    <m/>
    <m/>
    <m/>
    <m/>
    <m/>
    <m/>
    <m/>
    <n v="1506.3297"/>
    <m/>
    <n v="1257.3864599288154"/>
    <m/>
    <m/>
    <m/>
    <m/>
    <m/>
    <m/>
    <m/>
    <m/>
    <m/>
    <m/>
    <m/>
    <m/>
    <n v="811.07339999999999"/>
    <n v="-284.56200000000013"/>
    <m/>
    <m/>
    <m/>
    <m/>
    <n v="-558.1386"/>
    <n v="-254.7426000000001"/>
    <n v="31"/>
    <n v="-271.98506485432176"/>
    <n v="0"/>
    <n v="0"/>
    <n v="0"/>
    <n v="0"/>
    <n v="0"/>
    <n v="0"/>
    <n v="0"/>
    <n v="13.169900756596405"/>
    <n v="0"/>
    <n v="0"/>
    <n v="-254.76920408405135"/>
    <n v="0"/>
    <n v="0"/>
    <n v="0"/>
    <n v="-29.81759216515168"/>
    <n v="0"/>
    <n v="0"/>
    <m/>
    <n v="0"/>
    <n v="0"/>
    <n v="0"/>
    <n v="0"/>
    <n v="0"/>
    <n v="-0.56816936171510335"/>
    <n v="0"/>
    <n v="0"/>
    <m/>
    <m/>
    <m/>
    <n v="1482.4431411156113"/>
    <n v="0"/>
    <n v="0"/>
    <n v="-558.1386"/>
    <n v="-254.74260000000015"/>
    <n v="0"/>
    <n v="0"/>
    <n v="-540.94367707974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89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8.14"/>
    <n v="8.14"/>
    <n v="8.14"/>
    <n v="8.14"/>
    <m/>
    <n v="510.09"/>
    <n v="286.42"/>
    <m/>
    <n v="6483.5914000000002"/>
    <n v="6483.5914000000002"/>
    <n v="4799.9138000000003"/>
    <n v="0"/>
    <n v="0"/>
    <n v="0"/>
    <n v="0"/>
    <n v="0"/>
    <n v="794.88850063501468"/>
    <n v="3070.5056408857699"/>
    <n v="2331.4860302849065"/>
    <n v="0"/>
    <n v="0"/>
    <n v="0"/>
    <n v="0"/>
    <n v="0"/>
    <n v="0"/>
    <m/>
    <n v="13.9017977904466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2.87167552185139"/>
    <n v="0"/>
    <n v="16.170000000000002"/>
    <n v="76.260000000000005"/>
    <n v="969.3"/>
    <n v="35"/>
    <m/>
    <m/>
    <m/>
    <m/>
    <m/>
    <m/>
    <m/>
    <n v="1919.9818"/>
    <m/>
    <n v="2604.3577058067581"/>
    <m/>
    <m/>
    <m/>
    <m/>
    <m/>
    <m/>
    <m/>
    <m/>
    <m/>
    <m/>
    <m/>
    <m/>
    <n v="2879.9320000000007"/>
    <n v="-1010.2854000000007"/>
    <m/>
    <m/>
    <m/>
    <m/>
    <n v="-1156.0427999999999"/>
    <n v="-527.63480000000027"/>
    <n v="31"/>
    <n v="-563.34820048706888"/>
    <n v="0"/>
    <n v="0"/>
    <n v="0"/>
    <n v="0"/>
    <n v="0"/>
    <n v="0"/>
    <n v="0"/>
    <n v="27.278115053103079"/>
    <n v="0"/>
    <n v="0"/>
    <n v="-527.68990362447289"/>
    <n v="0"/>
    <n v="0"/>
    <n v="0"/>
    <n v="-61.759592932400693"/>
    <n v="0"/>
    <n v="0"/>
    <m/>
    <n v="0"/>
    <n v="0"/>
    <n v="0"/>
    <n v="0"/>
    <n v="0"/>
    <n v="-1.1768189832979505"/>
    <n v="0"/>
    <n v="0"/>
    <m/>
    <m/>
    <m/>
    <n v="3070.5056408857699"/>
    <n v="0"/>
    <n v="0"/>
    <n v="-1156.0427999999997"/>
    <n v="-527.63480000000027"/>
    <n v="0"/>
    <n v="0"/>
    <n v="-1120.4278705926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90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6.3929999999999998"/>
    <n v="6.3929999999999998"/>
    <n v="6.3929999999999998"/>
    <n v="6.3929999999999998"/>
    <m/>
    <n v="510.09"/>
    <n v="286.42"/>
    <m/>
    <n v="5092.0884299999998"/>
    <n v="5092.0884299999998"/>
    <n v="3769.7603099999997"/>
    <n v="0"/>
    <n v="0"/>
    <n v="0"/>
    <n v="0"/>
    <n v="0"/>
    <n v="624.29019466334751"/>
    <n v="2411.5162852804333"/>
    <n v="1831.1044461439074"/>
    <n v="0"/>
    <n v="0"/>
    <n v="0"/>
    <n v="0"/>
    <n v="0"/>
    <n v="0"/>
    <m/>
    <n v="10.9182055619564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4.30818447311987"/>
    <n v="0"/>
    <n v="19.239999999999998"/>
    <n v="89.71"/>
    <n v="1076.7"/>
    <n v="72"/>
    <m/>
    <m/>
    <m/>
    <m/>
    <m/>
    <m/>
    <m/>
    <n v="376.99520999999999"/>
    <m/>
    <n v="2045.4126306170272"/>
    <m/>
    <m/>
    <m/>
    <m/>
    <m/>
    <m/>
    <m/>
    <m/>
    <m/>
    <m/>
    <m/>
    <m/>
    <n v="3391.1729999999998"/>
    <n v="-1191.7429800000009"/>
    <m/>
    <m/>
    <m/>
    <m/>
    <n v="-907.93385999999987"/>
    <n v="-414.39426000000014"/>
    <n v="31"/>
    <n v="-442.44288030882399"/>
    <n v="0"/>
    <n v="0"/>
    <n v="0"/>
    <n v="0"/>
    <n v="0"/>
    <n v="0"/>
    <n v="0"/>
    <n v="21.423708788020576"/>
    <n v="0"/>
    <n v="0"/>
    <n v="-414.4375373306209"/>
    <n v="0"/>
    <n v="0"/>
    <n v="0"/>
    <n v="-48.504800690029185"/>
    <n v="0"/>
    <n v="0"/>
    <m/>
    <n v="0"/>
    <n v="0"/>
    <n v="0"/>
    <n v="0"/>
    <n v="0"/>
    <n v="-0.92425107619457059"/>
    <n v="0"/>
    <n v="0"/>
    <m/>
    <m/>
    <m/>
    <n v="2411.5162852804333"/>
    <n v="0"/>
    <n v="0"/>
    <n v="-907.9338600000001"/>
    <n v="-414.39426000000003"/>
    <n v="0"/>
    <n v="0"/>
    <n v="-879.9625769900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91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1.4379999999999999"/>
    <n v="1.4379999999999999"/>
    <n v="1.4379999999999999"/>
    <n v="1.4379999999999999"/>
    <m/>
    <n v="510.09"/>
    <n v="286.42"/>
    <m/>
    <n v="1145.38138"/>
    <n v="1145.38138"/>
    <n v="847.94545999999991"/>
    <n v="0"/>
    <n v="0"/>
    <n v="0"/>
    <n v="0"/>
    <n v="0"/>
    <n v="140.42379163552224"/>
    <n v="542.43084909013965"/>
    <n v="411.8767704606505"/>
    <n v="0"/>
    <n v="0"/>
    <n v="0"/>
    <n v="0"/>
    <n v="0"/>
    <n v="0"/>
    <m/>
    <n v="2.45587042047448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205094520936399"/>
    <n v="0"/>
    <n v="4.59"/>
    <n v="21.87"/>
    <n v="337.92"/>
    <n v="24"/>
    <m/>
    <m/>
    <m/>
    <m/>
    <m/>
    <m/>
    <m/>
    <m/>
    <m/>
    <n v="460.08186498158693"/>
    <m/>
    <m/>
    <m/>
    <m/>
    <m/>
    <m/>
    <m/>
    <m/>
    <m/>
    <m/>
    <m/>
    <m/>
    <n v="849.12480000000005"/>
    <n v="-296.28657999999996"/>
    <m/>
    <m/>
    <m/>
    <m/>
    <n v="-204.22475999999997"/>
    <n v="-93.211160000000021"/>
    <n v="31"/>
    <n v="-99.520234926339583"/>
    <n v="0"/>
    <n v="0"/>
    <n v="0"/>
    <n v="0"/>
    <n v="0"/>
    <n v="0"/>
    <n v="0"/>
    <n v="4.8189102513958346"/>
    <n v="0"/>
    <n v="0"/>
    <n v="-93.220894522357696"/>
    <n v="0"/>
    <n v="0"/>
    <n v="0"/>
    <n v="-10.910355606485531"/>
    <n v="0"/>
    <n v="0"/>
    <m/>
    <n v="0"/>
    <n v="0"/>
    <n v="0"/>
    <n v="0"/>
    <n v="0"/>
    <n v="-0.20789504889219312"/>
    <n v="0"/>
    <n v="0"/>
    <m/>
    <m/>
    <m/>
    <n v="542.43084909013965"/>
    <n v="0"/>
    <n v="0"/>
    <n v="-204.22476000000006"/>
    <n v="-93.211160000000007"/>
    <n v="0"/>
    <n v="0"/>
    <n v="-197.93308082459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92"/>
    <s v="Regular"/>
    <s v="Branca"/>
    <s v="B1"/>
    <s v="Residencial"/>
    <s v="Residencial"/>
    <s v="Não se aplica"/>
    <s v="Não se aplica"/>
    <s v="Fora ponta"/>
    <s v="CATIVO"/>
    <x v="8"/>
    <n v="0"/>
    <n v="0"/>
    <n v="4.2000000000000003E-2"/>
    <n v="4.2000000000000003E-2"/>
    <n v="4.2000000000000003E-2"/>
    <n v="4.2000000000000003E-2"/>
    <m/>
    <n v="409.62"/>
    <n v="286.42"/>
    <m/>
    <n v="29.233680000000003"/>
    <n v="29.233680000000003"/>
    <n v="22.71528"/>
    <n v="0"/>
    <n v="2.556178756794663"/>
    <n v="0"/>
    <n v="0"/>
    <n v="0"/>
    <n v="2.3790149425076286"/>
    <n v="9.1888806224054704"/>
    <n v="12.029780500241532"/>
    <n v="0"/>
    <n v="0"/>
    <n v="0"/>
    <n v="0"/>
    <n v="0"/>
    <n v="0.39504733610091336"/>
    <m/>
    <n v="7.172917778854548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079373921274887"/>
    <n v="0"/>
    <n v="0"/>
    <n v="0"/>
    <n v="0"/>
    <n v="0"/>
    <m/>
    <m/>
    <m/>
    <m/>
    <m/>
    <m/>
    <m/>
    <m/>
    <m/>
    <n v="13.437717892369021"/>
    <m/>
    <m/>
    <m/>
    <m/>
    <m/>
    <m/>
    <m/>
    <m/>
    <m/>
    <m/>
    <m/>
    <m/>
    <n v="21.633600000000001"/>
    <n v="-7.6300800000000066"/>
    <m/>
    <m/>
    <m/>
    <m/>
    <n v="-3.79596"/>
    <n v="-2.7224400000000011"/>
    <n v="31"/>
    <n v="-3.1657629442121227"/>
    <n v="0"/>
    <n v="0"/>
    <n v="0"/>
    <n v="0"/>
    <n v="0"/>
    <n v="0"/>
    <n v="0"/>
    <n v="8.1640435435813785E-2"/>
    <n v="0"/>
    <n v="0"/>
    <n v="-2.7227243184555121"/>
    <n v="0"/>
    <n v="0"/>
    <n v="0"/>
    <n v="-0.318661290314598"/>
    <n v="0"/>
    <n v="-0.17733784496830474"/>
    <m/>
    <n v="0"/>
    <n v="0"/>
    <n v="0"/>
    <n v="0"/>
    <n v="-2.2607886929362608E-2"/>
    <n v="-6.0720389801614122E-3"/>
    <n v="0"/>
    <n v="0"/>
    <m/>
    <m/>
    <m/>
    <n v="9.1888806224054704"/>
    <n v="0"/>
    <n v="0"/>
    <n v="-3.7959600000000009"/>
    <n v="-2.7224400000000006"/>
    <n v="0"/>
    <n v="0"/>
    <n v="-3.3530236231456021"/>
    <n v="0"/>
    <n v="0"/>
    <n v="0"/>
    <n v="0"/>
    <n v="0"/>
    <n v="0"/>
    <n v="0"/>
    <n v="0"/>
    <n v="0"/>
    <n v="0"/>
    <n v="0"/>
    <n v="0"/>
    <n v="1.2053257434511901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93"/>
    <s v="Regular"/>
    <s v="Branca"/>
    <s v="B1"/>
    <s v="Residencial"/>
    <s v="Residencial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22"/>
    <n v="1.0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"/>
    <m/>
    <m/>
    <m/>
    <m/>
    <n v="0"/>
    <n v="-17.698635468909799"/>
    <m/>
    <n v="-17.698635468909799"/>
    <m/>
    <n v="0"/>
    <n v="0"/>
    <n v="0"/>
    <n v="0"/>
  </r>
  <r>
    <n v="194"/>
    <s v="Regular"/>
    <s v="Branca"/>
    <s v="B1"/>
    <s v="Residencial"/>
    <s v="Residencial"/>
    <s v="Não se aplica"/>
    <s v="Não se aplica"/>
    <s v="Intermediário"/>
    <s v="CATIVO"/>
    <x v="8"/>
    <n v="0"/>
    <n v="0"/>
    <n v="1.2E-2"/>
    <n v="1.2E-2"/>
    <n v="1.2E-2"/>
    <n v="1.2E-2"/>
    <m/>
    <n v="960.47"/>
    <n v="286.42"/>
    <m/>
    <n v="14.962680000000001"/>
    <n v="14.962680000000001"/>
    <n v="11.230919999999999"/>
    <n v="0"/>
    <n v="0.73033678765561794"/>
    <n v="0"/>
    <n v="0"/>
    <n v="0"/>
    <n v="2.0390917310054157"/>
    <n v="7.8761874024429597"/>
    <n v="3.4370801429261517"/>
    <n v="0"/>
    <n v="0"/>
    <n v="0"/>
    <n v="0"/>
    <n v="0"/>
    <n v="0.1128706674574038"/>
    <m/>
    <n v="2.049405079672728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0226782632213964"/>
    <n v="0"/>
    <n v="0"/>
    <n v="0"/>
    <n v="0"/>
    <n v="0"/>
    <m/>
    <m/>
    <m/>
    <m/>
    <m/>
    <m/>
    <m/>
    <m/>
    <m/>
    <n v="3.8393479692482915"/>
    <m/>
    <m/>
    <m/>
    <m/>
    <m/>
    <m/>
    <m/>
    <m/>
    <m/>
    <m/>
    <m/>
    <m/>
    <n v="9.3590999999999998"/>
    <n v="-5.6335800000000003"/>
    <m/>
    <m/>
    <m/>
    <m/>
    <n v="-2.953920000000001"/>
    <n v="-0.77784000000000031"/>
    <n v="31"/>
    <n v="-0.85785421497162684"/>
    <n v="0"/>
    <n v="0"/>
    <n v="0"/>
    <n v="0"/>
    <n v="0"/>
    <n v="0"/>
    <n v="0"/>
    <n v="6.9975322070640278E-2"/>
    <n v="0"/>
    <n v="0"/>
    <n v="-0.77792123384443146"/>
    <n v="0"/>
    <n v="0"/>
    <n v="0"/>
    <n v="-9.104608294702804E-2"/>
    <n v="0"/>
    <n v="-5.0667955705229861E-2"/>
    <m/>
    <n v="0"/>
    <n v="0"/>
    <n v="0"/>
    <n v="0"/>
    <n v="-6.4593962655321718E-3"/>
    <n v="-1.7348682800461188E-3"/>
    <n v="0"/>
    <n v="0"/>
    <m/>
    <m/>
    <m/>
    <n v="7.8761874024429597"/>
    <n v="0"/>
    <n v="0"/>
    <n v="-2.9539200000000019"/>
    <n v="-0.77784000000000031"/>
    <n v="0"/>
    <n v="0"/>
    <n v="-2.8740217123203475"/>
    <n v="0"/>
    <n v="0"/>
    <n v="0"/>
    <n v="0"/>
    <n v="0"/>
    <n v="0"/>
    <n v="0"/>
    <n v="0"/>
    <n v="0"/>
    <n v="0"/>
    <n v="0"/>
    <n v="0"/>
    <n v="0.3443787838431972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199"/>
    <s v="Regular"/>
    <s v="Convencional"/>
    <s v="B2"/>
    <s v="Rural"/>
    <s v="Não se aplica"/>
    <s v="Não se aplica"/>
    <s v="Não se aplica"/>
    <s v="Não se aplica"/>
    <s v="CATIVO"/>
    <x v="8"/>
    <n v="0"/>
    <n v="0"/>
    <n v="112.93300000000001"/>
    <n v="112.93300000000001"/>
    <n v="112.93300000000001"/>
    <n v="112.93300000000001"/>
    <m/>
    <n v="609.05999999999995"/>
    <n v="286.42"/>
    <m/>
    <n v="101129.24283999999"/>
    <n v="101129.24283999999"/>
    <n v="77231.490709999998"/>
    <n v="0"/>
    <n v="6873.2603700259924"/>
    <n v="0"/>
    <n v="0"/>
    <n v="0"/>
    <n v="11028.150250886254"/>
    <n v="42599.682253335704"/>
    <n v="32346.647648423259"/>
    <n v="0"/>
    <n v="0"/>
    <n v="0"/>
    <n v="0"/>
    <n v="0"/>
    <n v="1062.235257330582"/>
    <m/>
    <n v="192.871219885566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85.7760358365163"/>
    <n v="0"/>
    <n v="323.33"/>
    <n v="1499.3"/>
    <n v="2518.91"/>
    <n v="330"/>
    <m/>
    <m/>
    <m/>
    <m/>
    <m/>
    <n v="9268.4113099999959"/>
    <m/>
    <m/>
    <m/>
    <n v="36132.423684259775"/>
    <m/>
    <m/>
    <m/>
    <m/>
    <m/>
    <m/>
    <m/>
    <m/>
    <m/>
    <m/>
    <m/>
    <m/>
    <n v="67961.274000000005"/>
    <n v="-21032.218659999999"/>
    <m/>
    <m/>
    <m/>
    <m/>
    <n v="-16577.435069999996"/>
    <n v="-7320.317060000003"/>
    <n v="31"/>
    <n v="-8353.429081509028"/>
    <n v="0"/>
    <n v="0"/>
    <n v="0"/>
    <n v="0"/>
    <n v="0"/>
    <n v="0"/>
    <n v="0"/>
    <n v="378.45201072384407"/>
    <n v="0"/>
    <n v="0"/>
    <n v="-7321.0815584794327"/>
    <n v="0"/>
    <n v="0"/>
    <n v="0"/>
    <n v="-856.84227378805963"/>
    <n v="0"/>
    <n v="-476.84035347156077"/>
    <m/>
    <n v="0"/>
    <n v="0"/>
    <n v="0"/>
    <n v="0"/>
    <n v="-60.789916537945373"/>
    <n v="-16.326989955870687"/>
    <n v="0"/>
    <n v="0"/>
    <m/>
    <m/>
    <m/>
    <n v="42599.682253335704"/>
    <n v="0"/>
    <n v="0"/>
    <n v="-16577.435069999992"/>
    <n v="-7320.3170600000049"/>
    <n v="0"/>
    <n v="0"/>
    <n v="-15544.629079808252"/>
    <n v="0"/>
    <n v="0"/>
    <n v="0"/>
    <n v="0"/>
    <n v="0"/>
    <n v="0"/>
    <n v="0"/>
    <n v="0"/>
    <n v="0"/>
    <n v="0"/>
    <n v="0"/>
    <n v="0"/>
    <n v="3240.9774329803158"/>
    <n v="0"/>
    <n v="0"/>
    <n v="0"/>
    <n v="0"/>
    <n v="0"/>
    <n v="202"/>
    <n v="0"/>
    <n v="0"/>
    <n v="0"/>
    <m/>
    <n v="0"/>
    <n v="-12.3890448282368"/>
    <m/>
    <n v="-17.698635468909799"/>
    <m/>
    <n v="0"/>
    <n v="0"/>
    <n v="0"/>
    <n v="0"/>
  </r>
  <r>
    <n v="200"/>
    <s v="Refaturamento - Regular"/>
    <s v="Convencional"/>
    <s v="B2"/>
    <s v="Rural"/>
    <s v="Não se aplica"/>
    <s v="Não se aplica"/>
    <s v="Não se aplica"/>
    <s v="Não se aplica"/>
    <s v="CATIVO"/>
    <x v="8"/>
    <n v="0"/>
    <n v="0"/>
    <n v="2.222"/>
    <n v="2.222"/>
    <n v="2.222"/>
    <n v="2.222"/>
    <m/>
    <n v="609.05999999999995"/>
    <n v="286.42"/>
    <m/>
    <n v="1989.7565599999998"/>
    <n v="1989.7565599999998"/>
    <n v="1519.5591399999998"/>
    <n v="0"/>
    <n v="135.23402851423194"/>
    <n v="0"/>
    <n v="0"/>
    <n v="0"/>
    <n v="216.98307720036885"/>
    <n v="838.16505332287227"/>
    <n v="636.43267313182571"/>
    <n v="0"/>
    <n v="0"/>
    <n v="0"/>
    <n v="0"/>
    <n v="0"/>
    <n v="20.89988525752927"/>
    <m/>
    <n v="3.79481507252733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.486592507316189"/>
    <n v="0"/>
    <n v="2.5099999999999998"/>
    <n v="11.49"/>
    <n v="0"/>
    <n v="0"/>
    <m/>
    <m/>
    <m/>
    <m/>
    <m/>
    <n v="182.35953999999992"/>
    <m/>
    <m/>
    <m/>
    <n v="710.91926563914194"/>
    <m/>
    <m/>
    <m/>
    <m/>
    <m/>
    <m/>
    <m/>
    <m/>
    <m/>
    <m/>
    <m/>
    <m/>
    <n v="1335.9960000000001"/>
    <n v="-415.01443999999992"/>
    <m/>
    <m/>
    <m/>
    <m/>
    <n v="-326.16737999999992"/>
    <n v="-144.03004000000004"/>
    <n v="31"/>
    <n v="-164.35691444584916"/>
    <n v="0"/>
    <n v="0"/>
    <n v="0"/>
    <n v="0"/>
    <n v="0"/>
    <n v="0"/>
    <n v="0"/>
    <n v="7.4461881631443418"/>
    <n v="0"/>
    <n v="0"/>
    <n v="-144.04508180019388"/>
    <n v="0"/>
    <n v="0"/>
    <n v="0"/>
    <n v="-16.85869969235803"/>
    <n v="0"/>
    <n v="-9.3820164647517572"/>
    <m/>
    <n v="0"/>
    <n v="0"/>
    <n v="0"/>
    <n v="0"/>
    <n v="-1.196064875167707"/>
    <n v="-0.32123977652187286"/>
    <n v="0"/>
    <n v="0"/>
    <m/>
    <m/>
    <m/>
    <n v="838.16505332287227"/>
    <n v="0"/>
    <n v="0"/>
    <n v="-326.16737999999987"/>
    <n v="-144.03004000000004"/>
    <n v="0"/>
    <n v="0"/>
    <n v="-305.84652683745173"/>
    <n v="0"/>
    <n v="0"/>
    <n v="0"/>
    <n v="0"/>
    <n v="0"/>
    <n v="0"/>
    <n v="0"/>
    <n v="0"/>
    <n v="0"/>
    <n v="0"/>
    <n v="0"/>
    <n v="0"/>
    <n v="63.767471474965348"/>
    <n v="0"/>
    <n v="0"/>
    <n v="0"/>
    <n v="0"/>
    <n v="0"/>
    <n v="202"/>
    <n v="0"/>
    <n v="0"/>
    <n v="0"/>
    <m/>
    <n v="0"/>
    <n v="-12.3890448282368"/>
    <m/>
    <n v="-17.698635468909799"/>
    <m/>
    <n v="0"/>
    <n v="0"/>
    <n v="0"/>
    <n v="0"/>
  </r>
  <r>
    <n v="201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2.544"/>
    <n v="2.544"/>
    <n v="2.544"/>
    <n v="2.544"/>
    <m/>
    <n v="609.05999999999995"/>
    <n v="286.42"/>
    <m/>
    <n v="2278.1011199999998"/>
    <n v="2278.1011199999998"/>
    <n v="1739.7652800000001"/>
    <n v="0"/>
    <n v="154.831398982991"/>
    <n v="0"/>
    <n v="0"/>
    <n v="0"/>
    <n v="248.42706948593087"/>
    <n v="959.6273157756018"/>
    <n v="728.66099030034411"/>
    <n v="0"/>
    <n v="0"/>
    <n v="0"/>
    <n v="0"/>
    <n v="0"/>
    <n v="23.928581500969607"/>
    <m/>
    <n v="4.34473876890618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.280779180293607"/>
    <n v="0"/>
    <n v="5.65"/>
    <n v="26.19"/>
    <n v="0"/>
    <n v="6"/>
    <m/>
    <m/>
    <m/>
    <m/>
    <m/>
    <n v="208.78607999999991"/>
    <m/>
    <m/>
    <m/>
    <n v="813.94176948063773"/>
    <m/>
    <m/>
    <m/>
    <m/>
    <m/>
    <m/>
    <m/>
    <m/>
    <m/>
    <m/>
    <m/>
    <m/>
    <n v="1528.5719999999999"/>
    <n v="-476.18088000000034"/>
    <m/>
    <m/>
    <m/>
    <m/>
    <n v="-373.43375999999989"/>
    <n v="-164.90208000000007"/>
    <n v="31"/>
    <n v="-188.17461311891975"/>
    <n v="0"/>
    <n v="0"/>
    <n v="0"/>
    <n v="0"/>
    <n v="0"/>
    <n v="0"/>
    <n v="0"/>
    <n v="8.5252487340410426"/>
    <n v="0"/>
    <n v="0"/>
    <n v="-164.9193015750194"/>
    <n v="0"/>
    <n v="0"/>
    <n v="0"/>
    <n v="-19.301769584769943"/>
    <n v="0"/>
    <n v="-10.74160660950875"/>
    <m/>
    <n v="0"/>
    <n v="0"/>
    <n v="0"/>
    <n v="0"/>
    <n v="-1.3693920082928202"/>
    <n v="-0.3677920753697772"/>
    <n v="0"/>
    <n v="0"/>
    <m/>
    <m/>
    <m/>
    <n v="959.6273157756018"/>
    <n v="0"/>
    <n v="0"/>
    <n v="-373.43375999999989"/>
    <n v="-164.90208000000007"/>
    <n v="0"/>
    <n v="0"/>
    <n v="-350.16812073558845"/>
    <n v="0"/>
    <n v="0"/>
    <n v="0"/>
    <n v="0"/>
    <n v="0"/>
    <n v="0"/>
    <n v="0"/>
    <n v="0"/>
    <n v="0"/>
    <n v="0"/>
    <n v="0"/>
    <n v="0"/>
    <n v="73.008302174757802"/>
    <n v="0"/>
    <n v="0"/>
    <n v="0"/>
    <n v="0"/>
    <n v="0"/>
    <n v="202"/>
    <n v="0"/>
    <n v="0"/>
    <n v="0"/>
    <m/>
    <n v="0"/>
    <n v="-12.3890448282368"/>
    <m/>
    <n v="-17.698635468909799"/>
    <m/>
    <n v="0"/>
    <n v="0"/>
    <n v="0"/>
    <n v="0"/>
  </r>
  <r>
    <n v="195"/>
    <s v="Regular"/>
    <s v="Convencional"/>
    <s v="B3"/>
    <s v="Comercial"/>
    <s v="Não se aplica"/>
    <s v="Não se aplica"/>
    <s v="Não se aplica"/>
    <s v="Não se aplica"/>
    <s v="CATIVO"/>
    <x v="8"/>
    <n v="0"/>
    <n v="0"/>
    <n v="19.076000000000001"/>
    <n v="19.076000000000001"/>
    <n v="19.076000000000001"/>
    <n v="19.076000000000001"/>
    <m/>
    <n v="609.05999999999995"/>
    <n v="286.42"/>
    <m/>
    <n v="17082.176479999998"/>
    <n v="17082.176479999998"/>
    <n v="13045.504120000001"/>
    <n v="0"/>
    <n v="1160.9920467765473"/>
    <n v="0"/>
    <n v="0"/>
    <n v="0"/>
    <n v="1862.8124125446609"/>
    <n v="7195.6960203362341"/>
    <n v="5463.8117338716056"/>
    <n v="0"/>
    <n v="0"/>
    <n v="0"/>
    <n v="0"/>
    <n v="0"/>
    <n v="179.42673770145291"/>
    <m/>
    <n v="32.5787094165307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9.47175457676133"/>
    <n v="0"/>
    <n v="53.92"/>
    <n v="249.93"/>
    <n v="2945.19"/>
    <n v="43"/>
    <m/>
    <m/>
    <m/>
    <m/>
    <m/>
    <m/>
    <m/>
    <m/>
    <m/>
    <n v="6103.2834884483673"/>
    <m/>
    <m/>
    <m/>
    <m/>
    <m/>
    <m/>
    <m/>
    <m/>
    <m/>
    <m/>
    <m/>
    <m/>
    <n v="13048.239599999997"/>
    <n v="-4033.9668799999999"/>
    <m/>
    <m/>
    <m/>
    <m/>
    <n v="-2800.1660399999992"/>
    <n v="-1236.5063200000004"/>
    <n v="31"/>
    <n v="-1411.013726358693"/>
    <n v="0"/>
    <n v="0"/>
    <n v="0"/>
    <n v="0"/>
    <n v="0"/>
    <n v="0"/>
    <n v="0"/>
    <n v="63.925961026166306"/>
    <n v="0"/>
    <n v="0"/>
    <n v="-1236.6354547346973"/>
    <n v="0"/>
    <n v="0"/>
    <n v="0"/>
    <n v="-144.73292319145895"/>
    <n v="0"/>
    <n v="-80.54516025274711"/>
    <m/>
    <n v="0"/>
    <n v="0"/>
    <n v="0"/>
    <n v="0"/>
    <n v="-10.268286930107621"/>
    <n v="-2.7578622758466445"/>
    <n v="0"/>
    <n v="0"/>
    <m/>
    <m/>
    <m/>
    <n v="7195.6960203362341"/>
    <n v="0"/>
    <n v="0"/>
    <n v="-2800.1660399999982"/>
    <n v="-1236.5063200000004"/>
    <n v="0"/>
    <n v="0"/>
    <n v="-2625.710326710725"/>
    <n v="0"/>
    <n v="0"/>
    <n v="0"/>
    <n v="0"/>
    <n v="0"/>
    <n v="0"/>
    <n v="0"/>
    <n v="0"/>
    <n v="0"/>
    <n v="0"/>
    <n v="0"/>
    <n v="0"/>
    <n v="547.44747338273578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02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7.01"/>
    <n v="7.01"/>
    <n v="7.01"/>
    <n v="7.01"/>
    <m/>
    <n v="609.05999999999995"/>
    <n v="286.42"/>
    <m/>
    <n v="6277.3148000000001"/>
    <n v="6277.3148000000001"/>
    <n v="4793.9286999999995"/>
    <n v="0"/>
    <n v="426.63840678882349"/>
    <n v="0"/>
    <n v="0"/>
    <n v="0"/>
    <n v="684.54157118568207"/>
    <n v="2644.2560863156323"/>
    <n v="2007.8276501593602"/>
    <n v="0"/>
    <n v="0"/>
    <n v="0"/>
    <n v="0"/>
    <n v="0"/>
    <n v="65.935281573033393"/>
    <m/>
    <n v="11.971941340421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4.9914552098499"/>
    <n v="0"/>
    <n v="25.22"/>
    <n v="116.64"/>
    <n v="462.27"/>
    <n v="10"/>
    <m/>
    <m/>
    <m/>
    <m/>
    <m/>
    <m/>
    <m/>
    <m/>
    <m/>
    <n v="2242.8191053692103"/>
    <m/>
    <m/>
    <m/>
    <m/>
    <m/>
    <m/>
    <m/>
    <m/>
    <m/>
    <m/>
    <m/>
    <m/>
    <n v="4793.9286999999995"/>
    <n v="-1483.4161000000013"/>
    <m/>
    <m/>
    <m/>
    <m/>
    <n v="-1028.9978999999996"/>
    <n v="-454.38820000000015"/>
    <n v="31"/>
    <n v="-518.51573819324994"/>
    <n v="0"/>
    <n v="0"/>
    <n v="0"/>
    <n v="0"/>
    <n v="0"/>
    <n v="0"/>
    <n v="0"/>
    <n v="23.491349695608392"/>
    <n v="0"/>
    <n v="0"/>
    <n v="-454.43565410412202"/>
    <n v="0"/>
    <n v="0"/>
    <n v="0"/>
    <n v="-53.186086788222212"/>
    <n v="0"/>
    <n v="-29.598530791138501"/>
    <m/>
    <n v="0"/>
    <n v="0"/>
    <n v="0"/>
    <n v="0"/>
    <n v="-3.7733639851150471"/>
    <n v="-1.0134522202602749"/>
    <n v="0"/>
    <n v="0"/>
    <m/>
    <m/>
    <m/>
    <n v="2644.2560863156323"/>
    <n v="0"/>
    <n v="0"/>
    <n v="-1028.9978999999998"/>
    <n v="-454.3882000000001"/>
    <n v="0"/>
    <n v="0"/>
    <n v="-964.88935784452633"/>
    <n v="0"/>
    <n v="0"/>
    <n v="0"/>
    <n v="0"/>
    <n v="0"/>
    <n v="0"/>
    <n v="0"/>
    <n v="0"/>
    <n v="0"/>
    <n v="0"/>
    <n v="0"/>
    <n v="0"/>
    <n v="201.17460622840102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04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37.753"/>
    <n v="35.487819999999999"/>
    <n v="37.753"/>
    <n v="35.487819999999999"/>
    <m/>
    <n v="609.05999999999995"/>
    <n v="286.42"/>
    <m/>
    <n v="33807.05644"/>
    <n v="33807.05644"/>
    <n v="25818.144110000001"/>
    <n v="0"/>
    <n v="2297.7003953635453"/>
    <n v="0"/>
    <n v="0"/>
    <n v="0"/>
    <n v="3686.6616172572121"/>
    <n v="14240.884454589737"/>
    <n v="10813.340552990918"/>
    <n v="0"/>
    <n v="0"/>
    <n v="0"/>
    <n v="0"/>
    <n v="0"/>
    <n v="355.10052570994714"/>
    <m/>
    <n v="64.4759916440704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65.5681039283115"/>
    <n v="0"/>
    <n v="76.819999999999993"/>
    <n v="354.72"/>
    <n v="6064.5"/>
    <n v="6"/>
    <m/>
    <m/>
    <m/>
    <m/>
    <n v="1549.0886466000006"/>
    <m/>
    <m/>
    <m/>
    <m/>
    <n v="12078.90865691923"/>
    <m/>
    <m/>
    <m/>
    <m/>
    <m/>
    <m/>
    <m/>
    <m/>
    <m/>
    <m/>
    <m/>
    <m/>
    <n v="24270.546299999998"/>
    <n v="-7508.1167535999957"/>
    <m/>
    <m/>
    <m/>
    <m/>
    <n v="-5541.7628699999987"/>
    <n v="-2447.149460000001"/>
    <n v="31"/>
    <n v="-2792.5142174050998"/>
    <n v="0"/>
    <n v="0"/>
    <n v="0"/>
    <n v="0"/>
    <n v="0"/>
    <n v="0"/>
    <n v="0"/>
    <n v="126.51482525796064"/>
    <n v="0"/>
    <n v="0"/>
    <n v="-2447.4050284440691"/>
    <n v="0"/>
    <n v="0"/>
    <n v="0"/>
    <n v="-286.43856412492926"/>
    <n v="0"/>
    <n v="-159.4056109782955"/>
    <m/>
    <n v="0"/>
    <n v="0"/>
    <n v="0"/>
    <n v="0"/>
    <n v="-20.321798934386322"/>
    <n v="-5.4580401813817616"/>
    <n v="0"/>
    <n v="0"/>
    <m/>
    <m/>
    <m/>
    <n v="14240.884454589737"/>
    <n v="0"/>
    <n v="0"/>
    <n v="-5541.7628699999987"/>
    <n v="-2447.1494600000005"/>
    <n v="0"/>
    <n v="0"/>
    <n v="-5196.5004175041922"/>
    <n v="0"/>
    <n v="0"/>
    <n v="0"/>
    <n v="0"/>
    <n v="0"/>
    <n v="0"/>
    <n v="0"/>
    <n v="0"/>
    <n v="0"/>
    <n v="0"/>
    <n v="0"/>
    <n v="0"/>
    <n v="1083.4443522026852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03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46.963999999999999"/>
    <n v="46.963999999999999"/>
    <n v="46.963999999999999"/>
    <n v="46.963999999999999"/>
    <m/>
    <n v="334.98"/>
    <n v="157.53"/>
    <m/>
    <n v="23130.23964"/>
    <n v="23130.23964"/>
    <n v="17664.569319999999"/>
    <n v="0"/>
    <n v="1572.0621077085107"/>
    <n v="0"/>
    <n v="0"/>
    <n v="0"/>
    <n v="2522.3745637718112"/>
    <n v="9743.4612782810527"/>
    <n v="7398.3722923175765"/>
    <n v="0"/>
    <n v="0"/>
    <n v="0"/>
    <n v="0"/>
    <n v="0"/>
    <n v="242.95599287985272"/>
    <m/>
    <n v="44.1137859074687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5.88820062217917"/>
    <n v="0"/>
    <n v="59.33"/>
    <n v="273.91000000000003"/>
    <n v="3950.73"/>
    <n v="3"/>
    <m/>
    <m/>
    <m/>
    <m/>
    <m/>
    <m/>
    <m/>
    <m/>
    <m/>
    <n v="8264.2604929397548"/>
    <m/>
    <m/>
    <m/>
    <m/>
    <m/>
    <m/>
    <m/>
    <m/>
    <m/>
    <m/>
    <m/>
    <m/>
    <n v="17663.0648"/>
    <n v="-5467.2048399999985"/>
    <m/>
    <m/>
    <m/>
    <m/>
    <n v="-3791.4037200000007"/>
    <n v="-1674.2666000000002"/>
    <n v="31"/>
    <n v="-1910.6084480284517"/>
    <n v="0"/>
    <n v="0"/>
    <n v="0"/>
    <n v="0"/>
    <n v="0"/>
    <n v="0"/>
    <n v="0"/>
    <n v="86.560094280660905"/>
    <n v="0"/>
    <n v="0"/>
    <n v="-1674.4884212040461"/>
    <n v="0"/>
    <n v="0"/>
    <n v="0"/>
    <n v="-195.97821097819588"/>
    <n v="0"/>
    <n v="-109.06361912143711"/>
    <m/>
    <n v="0"/>
    <n v="0"/>
    <n v="0"/>
    <n v="0"/>
    <n v="-13.903958118162649"/>
    <n v="-3.7343328872704902"/>
    <n v="0"/>
    <n v="0"/>
    <m/>
    <m/>
    <m/>
    <n v="9743.4612782810527"/>
    <n v="0"/>
    <n v="0"/>
    <n v="-3791.4037200000002"/>
    <n v="-1674.2665999999999"/>
    <n v="0"/>
    <n v="0"/>
    <n v="-3555.3901698995551"/>
    <n v="0"/>
    <n v="0"/>
    <n v="0"/>
    <n v="0"/>
    <n v="0"/>
    <n v="0"/>
    <n v="0"/>
    <n v="0"/>
    <n v="0"/>
    <n v="0"/>
    <n v="0"/>
    <n v="0"/>
    <n v="741.28107186887905"/>
    <n v="0"/>
    <n v="0"/>
    <n v="0"/>
    <n v="0"/>
    <n v="0"/>
    <n v="202"/>
    <n v="0"/>
    <n v="0"/>
    <n v="0"/>
    <m/>
    <n v="0"/>
    <n v="-9.7342495079003708"/>
    <m/>
    <n v="-9.7342495079003708"/>
    <m/>
    <n v="0"/>
    <n v="0"/>
    <n v="0"/>
    <n v="0"/>
  </r>
  <r>
    <n v="224"/>
    <s v="Regular"/>
    <s v="Verde"/>
    <s v="A4"/>
    <s v="Comercial"/>
    <s v="Não se aplica"/>
    <s v="Não se aplica"/>
    <s v="Não se aplica"/>
    <s v="Ponta"/>
    <s v="CATIVO"/>
    <x v="9"/>
    <n v="0"/>
    <n v="0"/>
    <n v="1.383"/>
    <n v="1.383"/>
    <n v="1.383"/>
    <n v="1.383"/>
    <m/>
    <n v="3305.85"/>
    <n v="286.42"/>
    <m/>
    <n v="4968.1094099999991"/>
    <n v="4968.1094099999991"/>
    <n v="3611.1513"/>
    <n v="0"/>
    <n v="73.229043856259679"/>
    <n v="0"/>
    <n v="0"/>
    <n v="0"/>
    <n v="901.69535317430325"/>
    <n v="3531.3365226925462"/>
    <n v="396.12348647223899"/>
    <n v="0"/>
    <n v="0"/>
    <n v="0"/>
    <n v="0"/>
    <n v="0"/>
    <n v="13.008344424465788"/>
    <m/>
    <n v="1.89483091195455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301829744976203"/>
    <n v="0"/>
    <n v="0"/>
    <n v="0"/>
    <n v="0"/>
    <n v="0"/>
    <m/>
    <m/>
    <m/>
    <m/>
    <m/>
    <m/>
    <m/>
    <m/>
    <m/>
    <n v="412.4253162172152"/>
    <m/>
    <m/>
    <m/>
    <m/>
    <m/>
    <m/>
    <m/>
    <m/>
    <m/>
    <m/>
    <m/>
    <m/>
    <n v="3603.3179999999998"/>
    <n v="-1364.82141"/>
    <m/>
    <m/>
    <m/>
    <m/>
    <n v="-1267.3120499999998"/>
    <n v="-89.646060000000034"/>
    <n v="30"/>
    <n v="-68.386848502517523"/>
    <n v="0"/>
    <n v="0"/>
    <n v="0"/>
    <n v="0"/>
    <n v="0"/>
    <n v="0"/>
    <n v="0"/>
    <n v="30.943395919156615"/>
    <n v="0"/>
    <n v="0"/>
    <n v="-89.65542220057074"/>
    <n v="0"/>
    <n v="0"/>
    <n v="0"/>
    <n v="-3.6896257817071003"/>
    <n v="0"/>
    <n v="-5.0803492486741817"/>
    <m/>
    <n v="0"/>
    <n v="0"/>
    <n v="0"/>
    <n v="0"/>
    <n v="-0.7444454196025827"/>
    <n v="-0.16040177111914766"/>
    <n v="0"/>
    <n v="0"/>
    <m/>
    <m/>
    <m/>
    <n v="3531.3365226925462"/>
    <n v="0"/>
    <n v="0"/>
    <n v="-1267.3120499999995"/>
    <n v="-89.646060000000034"/>
    <n v="0"/>
    <n v="0"/>
    <n v="-1288.5851137290474"/>
    <n v="0"/>
    <n v="0"/>
    <n v="0"/>
    <n v="0"/>
    <n v="0"/>
    <n v="0"/>
    <n v="0"/>
    <n v="0"/>
    <n v="0"/>
    <n v="0"/>
    <n v="0"/>
    <n v="0"/>
    <n v="34.529999708997785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25"/>
    <s v="Regular"/>
    <s v="Verde"/>
    <s v="A4"/>
    <s v="Comercial"/>
    <s v="Não se aplica"/>
    <s v="Não se aplica"/>
    <s v="Não se aplica"/>
    <s v="Fora ponta"/>
    <s v="CATIVO"/>
    <x v="9"/>
    <n v="0"/>
    <n v="0"/>
    <n v="21.067"/>
    <n v="21.067"/>
    <n v="21.067"/>
    <n v="21.067"/>
    <m/>
    <n v="100.48"/>
    <n v="286.42"/>
    <m/>
    <n v="8150.8222999999998"/>
    <n v="8150.8222999999998"/>
    <n v="6637.79036"/>
    <n v="0"/>
    <n v="1115.4853701517156"/>
    <n v="0"/>
    <n v="0"/>
    <n v="0"/>
    <n v="0"/>
    <n v="0"/>
    <n v="6034.0806142521033"/>
    <n v="0"/>
    <n v="0"/>
    <n v="0"/>
    <n v="0"/>
    <n v="0"/>
    <n v="198.15386261042715"/>
    <m/>
    <n v="28.8636318309086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8.32295534158615"/>
    <n v="0"/>
    <n v="0"/>
    <n v="0"/>
    <n v="0"/>
    <n v="0"/>
    <m/>
    <m/>
    <m/>
    <m/>
    <m/>
    <m/>
    <m/>
    <m/>
    <m/>
    <n v="6282.4035695936891"/>
    <m/>
    <m/>
    <m/>
    <m/>
    <m/>
    <m/>
    <m/>
    <m/>
    <m/>
    <m/>
    <m/>
    <m/>
    <n v="6638.7356"/>
    <n v="-1512.1167000000005"/>
    <m/>
    <m/>
    <m/>
    <m/>
    <n v="-147.46899999999999"/>
    <n v="-1365.5629400000005"/>
    <n v="30"/>
    <n v="-1513.0804477450474"/>
    <n v="0"/>
    <n v="0"/>
    <n v="0"/>
    <n v="0"/>
    <n v="0"/>
    <n v="0"/>
    <n v="0"/>
    <n v="0"/>
    <n v="0"/>
    <n v="0"/>
    <n v="-1365.7055527833863"/>
    <n v="0"/>
    <n v="0"/>
    <n v="0"/>
    <n v="-56.203431918455152"/>
    <n v="0"/>
    <n v="-77.388082156051496"/>
    <m/>
    <n v="0"/>
    <n v="0"/>
    <n v="0"/>
    <n v="0"/>
    <n v="-11.340008427163838"/>
    <n v="-2.443372459990659"/>
    <n v="0"/>
    <n v="0"/>
    <m/>
    <m/>
    <m/>
    <n v="0"/>
    <n v="0"/>
    <n v="0"/>
    <n v="-147.46899999999982"/>
    <n v="-1365.5629400000007"/>
    <n v="0"/>
    <n v="0"/>
    <n v="0"/>
    <n v="0"/>
    <n v="0"/>
    <n v="0"/>
    <n v="0"/>
    <n v="0"/>
    <n v="0"/>
    <n v="0"/>
    <n v="0"/>
    <n v="0"/>
    <n v="0"/>
    <n v="0"/>
    <n v="0"/>
    <n v="525.98951834378613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26"/>
    <s v="Regular"/>
    <s v="Verde"/>
    <s v="A4"/>
    <s v="Comercial"/>
    <s v="Não se aplica"/>
    <s v="Não se aplica"/>
    <s v="Não se aplica"/>
    <s v="Não se aplica"/>
    <s v="CATIVO"/>
    <x v="9"/>
    <n v="200"/>
    <n v="200"/>
    <n v="0"/>
    <n v="0"/>
    <n v="0"/>
    <n v="0"/>
    <n v="39.21"/>
    <m/>
    <m/>
    <n v="7842"/>
    <m/>
    <n v="7842"/>
    <n v="5968"/>
    <n v="0"/>
    <n v="0"/>
    <n v="0"/>
    <n v="0"/>
    <n v="0"/>
    <n v="2470.4459924729599"/>
    <n v="5372.398245936520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9.4"/>
    <n v="504.94"/>
    <n v="3245.97"/>
    <n v="1"/>
    <m/>
    <m/>
    <m/>
    <m/>
    <m/>
    <m/>
    <m/>
    <m/>
    <m/>
    <n v="0"/>
    <m/>
    <m/>
    <m/>
    <m/>
    <m/>
    <m/>
    <m/>
    <m/>
    <m/>
    <m/>
    <m/>
    <m/>
    <n v="5968"/>
    <n v="-1874.0300000000007"/>
    <m/>
    <m/>
    <m/>
    <m/>
    <n v="-1874.0000000000002"/>
    <n v="0"/>
    <n v="30"/>
    <n v="84.77806630906025"/>
    <n v="0"/>
    <n v="0"/>
    <n v="0"/>
    <n v="0"/>
    <m/>
    <m/>
    <m/>
    <n v="84.7780663090602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372.3982459365207"/>
    <m/>
    <n v="0"/>
    <n v="0"/>
    <n v="-1874"/>
    <m/>
    <n v="0"/>
    <m/>
    <n v="-1960.3887537343408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208"/>
    <s v="Regular"/>
    <s v="Convencional"/>
    <s v="B1"/>
    <s v="Residencial"/>
    <s v="Residencial"/>
    <s v="Não se aplica"/>
    <s v="Não se aplica"/>
    <s v="Não se aplica"/>
    <s v="CATIVO"/>
    <x v="9"/>
    <n v="0"/>
    <n v="0"/>
    <n v="374.351"/>
    <n v="374.351"/>
    <n v="374.351"/>
    <n v="374.351"/>
    <m/>
    <n v="609.05999999999995"/>
    <n v="286.42"/>
    <m/>
    <n v="335223.83348000003"/>
    <n v="335223.83348000003"/>
    <n v="256007.41836999997"/>
    <n v="0"/>
    <n v="22783.525566305685"/>
    <n v="0"/>
    <n v="0"/>
    <n v="0"/>
    <n v="36556.179987864663"/>
    <n v="141209.68761317307"/>
    <n v="107222.86571537898"/>
    <n v="0"/>
    <n v="0"/>
    <n v="0"/>
    <n v="0"/>
    <n v="0"/>
    <n v="3521.1039361122143"/>
    <m/>
    <n v="639.330700817137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549.113587626607"/>
    <n v="0"/>
    <n v="1253.6500000000001"/>
    <n v="5831.13"/>
    <n v="45201.55"/>
    <n v="3173"/>
    <m/>
    <m/>
    <m/>
    <m/>
    <m/>
    <m/>
    <m/>
    <m/>
    <m/>
    <n v="119771.97930300559"/>
    <m/>
    <m/>
    <m/>
    <m/>
    <m/>
    <m/>
    <m/>
    <m/>
    <m/>
    <m/>
    <m/>
    <m/>
    <n v="256006.73450000002"/>
    <n v="-79217.128980000038"/>
    <m/>
    <m/>
    <m/>
    <m/>
    <n v="-54950.983289999989"/>
    <n v="-24265.431820000009"/>
    <n v="30"/>
    <n v="-27689.997875660658"/>
    <n v="0"/>
    <n v="0"/>
    <n v="0"/>
    <n v="0"/>
    <n v="0"/>
    <n v="0"/>
    <n v="0"/>
    <n v="1254.4950427818403"/>
    <n v="0"/>
    <n v="0"/>
    <n v="-24267.965984241397"/>
    <n v="0"/>
    <n v="0"/>
    <n v="0"/>
    <n v="-2840.2660164419067"/>
    <n v="0"/>
    <n v="-1580.6333238507104"/>
    <m/>
    <n v="0"/>
    <n v="0"/>
    <n v="0"/>
    <n v="0"/>
    <n v="-201.50678761651943"/>
    <n v="-54.12080629196214"/>
    <n v="0"/>
    <n v="0"/>
    <m/>
    <m/>
    <m/>
    <n v="141209.68761317307"/>
    <n v="0"/>
    <n v="0"/>
    <n v="-54950.983290000004"/>
    <n v="-24265.431820000013"/>
    <n v="0"/>
    <n v="0"/>
    <n v="-51527.431668823992"/>
    <n v="0"/>
    <n v="0"/>
    <n v="0"/>
    <n v="0"/>
    <n v="0"/>
    <n v="0"/>
    <n v="0"/>
    <n v="0"/>
    <n v="0"/>
    <n v="0"/>
    <n v="0"/>
    <n v="0"/>
    <n v="10743.211842540393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09"/>
    <s v="Refaturamento - Regular"/>
    <s v="Convencional"/>
    <s v="B1"/>
    <s v="Residencial"/>
    <s v="Residencial"/>
    <s v="Não se aplica"/>
    <s v="Não se aplica"/>
    <s v="Não se aplica"/>
    <s v="CATIVO"/>
    <x v="9"/>
    <n v="0"/>
    <n v="0"/>
    <n v="-1.657"/>
    <n v="-1.657"/>
    <n v="-1.657"/>
    <n v="-1.657"/>
    <m/>
    <n v="609.05999999999995"/>
    <n v="286.42"/>
    <m/>
    <n v="-1483.8103599999999"/>
    <n v="-1483.8103599999999"/>
    <n v="-1133.1725900000001"/>
    <n v="0"/>
    <n v="-100.84733809544659"/>
    <n v="0"/>
    <n v="0"/>
    <n v="0"/>
    <n v="-161.80961247570261"/>
    <n v="-625.04027603780355"/>
    <n v="-474.6034830690528"/>
    <n v="0"/>
    <n v="0"/>
    <n v="0"/>
    <n v="0"/>
    <n v="0"/>
    <n v="-15.585557998076508"/>
    <m/>
    <n v="-2.82988684751475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55.546482351315447"/>
    <n v="0"/>
    <n v="-8.6"/>
    <n v="-39.659999999999997"/>
    <n v="-680.29"/>
    <n v="0"/>
    <m/>
    <m/>
    <m/>
    <m/>
    <m/>
    <m/>
    <m/>
    <m/>
    <m/>
    <n v="-530.14996542036829"/>
    <m/>
    <m/>
    <m/>
    <m/>
    <m/>
    <m/>
    <m/>
    <m/>
    <m/>
    <m/>
    <m/>
    <m/>
    <n v="-1135.2241999999999"/>
    <n v="348.55616000000009"/>
    <m/>
    <m/>
    <m/>
    <m/>
    <n v="243.23102999999995"/>
    <n v="107.40674000000004"/>
    <n v="30"/>
    <n v="122.56498975552302"/>
    <n v="0"/>
    <n v="0"/>
    <n v="0"/>
    <n v="0"/>
    <n v="0"/>
    <n v="0"/>
    <n v="0"/>
    <n v="-5.5528054843970267"/>
    <n v="0"/>
    <n v="0"/>
    <n v="107.41795704001862"/>
    <n v="0"/>
    <n v="0"/>
    <n v="0"/>
    <n v="12.57194662026879"/>
    <n v="0"/>
    <n v="6.9964002169638349"/>
    <m/>
    <n v="0"/>
    <n v="0"/>
    <n v="0"/>
    <n v="0"/>
    <n v="0.89193496766556635"/>
    <n v="0.23955639500303461"/>
    <n v="0"/>
    <n v="0"/>
    <m/>
    <m/>
    <m/>
    <n v="-625.04027603780355"/>
    <n v="0"/>
    <n v="0"/>
    <n v="243.23102999999992"/>
    <n v="107.40674000000007"/>
    <n v="0"/>
    <n v="0"/>
    <n v="228.07727046339232"/>
    <n v="0"/>
    <n v="0"/>
    <n v="0"/>
    <n v="0"/>
    <n v="0"/>
    <n v="0"/>
    <n v="0"/>
    <n v="0"/>
    <n v="0"/>
    <n v="0"/>
    <n v="0"/>
    <n v="0"/>
    <n v="-47.552970402348144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10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4.8550000000000004"/>
    <n v="4.8550000000000004"/>
    <n v="4.8550000000000004"/>
    <n v="4.8550000000000004"/>
    <m/>
    <n v="609.05999999999995"/>
    <n v="286.42"/>
    <m/>
    <n v="4347.5554000000002"/>
    <n v="4347.5554000000002"/>
    <n v="3320.1888500000005"/>
    <n v="0"/>
    <n v="295.48209200566879"/>
    <n v="0"/>
    <n v="0"/>
    <n v="0"/>
    <n v="474.10118803230915"/>
    <n v="1831.3642366708125"/>
    <n v="1390.5853411588723"/>
    <n v="0"/>
    <n v="0"/>
    <n v="0"/>
    <n v="0"/>
    <n v="0"/>
    <n v="45.665590875474628"/>
    <m/>
    <n v="8.2915513848425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2.75085806616568"/>
    <n v="0"/>
    <n v="13.22"/>
    <n v="61.36"/>
    <n v="1251.33"/>
    <n v="36"/>
    <m/>
    <m/>
    <m/>
    <m/>
    <m/>
    <m/>
    <m/>
    <m/>
    <m/>
    <n v="1553.3361992250379"/>
    <m/>
    <m/>
    <m/>
    <m/>
    <m/>
    <m/>
    <m/>
    <m/>
    <m/>
    <m/>
    <m/>
    <m/>
    <n v="3323.6082000000001"/>
    <n v="-1023.9772000000007"/>
    <m/>
    <m/>
    <m/>
    <m/>
    <n v="-712.66544999999985"/>
    <n v="-314.70110000000011"/>
    <n v="30"/>
    <n v="-359.11468030359856"/>
    <n v="0"/>
    <n v="0"/>
    <n v="0"/>
    <n v="0"/>
    <n v="0"/>
    <n v="0"/>
    <n v="0"/>
    <n v="16.269686558085425"/>
    <n v="0"/>
    <n v="0"/>
    <n v="-314.7339658595597"/>
    <n v="0"/>
    <n v="0"/>
    <n v="0"/>
    <n v="-36.835727725651765"/>
    <n v="0"/>
    <n v="-20.499410412407599"/>
    <m/>
    <n v="0"/>
    <n v="0"/>
    <n v="0"/>
    <n v="0"/>
    <n v="-2.6133640724298886"/>
    <n v="-0.7018987916353252"/>
    <n v="0"/>
    <n v="0"/>
    <m/>
    <m/>
    <m/>
    <n v="1831.3642366708125"/>
    <n v="0"/>
    <n v="0"/>
    <n v="-712.66544999999996"/>
    <n v="-314.7011"/>
    <n v="0"/>
    <n v="0"/>
    <n v="-668.26502601072389"/>
    <n v="0"/>
    <n v="0"/>
    <n v="0"/>
    <n v="0"/>
    <n v="0"/>
    <n v="0"/>
    <n v="0"/>
    <n v="0"/>
    <n v="0"/>
    <n v="0"/>
    <n v="0"/>
    <n v="0"/>
    <n v="139.32991629656021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11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7.44"/>
    <n v="7.44"/>
    <n v="7.44"/>
    <n v="7.44"/>
    <m/>
    <n v="510.09"/>
    <n v="286.42"/>
    <m/>
    <n v="5926.0344000000005"/>
    <n v="5926.0344000000005"/>
    <n v="4387.1448"/>
    <n v="0"/>
    <n v="0"/>
    <n v="0"/>
    <n v="0"/>
    <n v="0"/>
    <n v="726.5319956664016"/>
    <n v="2806.4572442494014"/>
    <n v="2130.9896886142142"/>
    <n v="0"/>
    <n v="0"/>
    <n v="0"/>
    <n v="0"/>
    <n v="0"/>
    <n v="0"/>
    <m/>
    <n v="12.7063114939709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9.40605231972657"/>
    <n v="0"/>
    <n v="30.29"/>
    <n v="138.31"/>
    <n v="506.49"/>
    <n v="3"/>
    <m/>
    <m/>
    <m/>
    <m/>
    <m/>
    <m/>
    <m/>
    <n v="2851.6776"/>
    <m/>
    <n v="2380.3957409339409"/>
    <m/>
    <m/>
    <m/>
    <m/>
    <m/>
    <m/>
    <m/>
    <m/>
    <m/>
    <m/>
    <m/>
    <m/>
    <n v="1535.4672"/>
    <n v="-538.68600000000015"/>
    <m/>
    <m/>
    <m/>
    <m/>
    <n v="-1056.6288"/>
    <n v="-482.26080000000019"/>
    <n v="30"/>
    <n v="-514.90302354100641"/>
    <n v="0"/>
    <n v="0"/>
    <n v="0"/>
    <n v="0"/>
    <n v="0"/>
    <n v="0"/>
    <n v="0"/>
    <n v="24.932331203327635"/>
    <n v="0"/>
    <n v="0"/>
    <n v="-482.31116498354754"/>
    <n v="0"/>
    <n v="0"/>
    <n v="0"/>
    <n v="-56.44857142715739"/>
    <n v="0"/>
    <n v="0"/>
    <m/>
    <n v="0"/>
    <n v="0"/>
    <n v="0"/>
    <n v="0"/>
    <n v="0"/>
    <n v="-1.0756183336285954"/>
    <n v="0"/>
    <n v="0"/>
    <m/>
    <m/>
    <m/>
    <n v="2806.4572442494014"/>
    <n v="0"/>
    <n v="0"/>
    <n v="-1056.6287999999995"/>
    <n v="-482.26080000000024"/>
    <n v="0"/>
    <n v="0"/>
    <n v="-1024.0765795097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12"/>
    <s v="Refaturamento - 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0.06"/>
    <n v="0.06"/>
    <n v="0.06"/>
    <n v="0.06"/>
    <m/>
    <n v="510.09"/>
    <n v="286.42"/>
    <m/>
    <n v="47.790599999999998"/>
    <n v="47.790599999999998"/>
    <n v="35.380200000000002"/>
    <n v="0"/>
    <n v="0"/>
    <n v="0"/>
    <n v="0"/>
    <n v="0"/>
    <n v="5.8591289973096901"/>
    <n v="22.632719711688718"/>
    <n v="17.185400714630759"/>
    <n v="0"/>
    <n v="0"/>
    <n v="0"/>
    <n v="0"/>
    <n v="0"/>
    <n v="0"/>
    <m/>
    <n v="0.102470253983636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113391316106979"/>
    <n v="0"/>
    <n v="0.08"/>
    <n v="0.38"/>
    <n v="14.18"/>
    <n v="0"/>
    <m/>
    <m/>
    <m/>
    <m/>
    <m/>
    <m/>
    <m/>
    <n v="22.997399999999999"/>
    <m/>
    <n v="19.196739846241456"/>
    <m/>
    <m/>
    <m/>
    <m/>
    <m/>
    <m/>
    <m/>
    <m/>
    <m/>
    <m/>
    <m/>
    <m/>
    <n v="12.3828"/>
    <n v="-4.3740000000000023"/>
    <m/>
    <m/>
    <m/>
    <m/>
    <n v="-8.5211999999999986"/>
    <n v="-3.8892000000000011"/>
    <n v="30"/>
    <n v="-4.1524437382339165"/>
    <n v="0"/>
    <n v="0"/>
    <n v="0"/>
    <n v="0"/>
    <n v="0"/>
    <n v="0"/>
    <n v="0"/>
    <n v="0.20106718712361005"/>
    <n v="0"/>
    <n v="0"/>
    <n v="-3.8896061692221586"/>
    <n v="0"/>
    <n v="0"/>
    <n v="0"/>
    <n v="-0.45523041473514003"/>
    <n v="0"/>
    <n v="0"/>
    <m/>
    <n v="0"/>
    <n v="0"/>
    <n v="0"/>
    <n v="0"/>
    <n v="0"/>
    <n v="-8.6743414002305869E-3"/>
    <n v="0"/>
    <n v="0"/>
    <m/>
    <m/>
    <m/>
    <n v="22.632719711688718"/>
    <n v="0"/>
    <n v="0"/>
    <n v="-8.5211999999999968"/>
    <n v="-3.8892000000000024"/>
    <n v="0"/>
    <n v="0"/>
    <n v="-8.2586820928204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13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12.893000000000001"/>
    <n v="12.893000000000001"/>
    <n v="12.893000000000001"/>
    <n v="12.893000000000001"/>
    <m/>
    <n v="510.09"/>
    <n v="286.42"/>
    <m/>
    <n v="10269.40343"/>
    <n v="10269.40343"/>
    <n v="7602.615310000001"/>
    <n v="0"/>
    <n v="0"/>
    <n v="0"/>
    <n v="0"/>
    <n v="0"/>
    <n v="1259.0291693718973"/>
    <n v="4863.3942540467115"/>
    <n v="3692.8561902289061"/>
    <n v="0"/>
    <n v="0"/>
    <n v="0"/>
    <n v="0"/>
    <n v="0"/>
    <n v="0"/>
    <m/>
    <n v="22.0191497435170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2.20325706427889"/>
    <n v="0"/>
    <n v="51.24"/>
    <n v="241.37"/>
    <n v="1177.75"/>
    <n v="119"/>
    <m/>
    <m/>
    <m/>
    <m/>
    <m/>
    <m/>
    <m/>
    <n v="3041.0719099999997"/>
    <m/>
    <n v="4125.0594472931853"/>
    <m/>
    <m/>
    <m/>
    <m/>
    <m/>
    <m/>
    <m/>
    <m/>
    <m/>
    <m/>
    <m/>
    <m/>
    <n v="4560.482"/>
    <n v="-1601.2416300000004"/>
    <m/>
    <m/>
    <m/>
    <m/>
    <n v="-1831.0638599999997"/>
    <n v="-835.7242600000003"/>
    <n v="30"/>
    <n v="-892.2909519508321"/>
    <n v="0"/>
    <n v="0"/>
    <n v="0"/>
    <n v="0"/>
    <n v="0"/>
    <n v="0"/>
    <n v="0"/>
    <n v="43.205987393078431"/>
    <n v="0"/>
    <n v="0"/>
    <n v="-835.81153899635456"/>
    <n v="0"/>
    <n v="0"/>
    <n v="0"/>
    <n v="-97.821428953002737"/>
    <n v="0"/>
    <n v="0"/>
    <m/>
    <n v="0"/>
    <n v="0"/>
    <n v="0"/>
    <n v="0"/>
    <n v="0"/>
    <n v="-1.863971394552884"/>
    <n v="0"/>
    <n v="0"/>
    <m/>
    <m/>
    <m/>
    <n v="4863.3942540467115"/>
    <n v="0"/>
    <n v="0"/>
    <n v="-1831.0638599999993"/>
    <n v="-835.72426000000041"/>
    <n v="0"/>
    <n v="0"/>
    <n v="-1774.6531370455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14"/>
    <s v="Refaturamento - 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0.14000000000000001"/>
    <n v="0.14000000000000001"/>
    <n v="0.14000000000000001"/>
    <n v="0.14000000000000001"/>
    <m/>
    <n v="510.09"/>
    <n v="286.42"/>
    <m/>
    <n v="111.51140000000001"/>
    <n v="111.51140000000001"/>
    <n v="82.553799999999995"/>
    <n v="0"/>
    <n v="0"/>
    <n v="0"/>
    <n v="0"/>
    <n v="0"/>
    <n v="13.671300993722612"/>
    <n v="52.809679327273685"/>
    <n v="40.099268334138436"/>
    <n v="0"/>
    <n v="0"/>
    <n v="0"/>
    <n v="0"/>
    <n v="0"/>
    <n v="0"/>
    <m/>
    <n v="0.239097259295151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6931246404249629"/>
    <n v="0"/>
    <n v="0.34"/>
    <n v="1.54"/>
    <n v="33.119999999999997"/>
    <n v="0"/>
    <m/>
    <m/>
    <m/>
    <m/>
    <m/>
    <m/>
    <m/>
    <n v="33.021799999999999"/>
    <m/>
    <n v="44.792392974563398"/>
    <m/>
    <m/>
    <m/>
    <m/>
    <m/>
    <m/>
    <m/>
    <m/>
    <m/>
    <m/>
    <m/>
    <m/>
    <n v="49.532000000000011"/>
    <n v="-17.4054"/>
    <m/>
    <m/>
    <m/>
    <m/>
    <n v="-19.8828"/>
    <n v="-9.0748000000000033"/>
    <n v="30"/>
    <n v="-9.6890353892124708"/>
    <n v="0"/>
    <n v="0"/>
    <n v="0"/>
    <n v="0"/>
    <n v="0"/>
    <n v="0"/>
    <n v="0"/>
    <n v="0.46915676995508804"/>
    <n v="0"/>
    <n v="0"/>
    <n v="-9.0757477281850321"/>
    <n v="0"/>
    <n v="0"/>
    <n v="0"/>
    <n v="-1.0622043010486606"/>
    <n v="0"/>
    <n v="0"/>
    <m/>
    <n v="0"/>
    <n v="0"/>
    <n v="0"/>
    <n v="0"/>
    <n v="0"/>
    <n v="-2.0240129933871392E-2"/>
    <n v="0"/>
    <n v="0"/>
    <m/>
    <m/>
    <m/>
    <n v="52.809679327273685"/>
    <n v="0"/>
    <n v="0"/>
    <n v="-19.882799999999996"/>
    <n v="-9.0748000000000033"/>
    <n v="0"/>
    <n v="0"/>
    <n v="-19.270258216581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15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7.9829999999999997"/>
    <n v="7.9829999999999997"/>
    <n v="7.9829999999999997"/>
    <n v="7.9829999999999997"/>
    <m/>
    <n v="510.09"/>
    <n v="286.42"/>
    <m/>
    <n v="6358.5393299999996"/>
    <n v="6358.5393299999996"/>
    <n v="4707.3356100000001"/>
    <n v="0"/>
    <n v="0"/>
    <n v="0"/>
    <n v="0"/>
    <n v="0"/>
    <n v="779.55711309205424"/>
    <n v="3011.283357640184"/>
    <n v="2286.5175650816223"/>
    <n v="0"/>
    <n v="0"/>
    <n v="0"/>
    <n v="0"/>
    <n v="0"/>
    <n v="0"/>
    <m/>
    <n v="13.6336672925228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7.60867146080335"/>
    <n v="0"/>
    <n v="32.369999999999997"/>
    <n v="150.57"/>
    <n v="1188.79"/>
    <n v="107"/>
    <m/>
    <m/>
    <m/>
    <m/>
    <m/>
    <m/>
    <m/>
    <n v="470.75751000000002"/>
    <m/>
    <n v="2554.1262365424254"/>
    <m/>
    <m/>
    <m/>
    <m/>
    <m/>
    <m/>
    <m/>
    <m/>
    <m/>
    <m/>
    <m/>
    <m/>
    <n v="4234.9859999999999"/>
    <n v="-1487.7373799999996"/>
    <m/>
    <m/>
    <m/>
    <m/>
    <n v="-1133.7456599999998"/>
    <n v="-517.45806000000016"/>
    <n v="30"/>
    <n v="-552.48263937202273"/>
    <n v="0"/>
    <n v="0"/>
    <n v="0"/>
    <n v="0"/>
    <n v="0"/>
    <n v="0"/>
    <n v="0"/>
    <n v="26.751989246796256"/>
    <n v="0"/>
    <n v="0"/>
    <n v="-517.5121008150079"/>
    <n v="0"/>
    <n v="0"/>
    <n v="0"/>
    <n v="-60.568406680510378"/>
    <n v="0"/>
    <n v="0"/>
    <m/>
    <n v="0"/>
    <n v="0"/>
    <n v="0"/>
    <n v="0"/>
    <n v="0"/>
    <n v="-1.1541211233006816"/>
    <n v="0"/>
    <n v="0"/>
    <m/>
    <m/>
    <m/>
    <n v="3011.283357640184"/>
    <n v="0"/>
    <n v="0"/>
    <n v="-1133.74566"/>
    <n v="-517.45805999999993"/>
    <n v="0"/>
    <n v="0"/>
    <n v="-1098.8176524497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16"/>
    <s v="Refaturamento - 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0.24"/>
    <n v="0.24"/>
    <n v="0.24"/>
    <n v="0.24"/>
    <m/>
    <n v="510.09"/>
    <n v="286.42"/>
    <m/>
    <n v="191.16239999999999"/>
    <n v="191.16239999999999"/>
    <n v="141.52080000000001"/>
    <n v="0"/>
    <n v="0"/>
    <n v="0"/>
    <n v="0"/>
    <n v="0"/>
    <n v="23.43651598923876"/>
    <n v="90.530878846754874"/>
    <n v="68.741602858523038"/>
    <n v="0"/>
    <n v="0"/>
    <n v="0"/>
    <n v="0"/>
    <n v="0"/>
    <n v="0"/>
    <m/>
    <n v="0.409881015934545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0453565264427915"/>
    <n v="0"/>
    <n v="0.86"/>
    <n v="3.96"/>
    <n v="56.78"/>
    <n v="0"/>
    <m/>
    <m/>
    <m/>
    <m/>
    <m/>
    <m/>
    <m/>
    <n v="14.152799999999999"/>
    <m/>
    <n v="76.786959384965826"/>
    <m/>
    <m/>
    <m/>
    <m/>
    <m/>
    <m/>
    <m/>
    <m/>
    <m/>
    <m/>
    <m/>
    <m/>
    <n v="127.36799999999999"/>
    <n v="-44.708399999999983"/>
    <m/>
    <m/>
    <m/>
    <m/>
    <n v="-34.084799999999994"/>
    <n v="-15.556800000000004"/>
    <n v="30"/>
    <n v="-16.609774952935666"/>
    <n v="0"/>
    <n v="0"/>
    <n v="0"/>
    <n v="0"/>
    <n v="0"/>
    <n v="0"/>
    <n v="0"/>
    <n v="0.80426874849444019"/>
    <n v="0"/>
    <n v="0"/>
    <n v="-15.558424676888635"/>
    <n v="0"/>
    <n v="0"/>
    <n v="0"/>
    <n v="-1.8209216589405601"/>
    <n v="0"/>
    <n v="0"/>
    <m/>
    <n v="0"/>
    <n v="0"/>
    <n v="0"/>
    <n v="0"/>
    <n v="0"/>
    <n v="-3.4697365600922347E-2"/>
    <n v="0"/>
    <n v="0"/>
    <m/>
    <m/>
    <m/>
    <n v="90.530878846754874"/>
    <n v="0"/>
    <n v="0"/>
    <n v="-34.084799999999987"/>
    <n v="-15.55680000000001"/>
    <n v="0"/>
    <n v="0"/>
    <n v="-33.034728371281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17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1.7869999999999999"/>
    <n v="1.7869999999999999"/>
    <n v="1.7869999999999999"/>
    <n v="1.7869999999999999"/>
    <m/>
    <n v="510.09"/>
    <n v="286.42"/>
    <m/>
    <n v="1423.36337"/>
    <n v="1423.36337"/>
    <n v="1053.74029"/>
    <n v="0"/>
    <n v="0"/>
    <n v="0"/>
    <n v="0"/>
    <n v="0"/>
    <n v="174.50439196987361"/>
    <n v="674.07783541312904"/>
    <n v="511.8385179507527"/>
    <n v="0"/>
    <n v="0"/>
    <n v="0"/>
    <n v="0"/>
    <n v="0"/>
    <n v="0"/>
    <m/>
    <n v="3.05190573114597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.904383803138622"/>
    <n v="0"/>
    <n v="7.23"/>
    <n v="33.46"/>
    <n v="349.97"/>
    <n v="19"/>
    <m/>
    <m/>
    <m/>
    <m/>
    <m/>
    <m/>
    <m/>
    <m/>
    <m/>
    <n v="571.74290175389137"/>
    <m/>
    <m/>
    <m/>
    <m/>
    <m/>
    <m/>
    <m/>
    <m/>
    <m/>
    <m/>
    <m/>
    <m/>
    <n v="1055.5092999999999"/>
    <n v="-367.88407000000007"/>
    <m/>
    <m/>
    <m/>
    <m/>
    <n v="-253.78973999999997"/>
    <n v="-115.83334000000004"/>
    <n v="30"/>
    <n v="-123.67361600373363"/>
    <n v="0"/>
    <n v="0"/>
    <n v="0"/>
    <n v="0"/>
    <n v="0"/>
    <n v="0"/>
    <n v="0"/>
    <n v="5.9884510564981781"/>
    <n v="0"/>
    <n v="0"/>
    <n v="-115.84543707333324"/>
    <n v="0"/>
    <n v="0"/>
    <n v="0"/>
    <n v="-13.558279185528257"/>
    <n v="0"/>
    <n v="0"/>
    <m/>
    <n v="0"/>
    <n v="0"/>
    <n v="0"/>
    <n v="0"/>
    <n v="0"/>
    <n v="-0.25835080137020094"/>
    <n v="0"/>
    <n v="0"/>
    <m/>
    <m/>
    <m/>
    <n v="674.07783541312904"/>
    <n v="0"/>
    <n v="0"/>
    <n v="-253.78973999999994"/>
    <n v="-115.83334000000002"/>
    <n v="0"/>
    <n v="0"/>
    <n v="-245.97108166450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18"/>
    <s v="Refaturamento - 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0.436"/>
    <n v="0.436"/>
    <n v="0.436"/>
    <n v="0.436"/>
    <m/>
    <n v="510.09"/>
    <n v="286.42"/>
    <m/>
    <n v="347.27836000000002"/>
    <n v="347.27836000000002"/>
    <n v="257.09611999999998"/>
    <n v="0"/>
    <n v="0"/>
    <n v="0"/>
    <n v="0"/>
    <n v="0"/>
    <n v="42.576337380450418"/>
    <n v="164.46442990493804"/>
    <n v="124.88057852631684"/>
    <n v="0"/>
    <n v="0"/>
    <n v="0"/>
    <n v="0"/>
    <n v="0"/>
    <n v="0"/>
    <m/>
    <n v="0.744617178947757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615731023037739"/>
    <n v="0"/>
    <n v="1.72"/>
    <n v="8.02"/>
    <n v="103.15"/>
    <n v="0"/>
    <m/>
    <m/>
    <m/>
    <m/>
    <m/>
    <m/>
    <m/>
    <m/>
    <m/>
    <n v="139.49630954935458"/>
    <m/>
    <m/>
    <m/>
    <m/>
    <m/>
    <m/>
    <m/>
    <m/>
    <m/>
    <m/>
    <m/>
    <m/>
    <n v="259.45479999999998"/>
    <n v="-87.853560000000016"/>
    <m/>
    <m/>
    <m/>
    <m/>
    <n v="-61.920719999999989"/>
    <n v="-28.261520000000008"/>
    <n v="30"/>
    <n v="-30.174424497833115"/>
    <n v="0"/>
    <n v="0"/>
    <n v="0"/>
    <n v="0"/>
    <n v="0"/>
    <n v="0"/>
    <n v="0"/>
    <n v="1.4610882264315634"/>
    <n v="0"/>
    <n v="0"/>
    <n v="-28.264471496347667"/>
    <n v="0"/>
    <n v="0"/>
    <n v="0"/>
    <n v="-3.308007680408684"/>
    <n v="0"/>
    <n v="0"/>
    <m/>
    <n v="0"/>
    <n v="0"/>
    <n v="0"/>
    <n v="0"/>
    <n v="0"/>
    <n v="-6.3033547508342336E-2"/>
    <n v="0"/>
    <n v="0"/>
    <m/>
    <m/>
    <m/>
    <n v="164.46442990493804"/>
    <n v="0"/>
    <n v="0"/>
    <n v="-61.920719999999989"/>
    <n v="-28.261520000000004"/>
    <n v="0"/>
    <n v="0"/>
    <n v="-60.013089874495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19"/>
    <s v="Regular"/>
    <s v="Branca"/>
    <s v="B1"/>
    <s v="Residencial"/>
    <s v="Residencial"/>
    <s v="Não se aplica"/>
    <s v="Não se aplica"/>
    <s v="Fora ponta"/>
    <s v="CATIVO"/>
    <x v="9"/>
    <n v="0"/>
    <n v="0"/>
    <n v="4.2000000000000003E-2"/>
    <n v="4.2000000000000003E-2"/>
    <n v="4.2000000000000003E-2"/>
    <n v="4.2000000000000003E-2"/>
    <m/>
    <n v="409.62"/>
    <n v="286.42"/>
    <m/>
    <n v="29.233680000000003"/>
    <n v="29.233680000000003"/>
    <n v="22.71528"/>
    <n v="0"/>
    <n v="2.556178756794663"/>
    <n v="0"/>
    <n v="0"/>
    <n v="0"/>
    <n v="2.3790149425076286"/>
    <n v="9.1888806224054704"/>
    <n v="12.029780500241532"/>
    <n v="0"/>
    <n v="0"/>
    <n v="0"/>
    <n v="0"/>
    <n v="0"/>
    <n v="0.39504733610091336"/>
    <m/>
    <n v="7.172917778854548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079373921274887"/>
    <n v="0"/>
    <n v="0"/>
    <n v="0"/>
    <n v="0"/>
    <n v="0"/>
    <m/>
    <m/>
    <m/>
    <m/>
    <m/>
    <m/>
    <m/>
    <m/>
    <m/>
    <n v="13.437717892369021"/>
    <m/>
    <m/>
    <m/>
    <m/>
    <m/>
    <m/>
    <m/>
    <m/>
    <m/>
    <m/>
    <m/>
    <m/>
    <n v="21.633600000000001"/>
    <n v="-7.6300800000000066"/>
    <m/>
    <m/>
    <m/>
    <m/>
    <n v="-3.79596"/>
    <n v="-2.7224400000000011"/>
    <n v="30"/>
    <n v="-3.1657629442121227"/>
    <n v="0"/>
    <n v="0"/>
    <n v="0"/>
    <n v="0"/>
    <n v="0"/>
    <n v="0"/>
    <n v="0"/>
    <n v="8.1640435435813785E-2"/>
    <n v="0"/>
    <n v="0"/>
    <n v="-2.7227243184555121"/>
    <n v="0"/>
    <n v="0"/>
    <n v="0"/>
    <n v="-0.318661290314598"/>
    <n v="0"/>
    <n v="-0.17733784496830474"/>
    <m/>
    <n v="0"/>
    <n v="0"/>
    <n v="0"/>
    <n v="0"/>
    <n v="-2.2607886929362608E-2"/>
    <n v="-6.0720389801614122E-3"/>
    <n v="0"/>
    <n v="0"/>
    <m/>
    <m/>
    <m/>
    <n v="9.1888806224054704"/>
    <n v="0"/>
    <n v="0"/>
    <n v="-3.7959600000000009"/>
    <n v="-2.7224400000000006"/>
    <n v="0"/>
    <n v="0"/>
    <n v="-3.3530236231456021"/>
    <n v="0"/>
    <n v="0"/>
    <n v="0"/>
    <n v="0"/>
    <n v="0"/>
    <n v="0"/>
    <n v="0"/>
    <n v="0"/>
    <n v="0"/>
    <n v="0"/>
    <n v="0"/>
    <n v="0"/>
    <n v="1.2053257434511901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20"/>
    <s v="Regular"/>
    <s v="Branca"/>
    <s v="B1"/>
    <s v="Residencial"/>
    <s v="Residencial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22"/>
    <n v="1.0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"/>
    <m/>
    <m/>
    <m/>
    <m/>
    <n v="0"/>
    <n v="-17.698635468909799"/>
    <m/>
    <n v="-17.698635468909799"/>
    <m/>
    <n v="0"/>
    <n v="0"/>
    <n v="0"/>
    <n v="0"/>
  </r>
  <r>
    <n v="221"/>
    <s v="Regular"/>
    <s v="Branca"/>
    <s v="B1"/>
    <s v="Residencial"/>
    <s v="Residencial"/>
    <s v="Não se aplica"/>
    <s v="Não se aplica"/>
    <s v="Intermediário"/>
    <s v="CATIVO"/>
    <x v="9"/>
    <n v="0"/>
    <n v="0"/>
    <n v="1.2E-2"/>
    <n v="1.2E-2"/>
    <n v="1.2E-2"/>
    <n v="1.2E-2"/>
    <m/>
    <n v="960.47"/>
    <n v="286.42"/>
    <m/>
    <n v="14.962680000000001"/>
    <n v="14.962680000000001"/>
    <n v="11.230919999999999"/>
    <n v="0"/>
    <n v="0.73033678765561794"/>
    <n v="0"/>
    <n v="0"/>
    <n v="0"/>
    <n v="2.0390917310054157"/>
    <n v="7.8761874024429597"/>
    <n v="3.4370801429261517"/>
    <n v="0"/>
    <n v="0"/>
    <n v="0"/>
    <n v="0"/>
    <n v="0"/>
    <n v="0.1128706674574038"/>
    <m/>
    <n v="2.049405079672728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0226782632213964"/>
    <n v="0"/>
    <n v="0"/>
    <n v="0"/>
    <n v="0"/>
    <n v="0"/>
    <m/>
    <m/>
    <m/>
    <m/>
    <m/>
    <m/>
    <m/>
    <m/>
    <m/>
    <n v="3.8393479692482915"/>
    <m/>
    <m/>
    <m/>
    <m/>
    <m/>
    <m/>
    <m/>
    <m/>
    <m/>
    <m/>
    <m/>
    <m/>
    <n v="9.3590999999999998"/>
    <n v="-5.6335800000000003"/>
    <m/>
    <m/>
    <m/>
    <m/>
    <n v="-2.953920000000001"/>
    <n v="-0.77784000000000031"/>
    <n v="30"/>
    <n v="-0.85785421497162684"/>
    <n v="0"/>
    <n v="0"/>
    <n v="0"/>
    <n v="0"/>
    <n v="0"/>
    <n v="0"/>
    <n v="0"/>
    <n v="6.9975322070640278E-2"/>
    <n v="0"/>
    <n v="0"/>
    <n v="-0.77792123384443146"/>
    <n v="0"/>
    <n v="0"/>
    <n v="0"/>
    <n v="-9.104608294702804E-2"/>
    <n v="0"/>
    <n v="-5.0667955705229861E-2"/>
    <m/>
    <n v="0"/>
    <n v="0"/>
    <n v="0"/>
    <n v="0"/>
    <n v="-6.4593962655321718E-3"/>
    <n v="-1.7348682800461188E-3"/>
    <n v="0"/>
    <n v="0"/>
    <m/>
    <m/>
    <m/>
    <n v="7.8761874024429597"/>
    <n v="0"/>
    <n v="0"/>
    <n v="-2.9539200000000019"/>
    <n v="-0.77784000000000031"/>
    <n v="0"/>
    <n v="0"/>
    <n v="-2.8740217123203475"/>
    <n v="0"/>
    <n v="0"/>
    <n v="0"/>
    <n v="0"/>
    <n v="0"/>
    <n v="0"/>
    <n v="0"/>
    <n v="0"/>
    <n v="0"/>
    <n v="0"/>
    <n v="0"/>
    <n v="0"/>
    <n v="0.3443787838431972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27"/>
    <s v="Regular"/>
    <s v="Convencional"/>
    <s v="B2"/>
    <s v="Rural"/>
    <s v="Não se aplica"/>
    <s v="Não se aplica"/>
    <s v="Não se aplica"/>
    <s v="Não se aplica"/>
    <s v="CATIVO"/>
    <x v="9"/>
    <n v="0"/>
    <n v="0"/>
    <n v="94.849000000000004"/>
    <n v="94.849000000000004"/>
    <n v="94.849000000000004"/>
    <n v="94.849000000000004"/>
    <m/>
    <n v="609.05999999999995"/>
    <n v="286.42"/>
    <m/>
    <n v="84935.382519999999"/>
    <n v="84935.382519999999"/>
    <n v="64864.385630000004"/>
    <n v="0"/>
    <n v="5772.6428310289757"/>
    <n v="0"/>
    <n v="0"/>
    <n v="0"/>
    <n v="9262.2087710971136"/>
    <n v="35778.180532232727"/>
    <n v="27166.967873033547"/>
    <n v="0"/>
    <n v="0"/>
    <n v="0"/>
    <n v="0"/>
    <n v="0"/>
    <n v="892.13916147227451"/>
    <m/>
    <n v="161.986685334898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79.5584215690519"/>
    <n v="0"/>
    <n v="310.97000000000003"/>
    <n v="1441.48"/>
    <n v="1740.53"/>
    <n v="325"/>
    <m/>
    <m/>
    <m/>
    <m/>
    <m/>
    <n v="7784.2574299999978"/>
    <m/>
    <m/>
    <m/>
    <n v="30346.526294602598"/>
    <m/>
    <m/>
    <m/>
    <m/>
    <m/>
    <m/>
    <m/>
    <m/>
    <m/>
    <m/>
    <m/>
    <m/>
    <n v="57080.729999999996"/>
    <n v="-17662.20898000001"/>
    <m/>
    <m/>
    <m/>
    <m/>
    <n v="-13922.884709999997"/>
    <n v="-6148.1121800000019"/>
    <n v="30"/>
    <n v="-7015.7916193853889"/>
    <n v="0"/>
    <n v="0"/>
    <n v="0"/>
    <n v="0"/>
    <n v="0"/>
    <n v="0"/>
    <n v="0"/>
    <n v="317.8503605247879"/>
    <n v="0"/>
    <n v="0"/>
    <n v="-6148.7542590758749"/>
    <n v="0"/>
    <n v="0"/>
    <n v="0"/>
    <n v="-719.63582678688863"/>
    <n v="0"/>
    <n v="-400.48374422377947"/>
    <m/>
    <n v="0"/>
    <n v="0"/>
    <n v="0"/>
    <n v="0"/>
    <n v="-51.055606365788435"/>
    <n v="-13.712543457841207"/>
    <n v="0"/>
    <n v="0"/>
    <m/>
    <m/>
    <m/>
    <n v="35778.180532232727"/>
    <n v="0"/>
    <n v="0"/>
    <n v="-13922.884709999998"/>
    <n v="-6148.1121800000001"/>
    <n v="0"/>
    <n v="0"/>
    <n v="-13055.462297032165"/>
    <n v="0"/>
    <n v="0"/>
    <n v="0"/>
    <n v="0"/>
    <n v="0"/>
    <n v="0"/>
    <n v="0"/>
    <n v="0"/>
    <n v="0"/>
    <n v="0"/>
    <n v="0"/>
    <n v="0"/>
    <n v="2721.9986057286178"/>
    <n v="0"/>
    <n v="0"/>
    <n v="0"/>
    <n v="0"/>
    <n v="0"/>
    <n v="202"/>
    <n v="0"/>
    <n v="0"/>
    <n v="0"/>
    <m/>
    <n v="0"/>
    <n v="-12.3890448282368"/>
    <m/>
    <n v="-17.698635468909799"/>
    <m/>
    <n v="0"/>
    <n v="0"/>
    <n v="0"/>
    <n v="0"/>
  </r>
  <r>
    <n v="228"/>
    <s v="Refaturamento - Regular"/>
    <s v="Convencional"/>
    <s v="B2"/>
    <s v="Rural"/>
    <s v="Não se aplica"/>
    <s v="Não se aplica"/>
    <s v="Não se aplica"/>
    <s v="Não se aplica"/>
    <s v="CATIVO"/>
    <x v="9"/>
    <n v="0"/>
    <n v="0"/>
    <n v="-0.58599999999999997"/>
    <n v="-0.58599999999999997"/>
    <n v="-0.58599999999999997"/>
    <n v="-0.58599999999999997"/>
    <m/>
    <n v="609.05999999999995"/>
    <n v="286.42"/>
    <m/>
    <n v="-524.75127999999995"/>
    <n v="-524.75127999999995"/>
    <n v="-400.74781999999999"/>
    <n v="0"/>
    <n v="-35.664779797182675"/>
    <n v="0"/>
    <n v="0"/>
    <n v="0"/>
    <n v="-57.224159873724638"/>
    <n v="-221.04622918415981"/>
    <n v="-167.84408031289374"/>
    <n v="0"/>
    <n v="0"/>
    <n v="0"/>
    <n v="0"/>
    <n v="0"/>
    <n v="-5.511850927503219"/>
    <m/>
    <n v="-1.00079281390684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9.644078852064485"/>
    <n v="0"/>
    <n v="-1.95"/>
    <n v="-8.99"/>
    <n v="0"/>
    <n v="0"/>
    <m/>
    <m/>
    <m/>
    <m/>
    <m/>
    <n v="-48.093019999999974"/>
    <m/>
    <m/>
    <m/>
    <n v="-187.48815916495823"/>
    <m/>
    <m/>
    <m/>
    <m/>
    <m/>
    <m/>
    <m/>
    <m/>
    <m/>
    <m/>
    <m/>
    <m/>
    <n v="-355.06200000000001"/>
    <n v="106.68772000000001"/>
    <m/>
    <m/>
    <m/>
    <m/>
    <n v="86.018939999999972"/>
    <n v="37.98452000000001"/>
    <n v="30"/>
    <n v="43.345252864656857"/>
    <n v="0"/>
    <n v="0"/>
    <n v="0"/>
    <n v="0"/>
    <n v="0"/>
    <n v="0"/>
    <n v="0"/>
    <n v="-1.9637561942405881"/>
    <n v="0"/>
    <n v="0"/>
    <n v="37.988486919403073"/>
    <n v="0"/>
    <n v="0"/>
    <n v="0"/>
    <n v="4.4460837172465375"/>
    <n v="0"/>
    <n v="2.4742851702720614"/>
    <m/>
    <n v="0"/>
    <n v="0"/>
    <n v="0"/>
    <n v="0"/>
    <n v="0.31543385096682108"/>
    <n v="8.4719401008918727E-2"/>
    <n v="0"/>
    <n v="0"/>
    <m/>
    <m/>
    <m/>
    <n v="-221.04622918415981"/>
    <n v="0"/>
    <n v="0"/>
    <n v="86.01893999999993"/>
    <n v="37.984520000000003"/>
    <n v="0"/>
    <n v="0"/>
    <n v="80.659795106546682"/>
    <n v="0"/>
    <n v="0"/>
    <n v="0"/>
    <n v="0"/>
    <n v="0"/>
    <n v="0"/>
    <n v="0"/>
    <n v="0"/>
    <n v="0"/>
    <n v="0"/>
    <n v="0"/>
    <n v="0"/>
    <n v="-16.817163944342795"/>
    <n v="0"/>
    <n v="0"/>
    <n v="0"/>
    <n v="0"/>
    <n v="0"/>
    <n v="202"/>
    <n v="0"/>
    <n v="0"/>
    <n v="0"/>
    <m/>
    <n v="0"/>
    <n v="-12.3890448282368"/>
    <m/>
    <n v="-17.698635468909799"/>
    <m/>
    <n v="0"/>
    <n v="0"/>
    <n v="0"/>
    <n v="0"/>
  </r>
  <r>
    <n v="229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1.64"/>
    <n v="1.64"/>
    <n v="1.64"/>
    <n v="1.64"/>
    <m/>
    <n v="609.05999999999995"/>
    <n v="286.42"/>
    <m/>
    <n v="1468.5871999999999"/>
    <n v="1468.5871999999999"/>
    <n v="1121.5467999999998"/>
    <n v="0"/>
    <n v="99.812694312934454"/>
    <n v="0"/>
    <n v="0"/>
    <n v="0"/>
    <n v="160.14952592646486"/>
    <n v="618.62767211949165"/>
    <n v="469.73428619990739"/>
    <n v="0"/>
    <n v="0"/>
    <n v="0"/>
    <n v="0"/>
    <n v="0"/>
    <n v="15.425657885845185"/>
    <m/>
    <n v="2.80085360888606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.976602930692415"/>
    <n v="0"/>
    <n v="3.63"/>
    <n v="16.809999999999999"/>
    <n v="0"/>
    <n v="5"/>
    <m/>
    <m/>
    <m/>
    <m/>
    <m/>
    <n v="134.59479999999994"/>
    <m/>
    <m/>
    <m/>
    <n v="524.71088913059975"/>
    <m/>
    <m/>
    <m/>
    <m/>
    <m/>
    <m/>
    <m/>
    <m/>
    <m/>
    <m/>
    <m/>
    <m/>
    <n v="986.95199999999988"/>
    <n v="-305.4308000000002"/>
    <m/>
    <m/>
    <m/>
    <m/>
    <n v="-240.73559999999992"/>
    <n v="-106.30480000000003"/>
    <n v="30"/>
    <n v="-121.30753361439804"/>
    <n v="0"/>
    <n v="0"/>
    <n v="0"/>
    <n v="0"/>
    <n v="0"/>
    <n v="0"/>
    <n v="0"/>
    <n v="5.4958364480453383"/>
    <n v="0"/>
    <n v="0"/>
    <n v="-106.315901958739"/>
    <n v="0"/>
    <n v="0"/>
    <n v="0"/>
    <n v="-12.44296466942717"/>
    <n v="0"/>
    <n v="-6.9246206130480914"/>
    <m/>
    <n v="0"/>
    <n v="0"/>
    <n v="0"/>
    <n v="0"/>
    <n v="-0.88278415628939655"/>
    <n v="-0.23709866493963627"/>
    <n v="0"/>
    <n v="0"/>
    <m/>
    <m/>
    <m/>
    <n v="618.62767211949165"/>
    <n v="0"/>
    <n v="0"/>
    <n v="-240.73559999999998"/>
    <n v="-106.3048"/>
    <n v="0"/>
    <n v="0"/>
    <n v="-225.73731053709309"/>
    <n v="0"/>
    <n v="0"/>
    <n v="0"/>
    <n v="0"/>
    <n v="0"/>
    <n v="0"/>
    <n v="0"/>
    <n v="0"/>
    <n v="0"/>
    <n v="0"/>
    <n v="0"/>
    <n v="0"/>
    <n v="47.065100458570278"/>
    <n v="0"/>
    <n v="0"/>
    <n v="0"/>
    <n v="0"/>
    <n v="0"/>
    <n v="202"/>
    <n v="0"/>
    <n v="0"/>
    <n v="0"/>
    <m/>
    <n v="0"/>
    <n v="-12.3890448282368"/>
    <m/>
    <n v="-17.698635468909799"/>
    <m/>
    <n v="0"/>
    <n v="0"/>
    <n v="0"/>
    <n v="0"/>
  </r>
  <r>
    <n v="222"/>
    <s v="Regular"/>
    <s v="Convencional"/>
    <s v="B3"/>
    <s v="Comercial"/>
    <s v="Não se aplica"/>
    <s v="Não se aplica"/>
    <s v="Não se aplica"/>
    <s v="Não se aplica"/>
    <s v="CATIVO"/>
    <x v="9"/>
    <n v="0"/>
    <n v="0"/>
    <n v="16.850000000000001"/>
    <n v="16.850000000000001"/>
    <n v="16.850000000000001"/>
    <n v="16.850000000000001"/>
    <m/>
    <n v="609.05999999999995"/>
    <n v="286.42"/>
    <m/>
    <n v="15088.838"/>
    <n v="15088.838"/>
    <n v="11523.209500000001"/>
    <n v="0"/>
    <n v="1025.5145726664302"/>
    <n v="0"/>
    <n v="0"/>
    <n v="0"/>
    <n v="1645.4387267444715"/>
    <n v="6356.0221190325829"/>
    <n v="4826.2333673588055"/>
    <n v="0"/>
    <n v="0"/>
    <n v="0"/>
    <n v="0"/>
    <n v="0"/>
    <n v="158.48922888810452"/>
    <m/>
    <n v="28.777062993737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4.85107279400449"/>
    <n v="0"/>
    <n v="47.3"/>
    <n v="219.03"/>
    <n v="2587.73"/>
    <n v="43"/>
    <m/>
    <m/>
    <m/>
    <m/>
    <m/>
    <m/>
    <m/>
    <m/>
    <m/>
    <n v="5391.0844401528102"/>
    <m/>
    <m/>
    <m/>
    <m/>
    <m/>
    <m/>
    <m/>
    <m/>
    <m/>
    <m/>
    <m/>
    <m/>
    <n v="11523.209500000001"/>
    <n v="-3565.6584999999995"/>
    <m/>
    <m/>
    <m/>
    <m/>
    <n v="-2473.4114999999997"/>
    <n v="-1092.2170000000006"/>
    <n v="30"/>
    <n v="-1246.3609398796398"/>
    <n v="0"/>
    <n v="0"/>
    <n v="0"/>
    <n v="0"/>
    <n v="0"/>
    <n v="0"/>
    <n v="0"/>
    <n v="56.466368383880308"/>
    <n v="0"/>
    <n v="0"/>
    <n v="-1092.3310658565565"/>
    <n v="0"/>
    <n v="0"/>
    <n v="0"/>
    <n v="-127.84387480478529"/>
    <n v="0"/>
    <n v="-71.146254469426935"/>
    <m/>
    <n v="0"/>
    <n v="0"/>
    <n v="0"/>
    <n v="0"/>
    <n v="-9.0700689228514193"/>
    <n v="-2.4360442098980926"/>
    <n v="0"/>
    <n v="0"/>
    <m/>
    <m/>
    <m/>
    <n v="6356.0221190325829"/>
    <n v="0"/>
    <n v="0"/>
    <n v="-2473.4115000000002"/>
    <n v="-1092.2170000000006"/>
    <n v="0"/>
    <n v="0"/>
    <n v="-2319.3132210670851"/>
    <n v="0"/>
    <n v="0"/>
    <n v="0"/>
    <n v="0"/>
    <n v="0"/>
    <n v="0"/>
    <n v="0"/>
    <n v="0"/>
    <n v="0"/>
    <n v="0"/>
    <n v="0"/>
    <n v="0"/>
    <n v="483.56520897982273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23"/>
    <s v="Refaturamento - Regular"/>
    <s v="Convencional"/>
    <s v="B3"/>
    <s v="Comercial"/>
    <s v="Não se aplica"/>
    <s v="Não se aplica"/>
    <s v="Não se aplica"/>
    <s v="Não se aplica"/>
    <s v="CATIVO"/>
    <x v="9"/>
    <n v="0"/>
    <n v="0"/>
    <n v="-0.26300000000000001"/>
    <n v="-0.26300000000000001"/>
    <n v="-0.26300000000000001"/>
    <n v="-0.26300000000000001"/>
    <m/>
    <n v="609.05999999999995"/>
    <n v="286.42"/>
    <m/>
    <n v="-235.51123999999999"/>
    <n v="-235.51123999999999"/>
    <n v="-179.85781"/>
    <n v="0"/>
    <n v="-16.006547929452296"/>
    <n v="0"/>
    <n v="0"/>
    <n v="0"/>
    <n v="-25.682515438207478"/>
    <n v="-99.206754736235567"/>
    <n v="-75.329339799131489"/>
    <n v="0"/>
    <n v="0"/>
    <n v="0"/>
    <n v="0"/>
    <n v="0"/>
    <n v="-2.4737487951081003"/>
    <m/>
    <n v="-0.449161279961606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8.8163698602268941"/>
    <n v="0"/>
    <n v="-1.21"/>
    <n v="-5.6"/>
    <n v="-40.97"/>
    <n v="0"/>
    <m/>
    <m/>
    <m/>
    <m/>
    <m/>
    <m/>
    <m/>
    <m/>
    <m/>
    <n v="-84.145709659358388"/>
    <m/>
    <m/>
    <m/>
    <m/>
    <m/>
    <m/>
    <m/>
    <m/>
    <m/>
    <m/>
    <m/>
    <m/>
    <n v="-177.80619999999999"/>
    <n v="57.675040000000024"/>
    <m/>
    <m/>
    <m/>
    <m/>
    <n v="38.605769999999993"/>
    <n v="17.047660000000008"/>
    <n v="30"/>
    <n v="19.453586183284543"/>
    <n v="0"/>
    <n v="0"/>
    <n v="0"/>
    <n v="0"/>
    <n v="0"/>
    <n v="0"/>
    <n v="0"/>
    <n v="-0.8813445035584877"/>
    <n v="0"/>
    <n v="0"/>
    <n v="17.049440375090455"/>
    <n v="0"/>
    <n v="0"/>
    <n v="0"/>
    <n v="1.9954266512556984"/>
    <n v="0"/>
    <n v="1.1104726958729572"/>
    <m/>
    <n v="0"/>
    <n v="0"/>
    <n v="0"/>
    <n v="0"/>
    <n v="0.14156843481958026"/>
    <n v="3.8022529804344118E-2"/>
    <n v="0"/>
    <n v="0"/>
    <m/>
    <m/>
    <m/>
    <n v="-99.206754736235567"/>
    <n v="0"/>
    <n v="0"/>
    <n v="38.605769999999978"/>
    <n v="17.047660000000008"/>
    <n v="0"/>
    <n v="0"/>
    <n v="36.200556506863109"/>
    <n v="0"/>
    <n v="0"/>
    <n v="0"/>
    <n v="0"/>
    <n v="0"/>
    <n v="0"/>
    <n v="0"/>
    <n v="0"/>
    <n v="0"/>
    <n v="0"/>
    <n v="0"/>
    <n v="0"/>
    <n v="-7.5476350125634051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30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5.4660000000000002"/>
    <n v="5.4660000000000002"/>
    <n v="5.4660000000000002"/>
    <n v="5.4660000000000002"/>
    <m/>
    <n v="609.05999999999995"/>
    <n v="286.42"/>
    <m/>
    <n v="4894.6936800000003"/>
    <n v="4894.6936800000003"/>
    <n v="3738.0334199999998"/>
    <n v="0"/>
    <n v="332.66840677713401"/>
    <n v="0"/>
    <n v="0"/>
    <n v="0"/>
    <n v="533.76665165491283"/>
    <n v="2061.8407657348425"/>
    <n v="1565.5900051028621"/>
    <n v="0"/>
    <n v="0"/>
    <n v="0"/>
    <n v="0"/>
    <n v="0"/>
    <n v="51.412589026847435"/>
    <m/>
    <n v="9.33504013790927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23299488973461"/>
    <n v="0"/>
    <n v="19.260000000000002"/>
    <n v="89.08"/>
    <n v="386.05"/>
    <n v="10"/>
    <m/>
    <m/>
    <m/>
    <m/>
    <m/>
    <m/>
    <m/>
    <m/>
    <m/>
    <n v="1748.8229999925966"/>
    <m/>
    <m/>
    <m/>
    <m/>
    <m/>
    <m/>
    <m/>
    <m/>
    <m/>
    <m/>
    <m/>
    <m/>
    <n v="3740.7689"/>
    <n v="-1153.9547800000009"/>
    <m/>
    <m/>
    <m/>
    <m/>
    <n v="-802.3541399999998"/>
    <n v="-354.30612000000013"/>
    <n v="30"/>
    <n v="-404.30913337579204"/>
    <n v="0"/>
    <n v="0"/>
    <n v="0"/>
    <n v="0"/>
    <n v="0"/>
    <n v="0"/>
    <n v="0"/>
    <n v="18.317220746960857"/>
    <n v="0"/>
    <n v="0"/>
    <n v="-354.34312201613852"/>
    <n v="0"/>
    <n v="0"/>
    <n v="0"/>
    <n v="-41.471490782371291"/>
    <n v="0"/>
    <n v="-23.079253823732245"/>
    <m/>
    <n v="0"/>
    <n v="0"/>
    <n v="0"/>
    <n v="0"/>
    <n v="-2.9422549989499061"/>
    <n v="-0.79023250156100744"/>
    <n v="0"/>
    <n v="0"/>
    <m/>
    <m/>
    <m/>
    <n v="2061.8407657348425"/>
    <n v="0"/>
    <n v="0"/>
    <n v="-802.35413999999992"/>
    <n v="-354.30612000000019"/>
    <n v="0"/>
    <n v="0"/>
    <n v="-752.36593865594568"/>
    <n v="0"/>
    <n v="0"/>
    <n v="0"/>
    <n v="0"/>
    <n v="0"/>
    <n v="0"/>
    <n v="0"/>
    <n v="0"/>
    <n v="0"/>
    <n v="0"/>
    <n v="0"/>
    <n v="0"/>
    <n v="156.86453604057633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33"/>
    <s v="Regular"/>
    <s v="Verde"/>
    <s v="A4"/>
    <s v="Serviço público"/>
    <s v="Água, esgoto e saneamento"/>
    <s v="Não se aplica"/>
    <s v="Não se aplica"/>
    <s v="Ponta"/>
    <s v="CATIVO"/>
    <x v="9"/>
    <n v="0"/>
    <n v="0"/>
    <n v="20.959"/>
    <n v="19.701460000000001"/>
    <n v="20.959"/>
    <n v="19.701460000000001"/>
    <m/>
    <n v="3305.85"/>
    <n v="286.42"/>
    <m/>
    <n v="75290.386929999993"/>
    <n v="75290.386929999993"/>
    <n v="54726.044900000001"/>
    <n v="0"/>
    <n v="1109.7668331043719"/>
    <n v="0"/>
    <n v="0"/>
    <n v="0"/>
    <n v="13664.955102805654"/>
    <n v="53516.473014543073"/>
    <n v="6003.1468929657676"/>
    <n v="0"/>
    <n v="0"/>
    <n v="0"/>
    <n v="0"/>
    <n v="0"/>
    <n v="197.13802660331052"/>
    <m/>
    <n v="28.7156623887603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7.04992742223877"/>
    <n v="0"/>
    <n v="0"/>
    <n v="0"/>
    <n v="0"/>
    <n v="0"/>
    <m/>
    <m/>
    <m/>
    <m/>
    <n v="3283.5626939999966"/>
    <m/>
    <m/>
    <m/>
    <m/>
    <n v="6250.196820388006"/>
    <m/>
    <m/>
    <m/>
    <m/>
    <m/>
    <m/>
    <m/>
    <m/>
    <m/>
    <m/>
    <m/>
    <m/>
    <n v="51438.67"/>
    <n v="-19334.3237142"/>
    <m/>
    <m/>
    <m/>
    <m/>
    <n v="-19205.779649999997"/>
    <n v="-1358.5623800000005"/>
    <n v="30"/>
    <n v="-1036.3846404658398"/>
    <n v="0"/>
    <n v="0"/>
    <n v="0"/>
    <n v="0"/>
    <n v="0"/>
    <n v="0"/>
    <n v="0"/>
    <n v="468.93899860419697"/>
    <n v="0"/>
    <n v="0"/>
    <n v="-1358.7042616787867"/>
    <n v="0"/>
    <n v="0"/>
    <n v="0"/>
    <n v="-55.915304959363056"/>
    <n v="0"/>
    <n v="-76.991352062879287"/>
    <m/>
    <n v="0"/>
    <n v="0"/>
    <n v="0"/>
    <n v="0"/>
    <n v="-11.281873860774056"/>
    <n v="-2.4308465082329818"/>
    <n v="0"/>
    <n v="0"/>
    <m/>
    <m/>
    <m/>
    <n v="53516.473014543073"/>
    <n v="0"/>
    <n v="0"/>
    <n v="-19205.779649999989"/>
    <n v="-1358.5623800000003"/>
    <n v="0"/>
    <n v="0"/>
    <n v="-19528.167316447645"/>
    <n v="0"/>
    <n v="0"/>
    <n v="0"/>
    <n v="0"/>
    <n v="0"/>
    <n v="0"/>
    <n v="0"/>
    <n v="0"/>
    <n v="0"/>
    <n v="0"/>
    <n v="0"/>
    <n v="0"/>
    <n v="523.29303246629388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34"/>
    <s v="Regular"/>
    <s v="Verde"/>
    <s v="A4"/>
    <s v="Serviço público"/>
    <s v="Água, esgoto e saneamento"/>
    <s v="Não se aplica"/>
    <s v="Não se aplica"/>
    <s v="Fora ponta"/>
    <s v="CATIVO"/>
    <x v="9"/>
    <n v="0"/>
    <n v="0"/>
    <n v="198.251"/>
    <n v="186.35594"/>
    <n v="198.251"/>
    <n v="186.35594"/>
    <m/>
    <n v="100.48"/>
    <n v="286.42"/>
    <m/>
    <n v="76703.311900000001"/>
    <n v="76703.311900000001"/>
    <n v="62464.925080000001"/>
    <n v="0"/>
    <n v="10497.27489048976"/>
    <n v="0"/>
    <n v="0"/>
    <n v="0"/>
    <n v="0"/>
    <n v="0"/>
    <n v="56783.714617937709"/>
    <n v="0"/>
    <n v="0"/>
    <n v="0"/>
    <n v="0"/>
    <n v="0"/>
    <n v="1864.7268911748135"/>
    <m/>
    <n v="271.621202549460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36.8431299864624"/>
    <n v="0"/>
    <n v="0"/>
    <n v="0"/>
    <n v="0"/>
    <n v="0"/>
    <m/>
    <m/>
    <m/>
    <m/>
    <n v="3747.8955048000007"/>
    <m/>
    <m/>
    <m/>
    <m/>
    <n v="59120.557747924169"/>
    <m/>
    <m/>
    <m/>
    <m/>
    <m/>
    <m/>
    <m/>
    <m/>
    <m/>
    <m/>
    <m/>
    <m/>
    <n v="58718.308800000006"/>
    <n v="-13382.83438599998"/>
    <m/>
    <m/>
    <m/>
    <m/>
    <n v="-1387.7570000000001"/>
    <n v="-12850.629820000004"/>
    <n v="30"/>
    <n v="-14238.843302126726"/>
    <n v="0"/>
    <n v="0"/>
    <n v="0"/>
    <n v="0"/>
    <n v="0"/>
    <n v="0"/>
    <n v="0"/>
    <n v="0"/>
    <n v="0"/>
    <n v="0"/>
    <n v="-12851.971877574368"/>
    <n v="0"/>
    <n v="0"/>
    <n v="0"/>
    <n v="-528.90238673117483"/>
    <n v="0"/>
    <n v="-728.26053427252737"/>
    <m/>
    <n v="0"/>
    <n v="0"/>
    <n v="0"/>
    <n v="0"/>
    <n v="-106.71514741983492"/>
    <n v="-22.9933561288085"/>
    <n v="0"/>
    <n v="0"/>
    <m/>
    <m/>
    <m/>
    <n v="0"/>
    <n v="0"/>
    <n v="0"/>
    <n v="-1387.7569999999978"/>
    <n v="-12850.629820000002"/>
    <n v="0"/>
    <n v="0"/>
    <n v="0"/>
    <n v="0"/>
    <n v="0"/>
    <n v="0"/>
    <n v="0"/>
    <n v="0"/>
    <n v="0"/>
    <n v="0"/>
    <n v="0"/>
    <n v="0"/>
    <n v="0"/>
    <n v="0"/>
    <n v="0"/>
    <n v="4949.8242749880837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35"/>
    <s v="Regular"/>
    <s v="Verde"/>
    <s v="A4"/>
    <s v="Serviço público"/>
    <s v="Água, esgoto e saneamento"/>
    <s v="Não se aplica"/>
    <s v="Não se aplica"/>
    <s v="Não se aplica"/>
    <s v="CATIVO"/>
    <x v="9"/>
    <n v="556"/>
    <n v="522.64"/>
    <n v="0"/>
    <n v="0"/>
    <n v="0"/>
    <n v="0"/>
    <n v="39.21"/>
    <m/>
    <m/>
    <n v="21800.760000000002"/>
    <m/>
    <n v="21800.760000000002"/>
    <n v="16591.04"/>
    <n v="0"/>
    <n v="0"/>
    <n v="0"/>
    <n v="0"/>
    <n v="0"/>
    <n v="6867.8398590748293"/>
    <n v="14935.26712370352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34.96"/>
    <n v="2007.67"/>
    <n v="28922.49"/>
    <n v="2"/>
    <m/>
    <m/>
    <m/>
    <m/>
    <n v="995.46240000000046"/>
    <m/>
    <m/>
    <m/>
    <m/>
    <n v="0"/>
    <m/>
    <m/>
    <m/>
    <m/>
    <m/>
    <m/>
    <m/>
    <m/>
    <m/>
    <m/>
    <m/>
    <m/>
    <n v="15595.577599999999"/>
    <n v="-4897.1667999999972"/>
    <m/>
    <m/>
    <m/>
    <m/>
    <n v="-5209.72"/>
    <n v="0"/>
    <n v="30"/>
    <n v="235.68302433918689"/>
    <n v="0"/>
    <n v="0"/>
    <n v="0"/>
    <n v="0"/>
    <m/>
    <m/>
    <m/>
    <n v="235.6830243391868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935.267123703527"/>
    <m/>
    <n v="0"/>
    <n v="0"/>
    <n v="-5209.7200000000012"/>
    <m/>
    <n v="0"/>
    <m/>
    <n v="-5449.8807353814664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247"/>
    <s v="Regular"/>
    <s v="Verde"/>
    <s v="A4"/>
    <s v="Comercial"/>
    <s v="Não se aplica"/>
    <s v="Não se aplica"/>
    <s v="Não se aplica"/>
    <s v="Ponta"/>
    <s v="CATIVO"/>
    <x v="10"/>
    <n v="0"/>
    <n v="0"/>
    <n v="1.492"/>
    <n v="1.492"/>
    <n v="1.492"/>
    <n v="1.492"/>
    <m/>
    <n v="3305.85"/>
    <n v="286.42"/>
    <m/>
    <n v="5359.6668399999999"/>
    <n v="5359.6668399999999"/>
    <n v="3895.7611999999999"/>
    <n v="0"/>
    <n v="79.000530320708194"/>
    <n v="0"/>
    <n v="0"/>
    <n v="0"/>
    <n v="972.76172591182967"/>
    <n v="3809.6558870985386"/>
    <n v="427.34363110381821"/>
    <n v="0"/>
    <n v="0"/>
    <n v="0"/>
    <n v="0"/>
    <n v="0"/>
    <n v="14.033586320537207"/>
    <m/>
    <n v="2.04417044153015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586644959873098"/>
    <n v="0"/>
    <n v="0"/>
    <n v="0"/>
    <n v="0"/>
    <n v="0"/>
    <m/>
    <m/>
    <m/>
    <m/>
    <m/>
    <m/>
    <m/>
    <m/>
    <m/>
    <n v="444.93027606369128"/>
    <m/>
    <m/>
    <m/>
    <m/>
    <m/>
    <m/>
    <m/>
    <m/>
    <m/>
    <m/>
    <m/>
    <m/>
    <n v="3890.5389999999998"/>
    <n v="-1469.1578400000008"/>
    <m/>
    <m/>
    <m/>
    <m/>
    <n v="-1367.1941999999999"/>
    <n v="-96.711440000000039"/>
    <n v="31"/>
    <n v="-73.776701349064297"/>
    <n v="0"/>
    <n v="0"/>
    <n v="0"/>
    <n v="0"/>
    <n v="0"/>
    <n v="0"/>
    <n v="0"/>
    <n v="33.382174050167464"/>
    <n v="0"/>
    <n v="0"/>
    <n v="-96.721540074657696"/>
    <n v="0"/>
    <n v="0"/>
    <n v="0"/>
    <n v="-3.9804205830130108"/>
    <n v="0"/>
    <n v="-5.4807527686347584"/>
    <m/>
    <n v="0"/>
    <n v="0"/>
    <n v="0"/>
    <n v="0"/>
    <n v="-0.8031182690145009"/>
    <n v="-0.17304370391161839"/>
    <n v="0"/>
    <n v="0"/>
    <m/>
    <m/>
    <m/>
    <n v="3809.6558870985386"/>
    <n v="0"/>
    <n v="0"/>
    <n v="-1367.1941999999999"/>
    <n v="-96.711439999999982"/>
    <n v="0"/>
    <n v="0"/>
    <n v="-1390.1438826346625"/>
    <n v="0"/>
    <n v="0"/>
    <n v="0"/>
    <n v="0"/>
    <n v="0"/>
    <n v="0"/>
    <n v="0"/>
    <n v="0"/>
    <n v="0"/>
    <n v="0"/>
    <n v="0"/>
    <n v="0"/>
    <n v="37.251453048318645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48"/>
    <s v="Regular"/>
    <s v="Verde"/>
    <s v="A4"/>
    <s v="Comercial"/>
    <s v="Não se aplica"/>
    <s v="Não se aplica"/>
    <s v="Não se aplica"/>
    <s v="Fora ponta"/>
    <s v="CATIVO"/>
    <x v="10"/>
    <n v="0"/>
    <n v="0"/>
    <n v="18.992000000000001"/>
    <n v="18.992000000000001"/>
    <n v="18.992000000000001"/>
    <n v="18.992000000000001"/>
    <m/>
    <n v="100.48"/>
    <n v="286.42"/>
    <m/>
    <n v="7348.0048000000006"/>
    <n v="7348.0048000000006"/>
    <n v="5983.9993599999998"/>
    <n v="0"/>
    <n v="1005.6153296587736"/>
    <n v="0"/>
    <n v="0"/>
    <n v="0"/>
    <n v="0"/>
    <n v="0"/>
    <n v="5439.7521728711226"/>
    <n v="0"/>
    <n v="0"/>
    <n v="0"/>
    <n v="0"/>
    <n v="0"/>
    <n v="178.6366430292511"/>
    <m/>
    <n v="26.0207004192631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3.86431707634711"/>
    <n v="0"/>
    <n v="0"/>
    <n v="0"/>
    <n v="0"/>
    <n v="0"/>
    <m/>
    <m/>
    <m/>
    <m/>
    <m/>
    <m/>
    <m/>
    <m/>
    <m/>
    <n v="5663.6164899474697"/>
    <m/>
    <m/>
    <m/>
    <m/>
    <m/>
    <m/>
    <m/>
    <m/>
    <m/>
    <m/>
    <m/>
    <m/>
    <n v="5983.3691999999992"/>
    <n v="-1364.6656000000012"/>
    <m/>
    <m/>
    <m/>
    <m/>
    <n v="-132.94400000000002"/>
    <n v="-1231.0614400000004"/>
    <n v="31"/>
    <n v="-1364.0491699612639"/>
    <n v="0"/>
    <n v="0"/>
    <n v="0"/>
    <n v="0"/>
    <n v="0"/>
    <n v="0"/>
    <n v="0"/>
    <n v="0"/>
    <n v="0"/>
    <n v="0"/>
    <n v="-1231.1900060977869"/>
    <n v="0"/>
    <n v="0"/>
    <n v="0"/>
    <n v="-50.667659324787593"/>
    <n v="0"/>
    <n v="-69.765721569645848"/>
    <m/>
    <n v="0"/>
    <n v="0"/>
    <n v="0"/>
    <n v="0"/>
    <n v="-10.22307115624892"/>
    <n v="-2.20271181279454"/>
    <n v="0"/>
    <n v="0"/>
    <m/>
    <m/>
    <m/>
    <n v="0"/>
    <n v="0"/>
    <n v="0"/>
    <n v="-132.94399999999996"/>
    <n v="-1231.0614400000004"/>
    <n v="0"/>
    <n v="0"/>
    <n v="0"/>
    <n v="0"/>
    <n v="0"/>
    <n v="0"/>
    <n v="0"/>
    <n v="0"/>
    <n v="0"/>
    <n v="0"/>
    <n v="0"/>
    <n v="0"/>
    <n v="0"/>
    <n v="0"/>
    <n v="0"/>
    <n v="474.1820350493752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49"/>
    <s v="Regular"/>
    <s v="Verde"/>
    <s v="A4"/>
    <s v="Comercial"/>
    <s v="Não se aplica"/>
    <s v="Não se aplica"/>
    <s v="Não se aplica"/>
    <s v="Não se aplica"/>
    <s v="CATIVO"/>
    <x v="10"/>
    <n v="200"/>
    <n v="200"/>
    <n v="0"/>
    <n v="0"/>
    <n v="0"/>
    <n v="0"/>
    <n v="39.21"/>
    <m/>
    <m/>
    <n v="7842"/>
    <m/>
    <n v="7842"/>
    <n v="5968"/>
    <n v="0"/>
    <n v="0"/>
    <n v="0"/>
    <n v="0"/>
    <n v="0"/>
    <n v="2470.4459924729599"/>
    <n v="5372.398245936520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6.91"/>
    <n v="493.44"/>
    <n v="3189.05"/>
    <n v="1"/>
    <m/>
    <m/>
    <m/>
    <m/>
    <m/>
    <m/>
    <m/>
    <m/>
    <m/>
    <n v="0"/>
    <m/>
    <m/>
    <m/>
    <m/>
    <m/>
    <m/>
    <m/>
    <m/>
    <m/>
    <m/>
    <m/>
    <m/>
    <n v="5968"/>
    <n v="-1874.0300000000007"/>
    <m/>
    <m/>
    <m/>
    <m/>
    <n v="-1874.0000000000002"/>
    <n v="0"/>
    <n v="31"/>
    <n v="84.77806630906025"/>
    <n v="0"/>
    <n v="0"/>
    <n v="0"/>
    <n v="0"/>
    <m/>
    <m/>
    <m/>
    <n v="84.7780663090602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372.3982459365207"/>
    <m/>
    <n v="0"/>
    <n v="0"/>
    <n v="-1874"/>
    <m/>
    <n v="0"/>
    <m/>
    <n v="-1960.3887537343408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236"/>
    <s v="Regular"/>
    <s v="Convencional"/>
    <s v="B1"/>
    <s v="Residencial"/>
    <s v="Residencial"/>
    <s v="Não se aplica"/>
    <s v="Não se aplica"/>
    <s v="Não se aplica"/>
    <s v="CATIVO"/>
    <x v="10"/>
    <n v="0"/>
    <n v="0"/>
    <n v="391.23700000000002"/>
    <n v="391.23700000000002"/>
    <n v="391.23700000000002"/>
    <n v="391.23700000000002"/>
    <m/>
    <n v="609.05999999999995"/>
    <n v="286.42"/>
    <m/>
    <n v="350344.90876000002"/>
    <n v="350344.90876000002"/>
    <n v="267555.24719000002"/>
    <n v="0"/>
    <n v="23811.231149335086"/>
    <n v="0"/>
    <n v="0"/>
    <n v="0"/>
    <n v="38205.134192007521"/>
    <n v="147579.28936403268"/>
    <n v="112059.41032316658"/>
    <n v="0"/>
    <n v="0"/>
    <n v="0"/>
    <n v="0"/>
    <n v="0"/>
    <n v="3679.9317770026914"/>
    <m/>
    <n v="668.169245963266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115.17146389958"/>
    <n v="0"/>
    <n v="1361.18"/>
    <n v="6329"/>
    <n v="37991.06"/>
    <n v="3186"/>
    <m/>
    <m/>
    <m/>
    <m/>
    <m/>
    <m/>
    <m/>
    <m/>
    <m/>
    <n v="125174.58178706616"/>
    <m/>
    <m/>
    <m/>
    <m/>
    <m/>
    <m/>
    <m/>
    <m/>
    <m/>
    <m/>
    <m/>
    <m/>
    <n v="267557.29879999999"/>
    <n v="-82787.639960000059"/>
    <m/>
    <m/>
    <m/>
    <m/>
    <n v="-57429.679229999987"/>
    <n v="-25359.98234000001"/>
    <n v="31"/>
    <n v="-28939.021663839172"/>
    <n v="0"/>
    <n v="0"/>
    <n v="0"/>
    <n v="0"/>
    <n v="0"/>
    <n v="0"/>
    <n v="0"/>
    <n v="1311.0820514779989"/>
    <n v="0"/>
    <n v="0"/>
    <n v="-25362.630813799493"/>
    <n v="0"/>
    <n v="0"/>
    <n v="0"/>
    <n v="-2968.3830294955351"/>
    <n v="0"/>
    <n v="-1651.9315821872551"/>
    <m/>
    <n v="0"/>
    <n v="0"/>
    <n v="0"/>
    <n v="0"/>
    <n v="-210.59623472816747"/>
    <n v="-56.562055106700313"/>
    <n v="0"/>
    <n v="0"/>
    <m/>
    <m/>
    <m/>
    <n v="147579.28936403268"/>
    <n v="0"/>
    <n v="0"/>
    <n v="-57429.67922999998"/>
    <n v="-25359.982340000017"/>
    <n v="0"/>
    <n v="0"/>
    <n v="-53851.700099146779"/>
    <n v="0"/>
    <n v="0"/>
    <n v="0"/>
    <n v="0"/>
    <n v="0"/>
    <n v="0"/>
    <n v="0"/>
    <n v="0"/>
    <n v="0"/>
    <n v="0"/>
    <n v="0"/>
    <n v="0"/>
    <n v="11227.810187871746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37"/>
    <s v="Refaturamento - Regular"/>
    <s v="Convencional"/>
    <s v="B1"/>
    <s v="Residencial"/>
    <s v="Residencial"/>
    <s v="Não se aplica"/>
    <s v="Não se aplica"/>
    <s v="Não se aplica"/>
    <s v="CATIVO"/>
    <x v="10"/>
    <n v="0"/>
    <n v="0"/>
    <n v="-0.378"/>
    <n v="-0.378"/>
    <n v="-0.378"/>
    <n v="-0.378"/>
    <m/>
    <n v="609.05999999999995"/>
    <n v="286.42"/>
    <m/>
    <n v="-338.49144000000001"/>
    <n v="-338.49144000000001"/>
    <n v="-258.50286"/>
    <n v="0"/>
    <n v="-23.005608811151966"/>
    <n v="0"/>
    <n v="0"/>
    <n v="0"/>
    <n v="-36.912512683051048"/>
    <n v="-142.58613418363893"/>
    <n v="-108.26802450217377"/>
    <n v="0"/>
    <n v="0"/>
    <n v="0"/>
    <n v="0"/>
    <n v="0"/>
    <n v="-3.5554260249082197"/>
    <m/>
    <n v="-0.645562600096909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2.671436529147398"/>
    <n v="0"/>
    <n v="-1.0900000000000001"/>
    <n v="-5.08"/>
    <n v="-92.35"/>
    <n v="0"/>
    <m/>
    <m/>
    <m/>
    <m/>
    <m/>
    <m/>
    <m/>
    <m/>
    <m/>
    <n v="-120.93946103132117"/>
    <m/>
    <m/>
    <m/>
    <m/>
    <m/>
    <m/>
    <m/>
    <m/>
    <m/>
    <m/>
    <m/>
    <m/>
    <n v="-259.87059999999997"/>
    <n v="78.590840000000071"/>
    <m/>
    <m/>
    <m/>
    <m/>
    <n v="55.486619999999988"/>
    <n v="24.501960000000008"/>
    <n v="31"/>
    <n v="27.95990713795274"/>
    <n v="0"/>
    <n v="0"/>
    <n v="0"/>
    <n v="0"/>
    <n v="0"/>
    <n v="0"/>
    <n v="0"/>
    <n v="-1.266723278878743"/>
    <n v="0"/>
    <n v="0"/>
    <n v="24.504518866099588"/>
    <n v="0"/>
    <n v="0"/>
    <n v="0"/>
    <n v="2.8679516128313836"/>
    <n v="0"/>
    <n v="1.5960406047147409"/>
    <m/>
    <n v="0"/>
    <n v="0"/>
    <n v="0"/>
    <n v="0"/>
    <n v="0.20347098236426309"/>
    <n v="5.4648350821452807E-2"/>
    <n v="0"/>
    <n v="0"/>
    <m/>
    <m/>
    <m/>
    <n v="-142.58613418363893"/>
    <n v="0"/>
    <n v="0"/>
    <n v="55.486619999999988"/>
    <n v="24.501960000000011"/>
    <n v="0"/>
    <n v="0"/>
    <n v="52.02969718476902"/>
    <n v="0"/>
    <n v="0"/>
    <n v="0"/>
    <n v="0"/>
    <n v="0"/>
    <n v="0"/>
    <n v="0"/>
    <n v="0"/>
    <n v="0"/>
    <n v="0"/>
    <n v="0"/>
    <n v="0"/>
    <n v="-10.847931691060712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38"/>
    <s v="Sistema de Compensação"/>
    <s v="Convencional"/>
    <s v="B1"/>
    <s v="Residencial"/>
    <s v="Residencial"/>
    <s v="Não se aplica"/>
    <s v="Não se aplica"/>
    <s v="Não se aplica"/>
    <s v="CATIVO"/>
    <x v="10"/>
    <n v="0"/>
    <n v="0"/>
    <n v="4.8810000000000002"/>
    <n v="4.8810000000000002"/>
    <n v="4.8810000000000002"/>
    <n v="4.8810000000000002"/>
    <m/>
    <n v="609.05999999999995"/>
    <n v="286.42"/>
    <m/>
    <n v="4370.83788"/>
    <n v="4370.83788"/>
    <n v="3337.96947"/>
    <n v="0"/>
    <n v="297.06448837892265"/>
    <n v="0"/>
    <n v="0"/>
    <n v="0"/>
    <n v="476.64014393114331"/>
    <n v="1841.1717485458776"/>
    <n v="1398.0323481352123"/>
    <n v="0"/>
    <n v="0"/>
    <n v="0"/>
    <n v="0"/>
    <n v="0"/>
    <n v="45.910143988298998"/>
    <m/>
    <n v="8.33595516156882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3.6224383565303"/>
    <n v="0"/>
    <n v="14.5"/>
    <n v="67.180000000000007"/>
    <n v="1364.91"/>
    <n v="39"/>
    <m/>
    <m/>
    <m/>
    <m/>
    <m/>
    <m/>
    <m/>
    <m/>
    <m/>
    <n v="1561.6547864917425"/>
    <m/>
    <m/>
    <m/>
    <m/>
    <m/>
    <m/>
    <m/>
    <m/>
    <m/>
    <m/>
    <m/>
    <m/>
    <n v="3337.2855999999997"/>
    <n v="-1033.582280000001"/>
    <m/>
    <m/>
    <m/>
    <m/>
    <n v="-716.48198999999988"/>
    <n v="-316.3864200000001"/>
    <n v="31"/>
    <n v="-361.03784851943647"/>
    <n v="0"/>
    <n v="0"/>
    <n v="0"/>
    <n v="0"/>
    <n v="0"/>
    <n v="0"/>
    <n v="0"/>
    <n v="16.356815672505661"/>
    <n v="0"/>
    <n v="0"/>
    <n v="-316.41946186622249"/>
    <n v="0"/>
    <n v="0"/>
    <n v="0"/>
    <n v="-37.032994238703651"/>
    <n v="0"/>
    <n v="-20.60919098310228"/>
    <m/>
    <n v="0"/>
    <n v="0"/>
    <n v="0"/>
    <n v="0"/>
    <n v="-2.6273594310052104"/>
    <n v="-0.70565767290875847"/>
    <n v="0"/>
    <n v="0"/>
    <m/>
    <m/>
    <m/>
    <n v="1841.1717485458776"/>
    <n v="0"/>
    <n v="0"/>
    <n v="-716.48199000000022"/>
    <n v="-316.38642000000027"/>
    <n v="0"/>
    <n v="0"/>
    <n v="-671.84378825094609"/>
    <n v="0"/>
    <n v="0"/>
    <n v="0"/>
    <n v="0"/>
    <n v="0"/>
    <n v="0"/>
    <n v="0"/>
    <n v="0"/>
    <n v="0"/>
    <n v="0"/>
    <n v="0"/>
    <n v="0"/>
    <n v="140.07607032822045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39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7.4160000000000004"/>
    <n v="7.4160000000000004"/>
    <n v="7.4160000000000004"/>
    <n v="7.4160000000000004"/>
    <m/>
    <n v="510.09"/>
    <n v="286.42"/>
    <m/>
    <n v="5906.9181600000002"/>
    <n v="5906.9181600000002"/>
    <n v="4372.9927200000002"/>
    <n v="0"/>
    <n v="0"/>
    <n v="0"/>
    <n v="0"/>
    <n v="0"/>
    <n v="724.18834406747771"/>
    <n v="2797.4041563647261"/>
    <n v="2124.115528328362"/>
    <n v="0"/>
    <n v="0"/>
    <n v="0"/>
    <n v="0"/>
    <n v="0"/>
    <n v="0"/>
    <m/>
    <n v="12.6653233923774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8.60151666708231"/>
    <n v="0"/>
    <n v="30.32"/>
    <n v="138.93"/>
    <n v="439.16"/>
    <n v="11"/>
    <m/>
    <m/>
    <m/>
    <m/>
    <m/>
    <m/>
    <m/>
    <n v="2842.4786400000003"/>
    <m/>
    <n v="2372.7170449954442"/>
    <m/>
    <m/>
    <m/>
    <m/>
    <m/>
    <m/>
    <m/>
    <m/>
    <m/>
    <m/>
    <m/>
    <m/>
    <n v="1531.3396"/>
    <n v="-536.12288000000012"/>
    <m/>
    <m/>
    <m/>
    <m/>
    <n v="-1053.2203199999999"/>
    <n v="-480.70512000000019"/>
    <n v="31"/>
    <n v="-513.24204604571241"/>
    <n v="0"/>
    <n v="0"/>
    <n v="0"/>
    <n v="0"/>
    <n v="0"/>
    <n v="0"/>
    <n v="0"/>
    <n v="24.851904328478213"/>
    <n v="0"/>
    <n v="0"/>
    <n v="-480.75532251585878"/>
    <n v="0"/>
    <n v="0"/>
    <n v="0"/>
    <n v="-56.266479261263328"/>
    <n v="0"/>
    <n v="0"/>
    <m/>
    <n v="0"/>
    <n v="0"/>
    <n v="0"/>
    <n v="0"/>
    <n v="0"/>
    <n v="-1.0721485970685016"/>
    <n v="0"/>
    <n v="0"/>
    <m/>
    <m/>
    <m/>
    <n v="2797.4041563647261"/>
    <n v="0"/>
    <n v="0"/>
    <n v="-1053.2203199999999"/>
    <n v="-480.70512000000008"/>
    <n v="0"/>
    <n v="0"/>
    <n v="-1020.7731066726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40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12.66"/>
    <n v="12.66"/>
    <n v="12.66"/>
    <n v="12.66"/>
    <m/>
    <n v="510.09"/>
    <n v="286.42"/>
    <m/>
    <n v="10083.8166"/>
    <n v="10083.8166"/>
    <n v="7465.2222000000002"/>
    <n v="0"/>
    <n v="0"/>
    <n v="0"/>
    <n v="0"/>
    <n v="0"/>
    <n v="1236.2762184323446"/>
    <n v="4775.5038591663197"/>
    <n v="3626.1195507870902"/>
    <n v="0"/>
    <n v="0"/>
    <n v="0"/>
    <n v="0"/>
    <n v="0"/>
    <n v="0"/>
    <m/>
    <n v="21.6212235905472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4.39255676985732"/>
    <n v="0"/>
    <n v="51.03"/>
    <n v="239.41"/>
    <n v="1021.21"/>
    <n v="115"/>
    <m/>
    <m/>
    <m/>
    <m/>
    <m/>
    <m/>
    <m/>
    <n v="2986.1142"/>
    <m/>
    <n v="4050.5121075569477"/>
    <m/>
    <m/>
    <m/>
    <m/>
    <m/>
    <m/>
    <m/>
    <m/>
    <m/>
    <m/>
    <m/>
    <m/>
    <n v="4479.1080000000002"/>
    <n v="-1571.2626"/>
    <m/>
    <m/>
    <m/>
    <m/>
    <n v="-1797.9731999999997"/>
    <n v="-820.62120000000027"/>
    <n v="31"/>
    <n v="-876.16562876735679"/>
    <n v="0"/>
    <n v="0"/>
    <n v="0"/>
    <n v="0"/>
    <n v="0"/>
    <n v="0"/>
    <n v="0"/>
    <n v="42.425176483081714"/>
    <n v="0"/>
    <n v="0"/>
    <n v="-820.70690170587568"/>
    <n v="0"/>
    <n v="0"/>
    <n v="0"/>
    <n v="-96.053617509114588"/>
    <n v="0"/>
    <n v="0"/>
    <m/>
    <n v="0"/>
    <n v="0"/>
    <n v="0"/>
    <n v="0"/>
    <n v="0"/>
    <n v="-1.8302860354486548"/>
    <n v="0"/>
    <n v="0"/>
    <m/>
    <m/>
    <m/>
    <n v="4775.5038591663197"/>
    <n v="0"/>
    <n v="0"/>
    <n v="-1797.9731999999995"/>
    <n v="-820.62120000000004"/>
    <n v="0"/>
    <n v="0"/>
    <n v="-1742.5819215851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41"/>
    <s v="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7.3650000000000002"/>
    <n v="7.3650000000000002"/>
    <n v="7.3650000000000002"/>
    <n v="7.3650000000000002"/>
    <m/>
    <n v="510.09"/>
    <n v="286.42"/>
    <m/>
    <n v="5866.2961500000001"/>
    <n v="5866.2961500000001"/>
    <n v="4342.9195500000005"/>
    <n v="0"/>
    <n v="0"/>
    <n v="0"/>
    <n v="0"/>
    <n v="0"/>
    <n v="719.20808441976453"/>
    <n v="2778.1663446097905"/>
    <n v="2109.5079377209258"/>
    <n v="0"/>
    <n v="0"/>
    <n v="0"/>
    <n v="0"/>
    <n v="0"/>
    <n v="0"/>
    <m/>
    <n v="12.5782236764913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6.89187840521319"/>
    <n v="0"/>
    <n v="30.19"/>
    <n v="140.97"/>
    <n v="900.39"/>
    <n v="111"/>
    <m/>
    <m/>
    <m/>
    <m/>
    <m/>
    <m/>
    <m/>
    <n v="434.31405000000001"/>
    <m/>
    <n v="2356.3998161261388"/>
    <m/>
    <m/>
    <m/>
    <m/>
    <m/>
    <m/>
    <m/>
    <m/>
    <m/>
    <m/>
    <m/>
    <m/>
    <n v="3911.259"/>
    <n v="-1368.4449000000004"/>
    <m/>
    <m/>
    <m/>
    <m/>
    <n v="-1045.9772999999998"/>
    <n v="-477.39930000000015"/>
    <n v="31"/>
    <n v="-509.71246886821336"/>
    <n v="0"/>
    <n v="0"/>
    <n v="0"/>
    <n v="0"/>
    <n v="0"/>
    <n v="0"/>
    <n v="0"/>
    <n v="24.680997219423034"/>
    <n v="0"/>
    <n v="0"/>
    <n v="-477.4491572720201"/>
    <n v="0"/>
    <n v="0"/>
    <n v="0"/>
    <n v="-55.879533408738439"/>
    <n v="0"/>
    <n v="0"/>
    <m/>
    <n v="0"/>
    <n v="0"/>
    <n v="0"/>
    <n v="0"/>
    <n v="0"/>
    <n v="-1.0647754068783062"/>
    <n v="0"/>
    <n v="0"/>
    <m/>
    <m/>
    <m/>
    <n v="2778.1663446097905"/>
    <n v="0"/>
    <n v="0"/>
    <n v="-1045.9772999999996"/>
    <n v="-477.39930000000027"/>
    <n v="0"/>
    <n v="0"/>
    <n v="-1013.7532268937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42"/>
    <s v="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1.2589999999999999"/>
    <n v="1.2589999999999999"/>
    <n v="1.2589999999999999"/>
    <n v="1.2589999999999999"/>
    <m/>
    <n v="510.09"/>
    <n v="286.42"/>
    <m/>
    <n v="1002.8060899999998"/>
    <n v="1002.8060899999998"/>
    <n v="742.39452999999992"/>
    <n v="0"/>
    <n v="0"/>
    <n v="0"/>
    <n v="0"/>
    <n v="0"/>
    <n v="122.94405679354833"/>
    <n v="474.90990195026825"/>
    <n v="360.60699166200203"/>
    <n v="0"/>
    <n v="0"/>
    <n v="0"/>
    <n v="0"/>
    <n v="0"/>
    <n v="0"/>
    <m/>
    <n v="2.15016749608997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204599444964479"/>
    <n v="0"/>
    <n v="5.05"/>
    <n v="23.51"/>
    <n v="195.2"/>
    <n v="16"/>
    <m/>
    <m/>
    <m/>
    <m/>
    <m/>
    <m/>
    <m/>
    <m/>
    <m/>
    <n v="402.81159110696649"/>
    <m/>
    <m/>
    <m/>
    <m/>
    <m/>
    <m/>
    <m/>
    <m/>
    <m/>
    <m/>
    <m/>
    <m/>
    <n v="742.98419999999999"/>
    <n v="-259.8518899999998"/>
    <m/>
    <m/>
    <m/>
    <m/>
    <n v="-178.80317999999997"/>
    <n v="-81.608380000000025"/>
    <n v="31"/>
    <n v="-87.132111107274909"/>
    <n v="0"/>
    <n v="0"/>
    <n v="0"/>
    <n v="0"/>
    <n v="0"/>
    <n v="0"/>
    <n v="0"/>
    <n v="4.2190598098104033"/>
    <n v="0"/>
    <n v="0"/>
    <n v="-81.616902784178251"/>
    <n v="0"/>
    <n v="0"/>
    <n v="0"/>
    <n v="-9.5522515358590283"/>
    <n v="0"/>
    <n v="0"/>
    <m/>
    <n v="0"/>
    <n v="0"/>
    <n v="0"/>
    <n v="0"/>
    <n v="0"/>
    <n v="-0.18201659704817175"/>
    <n v="0"/>
    <n v="0"/>
    <m/>
    <m/>
    <m/>
    <n v="474.90990195026825"/>
    <n v="0"/>
    <n v="0"/>
    <n v="-178.80317999999994"/>
    <n v="-81.608380000000011"/>
    <n v="0"/>
    <n v="0"/>
    <n v="-173.29467924768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43"/>
    <s v="Regular"/>
    <s v="Branca"/>
    <s v="B1"/>
    <s v="Residencial"/>
    <s v="Residencial"/>
    <s v="Não se aplica"/>
    <s v="Não se aplica"/>
    <s v="Fora ponta"/>
    <s v="CATIVO"/>
    <x v="10"/>
    <n v="0"/>
    <n v="0"/>
    <n v="4.1000000000000002E-2"/>
    <n v="4.1000000000000002E-2"/>
    <n v="4.1000000000000002E-2"/>
    <n v="4.1000000000000002E-2"/>
    <m/>
    <n v="409.62"/>
    <n v="286.42"/>
    <m/>
    <n v="28.537640000000003"/>
    <n v="28.537640000000003"/>
    <n v="22.174440000000001"/>
    <n v="0"/>
    <n v="2.4953173578233616"/>
    <n v="0"/>
    <n v="0"/>
    <n v="0"/>
    <n v="2.3223717295907802"/>
    <n v="8.9700977504434345"/>
    <n v="11.743357154997685"/>
    <n v="0"/>
    <n v="0"/>
    <n v="0"/>
    <n v="0"/>
    <n v="0"/>
    <n v="0.38564144714612969"/>
    <m/>
    <n v="7.002134022215154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3744150732673104"/>
    <n v="0"/>
    <n v="0"/>
    <n v="0"/>
    <n v="0"/>
    <n v="0"/>
    <m/>
    <m/>
    <m/>
    <m/>
    <m/>
    <m/>
    <m/>
    <m/>
    <m/>
    <n v="13.117772228264997"/>
    <m/>
    <m/>
    <m/>
    <m/>
    <m/>
    <m/>
    <m/>
    <m/>
    <m/>
    <m/>
    <m/>
    <m/>
    <n v="21.633600000000001"/>
    <n v="-6.9340400000000066"/>
    <m/>
    <m/>
    <m/>
    <m/>
    <n v="-3.7055799999999999"/>
    <n v="-2.657620000000001"/>
    <n v="31"/>
    <n v="-3.0903876360166009"/>
    <n v="0"/>
    <n v="0"/>
    <n v="0"/>
    <n v="0"/>
    <n v="0"/>
    <n v="0"/>
    <n v="0"/>
    <n v="7.9696615544484928E-2"/>
    <n v="0"/>
    <n v="0"/>
    <n v="-2.6578975489684744"/>
    <n v="0"/>
    <n v="0"/>
    <n v="0"/>
    <n v="-0.3110741167356792"/>
    <n v="0"/>
    <n v="-0.17311551532620228"/>
    <m/>
    <n v="0"/>
    <n v="0"/>
    <n v="0"/>
    <n v="0"/>
    <n v="-2.2069603907234947E-2"/>
    <n v="-5.9274666234909179E-3"/>
    <n v="0"/>
    <n v="0"/>
    <m/>
    <m/>
    <m/>
    <n v="8.9700977504434345"/>
    <n v="0"/>
    <n v="0"/>
    <n v="-3.7055800000000012"/>
    <n v="-2.6576200000000014"/>
    <n v="0"/>
    <n v="0"/>
    <n v="-3.2731897273564199"/>
    <n v="0"/>
    <n v="0"/>
    <n v="0"/>
    <n v="0"/>
    <n v="0"/>
    <n v="0"/>
    <n v="0"/>
    <n v="0"/>
    <n v="0"/>
    <n v="0"/>
    <n v="0"/>
    <n v="0"/>
    <n v="1.176627511464257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44"/>
    <s v="Regular"/>
    <s v="Branca"/>
    <s v="B1"/>
    <s v="Residencial"/>
    <s v="Residencial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23"/>
    <n v="1.07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"/>
    <m/>
    <m/>
    <m/>
    <m/>
    <n v="0"/>
    <n v="-17.698635468909799"/>
    <m/>
    <n v="-17.698635468909799"/>
    <m/>
    <n v="0"/>
    <n v="0"/>
    <n v="0"/>
    <n v="0"/>
  </r>
  <r>
    <n v="245"/>
    <s v="Regular"/>
    <s v="Branca"/>
    <s v="B1"/>
    <s v="Residencial"/>
    <s v="Residencial"/>
    <s v="Não se aplica"/>
    <s v="Não se aplica"/>
    <s v="Intermediário"/>
    <s v="CATIVO"/>
    <x v="10"/>
    <n v="0"/>
    <n v="0"/>
    <n v="1.2999999999999999E-2"/>
    <n v="1.2999999999999999E-2"/>
    <n v="1.2999999999999999E-2"/>
    <n v="1.2999999999999999E-2"/>
    <m/>
    <n v="960.47"/>
    <n v="286.42"/>
    <m/>
    <n v="16.209569999999999"/>
    <n v="16.209569999999999"/>
    <n v="12.166829999999997"/>
    <n v="0"/>
    <n v="0.79119818662691943"/>
    <n v="0"/>
    <n v="0"/>
    <n v="0"/>
    <n v="2.209016041922534"/>
    <n v="8.5325363526465399"/>
    <n v="3.7235034881699973"/>
    <n v="0"/>
    <n v="0"/>
    <n v="0"/>
    <n v="0"/>
    <n v="0"/>
    <n v="0.12227655641218745"/>
    <m/>
    <n v="2.22018883631212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357901451823179"/>
    <n v="0"/>
    <n v="0"/>
    <n v="0"/>
    <n v="0"/>
    <n v="0"/>
    <m/>
    <m/>
    <m/>
    <m/>
    <m/>
    <m/>
    <m/>
    <m/>
    <m/>
    <n v="4.1592936333523154"/>
    <m/>
    <m/>
    <m/>
    <m/>
    <m/>
    <m/>
    <m/>
    <m/>
    <m/>
    <m/>
    <m/>
    <m/>
    <n v="9.3590999999999998"/>
    <n v="-6.8804700000000008"/>
    <m/>
    <m/>
    <m/>
    <m/>
    <n v="-3.2000800000000007"/>
    <n v="-0.84266000000000019"/>
    <n v="31"/>
    <n v="-0.92934206621926307"/>
    <n v="0"/>
    <n v="0"/>
    <n v="0"/>
    <n v="0"/>
    <n v="0"/>
    <n v="0"/>
    <n v="0"/>
    <n v="7.5806598909859968E-2"/>
    <n v="0"/>
    <n v="0"/>
    <n v="-0.84274800333146738"/>
    <n v="0"/>
    <n v="0"/>
    <n v="0"/>
    <n v="-9.8633256525947011E-2"/>
    <n v="0"/>
    <n v="-5.4890285347332424E-2"/>
    <m/>
    <n v="0"/>
    <n v="0"/>
    <n v="0"/>
    <n v="0"/>
    <n v="-6.997679287659847E-3"/>
    <n v="-1.8794406367166304E-3"/>
    <n v="0"/>
    <n v="0"/>
    <m/>
    <m/>
    <m/>
    <n v="8.5325363526465399"/>
    <n v="0"/>
    <n v="0"/>
    <n v="-3.2000800000000016"/>
    <n v="-0.84266000000000041"/>
    <n v="0"/>
    <n v="0"/>
    <n v="-3.1135235216803769"/>
    <n v="0"/>
    <n v="0"/>
    <n v="0"/>
    <n v="0"/>
    <n v="0"/>
    <n v="0"/>
    <n v="0"/>
    <n v="0"/>
    <n v="0"/>
    <n v="0"/>
    <n v="0"/>
    <n v="0"/>
    <n v="0.37307701583013025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50"/>
    <s v="Regular"/>
    <s v="Convencional"/>
    <s v="B2"/>
    <s v="Rural"/>
    <s v="Não se aplica"/>
    <s v="Não se aplica"/>
    <s v="Não se aplica"/>
    <s v="Não se aplica"/>
    <s v="CATIVO"/>
    <x v="10"/>
    <n v="0"/>
    <n v="0"/>
    <n v="99.789000000000001"/>
    <n v="99.789000000000001"/>
    <n v="99.789000000000001"/>
    <n v="99.789000000000001"/>
    <m/>
    <n v="609.05999999999995"/>
    <n v="286.42"/>
    <m/>
    <n v="89359.053719999996"/>
    <n v="89359.053719999996"/>
    <n v="68242.703429999994"/>
    <n v="0"/>
    <n v="6073.2981419472053"/>
    <n v="0"/>
    <n v="0"/>
    <n v="0"/>
    <n v="9744.6103918756107"/>
    <n v="37641.607788495094"/>
    <n v="28581.899198538147"/>
    <n v="0"/>
    <n v="0"/>
    <n v="0"/>
    <n v="0"/>
    <n v="0"/>
    <n v="938.60425290890566"/>
    <m/>
    <n v="170.423402912884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45.1586767383328"/>
    <n v="0"/>
    <n v="334.19"/>
    <n v="1547.48"/>
    <n v="2635.83"/>
    <n v="321"/>
    <m/>
    <m/>
    <m/>
    <m/>
    <m/>
    <n v="8189.6832299999969"/>
    <m/>
    <m/>
    <m/>
    <n v="31927.057875276481"/>
    <m/>
    <m/>
    <m/>
    <m/>
    <m/>
    <m/>
    <m/>
    <m/>
    <m/>
    <m/>
    <m/>
    <m/>
    <n v="60053.622000000003"/>
    <n v="-18582.135779999997"/>
    <m/>
    <m/>
    <m/>
    <m/>
    <n v="-14648.027309999996"/>
    <n v="-6468.3229800000026"/>
    <n v="31"/>
    <n v="-7381.1935803946035"/>
    <n v="0"/>
    <n v="0"/>
    <n v="0"/>
    <n v="0"/>
    <n v="0"/>
    <n v="0"/>
    <n v="0"/>
    <n v="334.40489226463251"/>
    <n v="0"/>
    <n v="0"/>
    <n v="-6468.9985003418333"/>
    <n v="0"/>
    <n v="0"/>
    <n v="0"/>
    <n v="-757.11646426674861"/>
    <n v="0"/>
    <n v="-421.34205265576566"/>
    <m/>
    <n v="0"/>
    <n v="0"/>
    <n v="0"/>
    <n v="0"/>
    <n v="-53.714724495099063"/>
    <n v="-14.426730899793512"/>
    <n v="0"/>
    <n v="0"/>
    <m/>
    <m/>
    <m/>
    <n v="37641.607788495094"/>
    <n v="0"/>
    <n v="0"/>
    <n v="-14648.027309999998"/>
    <n v="-6468.3229800000045"/>
    <n v="0"/>
    <n v="0"/>
    <n v="-13735.42712267438"/>
    <n v="0"/>
    <n v="0"/>
    <n v="0"/>
    <n v="0"/>
    <n v="0"/>
    <n v="0"/>
    <n v="0"/>
    <n v="0"/>
    <n v="0"/>
    <n v="0"/>
    <n v="0"/>
    <n v="0"/>
    <n v="2863.7678717440672"/>
    <n v="0"/>
    <n v="0"/>
    <n v="0"/>
    <n v="0"/>
    <n v="0"/>
    <n v="202"/>
    <n v="0"/>
    <n v="0"/>
    <n v="0"/>
    <m/>
    <n v="0"/>
    <n v="-12.3890448282368"/>
    <m/>
    <n v="-17.698635468909799"/>
    <m/>
    <n v="0"/>
    <n v="0"/>
    <n v="0"/>
    <n v="0"/>
  </r>
  <r>
    <n v="251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1.3460000000000001"/>
    <n v="1.3460000000000001"/>
    <n v="1.3460000000000001"/>
    <n v="1.3460000000000001"/>
    <m/>
    <n v="609.05999999999995"/>
    <n v="286.42"/>
    <m/>
    <n v="1205.3160800000001"/>
    <n v="1205.3160800000001"/>
    <n v="920.48901999999998"/>
    <n v="0"/>
    <n v="81.919443015371826"/>
    <n v="0"/>
    <n v="0"/>
    <n v="0"/>
    <n v="131.43979383964739"/>
    <n v="507.72734553221699"/>
    <n v="385.5258226982167"/>
    <n v="0"/>
    <n v="0"/>
    <n v="0"/>
    <n v="0"/>
    <n v="0"/>
    <n v="12.660326533138795"/>
    <m/>
    <n v="2.29874936436624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.121041185799996"/>
    <n v="0"/>
    <n v="3.48"/>
    <n v="16.100000000000001"/>
    <n v="0"/>
    <n v="6"/>
    <m/>
    <m/>
    <m/>
    <m/>
    <m/>
    <n v="110.46621999999996"/>
    <m/>
    <m/>
    <m/>
    <n v="430.64686388401668"/>
    <m/>
    <m/>
    <m/>
    <m/>
    <m/>
    <m/>
    <m/>
    <m/>
    <m/>
    <m/>
    <m/>
    <m/>
    <n v="812.43000000000006"/>
    <n v="-248.27492000000007"/>
    <m/>
    <m/>
    <m/>
    <m/>
    <n v="-197.57933999999997"/>
    <n v="-87.247720000000029"/>
    <n v="31"/>
    <n v="-99.560939173768134"/>
    <n v="0"/>
    <n v="0"/>
    <n v="0"/>
    <n v="0"/>
    <n v="0"/>
    <n v="0"/>
    <n v="0"/>
    <n v="4.5106072311396304"/>
    <n v="0"/>
    <n v="0"/>
    <n v="-87.256831729550413"/>
    <n v="0"/>
    <n v="0"/>
    <n v="0"/>
    <n v="-10.212335637224975"/>
    <n v="0"/>
    <n v="-5.68325569826996"/>
    <m/>
    <n v="0"/>
    <n v="0"/>
    <n v="0"/>
    <n v="0"/>
    <n v="-0.72452894778385968"/>
    <n v="-0.19459439207850648"/>
    <n v="0"/>
    <n v="0"/>
    <m/>
    <m/>
    <m/>
    <n v="507.72734553221699"/>
    <n v="0"/>
    <n v="0"/>
    <n v="-197.57934"/>
    <n v="-87.247720000000072"/>
    <n v="0"/>
    <n v="0"/>
    <n v="-185.26976828227276"/>
    <n v="0"/>
    <n v="0"/>
    <n v="0"/>
    <n v="0"/>
    <n v="0"/>
    <n v="0"/>
    <n v="0"/>
    <n v="0"/>
    <n v="0"/>
    <n v="0"/>
    <n v="0"/>
    <n v="0"/>
    <n v="38.627820254411951"/>
    <n v="0"/>
    <n v="0"/>
    <n v="0"/>
    <n v="0"/>
    <n v="0"/>
    <n v="202"/>
    <n v="0"/>
    <n v="0"/>
    <n v="0"/>
    <m/>
    <n v="0"/>
    <n v="-12.3890448282368"/>
    <m/>
    <n v="-17.698635468909799"/>
    <m/>
    <n v="0"/>
    <n v="0"/>
    <n v="0"/>
    <n v="0"/>
  </r>
  <r>
    <n v="232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20.911000000000001"/>
    <n v="19.65634"/>
    <n v="20.911000000000001"/>
    <n v="19.65634"/>
    <m/>
    <n v="609.05999999999995"/>
    <n v="286.42"/>
    <m/>
    <n v="18725.382280000002"/>
    <n v="18725.382280000002"/>
    <n v="14300.405570000001"/>
    <n v="0"/>
    <n v="1272.6727138888857"/>
    <n v="0"/>
    <n v="0"/>
    <n v="0"/>
    <n v="2042.0041077123824"/>
    <n v="7887.8800315187145"/>
    <n v="5989.3985723940632"/>
    <n v="0"/>
    <n v="0"/>
    <n v="0"/>
    <n v="0"/>
    <n v="0"/>
    <n v="196.68654393348092"/>
    <m/>
    <n v="35.7125913508636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0.98520968518858"/>
    <n v="0"/>
    <n v="46.47"/>
    <n v="214.59"/>
    <n v="3196.39"/>
    <n v="6"/>
    <m/>
    <m/>
    <m/>
    <m/>
    <n v="858.02433420000079"/>
    <m/>
    <m/>
    <m/>
    <m/>
    <n v="6690.3837820792514"/>
    <m/>
    <m/>
    <m/>
    <m/>
    <m/>
    <m/>
    <m/>
    <m/>
    <m/>
    <m/>
    <m/>
    <m/>
    <n v="13444.8842"/>
    <n v="-4157.0051431999964"/>
    <m/>
    <m/>
    <m/>
    <m/>
    <n v="-3069.5256899999995"/>
    <n v="-1355.4510200000007"/>
    <n v="30"/>
    <n v="-1546.7450215918761"/>
    <n v="0"/>
    <n v="0"/>
    <n v="0"/>
    <n v="0"/>
    <n v="0"/>
    <n v="0"/>
    <n v="0"/>
    <n v="70.075265832363129"/>
    <n v="0"/>
    <n v="0"/>
    <n v="-1355.5925767434092"/>
    <n v="0"/>
    <n v="0"/>
    <n v="0"/>
    <n v="-158.65538670877538"/>
    <n v="0"/>
    <n v="-88.29313514600517"/>
    <m/>
    <n v="0"/>
    <n v="0"/>
    <n v="0"/>
    <n v="0"/>
    <n v="-11.256036275711921"/>
    <n v="-3.0231525503370307"/>
    <n v="0"/>
    <n v="0"/>
    <m/>
    <m/>
    <m/>
    <n v="7887.8800315187145"/>
    <n v="0"/>
    <n v="0"/>
    <n v="-3069.5256899999986"/>
    <n v="-1355.4510200000013"/>
    <n v="0"/>
    <n v="0"/>
    <n v="-2878.288354049485"/>
    <n v="0"/>
    <n v="0"/>
    <n v="0"/>
    <n v="0"/>
    <n v="0"/>
    <n v="0"/>
    <n v="0"/>
    <n v="0"/>
    <n v="0"/>
    <n v="0"/>
    <n v="0"/>
    <n v="0"/>
    <n v="600.10872907875807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46"/>
    <s v="Regular"/>
    <s v="Convencional"/>
    <s v="B3"/>
    <s v="Comercial"/>
    <s v="Não se aplica"/>
    <s v="Não se aplica"/>
    <s v="Não se aplica"/>
    <s v="Não se aplica"/>
    <s v="CATIVO"/>
    <x v="10"/>
    <n v="0"/>
    <n v="0"/>
    <n v="16.61"/>
    <n v="16.61"/>
    <n v="16.61"/>
    <n v="16.61"/>
    <m/>
    <n v="609.05999999999995"/>
    <n v="286.42"/>
    <m/>
    <n v="14873.922799999998"/>
    <n v="14873.922799999998"/>
    <n v="11359.080699999999"/>
    <n v="0"/>
    <n v="1010.9078369133179"/>
    <n v="0"/>
    <n v="0"/>
    <n v="0"/>
    <n v="1622.0022107552325"/>
    <n v="6265.4912401858273"/>
    <n v="4757.4917645002815"/>
    <n v="0"/>
    <n v="0"/>
    <n v="0"/>
    <n v="0"/>
    <n v="0"/>
    <n v="156.23181553895643"/>
    <m/>
    <n v="28.3671819778033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6.80571626756159"/>
    <n v="0"/>
    <n v="48.85"/>
    <n v="226.32"/>
    <n v="2553.63"/>
    <n v="44"/>
    <m/>
    <m/>
    <m/>
    <m/>
    <m/>
    <m/>
    <m/>
    <m/>
    <m/>
    <n v="5314.2974807678429"/>
    <m/>
    <m/>
    <m/>
    <m/>
    <m/>
    <m/>
    <m/>
    <m/>
    <m/>
    <m/>
    <m/>
    <m/>
    <n v="11359.080699999999"/>
    <n v="-3514.8721000000005"/>
    <m/>
    <m/>
    <m/>
    <m/>
    <n v="-2438.1818999999991"/>
    <n v="-1076.6602000000003"/>
    <n v="31"/>
    <n v="-1228.6086178872865"/>
    <n v="0"/>
    <n v="0"/>
    <n v="0"/>
    <n v="0"/>
    <n v="0"/>
    <n v="0"/>
    <n v="0"/>
    <n v="55.662099635386085"/>
    <n v="0"/>
    <n v="0"/>
    <n v="-1076.7726411796675"/>
    <n v="0"/>
    <n v="0"/>
    <n v="0"/>
    <n v="-126.02295314584467"/>
    <n v="0"/>
    <n v="-70.132895355322489"/>
    <m/>
    <n v="0"/>
    <n v="0"/>
    <n v="0"/>
    <n v="0"/>
    <n v="-8.9408809975407735"/>
    <n v="-2.4013468442971728"/>
    <n v="0"/>
    <n v="0"/>
    <m/>
    <m/>
    <m/>
    <n v="6265.4912401858273"/>
    <n v="0"/>
    <n v="0"/>
    <n v="-2438.1818999999987"/>
    <n v="-1076.6602000000003"/>
    <n v="0"/>
    <n v="0"/>
    <n v="-2286.2784926958029"/>
    <n v="0"/>
    <n v="0"/>
    <n v="0"/>
    <n v="0"/>
    <n v="0"/>
    <n v="0"/>
    <n v="0"/>
    <n v="0"/>
    <n v="0"/>
    <n v="0"/>
    <n v="0"/>
    <n v="0"/>
    <n v="476.67763330295872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52"/>
    <s v="Regular"/>
    <s v="Convencional"/>
    <s v="B3"/>
    <s v="Poder público"/>
    <s v="Não se aplica"/>
    <s v="Não se aplica"/>
    <s v="Não se aplica"/>
    <s v="Não se aplica"/>
    <s v="CATIVO"/>
    <x v="10"/>
    <n v="0"/>
    <n v="0"/>
    <n v="5.9020000000000001"/>
    <n v="5.9020000000000001"/>
    <n v="5.9020000000000001"/>
    <n v="5.9020000000000001"/>
    <m/>
    <n v="609.05999999999995"/>
    <n v="286.42"/>
    <m/>
    <n v="5285.1229599999997"/>
    <n v="5285.1229599999997"/>
    <n v="4036.2007400000002"/>
    <n v="0"/>
    <n v="359.20397672862146"/>
    <n v="0"/>
    <n v="0"/>
    <n v="0"/>
    <n v="576.34298903536319"/>
    <n v="2226.3051956397803"/>
    <n v="1690.4705836291789"/>
    <n v="0"/>
    <n v="0"/>
    <n v="0"/>
    <n v="0"/>
    <n v="0"/>
    <n v="55.513556611133104"/>
    <m/>
    <n v="10.0796573168570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7.84872591277235"/>
    <n v="0"/>
    <n v="21.19"/>
    <n v="97.99"/>
    <n v="424.13"/>
    <n v="10"/>
    <m/>
    <m/>
    <m/>
    <m/>
    <m/>
    <m/>
    <m/>
    <m/>
    <m/>
    <n v="1888.3193095419513"/>
    <m/>
    <m/>
    <m/>
    <m/>
    <m/>
    <m/>
    <m/>
    <m/>
    <m/>
    <m/>
    <m/>
    <m/>
    <n v="4034.8330000000001"/>
    <n v="-1250.3199600000003"/>
    <m/>
    <m/>
    <m/>
    <m/>
    <n v="-866.35457999999983"/>
    <n v="-382.56764000000015"/>
    <n v="31"/>
    <n v="-436.55918499522886"/>
    <n v="0"/>
    <n v="0"/>
    <n v="0"/>
    <n v="0"/>
    <n v="0"/>
    <n v="0"/>
    <n v="0"/>
    <n v="19.778308973392427"/>
    <n v="0"/>
    <n v="0"/>
    <n v="-382.60759351248612"/>
    <n v="0"/>
    <n v="0"/>
    <n v="0"/>
    <n v="-44.779498462779969"/>
    <n v="0"/>
    <n v="-24.920189547688949"/>
    <m/>
    <n v="0"/>
    <n v="0"/>
    <n v="0"/>
    <n v="0"/>
    <n v="-3.1769463965975717"/>
    <n v="-0.85326604906934911"/>
    <n v="0"/>
    <n v="0"/>
    <m/>
    <m/>
    <m/>
    <n v="2226.3051956397803"/>
    <n v="0"/>
    <n v="0"/>
    <n v="-866.35457999999971"/>
    <n v="-382.56764000000021"/>
    <n v="0"/>
    <n v="0"/>
    <n v="-812.37902853044102"/>
    <n v="0"/>
    <n v="0"/>
    <n v="0"/>
    <n v="0"/>
    <n v="0"/>
    <n v="0"/>
    <n v="0"/>
    <n v="0"/>
    <n v="0"/>
    <n v="0"/>
    <n v="0"/>
    <n v="0"/>
    <n v="169.37696518687915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31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45.448"/>
    <n v="45.448"/>
    <n v="45.448"/>
    <n v="45.448"/>
    <m/>
    <n v="334.98"/>
    <n v="157.53"/>
    <m/>
    <n v="22383.59448"/>
    <n v="22383.59448"/>
    <n v="17094.356240000001"/>
    <n v="0"/>
    <n v="1521.3158732462396"/>
    <n v="0"/>
    <n v="0"/>
    <n v="0"/>
    <n v="2440.9522011391978"/>
    <n v="9428.9419166876178"/>
    <n v="7159.5525070532585"/>
    <n v="0"/>
    <n v="0"/>
    <n v="0"/>
    <n v="0"/>
    <n v="0"/>
    <n v="235.11336266935413"/>
    <m/>
    <n v="42.6897909446094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7.93729115656242"/>
    <n v="0"/>
    <n v="55.56"/>
    <n v="256.54000000000002"/>
    <n v="3820.91"/>
    <n v="3"/>
    <m/>
    <m/>
    <m/>
    <m/>
    <m/>
    <m/>
    <m/>
    <m/>
    <m/>
    <n v="7997.4897982098209"/>
    <m/>
    <m/>
    <m/>
    <m/>
    <m/>
    <m/>
    <m/>
    <m/>
    <m/>
    <m/>
    <m/>
    <m/>
    <n v="17095.108500000002"/>
    <n v="-5288.5159800000001"/>
    <m/>
    <m/>
    <m/>
    <m/>
    <n v="-3669.0170400000006"/>
    <n v="-1620.2212000000002"/>
    <n v="30"/>
    <n v="-1848.9339227066921"/>
    <n v="0"/>
    <n v="0"/>
    <n v="0"/>
    <n v="0"/>
    <n v="0"/>
    <n v="0"/>
    <n v="0"/>
    <n v="83.765930603599827"/>
    <n v="0"/>
    <n v="0"/>
    <n v="-1620.4358608057555"/>
    <n v="0"/>
    <n v="0"/>
    <n v="0"/>
    <n v="-189.65202564809317"/>
    <n v="0"/>
    <n v="-105.543040665852"/>
    <m/>
    <n v="0"/>
    <n v="0"/>
    <n v="0"/>
    <n v="0"/>
    <n v="-13.455137734312615"/>
    <n v="-3.6137884562786269"/>
    <n v="0"/>
    <n v="0"/>
    <m/>
    <m/>
    <m/>
    <n v="9428.9419166876178"/>
    <n v="0"/>
    <n v="0"/>
    <n v="-3669.0170400000006"/>
    <n v="-1620.2212000000009"/>
    <n v="0"/>
    <n v="0"/>
    <n v="-3440.6220177496589"/>
    <n v="0"/>
    <n v="0"/>
    <n v="0"/>
    <n v="0"/>
    <n v="0"/>
    <n v="0"/>
    <n v="0"/>
    <n v="0"/>
    <n v="0"/>
    <n v="0"/>
    <n v="0"/>
    <n v="0"/>
    <n v="717.35248603817433"/>
    <n v="0"/>
    <n v="0"/>
    <n v="0"/>
    <n v="0"/>
    <n v="0"/>
    <n v="202"/>
    <n v="0"/>
    <n v="0"/>
    <n v="0"/>
    <m/>
    <n v="0"/>
    <n v="-9.7342495079003708"/>
    <m/>
    <n v="-9.7342495079003708"/>
    <m/>
    <n v="0"/>
    <n v="0"/>
    <n v="0"/>
    <n v="0"/>
  </r>
  <r>
    <n v="253"/>
    <s v="Regular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46.963999999999999"/>
    <n v="46.963999999999999"/>
    <n v="46.963999999999999"/>
    <n v="46.963999999999999"/>
    <m/>
    <n v="334.98"/>
    <n v="157.53"/>
    <m/>
    <n v="23130.23964"/>
    <n v="23130.23964"/>
    <n v="17664.569319999999"/>
    <n v="0"/>
    <n v="1572.0621077085107"/>
    <n v="0"/>
    <n v="0"/>
    <n v="0"/>
    <n v="2522.3745637718112"/>
    <n v="9743.4612782810527"/>
    <n v="7398.3722923175765"/>
    <n v="0"/>
    <n v="0"/>
    <n v="0"/>
    <n v="0"/>
    <n v="0"/>
    <n v="242.95599287985272"/>
    <m/>
    <n v="44.1137859074687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5.88820062217917"/>
    <n v="0"/>
    <n v="62.2"/>
    <n v="287.2"/>
    <n v="3954.27"/>
    <n v="3"/>
    <m/>
    <m/>
    <m/>
    <m/>
    <m/>
    <m/>
    <m/>
    <m/>
    <m/>
    <n v="8264.2604929397548"/>
    <m/>
    <m/>
    <m/>
    <m/>
    <m/>
    <m/>
    <m/>
    <m/>
    <m/>
    <m/>
    <m/>
    <m/>
    <n v="17663.0648"/>
    <n v="-5467.2048399999985"/>
    <m/>
    <m/>
    <m/>
    <m/>
    <n v="-3791.4037200000007"/>
    <n v="-1674.2666000000002"/>
    <n v="31"/>
    <n v="-1910.6084480284517"/>
    <n v="0"/>
    <n v="0"/>
    <n v="0"/>
    <n v="0"/>
    <n v="0"/>
    <n v="0"/>
    <n v="0"/>
    <n v="86.560094280660905"/>
    <n v="0"/>
    <n v="0"/>
    <n v="-1674.4884212040461"/>
    <n v="0"/>
    <n v="0"/>
    <n v="0"/>
    <n v="-195.97821097819588"/>
    <n v="0"/>
    <n v="-109.06361912143711"/>
    <m/>
    <n v="0"/>
    <n v="0"/>
    <n v="0"/>
    <n v="0"/>
    <n v="-13.903958118162649"/>
    <n v="-3.7343328872704902"/>
    <n v="0"/>
    <n v="0"/>
    <m/>
    <m/>
    <m/>
    <n v="9743.4612782810527"/>
    <n v="0"/>
    <n v="0"/>
    <n v="-3791.4037200000002"/>
    <n v="-1674.2665999999999"/>
    <n v="0"/>
    <n v="0"/>
    <n v="-3555.3901698995551"/>
    <n v="0"/>
    <n v="0"/>
    <n v="0"/>
    <n v="0"/>
    <n v="0"/>
    <n v="0"/>
    <n v="0"/>
    <n v="0"/>
    <n v="0"/>
    <n v="0"/>
    <n v="0"/>
    <n v="0"/>
    <n v="741.28107186887905"/>
    <n v="0"/>
    <n v="0"/>
    <n v="0"/>
    <n v="0"/>
    <n v="0"/>
    <n v="202"/>
    <n v="0"/>
    <n v="0"/>
    <n v="0"/>
    <m/>
    <n v="0"/>
    <n v="-9.7342495079003708"/>
    <m/>
    <n v="-9.7342495079003708"/>
    <m/>
    <n v="0"/>
    <n v="0"/>
    <n v="0"/>
    <n v="0"/>
  </r>
  <r>
    <n v="255"/>
    <s v="Regular"/>
    <s v="Verde"/>
    <s v="A4"/>
    <s v="Serviço público"/>
    <s v="Água, esgoto e saneamento"/>
    <s v="Não se aplica"/>
    <s v="Não se aplica"/>
    <s v="Ponta"/>
    <s v="CATIVO"/>
    <x v="10"/>
    <n v="0"/>
    <n v="0"/>
    <n v="20.106999999999999"/>
    <n v="18.900580000000001"/>
    <n v="20.106999999999999"/>
    <n v="18.900580000000001"/>
    <m/>
    <n v="3305.85"/>
    <n v="286.42"/>
    <m/>
    <n v="72229.772889999993"/>
    <n v="72229.772889999993"/>
    <n v="52501.387699999999"/>
    <n v="0"/>
    <n v="1064.6539297308846"/>
    <n v="0"/>
    <n v="0"/>
    <n v="0"/>
    <n v="13109.463822325173"/>
    <n v="51340.985872580641"/>
    <n v="5759.1142028180111"/>
    <n v="0"/>
    <n v="0"/>
    <n v="0"/>
    <n v="0"/>
    <n v="0"/>
    <n v="189.12420921383486"/>
    <m/>
    <n v="27.5483479007015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7.00715161405387"/>
    <n v="0"/>
    <n v="0"/>
    <n v="0"/>
    <n v="0"/>
    <n v="0"/>
    <m/>
    <m/>
    <m/>
    <m/>
    <n v="3150.0832619999946"/>
    <m/>
    <m/>
    <m/>
    <m/>
    <n v="5996.1213544320653"/>
    <m/>
    <m/>
    <m/>
    <m/>
    <m/>
    <m/>
    <m/>
    <m/>
    <m/>
    <m/>
    <m/>
    <m/>
    <n v="49349.789999999994"/>
    <n v="-18546.226516600014"/>
    <m/>
    <m/>
    <m/>
    <m/>
    <n v="-18425.049449999999"/>
    <n v="-1303.3357400000004"/>
    <n v="31"/>
    <n v="-994.25478151852076"/>
    <n v="0"/>
    <n v="0"/>
    <n v="0"/>
    <n v="0"/>
    <n v="0"/>
    <n v="0"/>
    <n v="0"/>
    <n v="449.87625578198276"/>
    <n v="0"/>
    <n v="0"/>
    <n v="-1303.4718540758322"/>
    <n v="0"/>
    <n v="0"/>
    <n v="0"/>
    <n v="-53.642303393192094"/>
    <n v="0"/>
    <n v="-73.861592438967364"/>
    <m/>
    <n v="0"/>
    <n v="0"/>
    <n v="0"/>
    <n v="0"/>
    <n v="-10.823256725921283"/>
    <n v="-2.332030666589084"/>
    <n v="0"/>
    <n v="0"/>
    <m/>
    <m/>
    <m/>
    <n v="51340.985872580641"/>
    <n v="0"/>
    <n v="0"/>
    <n v="-18425.049449999991"/>
    <n v="-1303.3357400000004"/>
    <n v="0"/>
    <n v="0"/>
    <n v="-18734.331801699173"/>
    <n v="0"/>
    <n v="0"/>
    <n v="0"/>
    <n v="0"/>
    <n v="0"/>
    <n v="0"/>
    <n v="0"/>
    <n v="0"/>
    <n v="0"/>
    <n v="0"/>
    <n v="0"/>
    <n v="0"/>
    <n v="502.02075498829964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56"/>
    <s v="Regular"/>
    <s v="Verde"/>
    <s v="A4"/>
    <s v="Serviço público"/>
    <s v="Água, esgoto e saneamento"/>
    <s v="Não se aplica"/>
    <s v="Não se aplica"/>
    <s v="Fora ponta"/>
    <s v="CATIVO"/>
    <x v="10"/>
    <n v="0"/>
    <n v="0"/>
    <n v="215.82400000000001"/>
    <n v="202.87456"/>
    <n v="215.82400000000001"/>
    <n v="202.87456"/>
    <m/>
    <n v="100.48"/>
    <n v="286.42"/>
    <m/>
    <n v="83502.305600000007"/>
    <n v="83502.305600000007"/>
    <n v="68001.825920000003"/>
    <n v="0"/>
    <n v="11427.754997276492"/>
    <n v="0"/>
    <n v="0"/>
    <n v="0"/>
    <n v="0"/>
    <n v="0"/>
    <n v="61817.03206390782"/>
    <n v="0"/>
    <n v="0"/>
    <n v="0"/>
    <n v="0"/>
    <n v="0"/>
    <n v="2030.0165777772268"/>
    <m/>
    <n v="295.697748909385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43.9812746780508"/>
    <n v="0"/>
    <n v="0"/>
    <n v="0"/>
    <n v="0"/>
    <n v="0"/>
    <m/>
    <m/>
    <m/>
    <m/>
    <n v="4080.1095552000033"/>
    <m/>
    <m/>
    <m/>
    <m/>
    <n v="64361.013338585872"/>
    <m/>
    <m/>
    <m/>
    <m/>
    <m/>
    <m/>
    <m/>
    <m/>
    <m/>
    <m/>
    <m/>
    <m/>
    <n v="63920.279599999994"/>
    <n v="-14571.917664000008"/>
    <m/>
    <m/>
    <m/>
    <m/>
    <n v="-1510.768"/>
    <n v="-13989.711680000006"/>
    <n v="31"/>
    <n v="-15500.976624774616"/>
    <n v="0"/>
    <n v="0"/>
    <n v="0"/>
    <n v="0"/>
    <n v="0"/>
    <n v="0"/>
    <n v="0"/>
    <n v="0"/>
    <n v="0"/>
    <n v="0"/>
    <n v="-13991.172697770053"/>
    <n v="0"/>
    <n v="0"/>
    <n v="0"/>
    <n v="-575.78437795455784"/>
    <n v="0"/>
    <n v="-792.81366322910799"/>
    <m/>
    <n v="0"/>
    <n v="0"/>
    <n v="0"/>
    <n v="0"/>
    <n v="-116.17439496768475"/>
    <n v="-25.031490853231332"/>
    <n v="0"/>
    <n v="0"/>
    <m/>
    <m/>
    <m/>
    <n v="0"/>
    <n v="0"/>
    <n v="0"/>
    <n v="-1510.768"/>
    <n v="-13989.711680000008"/>
    <n v="0"/>
    <n v="0"/>
    <n v="0"/>
    <n v="0"/>
    <n v="0"/>
    <n v="0"/>
    <n v="0"/>
    <n v="0"/>
    <n v="0"/>
    <n v="0"/>
    <n v="0"/>
    <n v="0"/>
    <n v="0"/>
    <n v="0"/>
    <n v="0"/>
    <n v="5388.5774817026304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57"/>
    <s v="Regular"/>
    <s v="Verde"/>
    <s v="A4"/>
    <s v="Serviço público"/>
    <s v="Água, esgoto e saneamento"/>
    <s v="Não se aplica"/>
    <s v="Não se aplica"/>
    <s v="Não se aplica"/>
    <s v="CATIVO"/>
    <x v="10"/>
    <n v="557"/>
    <n v="523.58000000000004"/>
    <n v="0"/>
    <n v="0"/>
    <n v="0"/>
    <n v="0"/>
    <n v="39.21"/>
    <m/>
    <m/>
    <n v="21839.97"/>
    <m/>
    <n v="21839.97"/>
    <n v="16620.88"/>
    <n v="0"/>
    <n v="0"/>
    <n v="0"/>
    <n v="0"/>
    <n v="0"/>
    <n v="6880.1920890371939"/>
    <n v="14962.12911493320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82.99"/>
    <n v="2229.41"/>
    <n v="29767.31"/>
    <n v="2"/>
    <m/>
    <m/>
    <m/>
    <m/>
    <n v="997.25279999999873"/>
    <m/>
    <m/>
    <m/>
    <m/>
    <n v="0"/>
    <m/>
    <m/>
    <m/>
    <m/>
    <m/>
    <m/>
    <m/>
    <m/>
    <m/>
    <m/>
    <m/>
    <m/>
    <n v="15623.627200000001"/>
    <n v="-4905.9745999999959"/>
    <m/>
    <m/>
    <m/>
    <m/>
    <n v="-5219.09"/>
    <n v="0"/>
    <n v="31"/>
    <n v="236.10691467073229"/>
    <n v="0"/>
    <n v="0"/>
    <n v="0"/>
    <n v="0"/>
    <m/>
    <m/>
    <m/>
    <n v="236.1069146707322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962.129114933208"/>
    <m/>
    <n v="0"/>
    <n v="0"/>
    <n v="-5219.09"/>
    <m/>
    <n v="0"/>
    <m/>
    <n v="-5459.6826791501371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270"/>
    <s v="Regular"/>
    <s v="Verde"/>
    <s v="A4"/>
    <s v="Comercial"/>
    <s v="Não se aplica"/>
    <s v="Não se aplica"/>
    <s v="Não se aplica"/>
    <s v="Ponta"/>
    <s v="CATIVO"/>
    <x v="11"/>
    <n v="0"/>
    <n v="0"/>
    <n v="1.9319999999999999"/>
    <n v="1.9319999999999999"/>
    <n v="1.9319999999999999"/>
    <n v="1.9319999999999999"/>
    <m/>
    <n v="3305.85"/>
    <n v="286.42"/>
    <m/>
    <n v="6940.2656399999996"/>
    <n v="6940.2656399999996"/>
    <n v="5044.6451999999999"/>
    <n v="0"/>
    <n v="102.29827384692241"/>
    <n v="0"/>
    <n v="0"/>
    <n v="0"/>
    <n v="1259.6351571458813"/>
    <n v="4933.1468993796088"/>
    <n v="553.36990301111041"/>
    <n v="0"/>
    <n v="0"/>
    <n v="0"/>
    <n v="0"/>
    <n v="0"/>
    <n v="18.172177460642011"/>
    <m/>
    <n v="2.6470089095417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773055001658729"/>
    <n v="0"/>
    <n v="0"/>
    <n v="0"/>
    <n v="0"/>
    <n v="0"/>
    <m/>
    <m/>
    <m/>
    <m/>
    <m/>
    <m/>
    <m/>
    <m/>
    <m/>
    <n v="576.1429580127691"/>
    <m/>
    <m/>
    <m/>
    <m/>
    <m/>
    <m/>
    <m/>
    <m/>
    <m/>
    <m/>
    <m/>
    <m/>
    <n v="5039.4229999999998"/>
    <n v="-1900.8726400000005"/>
    <m/>
    <m/>
    <m/>
    <m/>
    <n v="-1770.3881999999999"/>
    <n v="-125.23224000000003"/>
    <n v="31"/>
    <n v="-95.533905500262335"/>
    <n v="0"/>
    <n v="0"/>
    <n v="0"/>
    <n v="0"/>
    <n v="0"/>
    <n v="0"/>
    <n v="0"/>
    <n v="43.226783019385721"/>
    <n v="0"/>
    <n v="0"/>
    <n v="-125.24531864895346"/>
    <n v="0"/>
    <n v="0"/>
    <n v="0"/>
    <n v="-5.154271157091916"/>
    <n v="0"/>
    <n v="-7.0970605556316144"/>
    <m/>
    <n v="0"/>
    <n v="0"/>
    <n v="0"/>
    <n v="0"/>
    <n v="-1.039962798750679"/>
    <n v="-0.22407535922067501"/>
    <n v="0"/>
    <n v="0"/>
    <m/>
    <m/>
    <m/>
    <n v="4933.1468993796088"/>
    <n v="0"/>
    <n v="0"/>
    <n v="-1770.3881999999994"/>
    <n v="-125.23223999999999"/>
    <n v="0"/>
    <n v="0"/>
    <n v="-1800.1058855564129"/>
    <n v="0"/>
    <n v="0"/>
    <n v="0"/>
    <n v="0"/>
    <n v="0"/>
    <n v="0"/>
    <n v="0"/>
    <n v="0"/>
    <n v="0"/>
    <n v="0"/>
    <n v="0"/>
    <n v="0"/>
    <n v="48.237136252916642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71"/>
    <s v="Regular"/>
    <s v="Verde"/>
    <s v="A4"/>
    <s v="Comercial"/>
    <s v="Não se aplica"/>
    <s v="Não se aplica"/>
    <s v="Não se aplica"/>
    <s v="Fora ponta"/>
    <s v="CATIVO"/>
    <x v="11"/>
    <n v="0"/>
    <n v="0"/>
    <n v="23.460999999999999"/>
    <n v="23.460999999999999"/>
    <n v="23.460999999999999"/>
    <n v="23.460999999999999"/>
    <m/>
    <n v="100.48"/>
    <n v="286.42"/>
    <m/>
    <n v="9077.0609000000004"/>
    <n v="9077.0609000000004"/>
    <n v="7392.0918799999999"/>
    <n v="0"/>
    <n v="1242.2462747011627"/>
    <n v="0"/>
    <n v="0"/>
    <n v="0"/>
    <n v="0"/>
    <n v="0"/>
    <n v="6719.7781027658702"/>
    <n v="0"/>
    <n v="0"/>
    <n v="0"/>
    <n v="0"/>
    <n v="0"/>
    <n v="220.67156076817921"/>
    <m/>
    <n v="32.1436211318625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6.54174088711977"/>
    <n v="0"/>
    <n v="0"/>
    <n v="0"/>
    <n v="0"/>
    <n v="0"/>
    <m/>
    <m/>
    <m/>
    <m/>
    <m/>
    <m/>
    <m/>
    <m/>
    <m/>
    <n v="6996.3198436529901"/>
    <m/>
    <m/>
    <m/>
    <m/>
    <m/>
    <m/>
    <m/>
    <m/>
    <m/>
    <m/>
    <m/>
    <m/>
    <n v="7391.7767999999996"/>
    <n v="-1685.3141000000014"/>
    <m/>
    <m/>
    <m/>
    <m/>
    <n v="-164.22699999999998"/>
    <n v="-1520.7420200000004"/>
    <n v="31"/>
    <n v="-1685.0230400411347"/>
    <n v="0"/>
    <n v="0"/>
    <n v="0"/>
    <n v="0"/>
    <n v="0"/>
    <n v="0"/>
    <n v="0"/>
    <n v="0"/>
    <n v="0"/>
    <n v="0"/>
    <n v="-1520.9008389353512"/>
    <n v="0"/>
    <n v="0"/>
    <n v="0"/>
    <n v="-62.590246178329892"/>
    <n v="0"/>
    <n v="-86.182265888029633"/>
    <m/>
    <n v="0"/>
    <n v="0"/>
    <n v="0"/>
    <n v="0"/>
    <n v="-12.628657982137526"/>
    <n v="-2.7210310572858418"/>
    <n v="0"/>
    <n v="0"/>
    <m/>
    <m/>
    <m/>
    <n v="0"/>
    <n v="0"/>
    <n v="0"/>
    <n v="-164.22700000000032"/>
    <n v="-1520.7420200000006"/>
    <n v="0"/>
    <n v="0"/>
    <n v="0"/>
    <n v="0"/>
    <n v="0"/>
    <n v="0"/>
    <n v="0"/>
    <n v="0"/>
    <n v="0"/>
    <n v="0"/>
    <n v="0"/>
    <n v="0"/>
    <n v="0"/>
    <n v="0"/>
    <n v="0"/>
    <n v="585.76162196153064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72"/>
    <s v="Regular"/>
    <s v="Verde"/>
    <s v="A4"/>
    <s v="Comercial"/>
    <s v="Não se aplica"/>
    <s v="Não se aplica"/>
    <s v="Não se aplica"/>
    <s v="Não se aplica"/>
    <s v="CATIVO"/>
    <x v="11"/>
    <n v="200"/>
    <n v="200"/>
    <n v="0"/>
    <n v="0"/>
    <n v="0"/>
    <n v="0"/>
    <n v="39.21"/>
    <m/>
    <m/>
    <n v="7842"/>
    <m/>
    <n v="7842"/>
    <n v="5968"/>
    <n v="0"/>
    <n v="0"/>
    <n v="0"/>
    <n v="0"/>
    <n v="0"/>
    <n v="2470.4459924729599"/>
    <n v="5372.398245936520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4.16"/>
    <n v="573.05999999999995"/>
    <n v="3798.8"/>
    <n v="1"/>
    <m/>
    <m/>
    <m/>
    <m/>
    <m/>
    <m/>
    <m/>
    <m/>
    <m/>
    <n v="0"/>
    <m/>
    <m/>
    <m/>
    <m/>
    <m/>
    <m/>
    <m/>
    <m/>
    <m/>
    <m/>
    <m/>
    <m/>
    <n v="5968"/>
    <n v="-1874.0300000000007"/>
    <m/>
    <m/>
    <m/>
    <m/>
    <n v="-1874.0000000000002"/>
    <n v="0"/>
    <n v="31"/>
    <n v="84.77806630906025"/>
    <n v="0"/>
    <n v="0"/>
    <n v="0"/>
    <n v="0"/>
    <m/>
    <m/>
    <m/>
    <n v="84.7780663090602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372.3982459365207"/>
    <m/>
    <n v="0"/>
    <n v="0"/>
    <n v="-1874"/>
    <m/>
    <n v="0"/>
    <m/>
    <n v="-1960.3887537343408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258"/>
    <s v="Regular"/>
    <s v="Convencional"/>
    <s v="B1"/>
    <s v="Residencial"/>
    <s v="Residencial"/>
    <s v="Não se aplica"/>
    <s v="Não se aplica"/>
    <s v="Não se aplica"/>
    <s v="CATIVO"/>
    <x v="11"/>
    <n v="0"/>
    <n v="0"/>
    <n v="403.43799999999999"/>
    <n v="403.43799999999999"/>
    <n v="403.43799999999999"/>
    <n v="403.43799999999999"/>
    <m/>
    <n v="609.05999999999995"/>
    <n v="286.42"/>
    <m/>
    <n v="361270.66024"/>
    <n v="361270.66024"/>
    <n v="275899.14506000001"/>
    <n v="0"/>
    <n v="24553.801078183933"/>
    <n v="0"/>
    <n v="0"/>
    <n v="0"/>
    <n v="39396.588073610445"/>
    <n v="152181.65291740457"/>
    <n v="115554.06155848673"/>
    <n v="0"/>
    <n v="0"/>
    <n v="0"/>
    <n v="0"/>
    <n v="0"/>
    <n v="3794.6930281400064"/>
    <m/>
    <n v="689.006572110838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24.177276312614"/>
    <n v="0"/>
    <n v="1415.94"/>
    <n v="6582.44"/>
    <n v="38582.089999999997"/>
    <n v="3283"/>
    <m/>
    <m/>
    <m/>
    <m/>
    <m/>
    <m/>
    <m/>
    <m/>
    <m/>
    <n v="129078.23883479935"/>
    <m/>
    <m/>
    <m/>
    <m/>
    <m/>
    <m/>
    <m/>
    <m/>
    <m/>
    <m/>
    <m/>
    <m/>
    <n v="275900.51280000003"/>
    <n v="-85370.177439999999"/>
    <m/>
    <m/>
    <m/>
    <m/>
    <n v="-59220.664019999982"/>
    <n v="-26150.851160000009"/>
    <n v="31"/>
    <n v="-29841.505333125271"/>
    <n v="0"/>
    <n v="0"/>
    <n v="0"/>
    <n v="0"/>
    <n v="0"/>
    <n v="0"/>
    <n v="0"/>
    <n v="1351.9690639795808"/>
    <n v="0"/>
    <n v="0"/>
    <n v="-26153.582228310814"/>
    <n v="0"/>
    <n v="0"/>
    <n v="0"/>
    <n v="-3060.9541343319252"/>
    <n v="0"/>
    <n v="-1703.4482261505473"/>
    <m/>
    <n v="0"/>
    <n v="0"/>
    <n v="0"/>
    <n v="0"/>
    <n v="-217.16382588114766"/>
    <n v="-58.325982430437193"/>
    <n v="0"/>
    <n v="0"/>
    <m/>
    <m/>
    <m/>
    <n v="152181.65291740457"/>
    <n v="0"/>
    <n v="0"/>
    <n v="-59220.664019999997"/>
    <n v="-26150.851160000006"/>
    <n v="0"/>
    <n v="0"/>
    <n v="-55531.103102721827"/>
    <n v="0"/>
    <n v="0"/>
    <n v="0"/>
    <n v="0"/>
    <n v="0"/>
    <n v="0"/>
    <n v="0"/>
    <n v="0"/>
    <n v="0"/>
    <n v="0"/>
    <n v="0"/>
    <n v="0"/>
    <n v="11577.957316344315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59"/>
    <s v="Refaturamento - Regular"/>
    <s v="Convencional"/>
    <s v="B1"/>
    <s v="Residencial"/>
    <s v="Residencial"/>
    <s v="Não se aplica"/>
    <s v="Não se aplica"/>
    <s v="Não se aplica"/>
    <s v="CATIVO"/>
    <x v="11"/>
    <n v="0"/>
    <n v="0"/>
    <n v="-0.83899999999999997"/>
    <n v="-0.83899999999999997"/>
    <n v="-0.83899999999999997"/>
    <n v="-0.83899999999999997"/>
    <m/>
    <n v="609.05999999999995"/>
    <n v="286.42"/>
    <m/>
    <n v="-751.3077199999999"/>
    <n v="-751.3077199999999"/>
    <n v="-573.76693"/>
    <n v="0"/>
    <n v="-51.062713736921957"/>
    <n v="0"/>
    <n v="0"/>
    <n v="0"/>
    <n v="-81.930153812380496"/>
    <n v="-316.48086396844724"/>
    <n v="-240.30918665958677"/>
    <n v="0"/>
    <n v="0"/>
    <n v="0"/>
    <n v="0"/>
    <n v="0"/>
    <n v="-7.8915408330634822"/>
    <m/>
    <n v="-1.43287571820451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8.125225523689593"/>
    <n v="0"/>
    <n v="-5.57"/>
    <n v="-25.64"/>
    <n v="-295.39999999999998"/>
    <n v="0"/>
    <m/>
    <m/>
    <m/>
    <m/>
    <m/>
    <m/>
    <m/>
    <m/>
    <m/>
    <n v="-268.43441218327638"/>
    <m/>
    <m/>
    <m/>
    <m/>
    <m/>
    <m/>
    <m/>
    <m/>
    <m/>
    <m/>
    <m/>
    <m/>
    <n v="-574.45079999999996"/>
    <n v="176.82691999999997"/>
    <m/>
    <m/>
    <m/>
    <m/>
    <n v="123.15680999999996"/>
    <n v="54.383980000000015"/>
    <n v="31"/>
    <n v="62.059158964926723"/>
    <n v="0"/>
    <n v="0"/>
    <n v="0"/>
    <n v="0"/>
    <n v="0"/>
    <n v="0"/>
    <n v="0"/>
    <n v="-2.8115894999451427"/>
    <n v="0"/>
    <n v="0"/>
    <n v="54.389659599623172"/>
    <n v="0"/>
    <n v="0"/>
    <n v="0"/>
    <n v="6.3656386327130434"/>
    <n v="0"/>
    <n v="3.5425345697239976"/>
    <m/>
    <n v="0"/>
    <n v="0"/>
    <n v="0"/>
    <n v="0"/>
    <n v="0.45161945556512428"/>
    <n v="0.12129620724655776"/>
    <n v="0"/>
    <n v="0"/>
    <m/>
    <m/>
    <m/>
    <n v="-316.48086396844724"/>
    <n v="0"/>
    <n v="0"/>
    <n v="123.15680999999995"/>
    <n v="54.383980000000008"/>
    <n v="0"/>
    <n v="0"/>
    <n v="115.48390459793967"/>
    <n v="0"/>
    <n v="0"/>
    <n v="0"/>
    <n v="0"/>
    <n v="0"/>
    <n v="0"/>
    <n v="0"/>
    <n v="0"/>
    <n v="0"/>
    <n v="0"/>
    <n v="0"/>
    <n v="0"/>
    <n v="-24.077816637036868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60"/>
    <s v="Sistema de Compensação"/>
    <s v="Convencional"/>
    <s v="B1"/>
    <s v="Residencial"/>
    <s v="Residencial"/>
    <s v="Não se aplica"/>
    <s v="Não se aplica"/>
    <s v="Não se aplica"/>
    <s v="CATIVO"/>
    <x v="11"/>
    <n v="0"/>
    <n v="0"/>
    <n v="4.7830000000000004"/>
    <n v="4.7830000000000004"/>
    <n v="4.7830000000000004"/>
    <n v="4.7830000000000004"/>
    <m/>
    <n v="609.05999999999995"/>
    <n v="286.42"/>
    <m/>
    <n v="4283.0808400000005"/>
    <n v="4283.0808400000005"/>
    <n v="3270.95021"/>
    <n v="0"/>
    <n v="291.10007127973506"/>
    <n v="0"/>
    <n v="0"/>
    <n v="0"/>
    <n v="467.0702332355375"/>
    <n v="1804.204973016786"/>
    <n v="1369.9628603013155"/>
    <n v="0"/>
    <n v="0"/>
    <n v="0"/>
    <n v="0"/>
    <n v="0"/>
    <n v="44.988366870730204"/>
    <m/>
    <n v="8.16858708006221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0.33725110823283"/>
    <n v="0"/>
    <n v="14.67"/>
    <n v="68.02"/>
    <n v="1277.08"/>
    <n v="41"/>
    <m/>
    <m/>
    <m/>
    <m/>
    <m/>
    <m/>
    <m/>
    <m/>
    <m/>
    <n v="1530.3001114095482"/>
    <m/>
    <m/>
    <m/>
    <m/>
    <m/>
    <m/>
    <m/>
    <m/>
    <m/>
    <m/>
    <m/>
    <m/>
    <n v="3268.8986"/>
    <n v="-1014.2122400000012"/>
    <m/>
    <m/>
    <m/>
    <m/>
    <n v="-702.09656999999993"/>
    <n v="-310.03406000000012"/>
    <n v="31"/>
    <n v="-353.78898370589332"/>
    <n v="0"/>
    <n v="0"/>
    <n v="0"/>
    <n v="0"/>
    <n v="0"/>
    <n v="0"/>
    <n v="0"/>
    <n v="16.028405933537101"/>
    <n v="0"/>
    <n v="0"/>
    <n v="-310.06643845649319"/>
    <n v="0"/>
    <n v="0"/>
    <n v="0"/>
    <n v="-36.289451227969593"/>
    <n v="0"/>
    <n v="-20.195402678176208"/>
    <m/>
    <n v="0"/>
    <n v="0"/>
    <n v="0"/>
    <n v="0"/>
    <n v="-2.5746076948367005"/>
    <n v="-0.69148958195504839"/>
    <n v="0"/>
    <n v="0"/>
    <m/>
    <m/>
    <m/>
    <n v="1804.204973016786"/>
    <n v="0"/>
    <n v="0"/>
    <n v="-702.09657000000016"/>
    <n v="-310.03406000000018"/>
    <n v="0"/>
    <n v="0"/>
    <n v="-658.35460749933941"/>
    <n v="0"/>
    <n v="0"/>
    <n v="0"/>
    <n v="0"/>
    <n v="0"/>
    <n v="0"/>
    <n v="0"/>
    <n v="0"/>
    <n v="0"/>
    <n v="0"/>
    <n v="0"/>
    <n v="0"/>
    <n v="137.26364359350103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61"/>
    <s v="Sistema de Compensação"/>
    <s v="Convencional"/>
    <s v="B1"/>
    <s v="Residencial"/>
    <s v="Residencial"/>
    <s v="Não se aplica"/>
    <s v="Não se aplica"/>
    <s v="Não se aplica"/>
    <s v="CATIVO"/>
    <x v="11"/>
    <n v="0"/>
    <n v="0"/>
    <n v="-0.55300000000000005"/>
    <n v="-0.55300000000000005"/>
    <n v="-0.55300000000000005"/>
    <n v="-0.55300000000000005"/>
    <m/>
    <n v="609.05999999999995"/>
    <n v="286.42"/>
    <m/>
    <n v="-495.20044000000001"/>
    <n v="-495.20044000000001"/>
    <n v="-378.18011000000001"/>
    <n v="0"/>
    <n v="-33.656353631129733"/>
    <n v="0"/>
    <n v="0"/>
    <n v="0"/>
    <n v="-54.001638925204318"/>
    <n v="-208.59823334273105"/>
    <n v="-158.39210991984683"/>
    <n v="0"/>
    <n v="0"/>
    <n v="0"/>
    <n v="0"/>
    <n v="0"/>
    <n v="-5.2014565919953588"/>
    <m/>
    <n v="-0.944434174215848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8.537842329678604"/>
    <n v="0"/>
    <n v="-1.23"/>
    <n v="-5.61"/>
    <n v="-77.45"/>
    <n v="5"/>
    <m/>
    <m/>
    <m/>
    <m/>
    <m/>
    <m/>
    <m/>
    <m/>
    <m/>
    <n v="-176.92995224952543"/>
    <m/>
    <m/>
    <m/>
    <m/>
    <m/>
    <m/>
    <m/>
    <m/>
    <m/>
    <m/>
    <m/>
    <m/>
    <n v="-376.12850000000003"/>
    <n v="119.04194000000001"/>
    <m/>
    <m/>
    <m/>
    <m/>
    <n v="81.174869999999984"/>
    <n v="35.845460000000017"/>
    <n v="31"/>
    <n v="40.904308590708496"/>
    <n v="0"/>
    <n v="0"/>
    <n v="0"/>
    <n v="0"/>
    <n v="0"/>
    <n v="0"/>
    <n v="0"/>
    <n v="-1.853169241322604"/>
    <n v="0"/>
    <n v="0"/>
    <n v="35.849203526330882"/>
    <n v="0"/>
    <n v="0"/>
    <n v="0"/>
    <n v="4.1957069891422112"/>
    <n v="0"/>
    <n v="2.3349482920826823"/>
    <m/>
    <n v="0"/>
    <n v="0"/>
    <n v="0"/>
    <n v="0"/>
    <n v="0.29767051123660693"/>
    <n v="7.9948513238792041E-2"/>
    <n v="0"/>
    <n v="0"/>
    <m/>
    <m/>
    <m/>
    <n v="-208.59823334273105"/>
    <n v="0"/>
    <n v="0"/>
    <n v="81.174869999999999"/>
    <n v="35.845460000000003"/>
    <n v="0"/>
    <n v="0"/>
    <n v="76.117519955495425"/>
    <n v="0"/>
    <n v="0"/>
    <n v="0"/>
    <n v="0"/>
    <n v="0"/>
    <n v="0"/>
    <n v="0"/>
    <n v="0"/>
    <n v="0"/>
    <n v="0"/>
    <n v="0"/>
    <n v="0"/>
    <n v="-15.870122288774004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62"/>
    <s v="Regular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5.55"/>
    <n v="5.55"/>
    <n v="5.55"/>
    <n v="5.55"/>
    <m/>
    <n v="510.09"/>
    <n v="286.42"/>
    <m/>
    <n v="4420.6305000000002"/>
    <n v="4420.6305000000002"/>
    <n v="3272.6684999999998"/>
    <n v="0"/>
    <n v="0"/>
    <n v="0"/>
    <n v="0"/>
    <n v="0"/>
    <n v="541.96943225114637"/>
    <n v="2093.5265733312067"/>
    <n v="1589.649566103345"/>
    <n v="0"/>
    <n v="0"/>
    <n v="0"/>
    <n v="0"/>
    <n v="0"/>
    <n v="0"/>
    <m/>
    <n v="9.47849849348636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6.04886967398957"/>
    <n v="0"/>
    <n v="23.24"/>
    <n v="106.26"/>
    <n v="396.1"/>
    <n v="3"/>
    <m/>
    <m/>
    <m/>
    <m/>
    <m/>
    <m/>
    <m/>
    <n v="2127.2594999999997"/>
    <m/>
    <n v="1775.6984357773347"/>
    <m/>
    <m/>
    <m/>
    <m/>
    <m/>
    <m/>
    <m/>
    <m/>
    <m/>
    <m/>
    <m/>
    <m/>
    <n v="1145.4089999999999"/>
    <n v="-401.84999999999991"/>
    <m/>
    <m/>
    <m/>
    <m/>
    <n v="-788.2109999999999"/>
    <n v="-359.75100000000009"/>
    <n v="31"/>
    <n v="-384.10104578663754"/>
    <n v="0"/>
    <n v="0"/>
    <n v="0"/>
    <n v="0"/>
    <n v="0"/>
    <n v="0"/>
    <n v="0"/>
    <n v="18.598714808933892"/>
    <n v="0"/>
    <n v="0"/>
    <n v="-359.78857065304942"/>
    <n v="0"/>
    <n v="0"/>
    <n v="0"/>
    <n v="-42.108813363000479"/>
    <n v="0"/>
    <n v="0"/>
    <m/>
    <n v="0"/>
    <n v="0"/>
    <n v="0"/>
    <n v="0"/>
    <n v="0"/>
    <n v="-0.80237657952132935"/>
    <n v="0"/>
    <n v="0"/>
    <m/>
    <m/>
    <m/>
    <n v="2093.5265733312067"/>
    <n v="0"/>
    <n v="0"/>
    <n v="-788.21100000000001"/>
    <n v="-359.7510000000002"/>
    <n v="0"/>
    <n v="0"/>
    <n v="-763.92809358589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63"/>
    <s v="Regular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10.305999999999999"/>
    <n v="10.305999999999999"/>
    <n v="10.305999999999999"/>
    <n v="10.305999999999999"/>
    <m/>
    <n v="510.09"/>
    <n v="286.42"/>
    <m/>
    <n v="8208.8320599999988"/>
    <n v="8208.8320599999988"/>
    <n v="6077.1390199999987"/>
    <n v="0"/>
    <n v="0"/>
    <n v="0"/>
    <n v="0"/>
    <n v="0"/>
    <n v="1006.4030574378944"/>
    <n v="3887.5468224777323"/>
    <n v="2951.8789960830763"/>
    <n v="0"/>
    <n v="0"/>
    <n v="0"/>
    <n v="0"/>
    <n v="0"/>
    <n v="0"/>
    <m/>
    <n v="17.6009739592559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5.48101817299755"/>
    <n v="0"/>
    <n v="42.34"/>
    <n v="198.41"/>
    <n v="919.71"/>
    <n v="74"/>
    <m/>
    <m/>
    <m/>
    <m/>
    <m/>
    <m/>
    <m/>
    <n v="2430.8762199999996"/>
    <m/>
    <n v="3297.360014256074"/>
    <m/>
    <m/>
    <m/>
    <m/>
    <m/>
    <m/>
    <m/>
    <m/>
    <m/>
    <m/>
    <m/>
    <m/>
    <n v="3647.6779999999999"/>
    <n v="-1277.6924600000002"/>
    <m/>
    <m/>
    <m/>
    <m/>
    <n v="-1463.6581199999996"/>
    <n v="-668.03492000000017"/>
    <n v="31"/>
    <n v="-713.25141943731251"/>
    <n v="0"/>
    <n v="0"/>
    <n v="0"/>
    <n v="0"/>
    <n v="0"/>
    <n v="0"/>
    <n v="0"/>
    <n v="34.536640508265236"/>
    <n v="0"/>
    <n v="0"/>
    <n v="-668.10468633339269"/>
    <n v="0"/>
    <n v="0"/>
    <n v="0"/>
    <n v="-78.19341090433926"/>
    <n v="0"/>
    <n v="0"/>
    <m/>
    <n v="0"/>
    <n v="0"/>
    <n v="0"/>
    <n v="0"/>
    <n v="0"/>
    <n v="-1.4899627078462778"/>
    <n v="0"/>
    <n v="0"/>
    <m/>
    <m/>
    <m/>
    <n v="3887.5468224777323"/>
    <n v="0"/>
    <n v="0"/>
    <n v="-1463.6581199999996"/>
    <n v="-668.03492000000051"/>
    <n v="0"/>
    <n v="0"/>
    <n v="-1418.5662941434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64"/>
    <s v="Regular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7.2119999999999997"/>
    <n v="7.2119999999999997"/>
    <n v="7.2119999999999997"/>
    <n v="7.2119999999999997"/>
    <m/>
    <n v="510.09"/>
    <n v="286.42"/>
    <m/>
    <n v="5744.4301199999991"/>
    <n v="5744.4301199999991"/>
    <n v="4252.7000399999997"/>
    <n v="0"/>
    <n v="0"/>
    <n v="0"/>
    <n v="0"/>
    <n v="0"/>
    <n v="704.26730547662476"/>
    <n v="2720.4529093449842"/>
    <n v="2065.685165898617"/>
    <n v="0"/>
    <n v="0"/>
    <n v="0"/>
    <n v="0"/>
    <n v="0"/>
    <n v="0"/>
    <m/>
    <n v="12.3169245288330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1.7629636196059"/>
    <n v="0"/>
    <n v="29.49"/>
    <n v="137.5"/>
    <n v="887.99"/>
    <n v="88"/>
    <m/>
    <m/>
    <m/>
    <m/>
    <m/>
    <m/>
    <m/>
    <n v="425.29163999999997"/>
    <m/>
    <n v="2307.4481295182231"/>
    <m/>
    <m/>
    <m/>
    <m/>
    <m/>
    <m/>
    <m/>
    <m/>
    <m/>
    <m/>
    <m/>
    <m/>
    <n v="3826.3469999999998"/>
    <n v="-1343.6773200000007"/>
    <m/>
    <m/>
    <m/>
    <m/>
    <n v="-1024.2482399999999"/>
    <n v="-467.48184000000015"/>
    <n v="31"/>
    <n v="-499.12373733571712"/>
    <n v="0"/>
    <n v="0"/>
    <n v="0"/>
    <n v="0"/>
    <n v="0"/>
    <n v="0"/>
    <n v="0"/>
    <n v="24.168275892257839"/>
    <n v="0"/>
    <n v="0"/>
    <n v="-467.53066154050316"/>
    <n v="0"/>
    <n v="0"/>
    <n v="0"/>
    <n v="-54.71869585116383"/>
    <n v="0"/>
    <n v="0"/>
    <m/>
    <n v="0"/>
    <n v="0"/>
    <n v="0"/>
    <n v="0"/>
    <n v="0"/>
    <n v="-1.0426558363077181"/>
    <n v="0"/>
    <n v="0"/>
    <m/>
    <m/>
    <m/>
    <n v="2720.4529093449842"/>
    <n v="0"/>
    <n v="0"/>
    <n v="-1024.2482399999999"/>
    <n v="-467.48184000000015"/>
    <n v="0"/>
    <n v="0"/>
    <n v="-992.69358755702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65"/>
    <s v="Regular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1.1619999999999999"/>
    <n v="1.1619999999999999"/>
    <n v="1.1619999999999999"/>
    <n v="1.1619999999999999"/>
    <m/>
    <n v="510.09"/>
    <n v="286.42"/>
    <m/>
    <n v="925.5446199999999"/>
    <n v="925.5446199999999"/>
    <n v="685.19653999999991"/>
    <n v="0"/>
    <n v="0"/>
    <n v="0"/>
    <n v="0"/>
    <n v="0"/>
    <n v="113.47179824789767"/>
    <n v="438.3203384163715"/>
    <n v="332.82392717334898"/>
    <n v="0"/>
    <n v="0"/>
    <n v="0"/>
    <n v="0"/>
    <n v="0"/>
    <n v="0"/>
    <m/>
    <n v="1.98450725214975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.952934515527183"/>
    <n v="0"/>
    <n v="4.83"/>
    <n v="22.34"/>
    <n v="180.27"/>
    <n v="20"/>
    <m/>
    <m/>
    <m/>
    <m/>
    <m/>
    <m/>
    <m/>
    <m/>
    <m/>
    <n v="371.77686168887618"/>
    <m/>
    <m/>
    <m/>
    <m/>
    <m/>
    <m/>
    <m/>
    <m/>
    <m/>
    <m/>
    <m/>
    <m/>
    <n v="684.0172"/>
    <n v="-241.55741999999987"/>
    <m/>
    <m/>
    <m/>
    <m/>
    <n v="-165.02723999999998"/>
    <n v="-75.320840000000018"/>
    <n v="31"/>
    <n v="-80.418993730463512"/>
    <n v="0"/>
    <n v="0"/>
    <n v="0"/>
    <n v="0"/>
    <n v="0"/>
    <n v="0"/>
    <n v="0"/>
    <n v="3.894001190627236"/>
    <n v="0"/>
    <n v="0"/>
    <n v="-75.328706143935733"/>
    <n v="0"/>
    <n v="0"/>
    <n v="0"/>
    <n v="-8.816295698703879"/>
    <n v="0"/>
    <n v="0"/>
    <m/>
    <n v="0"/>
    <n v="0"/>
    <n v="0"/>
    <n v="0"/>
    <n v="0"/>
    <n v="-0.16799307845113254"/>
    <n v="0"/>
    <n v="0"/>
    <m/>
    <m/>
    <m/>
    <n v="438.3203384163715"/>
    <n v="0"/>
    <n v="0"/>
    <n v="-165.02724000000001"/>
    <n v="-75.320840000000032"/>
    <n v="0"/>
    <n v="0"/>
    <n v="-159.94314319762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66"/>
    <s v="Regular"/>
    <s v="Branca"/>
    <s v="B1"/>
    <s v="Residencial"/>
    <s v="Residencial"/>
    <s v="Não se aplica"/>
    <s v="Não se aplica"/>
    <s v="Fora ponta"/>
    <s v="CATIVO"/>
    <x v="11"/>
    <n v="0"/>
    <n v="0"/>
    <n v="4.2000000000000003E-2"/>
    <n v="4.2000000000000003E-2"/>
    <n v="4.2000000000000003E-2"/>
    <n v="4.2000000000000003E-2"/>
    <m/>
    <n v="409.62"/>
    <n v="286.42"/>
    <m/>
    <n v="29.233680000000003"/>
    <n v="29.233680000000003"/>
    <n v="22.71528"/>
    <n v="0"/>
    <n v="2.556178756794663"/>
    <n v="0"/>
    <n v="0"/>
    <n v="0"/>
    <n v="2.3790149425076286"/>
    <n v="9.1888806224054704"/>
    <n v="12.029780500241532"/>
    <n v="0"/>
    <n v="0"/>
    <n v="0"/>
    <n v="0"/>
    <n v="0"/>
    <n v="0.39504733610091336"/>
    <m/>
    <n v="7.172917778854548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079373921274887"/>
    <n v="0"/>
    <n v="0"/>
    <n v="0"/>
    <n v="0"/>
    <n v="0"/>
    <m/>
    <m/>
    <m/>
    <m/>
    <m/>
    <m/>
    <m/>
    <m/>
    <m/>
    <n v="13.437717892369021"/>
    <m/>
    <m/>
    <m/>
    <m/>
    <m/>
    <m/>
    <m/>
    <m/>
    <m/>
    <m/>
    <m/>
    <m/>
    <n v="21.633600000000001"/>
    <n v="-7.6300800000000066"/>
    <m/>
    <m/>
    <m/>
    <m/>
    <n v="-3.79596"/>
    <n v="-2.7224400000000011"/>
    <n v="31"/>
    <n v="-3.1657629442121227"/>
    <n v="0"/>
    <n v="0"/>
    <n v="0"/>
    <n v="0"/>
    <n v="0"/>
    <n v="0"/>
    <n v="0"/>
    <n v="8.1640435435813785E-2"/>
    <n v="0"/>
    <n v="0"/>
    <n v="-2.7227243184555121"/>
    <n v="0"/>
    <n v="0"/>
    <n v="0"/>
    <n v="-0.318661290314598"/>
    <n v="0"/>
    <n v="-0.17733784496830474"/>
    <m/>
    <n v="0"/>
    <n v="0"/>
    <n v="0"/>
    <n v="0"/>
    <n v="-2.2607886929362608E-2"/>
    <n v="-6.0720389801614122E-3"/>
    <n v="0"/>
    <n v="0"/>
    <m/>
    <m/>
    <m/>
    <n v="9.1888806224054704"/>
    <n v="0"/>
    <n v="0"/>
    <n v="-3.7959600000000009"/>
    <n v="-2.7224400000000006"/>
    <n v="0"/>
    <n v="0"/>
    <n v="-3.3530236231456021"/>
    <n v="0"/>
    <n v="0"/>
    <n v="0"/>
    <n v="0"/>
    <n v="0"/>
    <n v="0"/>
    <n v="0"/>
    <n v="0"/>
    <n v="0"/>
    <n v="0"/>
    <n v="0"/>
    <n v="0"/>
    <n v="1.2053257434511901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67"/>
    <s v="Regular"/>
    <s v="Branca"/>
    <s v="B1"/>
    <s v="Residencial"/>
    <s v="Residencial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22"/>
    <n v="1.0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"/>
    <m/>
    <m/>
    <m/>
    <m/>
    <n v="0"/>
    <n v="-17.698635468909799"/>
    <m/>
    <n v="-17.698635468909799"/>
    <m/>
    <n v="0"/>
    <n v="0"/>
    <n v="0"/>
    <n v="0"/>
  </r>
  <r>
    <n v="268"/>
    <s v="Regular"/>
    <s v="Branca"/>
    <s v="B1"/>
    <s v="Residencial"/>
    <s v="Residencial"/>
    <s v="Não se aplica"/>
    <s v="Não se aplica"/>
    <s v="Intermediário"/>
    <s v="CATIVO"/>
    <x v="11"/>
    <n v="0"/>
    <n v="0"/>
    <n v="1.2E-2"/>
    <n v="1.2E-2"/>
    <n v="1.2E-2"/>
    <n v="1.2E-2"/>
    <m/>
    <n v="960.47"/>
    <n v="286.42"/>
    <m/>
    <n v="14.962680000000001"/>
    <n v="14.962680000000001"/>
    <n v="11.230919999999999"/>
    <n v="0"/>
    <n v="0.73033678765561794"/>
    <n v="0"/>
    <n v="0"/>
    <n v="0"/>
    <n v="2.0390917310054157"/>
    <n v="7.8761874024429597"/>
    <n v="3.4370801429261517"/>
    <n v="0"/>
    <n v="0"/>
    <n v="0"/>
    <n v="0"/>
    <n v="0"/>
    <n v="0.1128706674574038"/>
    <m/>
    <n v="2.049405079672728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0226782632213964"/>
    <n v="0"/>
    <n v="0"/>
    <n v="0"/>
    <n v="0"/>
    <n v="0"/>
    <m/>
    <m/>
    <m/>
    <m/>
    <m/>
    <m/>
    <m/>
    <m/>
    <m/>
    <n v="3.8393479692482915"/>
    <m/>
    <m/>
    <m/>
    <m/>
    <m/>
    <m/>
    <m/>
    <m/>
    <m/>
    <m/>
    <m/>
    <m/>
    <n v="9.3590999999999998"/>
    <n v="-5.6335800000000003"/>
    <m/>
    <m/>
    <m/>
    <m/>
    <n v="-2.953920000000001"/>
    <n v="-0.77784000000000031"/>
    <n v="31"/>
    <n v="-0.85785421497162684"/>
    <n v="0"/>
    <n v="0"/>
    <n v="0"/>
    <n v="0"/>
    <n v="0"/>
    <n v="0"/>
    <n v="0"/>
    <n v="6.9975322070640278E-2"/>
    <n v="0"/>
    <n v="0"/>
    <n v="-0.77792123384443146"/>
    <n v="0"/>
    <n v="0"/>
    <n v="0"/>
    <n v="-9.104608294702804E-2"/>
    <n v="0"/>
    <n v="-5.0667955705229861E-2"/>
    <m/>
    <n v="0"/>
    <n v="0"/>
    <n v="0"/>
    <n v="0"/>
    <n v="-6.4593962655321718E-3"/>
    <n v="-1.7348682800461188E-3"/>
    <n v="0"/>
    <n v="0"/>
    <m/>
    <m/>
    <m/>
    <n v="7.8761874024429597"/>
    <n v="0"/>
    <n v="0"/>
    <n v="-2.9539200000000019"/>
    <n v="-0.77784000000000031"/>
    <n v="0"/>
    <n v="0"/>
    <n v="-2.8740217123203475"/>
    <n v="0"/>
    <n v="0"/>
    <n v="0"/>
    <n v="0"/>
    <n v="0"/>
    <n v="0"/>
    <n v="0"/>
    <n v="0"/>
    <n v="0"/>
    <n v="0"/>
    <n v="0"/>
    <n v="0"/>
    <n v="0.3443787838431972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73"/>
    <s v="Regular"/>
    <s v="Convencional"/>
    <s v="B2"/>
    <s v="Rural"/>
    <s v="Não se aplica"/>
    <s v="Não se aplica"/>
    <s v="Não se aplica"/>
    <s v="Não se aplica"/>
    <s v="CATIVO"/>
    <x v="11"/>
    <n v="0"/>
    <n v="0"/>
    <n v="102.925"/>
    <n v="102.925"/>
    <n v="102.925"/>
    <n v="102.925"/>
    <m/>
    <n v="609.05999999999995"/>
    <n v="286.42"/>
    <m/>
    <n v="92167.278999999995"/>
    <n v="92167.278999999995"/>
    <n v="70387.319749999995"/>
    <n v="0"/>
    <n v="6264.1594891212062"/>
    <n v="0"/>
    <n v="0"/>
    <n v="0"/>
    <n v="10050.847534134997"/>
    <n v="38824.544605426025"/>
    <n v="29480.122809222845"/>
    <n v="0"/>
    <n v="0"/>
    <n v="0"/>
    <n v="0"/>
    <n v="0"/>
    <n v="968.1011206711072"/>
    <m/>
    <n v="175.779181521096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50.2846686838516"/>
    <n v="0"/>
    <n v="348.58"/>
    <n v="1614.98"/>
    <n v="2633.55"/>
    <n v="320"/>
    <m/>
    <m/>
    <m/>
    <m/>
    <m/>
    <n v="8447.0547499999957"/>
    <m/>
    <m/>
    <m/>
    <n v="32930.407477906694"/>
    <m/>
    <m/>
    <m/>
    <m/>
    <m/>
    <m/>
    <m/>
    <m/>
    <m/>
    <m/>
    <m/>
    <m/>
    <n v="61943.274000000005"/>
    <n v="-19163.714500000002"/>
    <m/>
    <m/>
    <m/>
    <m/>
    <n v="-15108.360749999996"/>
    <n v="-6671.5985000000019"/>
    <n v="31"/>
    <n v="-7613.1572544279843"/>
    <n v="0"/>
    <n v="0"/>
    <n v="0"/>
    <n v="0"/>
    <n v="0"/>
    <n v="0"/>
    <n v="0"/>
    <n v="344.91400391162642"/>
    <n v="0"/>
    <n v="0"/>
    <n v="-6672.2952494531746"/>
    <n v="0"/>
    <n v="0"/>
    <n v="0"/>
    <n v="-780.90984061023846"/>
    <n v="0"/>
    <n v="-434.58327841339906"/>
    <m/>
    <n v="0"/>
    <n v="0"/>
    <n v="0"/>
    <n v="0"/>
    <n v="-55.402780052491607"/>
    <n v="-14.880109810312234"/>
    <n v="0"/>
    <n v="0"/>
    <m/>
    <m/>
    <m/>
    <n v="38824.544605426025"/>
    <n v="0"/>
    <n v="0"/>
    <n v="-15108.36075"/>
    <n v="-6671.5985000000001"/>
    <n v="0"/>
    <n v="0"/>
    <n v="-14167.080906725798"/>
    <n v="0"/>
    <n v="0"/>
    <n v="0"/>
    <n v="0"/>
    <n v="0"/>
    <n v="0"/>
    <n v="0"/>
    <n v="0"/>
    <n v="0"/>
    <n v="0"/>
    <n v="0"/>
    <n v="0"/>
    <n v="2953.7655272550892"/>
    <n v="0"/>
    <n v="0"/>
    <n v="0"/>
    <n v="0"/>
    <n v="0"/>
    <n v="202"/>
    <n v="0"/>
    <n v="0"/>
    <n v="0"/>
    <m/>
    <n v="0"/>
    <n v="-12.3890448282368"/>
    <m/>
    <n v="-17.698635468909799"/>
    <m/>
    <n v="0"/>
    <n v="0"/>
    <n v="0"/>
    <n v="0"/>
  </r>
  <r>
    <n v="274"/>
    <s v="Refaturamento - Regular"/>
    <s v="Convencional"/>
    <s v="B2"/>
    <s v="Rural"/>
    <s v="Não se aplica"/>
    <s v="Não se aplica"/>
    <s v="Não se aplica"/>
    <s v="Não se aplica"/>
    <s v="CATIVO"/>
    <x v="11"/>
    <n v="0"/>
    <n v="0"/>
    <n v="-8.0000000000000002E-3"/>
    <n v="-8.0000000000000002E-3"/>
    <n v="-8.0000000000000002E-3"/>
    <n v="-8.0000000000000002E-3"/>
    <m/>
    <n v="609.05999999999995"/>
    <n v="286.42"/>
    <m/>
    <n v="-7.1638399999999995"/>
    <n v="-7.1638399999999995"/>
    <n v="-5.4709599999999998"/>
    <n v="0"/>
    <n v="-0.48689119177041201"/>
    <n v="0"/>
    <n v="0"/>
    <n v="0"/>
    <n v="-0.7812171996412921"/>
    <n v="-3.0176959615584962"/>
    <n v="-2.291386761950768"/>
    <n v="0"/>
    <n v="0"/>
    <n v="0"/>
    <n v="0"/>
    <n v="0"/>
    <n v="-7.5247111638269207E-2"/>
    <m/>
    <n v="-1.36627005311515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26817855088142645"/>
    <n v="0"/>
    <n v="-0.03"/>
    <n v="-0.17"/>
    <n v="-1.25"/>
    <n v="0"/>
    <m/>
    <m/>
    <m/>
    <m/>
    <m/>
    <n v="-0.6565599999999997"/>
    <m/>
    <m/>
    <m/>
    <n v="-2.5595653128321945"/>
    <m/>
    <m/>
    <m/>
    <m/>
    <m/>
    <m/>
    <m/>
    <m/>
    <m/>
    <m/>
    <m/>
    <m/>
    <n v="-6.0180000000000007"/>
    <n v="0.25616000000000039"/>
    <m/>
    <m/>
    <m/>
    <m/>
    <n v="1.1743199999999998"/>
    <n v="0.51856000000000013"/>
    <n v="31"/>
    <n v="0.59174406641169774"/>
    <n v="0"/>
    <n v="0"/>
    <n v="0"/>
    <n v="0"/>
    <n v="0"/>
    <n v="0"/>
    <n v="0"/>
    <n v="-2.6808958283147888E-2"/>
    <n v="0"/>
    <n v="0"/>
    <n v="0.51861415589628779"/>
    <n v="0"/>
    <n v="0"/>
    <n v="0"/>
    <n v="6.0697388631352045E-2"/>
    <n v="0"/>
    <n v="3.377863713682E-2"/>
    <m/>
    <n v="0"/>
    <n v="0"/>
    <n v="0"/>
    <n v="0"/>
    <n v="4.3062641770214433E-3"/>
    <n v="1.1565788533640792E-3"/>
    <n v="0"/>
    <n v="0"/>
    <m/>
    <m/>
    <m/>
    <n v="-3.0176959615584962"/>
    <n v="0"/>
    <n v="0"/>
    <n v="1.1743199999999994"/>
    <n v="0.51856000000000013"/>
    <n v="0"/>
    <n v="0"/>
    <n v="1.101157612376064"/>
    <n v="0"/>
    <n v="0"/>
    <n v="0"/>
    <n v="0"/>
    <n v="0"/>
    <n v="0"/>
    <n v="0"/>
    <n v="0"/>
    <n v="0"/>
    <n v="0"/>
    <n v="0"/>
    <n v="0"/>
    <n v="-0.22958585589546479"/>
    <n v="0"/>
    <n v="0"/>
    <n v="0"/>
    <n v="0"/>
    <n v="0"/>
    <n v="202"/>
    <n v="0"/>
    <n v="0"/>
    <n v="0"/>
    <m/>
    <n v="0"/>
    <n v="-12.3890448282368"/>
    <m/>
    <n v="-17.698635468909799"/>
    <m/>
    <n v="0"/>
    <n v="0"/>
    <n v="0"/>
    <n v="0"/>
  </r>
  <r>
    <n v="275"/>
    <s v="Sistema de Compensação"/>
    <s v="Convencional"/>
    <s v="B2"/>
    <s v="Rural"/>
    <s v="Não se aplica"/>
    <s v="Não se aplica"/>
    <s v="Não se aplica"/>
    <s v="Não se aplica"/>
    <s v="CATIVO"/>
    <x v="11"/>
    <n v="0"/>
    <n v="0"/>
    <n v="1.403"/>
    <n v="1.403"/>
    <n v="1.403"/>
    <n v="1.403"/>
    <m/>
    <n v="609.05999999999995"/>
    <n v="286.42"/>
    <m/>
    <n v="1256.35844"/>
    <n v="1256.35844"/>
    <n v="959.46960999999999"/>
    <n v="0"/>
    <n v="85.388542756736001"/>
    <n v="0"/>
    <n v="0"/>
    <n v="0"/>
    <n v="137.0059663870916"/>
    <n v="529.22842925832128"/>
    <n v="401.85195337711593"/>
    <n v="0"/>
    <n v="0"/>
    <n v="0"/>
    <n v="0"/>
    <n v="0"/>
    <n v="13.196462203561461"/>
    <m/>
    <n v="2.3960961056506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031813360830157"/>
    <n v="0"/>
    <n v="3.59"/>
    <n v="16.61"/>
    <n v="0"/>
    <n v="6"/>
    <m/>
    <m/>
    <m/>
    <m/>
    <m/>
    <n v="115.14420999999996"/>
    <m/>
    <m/>
    <m/>
    <n v="448.88376673794608"/>
    <m/>
    <m/>
    <m/>
    <m/>
    <m/>
    <m/>
    <m/>
    <m/>
    <m/>
    <m/>
    <m/>
    <m/>
    <n v="842.52"/>
    <n v="-263.10205999999994"/>
    <m/>
    <m/>
    <m/>
    <m/>
    <n v="-205.94636999999994"/>
    <n v="-90.942460000000025"/>
    <n v="31"/>
    <n v="-103.77711564695153"/>
    <n v="0"/>
    <n v="0"/>
    <n v="0"/>
    <n v="0"/>
    <n v="0"/>
    <n v="0"/>
    <n v="0"/>
    <n v="4.7016210589070511"/>
    <n v="0"/>
    <n v="0"/>
    <n v="-90.951957590311508"/>
    <n v="0"/>
    <n v="0"/>
    <n v="0"/>
    <n v="-10.644804531223357"/>
    <n v="0"/>
    <n v="-5.9239284878698015"/>
    <m/>
    <n v="0"/>
    <n v="0"/>
    <n v="0"/>
    <n v="0"/>
    <n v="-0.75521108004513593"/>
    <n v="-0.20283501640872537"/>
    <n v="0"/>
    <n v="0"/>
    <m/>
    <m/>
    <m/>
    <n v="529.22842925832128"/>
    <n v="0"/>
    <n v="0"/>
    <n v="-205.94637"/>
    <n v="-90.942459999999983"/>
    <n v="0"/>
    <n v="0"/>
    <n v="-193.11551627045225"/>
    <n v="0"/>
    <n v="0"/>
    <n v="0"/>
    <n v="0"/>
    <n v="0"/>
    <n v="0"/>
    <n v="0"/>
    <n v="0"/>
    <n v="0"/>
    <n v="0"/>
    <n v="0"/>
    <n v="0"/>
    <n v="40.263619477667135"/>
    <n v="0"/>
    <n v="0"/>
    <n v="0"/>
    <n v="0"/>
    <n v="0"/>
    <n v="202"/>
    <n v="0"/>
    <n v="0"/>
    <n v="0"/>
    <m/>
    <n v="0"/>
    <n v="-12.3890448282368"/>
    <m/>
    <n v="-17.698635468909799"/>
    <m/>
    <n v="0"/>
    <n v="0"/>
    <n v="0"/>
    <n v="0"/>
  </r>
  <r>
    <n v="254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28.986999999999998"/>
    <n v="27.247779999999999"/>
    <n v="28.986999999999998"/>
    <n v="27.247779999999999"/>
    <m/>
    <n v="609.05999999999995"/>
    <n v="286.42"/>
    <m/>
    <n v="25957.278759999997"/>
    <n v="25957.278759999997"/>
    <n v="19823.339689999997"/>
    <n v="0"/>
    <n v="1764.1893719811164"/>
    <n v="0"/>
    <n v="0"/>
    <n v="0"/>
    <n v="2830.6428707502664"/>
    <n v="10934.244104712016"/>
    <n v="8302.5535085833635"/>
    <n v="0"/>
    <n v="0"/>
    <n v="0"/>
    <n v="0"/>
    <n v="0"/>
    <n v="272.64850313231364"/>
    <m/>
    <n v="49.5050875370611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71.71145679998835"/>
    <n v="0"/>
    <n v="69.8"/>
    <n v="322.29000000000002"/>
    <n v="4437.49"/>
    <n v="6"/>
    <m/>
    <m/>
    <m/>
    <m/>
    <n v="1189.4003813999998"/>
    <m/>
    <m/>
    <m/>
    <m/>
    <n v="9274.2649653833523"/>
    <m/>
    <m/>
    <m/>
    <m/>
    <m/>
    <m/>
    <m/>
    <m/>
    <m/>
    <m/>
    <m/>
    <m/>
    <n v="18635.4575"/>
    <n v="-5764.4145343999917"/>
    <m/>
    <m/>
    <m/>
    <m/>
    <n v="-4255.001729999999"/>
    <n v="-1878.9373400000004"/>
    <n v="31"/>
    <n v="-2144.1106566344824"/>
    <n v="0"/>
    <n v="0"/>
    <n v="0"/>
    <n v="0"/>
    <n v="0"/>
    <n v="0"/>
    <n v="0"/>
    <n v="97.138909219201196"/>
    <n v="0"/>
    <n v="0"/>
    <n v="-1879.1335671207116"/>
    <n v="0"/>
    <n v="0"/>
    <n v="0"/>
    <n v="-219.9294005321251"/>
    <n v="0"/>
    <n v="-122.39266933562499"/>
    <m/>
    <n v="0"/>
    <n v="0"/>
    <n v="0"/>
    <n v="0"/>
    <n v="-15.603209962415065"/>
    <n v="-4.1907189028080722"/>
    <n v="0"/>
    <n v="0"/>
    <m/>
    <m/>
    <m/>
    <n v="10934.244104712016"/>
    <n v="0"/>
    <n v="0"/>
    <n v="-4255.00173"/>
    <n v="-1878.9373399999995"/>
    <n v="0"/>
    <n v="0"/>
    <n v="-3989.9069637431212"/>
    <n v="0"/>
    <n v="0"/>
    <n v="0"/>
    <n v="0"/>
    <n v="0"/>
    <n v="0"/>
    <n v="0"/>
    <n v="0"/>
    <n v="0"/>
    <n v="0"/>
    <n v="0"/>
    <n v="0"/>
    <n v="831.87565060522968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69"/>
    <s v="Regular"/>
    <s v="Convencional"/>
    <s v="B3"/>
    <s v="Comercial"/>
    <s v="Não se aplica"/>
    <s v="Não se aplica"/>
    <s v="Não se aplica"/>
    <s v="Não se aplica"/>
    <s v="CATIVO"/>
    <x v="11"/>
    <n v="0"/>
    <n v="0"/>
    <n v="17.398"/>
    <n v="17.398"/>
    <n v="17.398"/>
    <n v="17.398"/>
    <m/>
    <n v="609.05999999999995"/>
    <n v="286.42"/>
    <m/>
    <n v="15579.561039999999"/>
    <n v="15579.561039999999"/>
    <n v="11897.97026"/>
    <n v="0"/>
    <n v="1058.8666193027034"/>
    <n v="0"/>
    <n v="0"/>
    <n v="0"/>
    <n v="1698.9521049198997"/>
    <n v="6562.7342923993392"/>
    <n v="4983.1933605524318"/>
    <n v="0"/>
    <n v="0"/>
    <n v="0"/>
    <n v="0"/>
    <n v="0"/>
    <n v="163.64365603532593"/>
    <m/>
    <n v="29.7129579801217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3.22130352938211"/>
    <n v="0"/>
    <n v="50.35"/>
    <n v="232.91"/>
    <n v="2673.67"/>
    <n v="44"/>
    <m/>
    <m/>
    <m/>
    <m/>
    <m/>
    <m/>
    <m/>
    <m/>
    <m/>
    <n v="5566.4146640818144"/>
    <m/>
    <m/>
    <m/>
    <m/>
    <m/>
    <m/>
    <m/>
    <m/>
    <m/>
    <m/>
    <m/>
    <m/>
    <n v="11899.337999999998"/>
    <n v="-3680.2530400000014"/>
    <m/>
    <m/>
    <m/>
    <m/>
    <n v="-2553.8524199999993"/>
    <n v="-1127.7383600000003"/>
    <n v="31"/>
    <n v="-1286.8954084288398"/>
    <n v="0"/>
    <n v="0"/>
    <n v="0"/>
    <n v="0"/>
    <n v="0"/>
    <n v="0"/>
    <n v="0"/>
    <n v="58.302782026276191"/>
    <n v="0"/>
    <n v="0"/>
    <n v="-1127.8561355354514"/>
    <n v="0"/>
    <n v="0"/>
    <n v="0"/>
    <n v="-132.00164592603284"/>
    <n v="0"/>
    <n v="-73.4600911132992"/>
    <m/>
    <n v="0"/>
    <n v="0"/>
    <n v="0"/>
    <n v="0"/>
    <n v="-9.3650480189773759"/>
    <n v="-2.5152698613535307"/>
    <n v="0"/>
    <n v="0"/>
    <m/>
    <m/>
    <m/>
    <n v="6562.7342923993392"/>
    <n v="0"/>
    <n v="0"/>
    <n v="-2553.8524199999993"/>
    <n v="-1127.7383599999998"/>
    <n v="0"/>
    <n v="0"/>
    <n v="-2394.7425175148455"/>
    <n v="0"/>
    <n v="0"/>
    <n v="0"/>
    <n v="0"/>
    <n v="0"/>
    <n v="0"/>
    <n v="0"/>
    <n v="0"/>
    <n v="0"/>
    <n v="0"/>
    <n v="0"/>
    <n v="0"/>
    <n v="499.29184010866203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76"/>
    <s v="Regular"/>
    <s v="Convencional"/>
    <s v="B3"/>
    <s v="Poder público"/>
    <s v="Não se aplica"/>
    <s v="Não se aplica"/>
    <s v="Não se aplica"/>
    <s v="Não se aplica"/>
    <s v="CATIVO"/>
    <x v="11"/>
    <n v="0"/>
    <n v="0"/>
    <n v="5.8460000000000001"/>
    <n v="5.8460000000000001"/>
    <n v="5.8460000000000001"/>
    <n v="5.8460000000000001"/>
    <m/>
    <n v="609.05999999999995"/>
    <n v="286.42"/>
    <m/>
    <n v="5234.9760800000004"/>
    <n v="5234.9760800000004"/>
    <n v="3997.9040199999999"/>
    <n v="0"/>
    <n v="355.79573838622855"/>
    <n v="0"/>
    <n v="0"/>
    <n v="0"/>
    <n v="570.8744686378742"/>
    <n v="2205.181323908871"/>
    <n v="1674.4308762955236"/>
    <n v="0"/>
    <n v="0"/>
    <n v="0"/>
    <n v="0"/>
    <n v="0"/>
    <n v="54.986826829665219"/>
    <m/>
    <n v="9.98401841313897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5.97147605660237"/>
    <n v="0"/>
    <n v="21.28"/>
    <n v="98.45"/>
    <n v="399.32"/>
    <n v="10"/>
    <m/>
    <m/>
    <m/>
    <m/>
    <m/>
    <m/>
    <m/>
    <m/>
    <m/>
    <n v="1870.4023523521259"/>
    <m/>
    <m/>
    <m/>
    <m/>
    <m/>
    <m/>
    <m/>
    <m/>
    <m/>
    <m/>
    <m/>
    <m/>
    <n v="4000.6394999999993"/>
    <n v="-1234.3665800000017"/>
    <m/>
    <m/>
    <m/>
    <m/>
    <n v="-858.13433999999984"/>
    <n v="-378.93772000000013"/>
    <n v="31"/>
    <n v="-432.41697653034771"/>
    <n v="0"/>
    <n v="0"/>
    <n v="0"/>
    <n v="0"/>
    <n v="0"/>
    <n v="0"/>
    <n v="0"/>
    <n v="19.590646265410328"/>
    <n v="0"/>
    <n v="0"/>
    <n v="-378.97729442121226"/>
    <n v="0"/>
    <n v="0"/>
    <n v="0"/>
    <n v="-44.35461674236052"/>
    <n v="0"/>
    <n v="-24.683739087731169"/>
    <m/>
    <n v="0"/>
    <n v="0"/>
    <n v="0"/>
    <n v="0"/>
    <n v="-3.1468025473584191"/>
    <n v="-0.84516999709579999"/>
    <n v="0"/>
    <n v="0"/>
    <m/>
    <m/>
    <m/>
    <n v="2205.181323908871"/>
    <n v="0"/>
    <n v="0"/>
    <n v="-858.13433999999961"/>
    <n v="-378.93772000000013"/>
    <n v="0"/>
    <n v="0"/>
    <n v="-804.67092524380882"/>
    <n v="0"/>
    <n v="0"/>
    <n v="0"/>
    <n v="0"/>
    <n v="0"/>
    <n v="0"/>
    <n v="0"/>
    <n v="0"/>
    <n v="0"/>
    <n v="0"/>
    <n v="0"/>
    <n v="0"/>
    <n v="167.76986419561089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79"/>
    <s v="Regular"/>
    <s v="Verde"/>
    <s v="A4"/>
    <s v="Serviço público"/>
    <s v="Água, esgoto e saneamento"/>
    <s v="Não se aplica"/>
    <s v="Não se aplica"/>
    <s v="Ponta"/>
    <s v="CATIVO"/>
    <x v="11"/>
    <n v="0"/>
    <n v="0"/>
    <n v="21.699000000000002"/>
    <n v="20.39706"/>
    <n v="21.699000000000002"/>
    <n v="20.39706"/>
    <m/>
    <n v="3305.85"/>
    <n v="286.42"/>
    <m/>
    <n v="77948.666729999997"/>
    <n v="77948.666729999997"/>
    <n v="56658.258900000001"/>
    <n v="0"/>
    <n v="1148.9494017620959"/>
    <n v="0"/>
    <n v="0"/>
    <n v="0"/>
    <n v="14147.424055335652"/>
    <n v="55405.980626106699"/>
    <n v="6215.1001684462144"/>
    <n v="0"/>
    <n v="0"/>
    <n v="0"/>
    <n v="0"/>
    <n v="0"/>
    <n v="204.09838442985046"/>
    <m/>
    <n v="29.7295270849616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5.77252612887827"/>
    <n v="0"/>
    <n v="0"/>
    <n v="0"/>
    <n v="0"/>
    <n v="0"/>
    <m/>
    <m/>
    <m/>
    <m/>
    <n v="3399.4955340000051"/>
    <m/>
    <m/>
    <m/>
    <m/>
    <n v="6470.8726945750923"/>
    <m/>
    <m/>
    <m/>
    <m/>
    <m/>
    <m/>
    <m/>
    <m/>
    <m/>
    <m/>
    <m/>
    <m/>
    <n v="53266.439999999995"/>
    <n v="-20005.336726199988"/>
    <m/>
    <m/>
    <m/>
    <m/>
    <n v="-19883.878649999999"/>
    <n v="-1406.5291800000007"/>
    <n v="31"/>
    <n v="-1072.9763019928505"/>
    <n v="0"/>
    <n v="0"/>
    <n v="0"/>
    <n v="0"/>
    <n v="0"/>
    <n v="0"/>
    <n v="0"/>
    <n v="485.49584096151739"/>
    <n v="0"/>
    <n v="0"/>
    <n v="-1406.6760710991939"/>
    <n v="0"/>
    <n v="0"/>
    <n v="0"/>
    <n v="-57.889508197586679"/>
    <n v="0"/>
    <n v="-79.709687886464963"/>
    <m/>
    <n v="0"/>
    <n v="0"/>
    <n v="0"/>
    <n v="0"/>
    <n v="-11.680203297148552"/>
    <n v="-2.5166724739800301"/>
    <n v="0"/>
    <n v="0"/>
    <m/>
    <m/>
    <m/>
    <n v="55405.980626106699"/>
    <n v="0"/>
    <n v="0"/>
    <n v="-19883.878649999999"/>
    <n v="-1406.5291800000005"/>
    <n v="0"/>
    <n v="0"/>
    <n v="-20217.648866816053"/>
    <n v="0"/>
    <n v="0"/>
    <n v="0"/>
    <n v="0"/>
    <n v="0"/>
    <n v="0"/>
    <n v="0"/>
    <n v="0"/>
    <n v="0"/>
    <n v="0"/>
    <n v="0"/>
    <n v="0"/>
    <n v="541.76895421948154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80"/>
    <s v="Regular"/>
    <s v="Verde"/>
    <s v="A4"/>
    <s v="Serviço público"/>
    <s v="Água, esgoto e saneamento"/>
    <s v="Não se aplica"/>
    <s v="Não se aplica"/>
    <s v="Fora ponta"/>
    <s v="CATIVO"/>
    <x v="11"/>
    <n v="0"/>
    <n v="0"/>
    <n v="211.61"/>
    <n v="198.9134"/>
    <n v="211.61"/>
    <n v="198.9134"/>
    <m/>
    <n v="100.48"/>
    <n v="286.42"/>
    <m/>
    <n v="81871.909000000014"/>
    <n v="81871.909000000014"/>
    <n v="66674.078800000003"/>
    <n v="0"/>
    <n v="11204.626153595886"/>
    <n v="0"/>
    <n v="0"/>
    <n v="0"/>
    <n v="0"/>
    <n v="0"/>
    <n v="60610.04408705025"/>
    <n v="0"/>
    <n v="0"/>
    <n v="0"/>
    <n v="0"/>
    <n v="0"/>
    <n v="1990.3801617217684"/>
    <m/>
    <n v="289.924200490747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94.3096112324038"/>
    <n v="0"/>
    <n v="0"/>
    <n v="0"/>
    <n v="0"/>
    <n v="0"/>
    <m/>
    <m/>
    <m/>
    <m/>
    <n v="4000.4447280000059"/>
    <m/>
    <m/>
    <m/>
    <m/>
    <n v="63104.353698282655"/>
    <m/>
    <m/>
    <m/>
    <m/>
    <m/>
    <m/>
    <m/>
    <m/>
    <m/>
    <m/>
    <m/>
    <m/>
    <n v="62672.5628"/>
    <n v="-14287.061659999992"/>
    <m/>
    <m/>
    <m/>
    <m/>
    <n v="-1481.27"/>
    <n v="-13716.560200000005"/>
    <n v="31"/>
    <n v="-15198.31744184409"/>
    <n v="0"/>
    <n v="0"/>
    <n v="0"/>
    <n v="0"/>
    <n v="0"/>
    <n v="0"/>
    <n v="0"/>
    <n v="0"/>
    <n v="0"/>
    <n v="0"/>
    <n v="-13717.992691151681"/>
    <n v="0"/>
    <n v="0"/>
    <n v="0"/>
    <n v="-564.54209086553828"/>
    <n v="0"/>
    <n v="-777.3338427418239"/>
    <m/>
    <n v="0"/>
    <n v="0"/>
    <n v="0"/>
    <n v="0"/>
    <n v="-113.90607031243871"/>
    <n v="-24.542746772612304"/>
    <n v="0"/>
    <n v="0"/>
    <m/>
    <m/>
    <m/>
    <n v="0"/>
    <n v="0"/>
    <n v="0"/>
    <n v="-1481.2700000000004"/>
    <n v="-13716.5602"/>
    <n v="0"/>
    <n v="0"/>
    <n v="0"/>
    <n v="0"/>
    <n v="0"/>
    <n v="0"/>
    <n v="0"/>
    <n v="0"/>
    <n v="0"/>
    <n v="0"/>
    <n v="0"/>
    <n v="0"/>
    <n v="0"/>
    <n v="0"/>
    <n v="0"/>
    <n v="5283.3645975567761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81"/>
    <s v="Regular"/>
    <s v="Verde"/>
    <s v="A4"/>
    <s v="Serviço público"/>
    <s v="Água, esgoto e saneamento"/>
    <s v="Não se aplica"/>
    <s v="Não se aplica"/>
    <s v="Não se aplica"/>
    <s v="CATIVO"/>
    <x v="11"/>
    <n v="556"/>
    <n v="522.64"/>
    <n v="0"/>
    <n v="0"/>
    <n v="0"/>
    <n v="0"/>
    <n v="39.21"/>
    <m/>
    <m/>
    <n v="21800.760000000002"/>
    <m/>
    <n v="21800.760000000002"/>
    <n v="16591.04"/>
    <n v="0"/>
    <n v="0"/>
    <n v="0"/>
    <n v="0"/>
    <n v="0"/>
    <n v="6867.8398590748293"/>
    <n v="14935.26712370352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92.85"/>
    <n v="2274.92"/>
    <n v="30888.240000000002"/>
    <n v="2"/>
    <m/>
    <m/>
    <m/>
    <m/>
    <n v="995.46240000000046"/>
    <m/>
    <m/>
    <m/>
    <m/>
    <n v="0"/>
    <m/>
    <m/>
    <m/>
    <m/>
    <m/>
    <m/>
    <m/>
    <m/>
    <m/>
    <m/>
    <m/>
    <m/>
    <n v="15595.577599999999"/>
    <n v="-4897.1667999999972"/>
    <m/>
    <m/>
    <m/>
    <m/>
    <n v="-5209.72"/>
    <n v="0"/>
    <n v="31"/>
    <n v="235.68302433918689"/>
    <n v="0"/>
    <n v="0"/>
    <n v="0"/>
    <n v="0"/>
    <m/>
    <m/>
    <m/>
    <n v="235.6830243391868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935.267123703527"/>
    <m/>
    <n v="0"/>
    <n v="0"/>
    <n v="-5209.7200000000012"/>
    <m/>
    <n v="0"/>
    <m/>
    <n v="-5449.8807353814664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282"/>
    <s v="Regular"/>
    <s v="Verde"/>
    <s v="A4"/>
    <s v="Industrial"/>
    <s v="Não se aplica"/>
    <s v="Fonte incentivada"/>
    <s v="Não se aplica"/>
    <s v="Ponta"/>
    <s v="LIVRE"/>
    <x v="0"/>
    <n v="0"/>
    <n v="0"/>
    <n v="86.004000000000005"/>
    <n v="86.004000000000005"/>
    <n v="0"/>
    <n v="0"/>
    <m/>
    <n v="3305.85"/>
    <m/>
    <m/>
    <n v="284316.32339999999"/>
    <n v="284316.32339999999"/>
    <n v="205506.55800000002"/>
    <n v="0"/>
    <n v="4553.8616687011981"/>
    <n v="0"/>
    <n v="0"/>
    <n v="0"/>
    <n v="56073.324045121313"/>
    <n v="219601.63868232086"/>
    <m/>
    <m/>
    <m/>
    <n v="0"/>
    <n v="0"/>
    <n v="0"/>
    <n v="808.94407366721316"/>
    <m/>
    <n v="117.83299909742578"/>
    <n v="0"/>
    <n v="0"/>
    <n v="0"/>
    <n v="0"/>
    <m/>
    <m/>
    <n v="0"/>
    <n v="0"/>
    <n v="0"/>
    <m/>
    <m/>
    <n v="0"/>
    <m/>
    <n v="0"/>
    <n v="0"/>
    <n v="0"/>
    <n v="0"/>
    <m/>
    <n v="1013.754566440299"/>
    <n v="0"/>
    <n v="0"/>
    <n v="0"/>
    <n v="0"/>
    <n v="0"/>
    <m/>
    <m/>
    <m/>
    <m/>
    <m/>
    <m/>
    <m/>
    <m/>
    <m/>
    <n v="1013.754566440299"/>
    <m/>
    <m/>
    <m/>
    <m/>
    <m/>
    <m/>
    <m/>
    <m/>
    <m/>
    <m/>
    <m/>
    <m/>
    <n v="205497"/>
    <n v="-78819.353400000022"/>
    <m/>
    <m/>
    <m/>
    <m/>
    <n v="-78809.765400000004"/>
    <n v="0"/>
    <n v="30"/>
    <n v="1322.6192424637775"/>
    <n v="0"/>
    <n v="0"/>
    <n v="0"/>
    <n v="0"/>
    <m/>
    <m/>
    <m/>
    <n v="1924.2630677014822"/>
    <n v="0"/>
    <n v="0"/>
    <m/>
    <m/>
    <n v="0"/>
    <n v="0"/>
    <n v="-229.44510175700475"/>
    <n v="0"/>
    <n v="-315.92939752926577"/>
    <m/>
    <n v="0"/>
    <n v="0"/>
    <m/>
    <n v="0"/>
    <n v="-46.294493035069081"/>
    <n v="-9.9748329163638232"/>
    <n v="0"/>
    <n v="0"/>
    <m/>
    <m/>
    <m/>
    <n v="219601.63868232086"/>
    <n v="0"/>
    <n v="0"/>
    <n v="-78809.765399999975"/>
    <m/>
    <n v="0"/>
    <m/>
    <n v="-80132.663862005051"/>
    <m/>
    <n v="0"/>
    <n v="0"/>
    <m/>
    <n v="0"/>
    <n v="0"/>
    <n v="0"/>
    <n v="0"/>
    <n v="0"/>
    <m/>
    <m/>
    <n v="0"/>
    <n v="2147.3015871096495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283"/>
    <s v="Regular"/>
    <s v="Verde"/>
    <s v="A4"/>
    <s v="Industrial"/>
    <s v="Não se aplica"/>
    <s v="Fonte incentivada"/>
    <s v="Não se aplica"/>
    <s v="Fora ponta"/>
    <s v="LIVRE"/>
    <x v="0"/>
    <n v="0"/>
    <n v="0"/>
    <n v="794.00699999999995"/>
    <n v="794.00699999999995"/>
    <n v="0"/>
    <n v="0"/>
    <m/>
    <n v="100.48"/>
    <m/>
    <m/>
    <n v="79781.823359999995"/>
    <n v="79781.823359999995"/>
    <n v="74223.774359999996"/>
    <n v="0"/>
    <n v="42042.207827315382"/>
    <n v="0"/>
    <n v="0"/>
    <n v="0"/>
    <n v="0"/>
    <n v="0"/>
    <m/>
    <m/>
    <m/>
    <n v="0"/>
    <n v="0"/>
    <n v="0"/>
    <n v="7468.3416713209017"/>
    <m/>
    <n v="1087.8590078874208"/>
    <n v="0"/>
    <n v="0"/>
    <n v="0"/>
    <n v="0"/>
    <m/>
    <m/>
    <n v="0"/>
    <n v="0"/>
    <n v="0"/>
    <m/>
    <m/>
    <n v="0"/>
    <m/>
    <n v="0"/>
    <n v="0"/>
    <n v="0"/>
    <n v="0"/>
    <m/>
    <n v="9359.1951773820092"/>
    <n v="0"/>
    <n v="0"/>
    <n v="0"/>
    <n v="0"/>
    <n v="0"/>
    <m/>
    <m/>
    <m/>
    <m/>
    <m/>
    <m/>
    <m/>
    <m/>
    <m/>
    <n v="9359.1951773820092"/>
    <m/>
    <m/>
    <m/>
    <m/>
    <m/>
    <m/>
    <m/>
    <m/>
    <m/>
    <m/>
    <m/>
    <m/>
    <n v="74224.054799999998"/>
    <n v="-5557.7985599999811"/>
    <m/>
    <m/>
    <m/>
    <m/>
    <n v="-5558.049"/>
    <n v="0"/>
    <n v="30"/>
    <n v="-5554.5022178679355"/>
    <n v="0"/>
    <n v="0"/>
    <n v="0"/>
    <n v="0"/>
    <m/>
    <m/>
    <m/>
    <n v="0"/>
    <n v="0"/>
    <n v="0"/>
    <m/>
    <m/>
    <n v="0"/>
    <n v="0"/>
    <n v="-2118.2853926651551"/>
    <n v="0"/>
    <n v="-2916.726584159107"/>
    <m/>
    <n v="0"/>
    <n v="0"/>
    <m/>
    <n v="0"/>
    <n v="-427.4004875505334"/>
    <n v="-92.089753493131639"/>
    <n v="0"/>
    <n v="0"/>
    <m/>
    <m/>
    <m/>
    <n v="0"/>
    <n v="0"/>
    <n v="0"/>
    <n v="-5558.0489999999991"/>
    <m/>
    <n v="0"/>
    <m/>
    <n v="0"/>
    <m/>
    <n v="0"/>
    <n v="0"/>
    <m/>
    <n v="0"/>
    <n v="0"/>
    <n v="0"/>
    <n v="0"/>
    <n v="0"/>
    <m/>
    <m/>
    <n v="0"/>
    <n v="19824.339464166449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284"/>
    <s v="Regular"/>
    <s v="Verde"/>
    <s v="A4"/>
    <s v="Industrial"/>
    <s v="Não se aplica"/>
    <s v="Fonte incentivada"/>
    <s v="Não se aplica"/>
    <s v="Não se aplica"/>
    <s v="LIVRE"/>
    <x v="0"/>
    <n v="2100"/>
    <n v="2100"/>
    <n v="0"/>
    <n v="0"/>
    <n v="0"/>
    <n v="0"/>
    <n v="39.21"/>
    <m/>
    <m/>
    <n v="82341"/>
    <m/>
    <n v="82341"/>
    <n v="62664"/>
    <n v="0"/>
    <n v="0"/>
    <n v="0"/>
    <n v="0"/>
    <n v="0"/>
    <n v="25939.682920966083"/>
    <n v="56410.18158233346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268"/>
    <n v="0"/>
    <n v="116190.86"/>
    <n v="1"/>
    <m/>
    <m/>
    <m/>
    <m/>
    <m/>
    <m/>
    <m/>
    <m/>
    <m/>
    <n v="0"/>
    <m/>
    <m/>
    <m/>
    <m/>
    <m/>
    <m/>
    <m/>
    <m/>
    <m/>
    <m/>
    <m/>
    <m/>
    <n v="62664"/>
    <n v="-19677.029999999984"/>
    <m/>
    <m/>
    <m/>
    <m/>
    <n v="-19677.000000000004"/>
    <n v="0"/>
    <n v="30"/>
    <n v="890.16969624512785"/>
    <n v="0"/>
    <n v="0"/>
    <n v="0"/>
    <n v="0"/>
    <m/>
    <m/>
    <m/>
    <n v="890.1696962451278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6410.181582333462"/>
    <m/>
    <n v="0"/>
    <n v="0"/>
    <n v="-19677"/>
    <m/>
    <n v="0"/>
    <m/>
    <n v="-20584.081914210576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285"/>
    <s v="Regular"/>
    <s v="Verde"/>
    <s v="A4"/>
    <s v="Industrial"/>
    <s v="Não se aplica"/>
    <s v="Fonte incentivada"/>
    <s v="Não se aplica"/>
    <s v="Ponta"/>
    <s v="LIVRE"/>
    <x v="1"/>
    <n v="0"/>
    <n v="0"/>
    <n v="72.034999999999997"/>
    <n v="72.034999999999997"/>
    <n v="0"/>
    <n v="0"/>
    <m/>
    <n v="3305.85"/>
    <m/>
    <m/>
    <n v="238136.90474999999"/>
    <n v="238136.90474999999"/>
    <n v="172127.63249999998"/>
    <n v="0"/>
    <n v="3814.2112611610019"/>
    <n v="0"/>
    <n v="0"/>
    <n v="0"/>
    <n v="46965.744588511159"/>
    <n v="183933.35243106112"/>
    <m/>
    <m/>
    <m/>
    <n v="0"/>
    <n v="0"/>
    <n v="0"/>
    <n v="677.55321085784021"/>
    <m/>
    <n v="98.694247825485618"/>
    <n v="0"/>
    <n v="0"/>
    <n v="0"/>
    <n v="0"/>
    <m/>
    <m/>
    <n v="0"/>
    <n v="0"/>
    <n v="0"/>
    <m/>
    <m/>
    <n v="0"/>
    <m/>
    <n v="0"/>
    <n v="0"/>
    <n v="0"/>
    <n v="0"/>
    <m/>
    <n v="849.09783490915447"/>
    <n v="0"/>
    <n v="0"/>
    <n v="0"/>
    <n v="0"/>
    <n v="0"/>
    <m/>
    <m/>
    <m/>
    <m/>
    <m/>
    <m/>
    <m/>
    <m/>
    <m/>
    <n v="849.09783490915447"/>
    <m/>
    <m/>
    <m/>
    <m/>
    <m/>
    <m/>
    <m/>
    <m/>
    <m/>
    <m/>
    <m/>
    <m/>
    <n v="172139.58000000002"/>
    <n v="-65997.354749999999"/>
    <m/>
    <m/>
    <m/>
    <m/>
    <n v="-66009.272249999995"/>
    <n v="0"/>
    <n v="31"/>
    <n v="1107.7958831086653"/>
    <n v="0"/>
    <n v="0"/>
    <n v="0"/>
    <n v="0"/>
    <m/>
    <m/>
    <m/>
    <n v="1611.7191070400877"/>
    <n v="0"/>
    <n v="0"/>
    <m/>
    <m/>
    <n v="0"/>
    <n v="0"/>
    <n v="-192.17801387221323"/>
    <n v="0"/>
    <n v="-264.61529871890434"/>
    <m/>
    <n v="0"/>
    <n v="0"/>
    <m/>
    <n v="0"/>
    <n v="-38.775217498967436"/>
    <n v="-8.3546938413360721"/>
    <n v="0"/>
    <n v="0"/>
    <m/>
    <m/>
    <m/>
    <n v="183933.35243106112"/>
    <n v="0"/>
    <n v="0"/>
    <n v="-66009.272250000009"/>
    <m/>
    <n v="0"/>
    <m/>
    <n v="-67117.302001064279"/>
    <m/>
    <n v="0"/>
    <n v="0"/>
    <m/>
    <n v="0"/>
    <n v="0"/>
    <n v="0"/>
    <n v="0"/>
    <n v="0"/>
    <m/>
    <m/>
    <n v="0"/>
    <n v="1798.5311128254918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286"/>
    <s v="Regular"/>
    <s v="Verde"/>
    <s v="A4"/>
    <s v="Industrial"/>
    <s v="Não se aplica"/>
    <s v="Fonte incentivada"/>
    <s v="Não se aplica"/>
    <s v="Fora ponta"/>
    <s v="LIVRE"/>
    <x v="1"/>
    <n v="0"/>
    <n v="0"/>
    <n v="755.34"/>
    <n v="755.34"/>
    <n v="0"/>
    <n v="0"/>
    <m/>
    <n v="100.48"/>
    <m/>
    <m/>
    <n v="75896.563200000004"/>
    <n v="75896.563200000004"/>
    <n v="70609.183199999999"/>
    <n v="0"/>
    <n v="39994.812716115099"/>
    <n v="0"/>
    <n v="0"/>
    <n v="0"/>
    <n v="0"/>
    <n v="0"/>
    <m/>
    <m/>
    <m/>
    <n v="0"/>
    <n v="0"/>
    <n v="0"/>
    <n v="7104.6441631062826"/>
    <m/>
    <n v="1034.8818373360493"/>
    <n v="0"/>
    <n v="0"/>
    <n v="0"/>
    <n v="0"/>
    <m/>
    <m/>
    <n v="0"/>
    <n v="0"/>
    <n v="0"/>
    <m/>
    <m/>
    <n v="0"/>
    <m/>
    <n v="0"/>
    <n v="0"/>
    <n v="0"/>
    <n v="0"/>
    <m/>
    <n v="8903.4158203689985"/>
    <n v="0"/>
    <n v="0"/>
    <n v="0"/>
    <n v="0"/>
    <n v="0"/>
    <m/>
    <m/>
    <m/>
    <m/>
    <m/>
    <m/>
    <m/>
    <m/>
    <m/>
    <n v="8903.4158203689985"/>
    <m/>
    <m/>
    <m/>
    <m/>
    <m/>
    <m/>
    <m/>
    <m/>
    <m/>
    <m/>
    <m/>
    <m/>
    <n v="70609.183199999999"/>
    <n v="-5287.4099999999889"/>
    <m/>
    <m/>
    <m/>
    <m/>
    <n v="-5287.38"/>
    <n v="0"/>
    <n v="31"/>
    <n v="-5284.0059410614194"/>
    <n v="0"/>
    <n v="0"/>
    <n v="0"/>
    <n v="0"/>
    <m/>
    <m/>
    <m/>
    <n v="0"/>
    <n v="0"/>
    <n v="0"/>
    <m/>
    <m/>
    <n v="0"/>
    <n v="0"/>
    <n v="-2015.1279377835435"/>
    <n v="0"/>
    <n v="-2774.6861905231781"/>
    <m/>
    <n v="0"/>
    <n v="0"/>
    <m/>
    <n v="0"/>
    <n v="-406.58669793392255"/>
    <n v="-87.605114820778681"/>
    <n v="0"/>
    <n v="0"/>
    <m/>
    <m/>
    <m/>
    <n v="0"/>
    <n v="0"/>
    <n v="0"/>
    <n v="-5287.3800000000047"/>
    <m/>
    <n v="0"/>
    <m/>
    <n v="0"/>
    <m/>
    <n v="0"/>
    <n v="0"/>
    <m/>
    <n v="0"/>
    <n v="0"/>
    <n v="0"/>
    <n v="0"/>
    <n v="0"/>
    <m/>
    <m/>
    <n v="0"/>
    <n v="18858.922617638746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287"/>
    <s v="Regular"/>
    <s v="Verde"/>
    <s v="A4"/>
    <s v="Industrial"/>
    <s v="Não se aplica"/>
    <s v="Fonte incentivada"/>
    <s v="Não se aplica"/>
    <s v="Não se aplica"/>
    <s v="LIVRE"/>
    <x v="1"/>
    <n v="2100"/>
    <n v="2100"/>
    <n v="0"/>
    <n v="0"/>
    <n v="0"/>
    <n v="0"/>
    <n v="39.21"/>
    <m/>
    <m/>
    <n v="82341"/>
    <m/>
    <n v="82341"/>
    <n v="62664"/>
    <n v="0"/>
    <n v="0"/>
    <n v="0"/>
    <n v="0"/>
    <n v="0"/>
    <n v="25939.682920966083"/>
    <n v="56410.18158233346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812.6499999999996"/>
    <n v="0"/>
    <n v="102892"/>
    <n v="1"/>
    <m/>
    <m/>
    <m/>
    <m/>
    <m/>
    <m/>
    <m/>
    <m/>
    <m/>
    <n v="0"/>
    <m/>
    <m/>
    <m/>
    <m/>
    <m/>
    <m/>
    <m/>
    <m/>
    <m/>
    <m/>
    <m/>
    <m/>
    <n v="62664"/>
    <n v="-19677.029999999984"/>
    <m/>
    <m/>
    <m/>
    <m/>
    <n v="-19677.000000000004"/>
    <n v="0"/>
    <n v="31"/>
    <n v="890.16969624512785"/>
    <n v="0"/>
    <n v="0"/>
    <n v="0"/>
    <n v="0"/>
    <m/>
    <m/>
    <m/>
    <n v="890.1696962451278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6410.181582333462"/>
    <m/>
    <n v="0"/>
    <n v="0"/>
    <n v="-19677"/>
    <m/>
    <n v="0"/>
    <m/>
    <n v="-20584.081914210576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288"/>
    <s v="Regular"/>
    <s v="Verde"/>
    <s v="A4"/>
    <s v="Industrial"/>
    <s v="Não se aplica"/>
    <s v="Fonte incentivada"/>
    <s v="Não se aplica"/>
    <s v="Ponta"/>
    <s v="LIVRE"/>
    <x v="2"/>
    <n v="0"/>
    <n v="0"/>
    <n v="80.399000000000001"/>
    <n v="80.399000000000001"/>
    <n v="0"/>
    <n v="0"/>
    <m/>
    <n v="3305.85"/>
    <m/>
    <m/>
    <n v="265787.03415000002"/>
    <n v="265787.03415000002"/>
    <n v="192113.4105"/>
    <n v="0"/>
    <n v="4257.0801858274926"/>
    <n v="0"/>
    <n v="0"/>
    <n v="0"/>
    <n v="52418.947722242083"/>
    <n v="205289.89521905858"/>
    <m/>
    <m/>
    <m/>
    <n v="0"/>
    <n v="0"/>
    <n v="0"/>
    <n v="756.22406607565074"/>
    <m/>
    <n v="110.15365906741471"/>
    <n v="0"/>
    <n v="0"/>
    <n v="0"/>
    <n v="0"/>
    <m/>
    <m/>
    <n v="0"/>
    <n v="0"/>
    <n v="0"/>
    <m/>
    <m/>
    <n v="0"/>
    <m/>
    <n v="0"/>
    <n v="0"/>
    <n v="0"/>
    <n v="0"/>
    <m/>
    <n v="947.68677488527965"/>
    <n v="0"/>
    <n v="0"/>
    <n v="0"/>
    <n v="0"/>
    <n v="0"/>
    <m/>
    <m/>
    <m/>
    <m/>
    <m/>
    <m/>
    <m/>
    <m/>
    <m/>
    <n v="947.68677488527965"/>
    <m/>
    <m/>
    <m/>
    <m/>
    <m/>
    <m/>
    <m/>
    <m/>
    <m/>
    <m/>
    <m/>
    <m/>
    <n v="192115.80000000002"/>
    <n v="-73671.264150000032"/>
    <m/>
    <m/>
    <m/>
    <m/>
    <n v="-73673.623649999994"/>
    <n v="0"/>
    <n v="30"/>
    <n v="1236.4223114604611"/>
    <n v="0"/>
    <n v="0"/>
    <n v="0"/>
    <n v="0"/>
    <m/>
    <m/>
    <m/>
    <n v="1798.8561739004217"/>
    <n v="0"/>
    <n v="0"/>
    <m/>
    <m/>
    <n v="0"/>
    <n v="0"/>
    <n v="-214.49184614856779"/>
    <n v="0"/>
    <n v="-295.33984037899972"/>
    <m/>
    <n v="0"/>
    <n v="0"/>
    <m/>
    <n v="0"/>
    <n v="-43.277416696043474"/>
    <n v="-9.3247592163473172"/>
    <n v="0"/>
    <n v="0"/>
    <m/>
    <m/>
    <m/>
    <n v="205289.89521905858"/>
    <n v="0"/>
    <n v="0"/>
    <n v="-73673.623650000023"/>
    <m/>
    <n v="0"/>
    <m/>
    <n v="-74910.306983876842"/>
    <m/>
    <n v="0"/>
    <n v="0"/>
    <m/>
    <n v="0"/>
    <n v="0"/>
    <n v="0"/>
    <n v="0"/>
    <n v="0"/>
    <m/>
    <m/>
    <n v="0"/>
    <n v="2007.3589635601681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289"/>
    <s v="Regular"/>
    <s v="Verde"/>
    <s v="A4"/>
    <s v="Industrial"/>
    <s v="Não se aplica"/>
    <s v="Fonte incentivada"/>
    <s v="Não se aplica"/>
    <s v="Fora ponta"/>
    <s v="LIVRE"/>
    <x v="2"/>
    <n v="0"/>
    <n v="0"/>
    <n v="779.74400000000003"/>
    <n v="779.74400000000003"/>
    <n v="0"/>
    <n v="0"/>
    <m/>
    <n v="100.48"/>
    <m/>
    <m/>
    <n v="78348.677120000008"/>
    <n v="78348.677120000008"/>
    <n v="72890.469120000009"/>
    <n v="0"/>
    <n v="41286.990291146307"/>
    <n v="0"/>
    <n v="0"/>
    <n v="0"/>
    <n v="0"/>
    <n v="0"/>
    <m/>
    <m/>
    <m/>
    <n v="0"/>
    <n v="0"/>
    <n v="0"/>
    <n v="7334.1854771588232"/>
    <m/>
    <n v="1068.3174509118548"/>
    <n v="0"/>
    <n v="0"/>
    <n v="0"/>
    <n v="0"/>
    <m/>
    <m/>
    <n v="0"/>
    <n v="0"/>
    <n v="0"/>
    <m/>
    <m/>
    <n v="0"/>
    <m/>
    <n v="0"/>
    <n v="0"/>
    <n v="0"/>
    <n v="0"/>
    <m/>
    <n v="9191.0729809593086"/>
    <n v="0"/>
    <n v="0"/>
    <n v="0"/>
    <n v="0"/>
    <n v="0"/>
    <m/>
    <m/>
    <m/>
    <m/>
    <m/>
    <m/>
    <m/>
    <m/>
    <m/>
    <n v="9191.0729809593086"/>
    <m/>
    <m/>
    <m/>
    <m/>
    <m/>
    <m/>
    <m/>
    <m/>
    <m/>
    <m/>
    <m/>
    <m/>
    <n v="72890.095200000011"/>
    <n v="-5458.6119199999812"/>
    <m/>
    <m/>
    <m/>
    <m/>
    <n v="-5458.2080000000005"/>
    <n v="0"/>
    <n v="30"/>
    <n v="-5454.7249298421812"/>
    <n v="0"/>
    <n v="0"/>
    <n v="0"/>
    <n v="0"/>
    <m/>
    <m/>
    <m/>
    <n v="0"/>
    <n v="0"/>
    <n v="0"/>
    <m/>
    <m/>
    <n v="0"/>
    <n v="0"/>
    <n v="-2080.2339591695018"/>
    <n v="0"/>
    <n v="-2864.3324978728851"/>
    <m/>
    <n v="0"/>
    <n v="0"/>
    <m/>
    <n v="0"/>
    <n v="-419.72295680592651"/>
    <n v="-90.43551599387456"/>
    <n v="0"/>
    <n v="0"/>
    <m/>
    <m/>
    <m/>
    <n v="0"/>
    <n v="0"/>
    <n v="0"/>
    <n v="-5458.2079999999987"/>
    <m/>
    <n v="0"/>
    <m/>
    <n v="0"/>
    <m/>
    <n v="0"/>
    <n v="0"/>
    <m/>
    <n v="0"/>
    <n v="0"/>
    <n v="0"/>
    <n v="0"/>
    <n v="0"/>
    <m/>
    <m/>
    <n v="0"/>
    <n v="19468.228556104677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290"/>
    <s v="Regular"/>
    <s v="Verde"/>
    <s v="A4"/>
    <s v="Industrial"/>
    <s v="Não se aplica"/>
    <s v="Fonte incentivada"/>
    <s v="Não se aplica"/>
    <s v="Não se aplica"/>
    <s v="LIVRE"/>
    <x v="2"/>
    <n v="2100"/>
    <n v="2100"/>
    <n v="0"/>
    <n v="0"/>
    <n v="0"/>
    <n v="0"/>
    <n v="39.21"/>
    <m/>
    <m/>
    <n v="82341"/>
    <m/>
    <n v="82341"/>
    <n v="62664"/>
    <n v="0"/>
    <n v="0"/>
    <n v="0"/>
    <n v="0"/>
    <n v="0"/>
    <n v="25939.682920966083"/>
    <n v="56410.18158233346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333.36"/>
    <n v="0"/>
    <n v="105501.17"/>
    <n v="1"/>
    <m/>
    <m/>
    <m/>
    <m/>
    <m/>
    <m/>
    <m/>
    <m/>
    <m/>
    <n v="0"/>
    <m/>
    <m/>
    <m/>
    <m/>
    <m/>
    <m/>
    <m/>
    <m/>
    <m/>
    <m/>
    <m/>
    <m/>
    <n v="62664"/>
    <n v="-19677.029999999984"/>
    <m/>
    <m/>
    <m/>
    <m/>
    <n v="-19677.000000000004"/>
    <n v="0"/>
    <n v="30"/>
    <n v="890.16969624512785"/>
    <n v="0"/>
    <n v="0"/>
    <n v="0"/>
    <n v="0"/>
    <m/>
    <m/>
    <m/>
    <n v="890.1696962451278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6410.181582333462"/>
    <m/>
    <n v="0"/>
    <n v="0"/>
    <n v="-19677"/>
    <m/>
    <n v="0"/>
    <m/>
    <n v="-20584.081914210576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291"/>
    <s v="Regular"/>
    <s v="Verde"/>
    <s v="A4"/>
    <s v="Industrial"/>
    <s v="Não se aplica"/>
    <s v="Fonte incentivada"/>
    <s v="Não se aplica"/>
    <s v="Ponta"/>
    <s v="LIVRE"/>
    <x v="3"/>
    <n v="0"/>
    <n v="0"/>
    <n v="92.685000000000002"/>
    <n v="92.685000000000002"/>
    <n v="0"/>
    <n v="0"/>
    <m/>
    <n v="3305.85"/>
    <m/>
    <m/>
    <n v="306402.70724999998"/>
    <n v="306402.70724999998"/>
    <n v="221470.8075"/>
    <n v="0"/>
    <n v="4907.6167243799191"/>
    <n v="0"/>
    <n v="0"/>
    <n v="0"/>
    <n v="60429.236304381993"/>
    <n v="236660.8283483432"/>
    <m/>
    <m/>
    <m/>
    <n v="0"/>
    <n v="0"/>
    <n v="0"/>
    <n v="871.78481777412264"/>
    <m/>
    <n v="126.9865531992106"/>
    <n v="0"/>
    <n v="0"/>
    <n v="0"/>
    <n v="0"/>
    <m/>
    <m/>
    <n v="0"/>
    <n v="0"/>
    <n v="0"/>
    <m/>
    <m/>
    <n v="0"/>
    <m/>
    <n v="0"/>
    <n v="0"/>
    <n v="0"/>
    <n v="0"/>
    <m/>
    <n v="1092.5054880065939"/>
    <n v="0"/>
    <n v="0"/>
    <n v="0"/>
    <n v="0"/>
    <n v="0"/>
    <m/>
    <m/>
    <m/>
    <m/>
    <m/>
    <m/>
    <m/>
    <m/>
    <m/>
    <n v="1092.5054880065939"/>
    <m/>
    <m/>
    <m/>
    <m/>
    <m/>
    <m/>
    <m/>
    <m/>
    <m/>
    <m/>
    <m/>
    <m/>
    <n v="221482.755"/>
    <n v="-84919.982250000001"/>
    <m/>
    <m/>
    <m/>
    <m/>
    <n v="-84931.899749999997"/>
    <n v="0"/>
    <m/>
    <n v="1425.3635236472037"/>
    <n v="0"/>
    <n v="0"/>
    <n v="0"/>
    <n v="0"/>
    <m/>
    <m/>
    <m/>
    <n v="2073.7445052545445"/>
    <n v="0"/>
    <n v="0"/>
    <m/>
    <m/>
    <n v="0"/>
    <n v="0"/>
    <n v="-247.26895558750721"/>
    <n v="0"/>
    <n v="-340.47156190409714"/>
    <m/>
    <n v="0"/>
    <n v="0"/>
    <m/>
    <n v="0"/>
    <n v="-49.890761905904128"/>
    <n v="-10.74970220981794"/>
    <n v="0"/>
    <n v="0"/>
    <m/>
    <m/>
    <m/>
    <n v="236660.8283483432"/>
    <n v="0"/>
    <n v="0"/>
    <n v="-84931.899749999982"/>
    <m/>
    <n v="0"/>
    <m/>
    <n v="-86357.564183641894"/>
    <m/>
    <n v="0"/>
    <n v="0"/>
    <m/>
    <n v="0"/>
    <n v="0"/>
    <n v="0"/>
    <n v="0"/>
    <n v="0"/>
    <m/>
    <m/>
    <n v="0"/>
    <n v="2314.1091995867387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292"/>
    <s v="Regular"/>
    <s v="Verde"/>
    <s v="A4"/>
    <s v="Industrial"/>
    <s v="Não se aplica"/>
    <s v="Fonte incentivada"/>
    <s v="Não se aplica"/>
    <s v="Fora ponta"/>
    <s v="LIVRE"/>
    <x v="3"/>
    <n v="0"/>
    <n v="0"/>
    <n v="868.61800000000005"/>
    <n v="868.61800000000005"/>
    <n v="0"/>
    <n v="0"/>
    <m/>
    <n v="100.48"/>
    <m/>
    <m/>
    <n v="87278.736640000003"/>
    <n v="87278.736640000003"/>
    <n v="81198.410640000002"/>
    <n v="0"/>
    <n v="45992.816786938951"/>
    <n v="0"/>
    <n v="0"/>
    <n v="0"/>
    <n v="0"/>
    <n v="0"/>
    <m/>
    <m/>
    <m/>
    <n v="0"/>
    <n v="0"/>
    <n v="0"/>
    <n v="8170.1244521262652"/>
    <m/>
    <n v="1190.0826009256289"/>
    <n v="0"/>
    <n v="0"/>
    <n v="0"/>
    <n v="0"/>
    <m/>
    <m/>
    <n v="0"/>
    <n v="0"/>
    <n v="0"/>
    <m/>
    <m/>
    <n v="0"/>
    <m/>
    <n v="0"/>
    <n v="0"/>
    <n v="0"/>
    <n v="0"/>
    <m/>
    <n v="10238.65708562671"/>
    <n v="0"/>
    <n v="0"/>
    <n v="0"/>
    <n v="0"/>
    <n v="0"/>
    <m/>
    <m/>
    <m/>
    <m/>
    <m/>
    <m/>
    <m/>
    <m/>
    <m/>
    <n v="10238.65708562671"/>
    <m/>
    <m/>
    <m/>
    <m/>
    <m/>
    <m/>
    <m/>
    <m/>
    <m/>
    <m/>
    <m/>
    <m/>
    <n v="81198.597600000008"/>
    <n v="-6080.1690399999788"/>
    <m/>
    <m/>
    <m/>
    <m/>
    <n v="-6080.326"/>
    <n v="0"/>
    <m/>
    <n v="-6076.4459349602694"/>
    <n v="0"/>
    <n v="0"/>
    <n v="0"/>
    <n v="0"/>
    <m/>
    <m/>
    <m/>
    <n v="0"/>
    <n v="0"/>
    <n v="0"/>
    <m/>
    <m/>
    <n v="0"/>
    <n v="0"/>
    <n v="-2317.3357680801573"/>
    <n v="0"/>
    <n v="-3190.8046302855146"/>
    <m/>
    <n v="0"/>
    <n v="0"/>
    <m/>
    <n v="0"/>
    <n v="-467.56232211450151"/>
    <n v="-100.74321448009528"/>
    <n v="0"/>
    <n v="0"/>
    <m/>
    <m/>
    <m/>
    <n v="0"/>
    <n v="0"/>
    <n v="0"/>
    <n v="-6080.3260000000009"/>
    <m/>
    <n v="0"/>
    <m/>
    <n v="0"/>
    <m/>
    <n v="0"/>
    <n v="0"/>
    <m/>
    <n v="0"/>
    <n v="0"/>
    <n v="0"/>
    <n v="0"/>
    <n v="0"/>
    <m/>
    <m/>
    <n v="0"/>
    <n v="21687.186758662501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293"/>
    <s v="Regular"/>
    <s v="Verde"/>
    <s v="A4"/>
    <s v="Industrial"/>
    <s v="Não se aplica"/>
    <s v="Fonte incentivada"/>
    <s v="Não se aplica"/>
    <s v="Não se aplica"/>
    <s v="LIVRE"/>
    <x v="3"/>
    <n v="2100"/>
    <n v="2100"/>
    <n v="0"/>
    <n v="0"/>
    <n v="0"/>
    <n v="0"/>
    <n v="39.21"/>
    <m/>
    <m/>
    <n v="82341"/>
    <m/>
    <n v="82341"/>
    <n v="62664"/>
    <n v="0"/>
    <n v="0"/>
    <n v="0"/>
    <n v="0"/>
    <n v="0"/>
    <n v="25939.682920966083"/>
    <n v="56410.18158233346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056.9799999999996"/>
    <n v="0"/>
    <n v="114164.86"/>
    <n v="1"/>
    <m/>
    <m/>
    <m/>
    <m/>
    <m/>
    <m/>
    <m/>
    <m/>
    <m/>
    <n v="0"/>
    <m/>
    <m/>
    <m/>
    <m/>
    <m/>
    <m/>
    <m/>
    <m/>
    <m/>
    <m/>
    <m/>
    <m/>
    <n v="62664"/>
    <n v="-19677.029999999984"/>
    <m/>
    <m/>
    <m/>
    <m/>
    <n v="-19677.000000000004"/>
    <n v="0"/>
    <m/>
    <n v="890.16969624512785"/>
    <n v="0"/>
    <n v="0"/>
    <n v="0"/>
    <n v="0"/>
    <m/>
    <m/>
    <m/>
    <n v="890.1696962451278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6410.181582333462"/>
    <m/>
    <n v="0"/>
    <n v="0"/>
    <n v="-19677"/>
    <m/>
    <n v="0"/>
    <m/>
    <n v="-20584.081914210576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294"/>
    <s v="Regular"/>
    <s v="Verde"/>
    <s v="A4"/>
    <s v="Industrial"/>
    <s v="Não se aplica"/>
    <s v="Fonte incentivada"/>
    <s v="Não se aplica"/>
    <s v="Ponta"/>
    <s v="LIVRE"/>
    <x v="4"/>
    <n v="0"/>
    <n v="0"/>
    <n v="83.393000000000001"/>
    <n v="83.393000000000001"/>
    <n v="0"/>
    <n v="0"/>
    <m/>
    <n v="3305.85"/>
    <m/>
    <m/>
    <n v="275684.74904999998"/>
    <n v="275684.74904999998"/>
    <n v="199267.5735"/>
    <n v="0"/>
    <n v="4415.6107406399587"/>
    <n v="0"/>
    <n v="0"/>
    <n v="0"/>
    <n v="54370.991024775612"/>
    <n v="212934.74087989843"/>
    <m/>
    <m/>
    <m/>
    <n v="0"/>
    <n v="0"/>
    <n v="0"/>
    <n v="784.38529760627296"/>
    <m/>
    <n v="114.255700824748"/>
    <n v="0"/>
    <n v="0"/>
    <n v="0"/>
    <n v="0"/>
    <m/>
    <m/>
    <n v="0"/>
    <n v="0"/>
    <n v="0"/>
    <m/>
    <m/>
    <n v="0"/>
    <m/>
    <n v="0"/>
    <n v="0"/>
    <n v="0"/>
    <n v="0"/>
    <m/>
    <n v="982.97793776052094"/>
    <n v="0"/>
    <n v="0"/>
    <n v="0"/>
    <n v="0"/>
    <n v="0"/>
    <m/>
    <m/>
    <m/>
    <m/>
    <m/>
    <m/>
    <m/>
    <m/>
    <m/>
    <n v="982.97793776052094"/>
    <m/>
    <m/>
    <m/>
    <m/>
    <m/>
    <m/>
    <m/>
    <m/>
    <m/>
    <m/>
    <m/>
    <m/>
    <n v="199260.405"/>
    <n v="-76424.374050000013"/>
    <m/>
    <m/>
    <m/>
    <m/>
    <n v="-76417.17555"/>
    <n v="0"/>
    <n v="31"/>
    <n v="1282.4657746939993"/>
    <n v="0"/>
    <n v="0"/>
    <n v="0"/>
    <n v="0"/>
    <m/>
    <m/>
    <m/>
    <n v="1865.8442631136859"/>
    <n v="0"/>
    <n v="0"/>
    <m/>
    <m/>
    <n v="0"/>
    <n v="0"/>
    <n v="-222.47936573673189"/>
    <n v="0"/>
    <n v="-306.33808018415493"/>
    <m/>
    <n v="0"/>
    <n v="0"/>
    <m/>
    <n v="0"/>
    <n v="-44.889036064293691"/>
    <n v="-9.6720064345184937"/>
    <n v="0"/>
    <n v="0"/>
    <m/>
    <m/>
    <m/>
    <n v="212934.74087989843"/>
    <n v="0"/>
    <n v="0"/>
    <n v="-76417.175549999985"/>
    <m/>
    <n v="0"/>
    <m/>
    <n v="-77699.912067394383"/>
    <m/>
    <n v="0"/>
    <n v="0"/>
    <m/>
    <n v="0"/>
    <n v="0"/>
    <n v="0"/>
    <n v="0"/>
    <n v="0"/>
    <m/>
    <m/>
    <n v="0"/>
    <n v="2082.111544275092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295"/>
    <s v="Regular"/>
    <s v="Verde"/>
    <s v="A4"/>
    <s v="Industrial"/>
    <s v="Não se aplica"/>
    <s v="Fonte incentivada"/>
    <s v="Não se aplica"/>
    <s v="Fora ponta"/>
    <s v="LIVRE"/>
    <x v="4"/>
    <n v="0"/>
    <n v="0"/>
    <n v="868.58399999999995"/>
    <n v="868.58399999999995"/>
    <n v="0"/>
    <n v="0"/>
    <m/>
    <n v="100.48"/>
    <m/>
    <m/>
    <n v="87275.320319999999"/>
    <n v="87275.320319999999"/>
    <n v="81195.232319999996"/>
    <n v="0"/>
    <n v="45991.016506757376"/>
    <n v="0"/>
    <n v="0"/>
    <n v="0"/>
    <n v="0"/>
    <n v="0"/>
    <m/>
    <m/>
    <m/>
    <n v="0"/>
    <n v="0"/>
    <n v="0"/>
    <n v="8169.8046519018017"/>
    <m/>
    <n v="1190.0360179531006"/>
    <n v="0"/>
    <n v="0"/>
    <n v="0"/>
    <n v="0"/>
    <m/>
    <m/>
    <n v="0"/>
    <n v="0"/>
    <n v="0"/>
    <m/>
    <m/>
    <n v="0"/>
    <m/>
    <n v="0"/>
    <n v="0"/>
    <n v="0"/>
    <n v="0"/>
    <m/>
    <n v="10238.256317578025"/>
    <n v="0"/>
    <n v="0"/>
    <n v="0"/>
    <n v="0"/>
    <n v="0"/>
    <m/>
    <m/>
    <m/>
    <m/>
    <m/>
    <m/>
    <m/>
    <m/>
    <m/>
    <n v="10238.256317578025"/>
    <m/>
    <m/>
    <m/>
    <m/>
    <m/>
    <m/>
    <m/>
    <m/>
    <m/>
    <m/>
    <m/>
    <m/>
    <n v="81194.858400000012"/>
    <n v="-6080.4919199999713"/>
    <m/>
    <m/>
    <m/>
    <m/>
    <n v="-6080.0879999999997"/>
    <n v="0"/>
    <n v="31"/>
    <n v="-6076.2080868362536"/>
    <n v="0"/>
    <n v="0"/>
    <n v="0"/>
    <n v="0"/>
    <m/>
    <m/>
    <m/>
    <n v="0"/>
    <n v="0"/>
    <n v="0"/>
    <m/>
    <m/>
    <n v="0"/>
    <n v="0"/>
    <n v="-2317.2450614448881"/>
    <n v="0"/>
    <n v="-3190.6797337747048"/>
    <m/>
    <n v="0"/>
    <n v="0"/>
    <m/>
    <n v="0"/>
    <n v="-467.54402049174951"/>
    <n v="-100.73927112491219"/>
    <n v="0"/>
    <n v="0"/>
    <m/>
    <m/>
    <m/>
    <n v="0"/>
    <n v="0"/>
    <n v="0"/>
    <n v="-6080.0880000000034"/>
    <m/>
    <n v="0"/>
    <m/>
    <n v="0"/>
    <m/>
    <n v="0"/>
    <n v="0"/>
    <m/>
    <n v="0"/>
    <n v="0"/>
    <n v="0"/>
    <n v="0"/>
    <n v="0"/>
    <m/>
    <m/>
    <n v="0"/>
    <n v="21686.337864960322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296"/>
    <s v="Regular"/>
    <s v="Verde"/>
    <s v="A4"/>
    <s v="Industrial"/>
    <s v="Não se aplica"/>
    <s v="Fonte incentivada"/>
    <s v="Não se aplica"/>
    <s v="Não se aplica"/>
    <s v="LIVRE"/>
    <x v="4"/>
    <n v="2100"/>
    <n v="2100"/>
    <n v="0"/>
    <n v="0"/>
    <n v="0"/>
    <n v="0"/>
    <n v="39.21"/>
    <m/>
    <m/>
    <n v="82341"/>
    <m/>
    <n v="82341"/>
    <n v="62664"/>
    <n v="0"/>
    <n v="0"/>
    <n v="0"/>
    <n v="0"/>
    <n v="0"/>
    <n v="25939.682920966083"/>
    <n v="56410.18158233346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591.2800000000002"/>
    <n v="0"/>
    <n v="113823.97"/>
    <n v="1"/>
    <m/>
    <m/>
    <m/>
    <m/>
    <m/>
    <m/>
    <m/>
    <m/>
    <m/>
    <n v="0"/>
    <m/>
    <m/>
    <m/>
    <m/>
    <m/>
    <m/>
    <m/>
    <m/>
    <m/>
    <m/>
    <m/>
    <m/>
    <n v="62664"/>
    <n v="-19677.029999999984"/>
    <m/>
    <m/>
    <m/>
    <m/>
    <n v="-19677.000000000004"/>
    <n v="0"/>
    <n v="31"/>
    <n v="890.16969624512785"/>
    <n v="0"/>
    <n v="0"/>
    <n v="0"/>
    <n v="0"/>
    <m/>
    <m/>
    <m/>
    <n v="890.1696962451278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6410.181582333462"/>
    <m/>
    <n v="0"/>
    <n v="0"/>
    <n v="-19677"/>
    <m/>
    <n v="0"/>
    <m/>
    <n v="-20584.081914210576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297"/>
    <s v="Regular"/>
    <s v="Verde"/>
    <s v="A4"/>
    <s v="Industrial"/>
    <s v="Não se aplica"/>
    <s v="Fonte incentivada"/>
    <s v="Não se aplica"/>
    <s v="Ponta"/>
    <s v="LIVRE"/>
    <x v="5"/>
    <n v="0"/>
    <n v="0"/>
    <n v="78.411000000000001"/>
    <n v="40.95357679947"/>
    <n v="0"/>
    <n v="0"/>
    <m/>
    <n v="3305.85"/>
    <m/>
    <m/>
    <n v="259215.00435"/>
    <n v="259215.00435"/>
    <n v="187363.0845"/>
    <n v="0"/>
    <n v="4151.816744622688"/>
    <n v="0"/>
    <n v="0"/>
    <n v="0"/>
    <n v="51122.80140112096"/>
    <n v="200213.75855447957"/>
    <m/>
    <m/>
    <m/>
    <n v="0"/>
    <n v="0"/>
    <n v="0"/>
    <n v="737.52515883354079"/>
    <m/>
    <n v="107.42992526194425"/>
    <n v="0"/>
    <n v="0"/>
    <n v="0"/>
    <n v="0"/>
    <m/>
    <m/>
    <n v="0"/>
    <n v="0"/>
    <n v="0"/>
    <m/>
    <m/>
    <n v="0"/>
    <m/>
    <n v="0"/>
    <n v="0"/>
    <n v="0"/>
    <n v="0"/>
    <m/>
    <n v="924.25363133284816"/>
    <n v="0"/>
    <n v="0"/>
    <n v="0"/>
    <n v="0"/>
    <n v="0"/>
    <m/>
    <n v="89504.512737666446"/>
    <m/>
    <m/>
    <m/>
    <m/>
    <m/>
    <m/>
    <m/>
    <n v="924.25363133284816"/>
    <m/>
    <m/>
    <m/>
    <m/>
    <m/>
    <m/>
    <m/>
    <m/>
    <m/>
    <m/>
    <m/>
    <m/>
    <n v="97850.025000000009"/>
    <n v="-37536.386862527914"/>
    <m/>
    <m/>
    <m/>
    <m/>
    <n v="-71851.919849999991"/>
    <n v="0"/>
    <n v="29"/>
    <n v="1205.849697930651"/>
    <n v="0"/>
    <n v="0"/>
    <n v="0"/>
    <n v="0"/>
    <m/>
    <m/>
    <m/>
    <n v="1754.3764406485861"/>
    <n v="0"/>
    <n v="0"/>
    <m/>
    <m/>
    <n v="0"/>
    <n v="0"/>
    <n v="-209.18817582750216"/>
    <n v="0"/>
    <n v="-288.03706792320418"/>
    <m/>
    <n v="0"/>
    <n v="0"/>
    <m/>
    <n v="0"/>
    <n v="-42.2073100480535"/>
    <n v="-9.0941889191782224"/>
    <n v="0"/>
    <n v="0"/>
    <m/>
    <m/>
    <m/>
    <n v="200213.75855447957"/>
    <n v="0"/>
    <n v="0"/>
    <n v="-71851.919850000006"/>
    <m/>
    <n v="0"/>
    <m/>
    <n v="-73058.024116130386"/>
    <m/>
    <n v="0"/>
    <n v="0"/>
    <m/>
    <n v="0"/>
    <n v="0"/>
    <n v="0"/>
    <n v="0"/>
    <n v="0"/>
    <m/>
    <m/>
    <n v="0"/>
    <n v="1957.7236494448482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298"/>
    <s v="Regular"/>
    <s v="Verde"/>
    <s v="A4"/>
    <s v="Industrial"/>
    <s v="Não se aplica"/>
    <s v="Fonte incentivada"/>
    <s v="Não se aplica"/>
    <s v="Fora ponta"/>
    <s v="LIVRE"/>
    <x v="5"/>
    <n v="0"/>
    <n v="0"/>
    <n v="819.54899999999998"/>
    <n v="819.54899999999998"/>
    <n v="0"/>
    <n v="0"/>
    <m/>
    <n v="100.48"/>
    <m/>
    <m/>
    <n v="82348.283519999997"/>
    <n v="82348.283519999997"/>
    <n v="76611.440520000004"/>
    <n v="0"/>
    <n v="43394.641839012118"/>
    <n v="0"/>
    <n v="0"/>
    <n v="0"/>
    <n v="0"/>
    <n v="0"/>
    <m/>
    <m/>
    <m/>
    <n v="0"/>
    <n v="0"/>
    <n v="0"/>
    <n v="7708.5868870039858"/>
    <m/>
    <n v="1122.8537809554928"/>
    <n v="0"/>
    <n v="0"/>
    <n v="0"/>
    <n v="0"/>
    <m/>
    <m/>
    <n v="0"/>
    <n v="0"/>
    <n v="0"/>
    <m/>
    <m/>
    <n v="0"/>
    <m/>
    <n v="0"/>
    <n v="0"/>
    <n v="0"/>
    <n v="0"/>
    <m/>
    <n v="9660.2662803076655"/>
    <n v="0"/>
    <n v="0"/>
    <n v="0"/>
    <n v="0"/>
    <n v="0"/>
    <m/>
    <m/>
    <m/>
    <m/>
    <m/>
    <m/>
    <m/>
    <m/>
    <m/>
    <n v="9660.2662803076655"/>
    <m/>
    <m/>
    <m/>
    <m/>
    <m/>
    <m/>
    <m/>
    <m/>
    <m/>
    <m/>
    <m/>
    <m/>
    <n v="76611.534"/>
    <n v="-5736.7795199999819"/>
    <m/>
    <m/>
    <m/>
    <m/>
    <n v="-5736.8429999999998"/>
    <n v="0"/>
    <n v="29"/>
    <n v="-5733.1821232702496"/>
    <n v="0"/>
    <n v="0"/>
    <n v="0"/>
    <n v="0"/>
    <m/>
    <m/>
    <m/>
    <n v="0"/>
    <n v="0"/>
    <n v="0"/>
    <m/>
    <m/>
    <n v="0"/>
    <n v="0"/>
    <n v="-2186.4274184904352"/>
    <n v="0"/>
    <n v="-3010.5532511942729"/>
    <m/>
    <n v="0"/>
    <n v="0"/>
    <m/>
    <n v="0"/>
    <n v="-441.14931250171867"/>
    <n v="-95.052141083822335"/>
    <n v="0"/>
    <n v="0"/>
    <m/>
    <m/>
    <m/>
    <n v="0"/>
    <n v="0"/>
    <n v="0"/>
    <n v="-5736.8429999999935"/>
    <m/>
    <n v="0"/>
    <m/>
    <n v="0"/>
    <m/>
    <n v="0"/>
    <n v="0"/>
    <m/>
    <n v="0"/>
    <n v="0"/>
    <n v="0"/>
    <n v="0"/>
    <n v="0"/>
    <m/>
    <m/>
    <n v="0"/>
    <n v="20462.058374193362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299"/>
    <s v="Regular"/>
    <s v="Verde"/>
    <s v="A4"/>
    <s v="Industrial"/>
    <s v="Não se aplica"/>
    <s v="Fonte incentivada"/>
    <s v="Não se aplica"/>
    <s v="Não se aplica"/>
    <s v="LIVRE"/>
    <x v="5"/>
    <n v="2100"/>
    <n v="1055.973387"/>
    <n v="0"/>
    <n v="0"/>
    <n v="0"/>
    <n v="0"/>
    <n v="39.21"/>
    <m/>
    <m/>
    <n v="82341"/>
    <m/>
    <n v="82341"/>
    <n v="62664"/>
    <n v="0"/>
    <n v="0"/>
    <n v="0"/>
    <n v="0"/>
    <n v="0"/>
    <n v="25939.682920966083"/>
    <n v="56410.18158233346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468.3200000000002"/>
    <n v="0"/>
    <n v="106256.46"/>
    <n v="1"/>
    <m/>
    <n v="31153.754131919999"/>
    <m/>
    <m/>
    <m/>
    <m/>
    <m/>
    <m/>
    <m/>
    <n v="0"/>
    <m/>
    <m/>
    <m/>
    <m/>
    <m/>
    <m/>
    <m/>
    <m/>
    <m/>
    <m/>
    <m/>
    <m/>
    <n v="31510.144800000002"/>
    <n v="-9894.6017042700041"/>
    <m/>
    <m/>
    <m/>
    <m/>
    <n v="-19677.000000000004"/>
    <n v="0"/>
    <n v="29"/>
    <n v="890.16969624512785"/>
    <n v="0"/>
    <n v="0"/>
    <n v="0"/>
    <n v="0"/>
    <m/>
    <m/>
    <m/>
    <n v="890.1696962451278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6410.181582333462"/>
    <m/>
    <n v="0"/>
    <n v="0"/>
    <n v="-19677"/>
    <m/>
    <n v="0"/>
    <m/>
    <n v="-20584.081914210576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278"/>
    <s v="Regular"/>
    <s v="Convencional"/>
    <s v="B3"/>
    <s v="Serviço público"/>
    <s v="Água, esgoto e saneamento"/>
    <s v="Não se aplica"/>
    <s v="Não se aplica"/>
    <s v="Não se aplica"/>
    <s v="CATIVO"/>
    <x v="11"/>
    <n v="0"/>
    <n v="0"/>
    <n v="29.271999999999998"/>
    <n v="27.51568"/>
    <n v="29.271999999999998"/>
    <n v="27.51568"/>
    <m/>
    <n v="609.05999999999995"/>
    <n v="286.42"/>
    <m/>
    <n v="26212.490559999998"/>
    <n v="26212.490559999998"/>
    <n v="20018.242639999997"/>
    <n v="0"/>
    <n v="1781.5348706879374"/>
    <n v="0"/>
    <n v="0"/>
    <n v="0"/>
    <n v="2858.4737334874876"/>
    <n v="11041.749523342536"/>
    <n v="8384.1841619778588"/>
    <n v="0"/>
    <n v="0"/>
    <n v="0"/>
    <n v="0"/>
    <n v="0"/>
    <n v="275.32918148442701"/>
    <m/>
    <n v="49.9918212434834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1.26531767513916"/>
    <n v="0"/>
    <n v="70.489999999999995"/>
    <n v="325.45"/>
    <n v="4481.13"/>
    <n v="6"/>
    <m/>
    <m/>
    <m/>
    <m/>
    <n v="1201.0945583999992"/>
    <m/>
    <m/>
    <m/>
    <m/>
    <n v="9365.449479652998"/>
    <m/>
    <m/>
    <m/>
    <m/>
    <m/>
    <m/>
    <m/>
    <m/>
    <m/>
    <m/>
    <m/>
    <m/>
    <n v="18820.1024"/>
    <n v="-5819.668726399992"/>
    <m/>
    <m/>
    <m/>
    <m/>
    <n v="-4296.8368799999989"/>
    <n v="-1897.4110400000006"/>
    <n v="31"/>
    <n v="-2165.1915390003996"/>
    <n v="0"/>
    <n v="0"/>
    <n v="0"/>
    <n v="0"/>
    <n v="0"/>
    <n v="0"/>
    <n v="0"/>
    <n v="98.09397835803793"/>
    <n v="0"/>
    <n v="0"/>
    <n v="-1897.6091964245161"/>
    <n v="0"/>
    <n v="0"/>
    <n v="0"/>
    <n v="-222.09174500211702"/>
    <n v="0"/>
    <n v="-123.59603328362437"/>
    <m/>
    <n v="0"/>
    <n v="0"/>
    <n v="0"/>
    <n v="0"/>
    <n v="-15.75662062372146"/>
    <n v="-4.2319220244591662"/>
    <n v="0"/>
    <n v="0"/>
    <m/>
    <m/>
    <m/>
    <n v="11041.749523342536"/>
    <n v="0"/>
    <n v="0"/>
    <n v="-4296.8368799999989"/>
    <n v="-1897.4110400000009"/>
    <n v="0"/>
    <n v="0"/>
    <n v="-4029.1357036840172"/>
    <n v="0"/>
    <n v="0"/>
    <n v="0"/>
    <n v="0"/>
    <n v="0"/>
    <n v="0"/>
    <n v="0"/>
    <n v="0"/>
    <n v="0"/>
    <n v="0"/>
    <n v="0"/>
    <n v="0"/>
    <n v="840.05464672150561"/>
    <n v="0"/>
    <n v="0"/>
    <n v="0"/>
    <n v="0"/>
    <n v="0"/>
    <n v="202"/>
    <n v="0"/>
    <n v="0"/>
    <n v="0"/>
    <m/>
    <n v="0"/>
    <n v="-17.698635468909799"/>
    <m/>
    <n v="-17.698635468909799"/>
    <m/>
    <n v="0"/>
    <n v="0"/>
    <n v="0"/>
    <n v="0"/>
  </r>
  <r>
    <n v="277"/>
    <s v="Regular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46.963999999999999"/>
    <n v="46.963999999999999"/>
    <n v="46.963999999999999"/>
    <n v="46.963999999999999"/>
    <m/>
    <n v="334.98"/>
    <n v="157.53"/>
    <m/>
    <n v="23130.23964"/>
    <n v="23130.23964"/>
    <n v="17664.569319999999"/>
    <n v="0"/>
    <n v="1572.0621077085107"/>
    <n v="0"/>
    <n v="0"/>
    <n v="0"/>
    <n v="2522.3745637718112"/>
    <n v="9743.4612782810527"/>
    <n v="7398.3722923175765"/>
    <n v="0"/>
    <n v="0"/>
    <n v="0"/>
    <n v="0"/>
    <n v="0"/>
    <n v="242.95599287985272"/>
    <m/>
    <n v="44.1137859074687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5.88820062217917"/>
    <n v="0"/>
    <n v="62.2"/>
    <n v="287.2"/>
    <n v="3954.27"/>
    <n v="3"/>
    <m/>
    <m/>
    <m/>
    <m/>
    <m/>
    <m/>
    <m/>
    <m/>
    <m/>
    <n v="8264.2604929397548"/>
    <m/>
    <m/>
    <m/>
    <m/>
    <m/>
    <m/>
    <m/>
    <m/>
    <m/>
    <m/>
    <m/>
    <m/>
    <n v="17663.0648"/>
    <n v="-5467.2048399999985"/>
    <m/>
    <m/>
    <m/>
    <m/>
    <n v="-3791.4037200000007"/>
    <n v="-1674.2666000000002"/>
    <n v="31"/>
    <n v="-1910.6084480284517"/>
    <n v="0"/>
    <n v="0"/>
    <n v="0"/>
    <n v="0"/>
    <n v="0"/>
    <n v="0"/>
    <n v="0"/>
    <n v="86.560094280660905"/>
    <n v="0"/>
    <n v="0"/>
    <n v="-1674.4884212040461"/>
    <n v="0"/>
    <n v="0"/>
    <n v="0"/>
    <n v="-195.97821097819588"/>
    <n v="0"/>
    <n v="-109.06361912143711"/>
    <m/>
    <n v="0"/>
    <n v="0"/>
    <n v="0"/>
    <n v="0"/>
    <n v="-13.903958118162649"/>
    <n v="-3.7343328872704902"/>
    <n v="0"/>
    <n v="0"/>
    <m/>
    <m/>
    <m/>
    <n v="9743.4612782810527"/>
    <n v="0"/>
    <n v="0"/>
    <n v="-3791.4037200000002"/>
    <n v="-1674.2665999999999"/>
    <n v="0"/>
    <n v="0"/>
    <n v="-3555.3901698995551"/>
    <n v="0"/>
    <n v="0"/>
    <n v="0"/>
    <n v="0"/>
    <n v="0"/>
    <n v="0"/>
    <n v="0"/>
    <n v="0"/>
    <n v="0"/>
    <n v="0"/>
    <n v="0"/>
    <n v="0"/>
    <n v="741.28107186887905"/>
    <n v="0"/>
    <n v="0"/>
    <n v="0"/>
    <n v="0"/>
    <n v="0"/>
    <n v="202"/>
    <n v="0"/>
    <n v="0"/>
    <n v="0"/>
    <m/>
    <n v="0"/>
    <n v="-9.7342495079003708"/>
    <m/>
    <n v="-9.7342495079003708"/>
    <m/>
    <n v="0"/>
    <n v="0"/>
    <n v="0"/>
    <n v="0"/>
  </r>
  <r>
    <n v="300"/>
    <s v="Regular"/>
    <s v="Verde"/>
    <s v="A4"/>
    <s v="Industrial"/>
    <s v="Não se aplica"/>
    <s v="Fonte incentivada"/>
    <s v="Não se aplica"/>
    <s v="Ponta"/>
    <s v="LIVRE"/>
    <x v="6"/>
    <n v="0"/>
    <n v="0"/>
    <n v="90.872"/>
    <n v="47.399215953679999"/>
    <n v="0"/>
    <n v="0"/>
    <m/>
    <n v="3305.85"/>
    <m/>
    <m/>
    <n v="300409.20120000001"/>
    <n v="300409.20120000001"/>
    <n v="217138.644"/>
    <n v="0"/>
    <n v="4811.6194311684958"/>
    <n v="0"/>
    <n v="0"/>
    <n v="0"/>
    <n v="59247.187370683503"/>
    <n v="232031.53470001233"/>
    <m/>
    <m/>
    <m/>
    <n v="0"/>
    <n v="0"/>
    <n v="0"/>
    <n v="854.73194109909991"/>
    <m/>
    <n v="124.50258469351745"/>
    <n v="0"/>
    <n v="0"/>
    <n v="0"/>
    <n v="0"/>
    <m/>
    <m/>
    <n v="0"/>
    <n v="0"/>
    <n v="0"/>
    <m/>
    <m/>
    <n v="0"/>
    <m/>
    <n v="0"/>
    <n v="0"/>
    <n v="0"/>
    <n v="0"/>
    <m/>
    <n v="1071.1351211753272"/>
    <n v="0"/>
    <n v="0"/>
    <n v="0"/>
    <n v="0"/>
    <n v="0"/>
    <m/>
    <n v="103878.21747868165"/>
    <m/>
    <m/>
    <m/>
    <m/>
    <m/>
    <m/>
    <m/>
    <n v="1071.1351211753272"/>
    <m/>
    <m/>
    <m/>
    <m/>
    <m/>
    <m/>
    <m/>
    <m/>
    <m/>
    <m/>
    <m/>
    <m/>
    <n v="113262.3"/>
    <n v="-43432.428060473045"/>
    <m/>
    <m/>
    <m/>
    <m/>
    <n v="-83270.557199999996"/>
    <n v="0"/>
    <n v="31"/>
    <n v="1397.4821613084059"/>
    <n v="0"/>
    <n v="0"/>
    <n v="0"/>
    <n v="0"/>
    <m/>
    <m/>
    <m/>
    <n v="2033.1802414791018"/>
    <n v="0"/>
    <n v="0"/>
    <m/>
    <m/>
    <n v="0"/>
    <n v="0"/>
    <n v="-242.43215765385946"/>
    <n v="0"/>
    <n v="-333.81163913631281"/>
    <m/>
    <n v="0"/>
    <n v="0"/>
    <m/>
    <n v="0"/>
    <n v="-48.914854786786691"/>
    <n v="-10.539428593737654"/>
    <n v="0"/>
    <n v="0"/>
    <m/>
    <m/>
    <m/>
    <n v="232031.53470001233"/>
    <n v="0"/>
    <n v="0"/>
    <n v="-83270.55720000001"/>
    <m/>
    <n v="0"/>
    <m/>
    <n v="-84668.334385239315"/>
    <m/>
    <n v="0"/>
    <n v="0"/>
    <m/>
    <n v="0"/>
    <n v="0"/>
    <n v="0"/>
    <n v="0"/>
    <n v="0"/>
    <m/>
    <m/>
    <n v="0"/>
    <n v="2268.8431912914289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301"/>
    <s v="Regular"/>
    <s v="Verde"/>
    <s v="A4"/>
    <s v="Industrial"/>
    <s v="Não se aplica"/>
    <s v="Fonte incentivada"/>
    <s v="Não se aplica"/>
    <s v="Fora ponta"/>
    <s v="LIVRE"/>
    <x v="6"/>
    <n v="0"/>
    <n v="0"/>
    <n v="830.31600000000003"/>
    <n v="830.31600000000003"/>
    <n v="0"/>
    <n v="0"/>
    <m/>
    <n v="100.48"/>
    <m/>
    <m/>
    <n v="83430.15168000001"/>
    <n v="83430.15168000001"/>
    <n v="77617.93968000001"/>
    <n v="0"/>
    <n v="43964.748212982005"/>
    <n v="0"/>
    <n v="0"/>
    <n v="0"/>
    <n v="0"/>
    <n v="0"/>
    <m/>
    <m/>
    <m/>
    <n v="0"/>
    <n v="0"/>
    <n v="0"/>
    <n v="7809.8600933801417"/>
    <m/>
    <n v="1137.6055122852215"/>
    <n v="0"/>
    <n v="0"/>
    <n v="0"/>
    <n v="0"/>
    <m/>
    <m/>
    <n v="0"/>
    <n v="0"/>
    <n v="0"/>
    <m/>
    <m/>
    <n v="0"/>
    <m/>
    <n v="0"/>
    <n v="0"/>
    <n v="0"/>
    <n v="0"/>
    <m/>
    <n v="9787.1800914892701"/>
    <n v="0"/>
    <n v="0"/>
    <n v="0"/>
    <n v="0"/>
    <n v="0"/>
    <m/>
    <m/>
    <m/>
    <m/>
    <m/>
    <m/>
    <m/>
    <m/>
    <m/>
    <n v="9787.1800914892701"/>
    <m/>
    <m/>
    <m/>
    <m/>
    <m/>
    <m/>
    <m/>
    <m/>
    <m/>
    <m/>
    <m/>
    <m/>
    <n v="77618.313600000009"/>
    <n v="-5811.8680799999856"/>
    <m/>
    <m/>
    <m/>
    <m/>
    <n v="-5812.2120000000004"/>
    <n v="0"/>
    <n v="31"/>
    <n v="-5808.5030277204351"/>
    <n v="0"/>
    <n v="0"/>
    <n v="0"/>
    <n v="0"/>
    <m/>
    <m/>
    <m/>
    <n v="0"/>
    <n v="0"/>
    <n v="0"/>
    <m/>
    <m/>
    <n v="0"/>
    <n v="0"/>
    <n v="-2215.1520756065893"/>
    <n v="0"/>
    <n v="-3050.1050374274419"/>
    <m/>
    <n v="0"/>
    <n v="0"/>
    <m/>
    <n v="0"/>
    <n v="-446.94500580096792"/>
    <n v="-96.300908885441913"/>
    <n v="0"/>
    <n v="0"/>
    <m/>
    <m/>
    <m/>
    <n v="0"/>
    <n v="0"/>
    <n v="0"/>
    <n v="-5812.2119999999995"/>
    <m/>
    <n v="0"/>
    <m/>
    <n v="0"/>
    <m/>
    <n v="0"/>
    <n v="0"/>
    <m/>
    <n v="0"/>
    <n v="0"/>
    <n v="0"/>
    <n v="0"/>
    <n v="0"/>
    <m/>
    <m/>
    <n v="0"/>
    <n v="20730.883035702245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302"/>
    <s v="Regular"/>
    <s v="Verde"/>
    <s v="A4"/>
    <s v="Industrial"/>
    <s v="Não se aplica"/>
    <s v="Fonte incentivada"/>
    <s v="Não se aplica"/>
    <s v="Não se aplica"/>
    <s v="LIVRE"/>
    <x v="6"/>
    <n v="2100"/>
    <n v="1054.466322"/>
    <n v="0"/>
    <n v="0"/>
    <n v="0"/>
    <n v="0"/>
    <n v="39.21"/>
    <m/>
    <m/>
    <n v="82341"/>
    <m/>
    <n v="82341"/>
    <n v="62664"/>
    <n v="0"/>
    <n v="0"/>
    <n v="0"/>
    <n v="0"/>
    <n v="0"/>
    <n v="25939.682920966083"/>
    <n v="56410.18158233346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320.6999999999998"/>
    <n v="0"/>
    <n v="110153.2"/>
    <n v="1"/>
    <m/>
    <n v="31198.724951520002"/>
    <m/>
    <m/>
    <m/>
    <m/>
    <m/>
    <m/>
    <m/>
    <n v="0"/>
    <m/>
    <m/>
    <m/>
    <m/>
    <m/>
    <m/>
    <m/>
    <m/>
    <m/>
    <m/>
    <m/>
    <m/>
    <n v="31465.3848"/>
    <n v="-9880.2696856200055"/>
    <m/>
    <m/>
    <m/>
    <m/>
    <n v="-19677.000000000004"/>
    <n v="0"/>
    <n v="31"/>
    <n v="890.16969624512785"/>
    <n v="0"/>
    <n v="0"/>
    <n v="0"/>
    <n v="0"/>
    <m/>
    <m/>
    <m/>
    <n v="890.1696962451278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6410.181582333462"/>
    <m/>
    <n v="0"/>
    <n v="0"/>
    <n v="-19677"/>
    <m/>
    <n v="0"/>
    <m/>
    <n v="-20584.081914210576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303"/>
    <s v="Regular"/>
    <s v="Verde"/>
    <s v="A4"/>
    <s v="Industrial"/>
    <s v="Não se aplica"/>
    <s v="Fonte incentivada"/>
    <s v="Não se aplica"/>
    <s v="Ponta"/>
    <s v="LIVRE"/>
    <x v="7"/>
    <n v="0"/>
    <n v="0"/>
    <n v="85.397999999999996"/>
    <n v="44.465462753879997"/>
    <n v="0"/>
    <n v="0"/>
    <m/>
    <n v="3305.85"/>
    <m/>
    <m/>
    <n v="282312.97829999996"/>
    <n v="282312.97829999996"/>
    <n v="204058.52099999998"/>
    <n v="0"/>
    <n v="4521.7743219355489"/>
    <n v="0"/>
    <n v="0"/>
    <n v="0"/>
    <n v="55678.2210921035"/>
    <n v="218054.28515177011"/>
    <m/>
    <m/>
    <m/>
    <n v="0"/>
    <n v="0"/>
    <n v="0"/>
    <n v="803.2441049606141"/>
    <m/>
    <n v="117.00272611648256"/>
    <n v="0"/>
    <n v="0"/>
    <n v="0"/>
    <n v="0"/>
    <m/>
    <m/>
    <n v="0"/>
    <n v="0"/>
    <n v="0"/>
    <m/>
    <m/>
    <n v="0"/>
    <m/>
    <n v="0"/>
    <n v="0"/>
    <n v="0"/>
    <n v="0"/>
    <m/>
    <n v="1006.611465337294"/>
    <n v="0"/>
    <n v="0"/>
    <n v="0"/>
    <n v="0"/>
    <n v="0"/>
    <m/>
    <n v="97808.297749603735"/>
    <m/>
    <m/>
    <m/>
    <m/>
    <m/>
    <m/>
    <m/>
    <n v="1006.611465337294"/>
    <m/>
    <m/>
    <m/>
    <m/>
    <m/>
    <m/>
    <m/>
    <m/>
    <m/>
    <m/>
    <m/>
    <m/>
    <n v="106261.065"/>
    <n v="-40735.115044914215"/>
    <m/>
    <m/>
    <m/>
    <m/>
    <n v="-78254.457299999995"/>
    <n v="0"/>
    <n v="30"/>
    <n v="1313.2998240537854"/>
    <n v="0"/>
    <n v="0"/>
    <n v="0"/>
    <n v="0"/>
    <m/>
    <m/>
    <m/>
    <n v="1910.7043562575127"/>
    <n v="0"/>
    <n v="0"/>
    <m/>
    <m/>
    <n v="0"/>
    <n v="0"/>
    <n v="-227.82838937543227"/>
    <n v="0"/>
    <n v="-313.70330089535673"/>
    <m/>
    <n v="0"/>
    <n v="0"/>
    <m/>
    <n v="0"/>
    <n v="-45.968293523659668"/>
    <n v="-9.9045484092790872"/>
    <n v="0"/>
    <n v="0"/>
    <m/>
    <m/>
    <m/>
    <n v="218054.28515177011"/>
    <n v="0"/>
    <n v="0"/>
    <n v="-78254.45729999998"/>
    <m/>
    <n v="0"/>
    <m/>
    <n v="-79568.034376162832"/>
    <m/>
    <n v="0"/>
    <n v="0"/>
    <m/>
    <n v="0"/>
    <n v="0"/>
    <n v="0"/>
    <n v="0"/>
    <n v="0"/>
    <m/>
    <m/>
    <n v="0"/>
    <n v="2132.1713052414984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304"/>
    <s v="Regular"/>
    <s v="Verde"/>
    <s v="A4"/>
    <s v="Industrial"/>
    <s v="Não se aplica"/>
    <s v="Fonte incentivada"/>
    <s v="Não se aplica"/>
    <s v="Fora ponta"/>
    <s v="LIVRE"/>
    <x v="7"/>
    <n v="0"/>
    <n v="0"/>
    <n v="790.26300000000003"/>
    <n v="790.26300000000003"/>
    <n v="0"/>
    <n v="0"/>
    <m/>
    <n v="100.48"/>
    <m/>
    <m/>
    <n v="79405.626240000012"/>
    <n v="79405.626240000012"/>
    <n v="73873.785240000012"/>
    <n v="0"/>
    <n v="41843.965209674148"/>
    <n v="0"/>
    <n v="0"/>
    <n v="0"/>
    <n v="0"/>
    <n v="0"/>
    <m/>
    <m/>
    <m/>
    <n v="0"/>
    <n v="0"/>
    <n v="0"/>
    <n v="7433.1260230741918"/>
    <m/>
    <n v="1082.7294005596134"/>
    <n v="0"/>
    <n v="0"/>
    <n v="0"/>
    <n v="0"/>
    <m/>
    <m/>
    <n v="0"/>
    <n v="0"/>
    <n v="0"/>
    <m/>
    <m/>
    <n v="0"/>
    <m/>
    <n v="0"/>
    <n v="0"/>
    <n v="0"/>
    <n v="0"/>
    <m/>
    <n v="9315.0635428446349"/>
    <n v="0"/>
    <n v="0"/>
    <n v="0"/>
    <n v="0"/>
    <n v="0"/>
    <m/>
    <m/>
    <m/>
    <m/>
    <m/>
    <m/>
    <m/>
    <m/>
    <m/>
    <n v="9315.0635428446349"/>
    <m/>
    <m/>
    <m/>
    <m/>
    <m/>
    <m/>
    <m/>
    <m/>
    <m/>
    <m/>
    <m/>
    <m/>
    <n v="73873.504799999995"/>
    <n v="-5532.1514400000015"/>
    <m/>
    <m/>
    <m/>
    <m/>
    <n v="-5531.8410000000003"/>
    <n v="0"/>
    <n v="30"/>
    <n v="-5528.3109420936671"/>
    <n v="0"/>
    <n v="0"/>
    <n v="0"/>
    <n v="0"/>
    <m/>
    <m/>
    <m/>
    <n v="0"/>
    <n v="0"/>
    <n v="0"/>
    <m/>
    <m/>
    <n v="0"/>
    <n v="0"/>
    <n v="-2108.2969914166297"/>
    <n v="0"/>
    <n v="-2902.9732742624838"/>
    <m/>
    <n v="0"/>
    <n v="0"/>
    <m/>
    <n v="0"/>
    <n v="-425.38515591568739"/>
    <n v="-91.655520498865485"/>
    <n v="0"/>
    <n v="0"/>
    <m/>
    <m/>
    <m/>
    <n v="0"/>
    <n v="0"/>
    <n v="0"/>
    <n v="-5531.8410000000003"/>
    <m/>
    <n v="0"/>
    <m/>
    <n v="0"/>
    <m/>
    <n v="0"/>
    <n v="0"/>
    <m/>
    <n v="0"/>
    <n v="0"/>
    <n v="0"/>
    <n v="0"/>
    <n v="0"/>
    <m/>
    <m/>
    <n v="0"/>
    <n v="19730.861287080053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305"/>
    <s v="Regular"/>
    <s v="Verde"/>
    <s v="A4"/>
    <s v="Industrial"/>
    <s v="Não se aplica"/>
    <s v="Fonte incentivada"/>
    <s v="Não se aplica"/>
    <s v="Não se aplica"/>
    <s v="LIVRE"/>
    <x v="7"/>
    <n v="2100"/>
    <n v="1052.4575460000001"/>
    <n v="0"/>
    <n v="0"/>
    <n v="0"/>
    <n v="0"/>
    <n v="39.21"/>
    <m/>
    <m/>
    <n v="82341"/>
    <m/>
    <n v="82341"/>
    <n v="62664"/>
    <n v="0"/>
    <n v="0"/>
    <n v="0"/>
    <n v="0"/>
    <n v="0"/>
    <n v="25939.682920966083"/>
    <n v="56410.18158233346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581.77"/>
    <n v="0"/>
    <n v="91629.92"/>
    <n v="1"/>
    <m/>
    <n v="31258.666827359997"/>
    <m/>
    <m/>
    <m/>
    <m/>
    <m/>
    <m/>
    <m/>
    <n v="0"/>
    <m/>
    <m/>
    <m/>
    <m/>
    <m/>
    <m/>
    <m/>
    <m/>
    <m/>
    <m/>
    <m/>
    <m/>
    <n v="31405.4064"/>
    <n v="-9861.4839786600132"/>
    <m/>
    <m/>
    <m/>
    <m/>
    <n v="-19677.000000000004"/>
    <n v="0"/>
    <n v="30"/>
    <n v="890.16969624512785"/>
    <n v="0"/>
    <n v="0"/>
    <n v="0"/>
    <n v="0"/>
    <m/>
    <m/>
    <m/>
    <n v="890.1696962451278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6410.181582333462"/>
    <m/>
    <n v="0"/>
    <n v="0"/>
    <n v="-19677"/>
    <m/>
    <n v="0"/>
    <m/>
    <n v="-20584.081914210576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306"/>
    <s v="Regular"/>
    <s v="Verde"/>
    <s v="A4"/>
    <s v="Industrial"/>
    <s v="Não se aplica"/>
    <s v="Fonte incentivada"/>
    <s v="Não se aplica"/>
    <s v="Ponta"/>
    <s v="LIVRE"/>
    <x v="8"/>
    <n v="0"/>
    <n v="0"/>
    <n v="85.915000000000006"/>
    <n v="44.670605579099998"/>
    <n v="0"/>
    <n v="0"/>
    <m/>
    <n v="3305.85"/>
    <m/>
    <m/>
    <n v="284022.10275000002"/>
    <n v="284022.10275000002"/>
    <n v="205293.89250000002"/>
    <n v="0"/>
    <n v="4549.1491705788503"/>
    <n v="0"/>
    <n v="0"/>
    <n v="0"/>
    <n v="56015.297373803522"/>
    <n v="219374.38709120039"/>
    <m/>
    <m/>
    <m/>
    <n v="0"/>
    <n v="0"/>
    <n v="0"/>
    <n v="808.10694955023735"/>
    <m/>
    <n v="117.71106131639617"/>
    <n v="0"/>
    <n v="0"/>
    <n v="0"/>
    <n v="0"/>
    <m/>
    <m/>
    <n v="0"/>
    <n v="0"/>
    <n v="0"/>
    <m/>
    <m/>
    <n v="0"/>
    <m/>
    <n v="0"/>
    <n v="0"/>
    <n v="0"/>
    <n v="0"/>
    <m/>
    <n v="1012.7054971363923"/>
    <n v="0"/>
    <n v="0"/>
    <n v="0"/>
    <n v="0"/>
    <n v="0"/>
    <m/>
    <n v="98553.48046874057"/>
    <m/>
    <m/>
    <m/>
    <m/>
    <m/>
    <m/>
    <m/>
    <n v="1012.7054971363923"/>
    <m/>
    <m/>
    <m/>
    <m/>
    <m/>
    <m/>
    <m/>
    <m/>
    <m/>
    <m/>
    <m/>
    <m/>
    <n v="106738.96500000001"/>
    <n v="-40935.386453667728"/>
    <m/>
    <m/>
    <m/>
    <m/>
    <n v="-78728.210250000004"/>
    <n v="0"/>
    <n v="31"/>
    <n v="1321.250549000928"/>
    <n v="0"/>
    <n v="0"/>
    <n v="0"/>
    <n v="0"/>
    <m/>
    <m/>
    <m/>
    <n v="1922.2717717963387"/>
    <n v="0"/>
    <n v="0"/>
    <m/>
    <m/>
    <n v="0"/>
    <n v="0"/>
    <n v="-229.20766379997508"/>
    <n v="0"/>
    <n v="-315.60246254507729"/>
    <m/>
    <n v="0"/>
    <n v="0"/>
    <m/>
    <n v="0"/>
    <n v="-46.24658584609972"/>
    <n v="-9.9645106042672182"/>
    <n v="0"/>
    <n v="0"/>
    <m/>
    <m/>
    <m/>
    <n v="219374.38709120039"/>
    <n v="0"/>
    <n v="0"/>
    <n v="-78728.210250000004"/>
    <m/>
    <n v="0"/>
    <m/>
    <n v="-80049.739729595894"/>
    <m/>
    <n v="0"/>
    <n v="0"/>
    <m/>
    <n v="0"/>
    <n v="0"/>
    <n v="0"/>
    <n v="0"/>
    <n v="0"/>
    <m/>
    <m/>
    <n v="0"/>
    <n v="2145.0794830069012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307"/>
    <s v="Regular"/>
    <s v="Verde"/>
    <s v="A4"/>
    <s v="Industrial"/>
    <s v="Não se aplica"/>
    <s v="Fonte incentivada"/>
    <s v="Não se aplica"/>
    <s v="Fora ponta"/>
    <s v="LIVRE"/>
    <x v="8"/>
    <n v="0"/>
    <n v="0"/>
    <n v="822.077"/>
    <n v="822.077"/>
    <n v="0"/>
    <n v="0"/>
    <m/>
    <n v="100.48"/>
    <m/>
    <m/>
    <n v="82602.296960000007"/>
    <n v="82602.296960000007"/>
    <n v="76847.757960000003"/>
    <n v="0"/>
    <n v="43528.497965453644"/>
    <n v="0"/>
    <n v="0"/>
    <n v="0"/>
    <n v="0"/>
    <n v="0"/>
    <m/>
    <m/>
    <m/>
    <n v="0"/>
    <n v="0"/>
    <n v="0"/>
    <n v="7732.3649742816788"/>
    <m/>
    <n v="1126.3173619717047"/>
    <n v="0"/>
    <n v="0"/>
    <n v="0"/>
    <n v="0"/>
    <m/>
    <m/>
    <n v="0"/>
    <n v="0"/>
    <n v="0"/>
    <m/>
    <m/>
    <n v="0"/>
    <m/>
    <n v="0"/>
    <n v="0"/>
    <n v="0"/>
    <n v="0"/>
    <m/>
    <n v="9690.0645634568336"/>
    <n v="0"/>
    <n v="0"/>
    <n v="0"/>
    <n v="0"/>
    <n v="0"/>
    <m/>
    <m/>
    <m/>
    <m/>
    <m/>
    <m/>
    <m/>
    <m/>
    <m/>
    <n v="9690.0645634568336"/>
    <m/>
    <m/>
    <m/>
    <m/>
    <m/>
    <m/>
    <m/>
    <m/>
    <m/>
    <m/>
    <m/>
    <m/>
    <n v="76848.038400000005"/>
    <n v="-5754.2885599999863"/>
    <m/>
    <m/>
    <m/>
    <m/>
    <n v="-5754.5389999999998"/>
    <n v="0"/>
    <n v="31"/>
    <n v="-5750.8668308443157"/>
    <n v="0"/>
    <n v="0"/>
    <n v="0"/>
    <n v="0"/>
    <m/>
    <m/>
    <m/>
    <n v="0"/>
    <n v="0"/>
    <n v="0"/>
    <m/>
    <m/>
    <n v="0"/>
    <n v="0"/>
    <n v="-2193.1717236069608"/>
    <n v="0"/>
    <n v="-3019.8396741159304"/>
    <m/>
    <n v="0"/>
    <n v="0"/>
    <m/>
    <n v="0"/>
    <n v="-442.51009198165775"/>
    <n v="-95.345341139779748"/>
    <n v="0"/>
    <n v="0"/>
    <m/>
    <m/>
    <m/>
    <n v="0"/>
    <n v="0"/>
    <n v="0"/>
    <n v="-5754.5390000000043"/>
    <m/>
    <n v="0"/>
    <m/>
    <n v="0"/>
    <m/>
    <n v="0"/>
    <n v="0"/>
    <m/>
    <n v="0"/>
    <n v="0"/>
    <n v="0"/>
    <n v="0"/>
    <n v="0"/>
    <m/>
    <m/>
    <n v="0"/>
    <n v="20525.176117696145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308"/>
    <s v="Regular"/>
    <s v="Verde"/>
    <s v="A4"/>
    <s v="Industrial"/>
    <s v="Não se aplica"/>
    <s v="Fonte incentivada"/>
    <s v="Não se aplica"/>
    <s v="Não se aplica"/>
    <s v="LIVRE"/>
    <x v="8"/>
    <n v="2100"/>
    <n v="1050.8292899999999"/>
    <n v="0"/>
    <n v="0"/>
    <n v="0"/>
    <n v="0"/>
    <n v="39.21"/>
    <m/>
    <m/>
    <n v="82341"/>
    <m/>
    <n v="82341"/>
    <n v="62664"/>
    <n v="0"/>
    <n v="0"/>
    <n v="0"/>
    <n v="0"/>
    <n v="0"/>
    <n v="25939.682920966083"/>
    <n v="56410.18158233346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530.99"/>
    <n v="0"/>
    <n v="50945.29"/>
    <n v="1"/>
    <m/>
    <n v="31307.253986400003"/>
    <m/>
    <m/>
    <m/>
    <m/>
    <m/>
    <m/>
    <m/>
    <n v="0"/>
    <m/>
    <m/>
    <m/>
    <m/>
    <m/>
    <m/>
    <m/>
    <m/>
    <m/>
    <m/>
    <m/>
    <m/>
    <n v="31356.767199999998"/>
    <n v="-9846.2792609000062"/>
    <m/>
    <m/>
    <m/>
    <m/>
    <n v="-19677.000000000004"/>
    <n v="0"/>
    <n v="31"/>
    <n v="890.16969624512785"/>
    <n v="0"/>
    <n v="0"/>
    <n v="0"/>
    <n v="0"/>
    <m/>
    <m/>
    <m/>
    <n v="890.1696962451278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6410.181582333462"/>
    <m/>
    <n v="0"/>
    <n v="0"/>
    <n v="-19677"/>
    <m/>
    <n v="0"/>
    <m/>
    <n v="-20584.081914210576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309"/>
    <s v="Regular"/>
    <s v="Verde"/>
    <s v="A4"/>
    <s v="Industrial"/>
    <s v="Não se aplica"/>
    <s v="Fonte incentivada"/>
    <s v="Não se aplica"/>
    <s v="Ponta"/>
    <s v="LIVRE"/>
    <x v="9"/>
    <n v="0"/>
    <n v="0"/>
    <n v="86.504000000000005"/>
    <n v="44.964743733360002"/>
    <n v="0"/>
    <n v="0"/>
    <m/>
    <n v="3305.85"/>
    <m/>
    <m/>
    <n v="285969.24839999998"/>
    <n v="285969.24839999998"/>
    <n v="206701.30800000002"/>
    <n v="0"/>
    <n v="4580.336377253715"/>
    <n v="0"/>
    <n v="0"/>
    <n v="0"/>
    <n v="56399.316580614555"/>
    <n v="220878.33301445845"/>
    <m/>
    <m/>
    <m/>
    <n v="0"/>
    <n v="0"/>
    <n v="0"/>
    <n v="813.64701814460489"/>
    <m/>
    <n v="118.5180428110753"/>
    <n v="0"/>
    <n v="0"/>
    <n v="0"/>
    <n v="0"/>
    <m/>
    <m/>
    <n v="0"/>
    <n v="0"/>
    <n v="0"/>
    <m/>
    <m/>
    <n v="0"/>
    <m/>
    <n v="0"/>
    <n v="0"/>
    <n v="0"/>
    <n v="0"/>
    <m/>
    <n v="1019.6482142150553"/>
    <n v="0"/>
    <n v="0"/>
    <n v="0"/>
    <n v="0"/>
    <n v="0"/>
    <m/>
    <n v="99258.052849136293"/>
    <m/>
    <m/>
    <m/>
    <m/>
    <m/>
    <m/>
    <m/>
    <n v="1019.6482142150553"/>
    <m/>
    <m/>
    <m/>
    <m/>
    <m/>
    <m/>
    <m/>
    <m/>
    <m/>
    <m/>
    <m/>
    <m/>
    <n v="107431.92"/>
    <n v="-41214.808070928193"/>
    <m/>
    <m/>
    <m/>
    <m/>
    <n v="-79267.940399999992"/>
    <n v="0"/>
    <n v="30"/>
    <n v="1330.3085315809294"/>
    <n v="0"/>
    <n v="0"/>
    <n v="0"/>
    <n v="0"/>
    <m/>
    <m/>
    <m/>
    <n v="1935.450123348317"/>
    <n v="0"/>
    <n v="0"/>
    <m/>
    <m/>
    <n v="0"/>
    <n v="0"/>
    <n v="-230.77902286391247"/>
    <n v="0"/>
    <n v="-317.76611092358053"/>
    <m/>
    <n v="0"/>
    <n v="0"/>
    <m/>
    <n v="0"/>
    <n v="-46.563634546132903"/>
    <n v="-10.032823433760484"/>
    <n v="0"/>
    <n v="0"/>
    <m/>
    <m/>
    <m/>
    <n v="220878.33301445845"/>
    <n v="0"/>
    <n v="0"/>
    <n v="-79267.940399999963"/>
    <m/>
    <n v="0"/>
    <m/>
    <n v="-80598.529774416122"/>
    <m/>
    <n v="0"/>
    <n v="0"/>
    <m/>
    <n v="0"/>
    <n v="0"/>
    <n v="0"/>
    <n v="0"/>
    <n v="0"/>
    <m/>
    <m/>
    <n v="0"/>
    <n v="2159.7853180239654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310"/>
    <s v="Regular"/>
    <s v="Verde"/>
    <s v="A4"/>
    <s v="Industrial"/>
    <s v="Não se aplica"/>
    <s v="Fonte incentivada"/>
    <s v="Não se aplica"/>
    <s v="Fora ponta"/>
    <s v="LIVRE"/>
    <x v="9"/>
    <n v="0"/>
    <n v="0"/>
    <n v="778.07399999999996"/>
    <n v="778.07399999999996"/>
    <n v="0"/>
    <n v="0"/>
    <m/>
    <n v="100.48"/>
    <m/>
    <m/>
    <n v="78180.875520000001"/>
    <n v="78180.875520000001"/>
    <n v="72734.357520000005"/>
    <n v="0"/>
    <n v="41198.5647645809"/>
    <n v="0"/>
    <n v="0"/>
    <n v="0"/>
    <n v="0"/>
    <n v="0"/>
    <m/>
    <m/>
    <m/>
    <n v="0"/>
    <n v="0"/>
    <n v="0"/>
    <n v="7318.4776426043336"/>
    <m/>
    <n v="1066.0294049082654"/>
    <n v="0"/>
    <n v="0"/>
    <n v="0"/>
    <n v="0"/>
    <m/>
    <m/>
    <n v="0"/>
    <n v="0"/>
    <n v="0"/>
    <m/>
    <m/>
    <n v="0"/>
    <m/>
    <n v="0"/>
    <n v="0"/>
    <n v="0"/>
    <n v="0"/>
    <m/>
    <n v="9171.3881973916214"/>
    <n v="0"/>
    <n v="0"/>
    <n v="0"/>
    <n v="0"/>
    <n v="0"/>
    <m/>
    <m/>
    <m/>
    <m/>
    <m/>
    <m/>
    <m/>
    <m/>
    <m/>
    <n v="9171.3881973916214"/>
    <m/>
    <m/>
    <m/>
    <m/>
    <m/>
    <m/>
    <m/>
    <m/>
    <m/>
    <m/>
    <m/>
    <m/>
    <n v="72733.983600000007"/>
    <n v="-5446.9219199999789"/>
    <m/>
    <m/>
    <m/>
    <m/>
    <n v="-5446.518"/>
    <n v="0"/>
    <n v="30"/>
    <n v="-5443.0423896330467"/>
    <n v="0"/>
    <n v="0"/>
    <n v="0"/>
    <n v="0"/>
    <m/>
    <m/>
    <m/>
    <n v="0"/>
    <n v="0"/>
    <n v="0"/>
    <m/>
    <m/>
    <n v="0"/>
    <n v="0"/>
    <n v="-2075.7786626724292"/>
    <n v="0"/>
    <n v="-2858.1978751358765"/>
    <m/>
    <n v="0"/>
    <n v="0"/>
    <m/>
    <n v="0"/>
    <n v="-418.82402415897286"/>
    <n v="-90.241827665769847"/>
    <n v="0"/>
    <n v="0"/>
    <m/>
    <m/>
    <m/>
    <n v="0"/>
    <n v="0"/>
    <n v="0"/>
    <n v="-5446.5179999999964"/>
    <m/>
    <n v="0"/>
    <m/>
    <n v="0"/>
    <m/>
    <n v="0"/>
    <n v="0"/>
    <m/>
    <n v="0"/>
    <n v="0"/>
    <n v="0"/>
    <n v="0"/>
    <n v="0"/>
    <m/>
    <m/>
    <n v="0"/>
    <n v="19426.532894850858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311"/>
    <s v="Regular"/>
    <s v="Verde"/>
    <s v="A4"/>
    <s v="Industrial"/>
    <s v="Não se aplica"/>
    <s v="Fonte incentivada"/>
    <s v="Não se aplica"/>
    <s v="Não se aplica"/>
    <s v="LIVRE"/>
    <x v="9"/>
    <n v="2100"/>
    <n v="1050.522354"/>
    <n v="0"/>
    <n v="0"/>
    <n v="0"/>
    <n v="0"/>
    <n v="39.21"/>
    <m/>
    <m/>
    <n v="82341"/>
    <m/>
    <n v="82341"/>
    <n v="62664"/>
    <n v="0"/>
    <n v="0"/>
    <n v="0"/>
    <n v="0"/>
    <n v="0"/>
    <n v="25939.682920966083"/>
    <n v="56410.18158233346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246.18"/>
    <n v="0"/>
    <n v="73598.12"/>
    <n v="1"/>
    <m/>
    <n v="31316.412956640001"/>
    <m/>
    <m/>
    <m/>
    <m/>
    <m/>
    <m/>
    <m/>
    <n v="0"/>
    <m/>
    <m/>
    <m/>
    <m/>
    <m/>
    <m/>
    <m/>
    <m/>
    <m/>
    <m/>
    <m/>
    <m/>
    <n v="31347.516799999998"/>
    <n v="-9843.4947003400084"/>
    <m/>
    <m/>
    <m/>
    <m/>
    <n v="-19677.000000000004"/>
    <n v="0"/>
    <n v="30"/>
    <n v="890.16969624512785"/>
    <n v="0"/>
    <n v="0"/>
    <n v="0"/>
    <n v="0"/>
    <m/>
    <m/>
    <m/>
    <n v="890.1696962451278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6410.181582333462"/>
    <m/>
    <n v="0"/>
    <n v="0"/>
    <n v="-19677"/>
    <m/>
    <n v="0"/>
    <m/>
    <n v="-20584.081914210576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312"/>
    <s v="Regular"/>
    <s v="Verde"/>
    <s v="A4"/>
    <s v="Industrial"/>
    <s v="Não se aplica"/>
    <s v="Fonte incentivada"/>
    <s v="Não se aplica"/>
    <s v="Ponta"/>
    <s v="LIVRE"/>
    <x v="10"/>
    <n v="0"/>
    <n v="0"/>
    <n v="89.667000000000002"/>
    <n v="44.838360848070003"/>
    <n v="0"/>
    <n v="0"/>
    <m/>
    <n v="3305.85"/>
    <m/>
    <m/>
    <n v="296425.65194999997"/>
    <n v="296425.65194999997"/>
    <n v="214259.2965"/>
    <n v="0"/>
    <n v="4747.8153835569319"/>
    <n v="0"/>
    <n v="0"/>
    <n v="0"/>
    <n v="58461.545360144795"/>
    <n v="228954.70135956077"/>
    <m/>
    <m/>
    <m/>
    <n v="0"/>
    <n v="0"/>
    <n v="0"/>
    <n v="843.39784490858563"/>
    <m/>
    <n v="122.85162934362212"/>
    <n v="0"/>
    <n v="0"/>
    <n v="0"/>
    <n v="0"/>
    <m/>
    <m/>
    <n v="0"/>
    <n v="0"/>
    <n v="0"/>
    <m/>
    <m/>
    <n v="0"/>
    <m/>
    <n v="0"/>
    <n v="0"/>
    <n v="0"/>
    <n v="0"/>
    <m/>
    <n v="1056.9314300381643"/>
    <n v="0"/>
    <n v="0"/>
    <n v="0"/>
    <n v="0"/>
    <n v="0"/>
    <m/>
    <n v="107118.03325353673"/>
    <m/>
    <m/>
    <m/>
    <m/>
    <m/>
    <m/>
    <m/>
    <n v="1056.9314300381643"/>
    <m/>
    <m/>
    <m/>
    <m/>
    <m/>
    <m/>
    <m/>
    <m/>
    <m/>
    <m/>
    <m/>
    <m/>
    <n v="107145.18000000001"/>
    <n v="-41083.745209592234"/>
    <m/>
    <m/>
    <m/>
    <m/>
    <n v="-82166.355449999988"/>
    <n v="0"/>
    <n v="31"/>
    <n v="1378.9509745360847"/>
    <n v="0"/>
    <n v="0"/>
    <n v="0"/>
    <n v="0"/>
    <m/>
    <m/>
    <m/>
    <n v="2006.2194373702223"/>
    <n v="0"/>
    <n v="0"/>
    <m/>
    <m/>
    <n v="0"/>
    <n v="0"/>
    <n v="-239.21740778621165"/>
    <n v="0"/>
    <n v="-329.38515985601498"/>
    <m/>
    <n v="0"/>
    <n v="0"/>
    <m/>
    <n v="0"/>
    <n v="-48.266223745122829"/>
    <n v="-10.399671446811723"/>
    <n v="0"/>
    <n v="0"/>
    <m/>
    <m/>
    <m/>
    <n v="228954.70135956077"/>
    <n v="0"/>
    <n v="0"/>
    <n v="-82166.355449999974"/>
    <m/>
    <n v="0"/>
    <m/>
    <n v="-83545.597536328627"/>
    <m/>
    <n v="0"/>
    <n v="0"/>
    <m/>
    <n v="0"/>
    <n v="0"/>
    <n v="0"/>
    <n v="0"/>
    <n v="0"/>
    <m/>
    <m/>
    <n v="0"/>
    <n v="2238.7573997879276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313"/>
    <s v="Regular"/>
    <s v="Verde"/>
    <s v="A4"/>
    <s v="Industrial"/>
    <s v="Não se aplica"/>
    <s v="Fonte incentivada"/>
    <s v="Não se aplica"/>
    <s v="Fora ponta"/>
    <s v="LIVRE"/>
    <x v="10"/>
    <n v="0"/>
    <n v="0"/>
    <n v="897.19799999999998"/>
    <n v="897.19799999999998"/>
    <n v="0"/>
    <n v="0"/>
    <m/>
    <n v="100.48"/>
    <m/>
    <m/>
    <n v="90150.455040000001"/>
    <n v="90150.455040000001"/>
    <n v="83870.069040000002"/>
    <n v="0"/>
    <n v="47506.111127800774"/>
    <n v="0"/>
    <n v="0"/>
    <n v="0"/>
    <n v="0"/>
    <n v="0"/>
    <m/>
    <m/>
    <m/>
    <n v="0"/>
    <n v="0"/>
    <n v="0"/>
    <n v="8438.9447584539812"/>
    <m/>
    <n v="1229.2396995978352"/>
    <n v="0"/>
    <n v="0"/>
    <n v="0"/>
    <n v="0"/>
    <m/>
    <m/>
    <n v="0"/>
    <n v="0"/>
    <n v="0"/>
    <m/>
    <m/>
    <n v="0"/>
    <m/>
    <n v="0"/>
    <n v="0"/>
    <n v="0"/>
    <n v="0"/>
    <m/>
    <n v="10575.537992431784"/>
    <n v="0"/>
    <n v="0"/>
    <n v="0"/>
    <n v="0"/>
    <n v="0"/>
    <m/>
    <m/>
    <m/>
    <m/>
    <m/>
    <m/>
    <m/>
    <m/>
    <m/>
    <n v="10575.537992431784"/>
    <m/>
    <m/>
    <m/>
    <m/>
    <m/>
    <m/>
    <m/>
    <m/>
    <m/>
    <m/>
    <m/>
    <m/>
    <n v="83870.256000000008"/>
    <n v="-6280.2290399999765"/>
    <m/>
    <m/>
    <m/>
    <m/>
    <n v="-6280.3859999999995"/>
    <n v="0"/>
    <n v="31"/>
    <n v="-6276.3782697969582"/>
    <n v="0"/>
    <n v="0"/>
    <n v="0"/>
    <n v="0"/>
    <m/>
    <m/>
    <m/>
    <n v="0"/>
    <n v="0"/>
    <n v="0"/>
    <m/>
    <m/>
    <n v="0"/>
    <n v="0"/>
    <n v="-2393.5826985510093"/>
    <n v="0"/>
    <n v="-3295.7911679045428"/>
    <m/>
    <n v="0"/>
    <n v="0"/>
    <m/>
    <n v="0"/>
    <n v="-482.9464508869105"/>
    <n v="-104.05795245448803"/>
    <n v="0"/>
    <n v="0"/>
    <m/>
    <m/>
    <m/>
    <n v="0"/>
    <n v="0"/>
    <n v="0"/>
    <n v="-6280.3859999999986"/>
    <m/>
    <n v="0"/>
    <m/>
    <n v="0"/>
    <m/>
    <n v="0"/>
    <n v="0"/>
    <m/>
    <n v="0"/>
    <n v="0"/>
    <n v="0"/>
    <n v="0"/>
    <n v="0"/>
    <m/>
    <m/>
    <n v="0"/>
    <n v="22400.756817724796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314"/>
    <s v="Regular"/>
    <s v="Verde"/>
    <s v="A4"/>
    <s v="Industrial"/>
    <s v="Não se aplica"/>
    <s v="Fonte incentivada"/>
    <s v="Não se aplica"/>
    <s v="Não se aplica"/>
    <s v="LIVRE"/>
    <x v="10"/>
    <n v="2100"/>
    <n v="1050"/>
    <n v="0"/>
    <n v="0"/>
    <n v="0"/>
    <n v="0"/>
    <n v="39.21"/>
    <m/>
    <m/>
    <n v="82341"/>
    <m/>
    <n v="82341"/>
    <n v="62664"/>
    <n v="0"/>
    <n v="0"/>
    <n v="0"/>
    <n v="0"/>
    <n v="0"/>
    <n v="25939.682920966083"/>
    <n v="56410.18158233346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136.73"/>
    <n v="0"/>
    <n v="78220.13"/>
    <n v="1"/>
    <m/>
    <n v="31332"/>
    <m/>
    <m/>
    <m/>
    <m/>
    <m/>
    <m/>
    <m/>
    <n v="0"/>
    <m/>
    <m/>
    <m/>
    <m/>
    <m/>
    <m/>
    <m/>
    <m/>
    <m/>
    <m/>
    <m/>
    <m/>
    <n v="31332"/>
    <n v="-9838.5300000000061"/>
    <m/>
    <m/>
    <m/>
    <m/>
    <n v="-19677.000000000004"/>
    <n v="0"/>
    <n v="31"/>
    <n v="890.16969624512785"/>
    <n v="0"/>
    <n v="0"/>
    <n v="0"/>
    <n v="0"/>
    <m/>
    <m/>
    <m/>
    <n v="890.1696962451278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6410.181582333462"/>
    <m/>
    <n v="0"/>
    <n v="0"/>
    <n v="-19677"/>
    <m/>
    <n v="0"/>
    <m/>
    <n v="-20584.081914210576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315"/>
    <s v="Regular"/>
    <s v="Verde"/>
    <s v="A4"/>
    <s v="Industrial"/>
    <s v="Não se aplica"/>
    <s v="Fonte incentivada"/>
    <s v="Não se aplica"/>
    <s v="Ponta"/>
    <s v="LIVRE"/>
    <x v="11"/>
    <n v="0"/>
    <n v="0"/>
    <n v="92.382999999999996"/>
    <n v="47.998565062140003"/>
    <n v="0"/>
    <n v="0"/>
    <m/>
    <n v="3305.85"/>
    <m/>
    <m/>
    <n v="305404.34054999996"/>
    <n v="305404.34054999996"/>
    <n v="220749.17849999998"/>
    <n v="0"/>
    <n v="4891.6260004141986"/>
    <n v="0"/>
    <n v="0"/>
    <n v="0"/>
    <n v="60232.336812944071"/>
    <n v="235889.70497173208"/>
    <m/>
    <m/>
    <m/>
    <n v="0"/>
    <n v="0"/>
    <n v="0"/>
    <n v="868.94423930977791"/>
    <m/>
    <n v="126.57278679616628"/>
    <n v="0"/>
    <n v="0"/>
    <n v="0"/>
    <n v="0"/>
    <m/>
    <m/>
    <n v="0"/>
    <n v="0"/>
    <n v="0"/>
    <m/>
    <m/>
    <n v="0"/>
    <m/>
    <n v="0"/>
    <n v="0"/>
    <n v="0"/>
    <n v="0"/>
    <m/>
    <n v="1088.9457247506409"/>
    <n v="0"/>
    <n v="0"/>
    <n v="0"/>
    <n v="0"/>
    <n v="0"/>
    <m/>
    <n v="106056.60728401646"/>
    <m/>
    <m/>
    <m/>
    <m/>
    <m/>
    <m/>
    <m/>
    <n v="1088.9457247506409"/>
    <m/>
    <m/>
    <m/>
    <m/>
    <m/>
    <m/>
    <m/>
    <m/>
    <m/>
    <m/>
    <m/>
    <m/>
    <n v="114696"/>
    <n v="-43980.086310675542"/>
    <m/>
    <m/>
    <m/>
    <m/>
    <n v="-84655.162049999984"/>
    <n v="0"/>
    <n v="31"/>
    <n v="1420.7191930204717"/>
    <n v="0"/>
    <n v="0"/>
    <n v="0"/>
    <n v="0"/>
    <m/>
    <m/>
    <m/>
    <n v="2066.9875236438529"/>
    <n v="0"/>
    <n v="0"/>
    <m/>
    <m/>
    <n v="0"/>
    <n v="0"/>
    <n v="-246.46326723893492"/>
    <n v="0"/>
    <n v="-339.36218701393136"/>
    <m/>
    <n v="0"/>
    <n v="0"/>
    <m/>
    <n v="0"/>
    <n v="-49.728200433221559"/>
    <n v="-10.714675937310346"/>
    <n v="0"/>
    <n v="0"/>
    <m/>
    <m/>
    <m/>
    <n v="235889.70497173208"/>
    <n v="0"/>
    <n v="0"/>
    <n v="-84655.162049999984"/>
    <m/>
    <n v="0"/>
    <m/>
    <n v="-86076.181172545592"/>
    <m/>
    <n v="0"/>
    <n v="0"/>
    <m/>
    <n v="0"/>
    <n v="0"/>
    <n v="0"/>
    <n v="0"/>
    <n v="0"/>
    <m/>
    <m/>
    <n v="0"/>
    <n v="2306.5690261144914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316"/>
    <s v="Regular"/>
    <s v="Verde"/>
    <s v="A4"/>
    <s v="Industrial"/>
    <s v="Não se aplica"/>
    <s v="Fonte incentivada"/>
    <s v="Não se aplica"/>
    <s v="Fora ponta"/>
    <s v="LIVRE"/>
    <x v="11"/>
    <n v="0"/>
    <n v="0"/>
    <n v="874.66499999999996"/>
    <n v="874.66499999999996"/>
    <n v="0"/>
    <n v="0"/>
    <m/>
    <n v="100.48"/>
    <m/>
    <m/>
    <n v="87886.339200000002"/>
    <n v="87886.339200000002"/>
    <n v="81763.684200000003"/>
    <n v="0"/>
    <n v="46313.00191217308"/>
    <n v="0"/>
    <n v="0"/>
    <n v="0"/>
    <n v="0"/>
    <n v="0"/>
    <m/>
    <m/>
    <m/>
    <n v="0"/>
    <n v="0"/>
    <n v="0"/>
    <n v="8227.0018626358415"/>
    <m/>
    <n v="1198.3675195985061"/>
    <n v="0"/>
    <n v="0"/>
    <n v="0"/>
    <n v="0"/>
    <m/>
    <m/>
    <n v="0"/>
    <n v="0"/>
    <n v="0"/>
    <m/>
    <m/>
    <n v="0"/>
    <m/>
    <n v="0"/>
    <n v="0"/>
    <n v="0"/>
    <n v="0"/>
    <m/>
    <n v="10309.934861814612"/>
    <n v="0"/>
    <n v="0"/>
    <n v="0"/>
    <n v="0"/>
    <n v="0"/>
    <m/>
    <m/>
    <m/>
    <m/>
    <m/>
    <m/>
    <m/>
    <m/>
    <m/>
    <n v="10309.934861814612"/>
    <m/>
    <m/>
    <m/>
    <m/>
    <m/>
    <m/>
    <m/>
    <m/>
    <m/>
    <m/>
    <m/>
    <m/>
    <n v="81764.151599999997"/>
    <n v="-6122.217599999989"/>
    <m/>
    <m/>
    <m/>
    <m/>
    <n v="-6122.6549999999997"/>
    <n v="0"/>
    <n v="31"/>
    <n v="-6118.747923370247"/>
    <n v="0"/>
    <n v="0"/>
    <n v="0"/>
    <n v="0"/>
    <m/>
    <m/>
    <m/>
    <n v="0"/>
    <n v="0"/>
    <n v="0"/>
    <m/>
    <m/>
    <n v="0"/>
    <n v="0"/>
    <n v="-2333.4682099471001"/>
    <n v="0"/>
    <n v="-3213.0178420763623"/>
    <m/>
    <n v="0"/>
    <n v="0"/>
    <m/>
    <n v="0"/>
    <n v="-470.81731954930819"/>
    <n v="-101.44455179749048"/>
    <n v="0"/>
    <n v="0"/>
    <m/>
    <m/>
    <m/>
    <n v="0"/>
    <n v="0"/>
    <n v="0"/>
    <n v="-6122.6549999999988"/>
    <m/>
    <n v="0"/>
    <m/>
    <n v="0"/>
    <m/>
    <n v="0"/>
    <n v="0"/>
    <m/>
    <n v="0"/>
    <n v="0"/>
    <n v="0"/>
    <n v="0"/>
    <n v="0"/>
    <m/>
    <m/>
    <n v="0"/>
    <n v="21838.165000340236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  <r>
    <n v="317"/>
    <s v="Regular"/>
    <s v="Verde"/>
    <s v="A4"/>
    <s v="Industrial"/>
    <s v="Não se aplica"/>
    <s v="Fonte incentivada"/>
    <s v="Não se aplica"/>
    <s v="Não se aplica"/>
    <s v="LIVRE"/>
    <x v="11"/>
    <n v="2100"/>
    <n v="1050"/>
    <n v="0"/>
    <n v="0"/>
    <n v="0"/>
    <n v="0"/>
    <n v="39.21"/>
    <m/>
    <m/>
    <n v="82341"/>
    <m/>
    <n v="82341"/>
    <n v="62664"/>
    <n v="0"/>
    <n v="0"/>
    <n v="0"/>
    <n v="0"/>
    <n v="0"/>
    <n v="25939.682920966083"/>
    <n v="56410.18158233346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223.44"/>
    <n v="0"/>
    <n v="79321.63"/>
    <n v="1"/>
    <m/>
    <n v="31332"/>
    <m/>
    <m/>
    <m/>
    <m/>
    <m/>
    <m/>
    <m/>
    <n v="0"/>
    <m/>
    <m/>
    <m/>
    <m/>
    <m/>
    <m/>
    <m/>
    <m/>
    <m/>
    <m/>
    <m/>
    <m/>
    <n v="31332"/>
    <n v="-9838.5300000000061"/>
    <m/>
    <m/>
    <m/>
    <m/>
    <n v="-19677.000000000004"/>
    <n v="0"/>
    <n v="31"/>
    <n v="890.16969624512785"/>
    <n v="0"/>
    <n v="0"/>
    <n v="0"/>
    <n v="0"/>
    <m/>
    <m/>
    <m/>
    <n v="890.1696962451278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6410.181582333462"/>
    <m/>
    <n v="0"/>
    <n v="0"/>
    <n v="-19677"/>
    <m/>
    <n v="0"/>
    <m/>
    <n v="-20584.081914210576"/>
    <m/>
    <n v="0"/>
    <n v="0"/>
    <m/>
    <n v="0"/>
    <n v="0"/>
    <n v="0"/>
    <n v="0"/>
    <n v="0"/>
    <m/>
    <m/>
    <n v="0"/>
    <n v="0"/>
    <m/>
    <n v="0"/>
    <m/>
    <n v="0"/>
    <m/>
    <n v="202"/>
    <m/>
    <m/>
    <m/>
    <m/>
    <n v="0"/>
    <n v="-17.698635468909799"/>
    <m/>
    <n v="-17.698635468909799"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4" indent="0" outline="1" outlineData="1" multipleFieldFilters="0" chartFormat="2">
  <location ref="B33:C46" firstHeaderRow="1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62">
        <item m="1" x="40"/>
        <item m="1" x="49"/>
        <item m="1" x="57"/>
        <item m="1" x="16"/>
        <item m="1" x="24"/>
        <item m="1" x="28"/>
        <item m="1" x="36"/>
        <item m="1" x="45"/>
        <item m="1" x="53"/>
        <item m="1" x="12"/>
        <item m="1" x="20"/>
        <item m="1" x="32"/>
        <item m="1" x="41"/>
        <item m="1" x="50"/>
        <item m="1" x="58"/>
        <item m="1" x="17"/>
        <item m="1" x="25"/>
        <item m="1" x="29"/>
        <item m="1" x="37"/>
        <item m="1" x="46"/>
        <item m="1" x="54"/>
        <item m="1" x="13"/>
        <item m="1" x="21"/>
        <item m="1" x="33"/>
        <item m="1" x="42"/>
        <item m="1" x="51"/>
        <item m="1" x="59"/>
        <item m="1" x="18"/>
        <item m="1" x="26"/>
        <item m="1" x="30"/>
        <item m="1" x="38"/>
        <item m="1" x="47"/>
        <item m="1" x="55"/>
        <item m="1" x="14"/>
        <item m="1" x="22"/>
        <item m="1" x="34"/>
        <item m="1" x="43"/>
        <item m="1" x="52"/>
        <item m="1" x="60"/>
        <item m="1" x="19"/>
        <item m="1" x="27"/>
        <item m="1" x="31"/>
        <item m="1" x="39"/>
        <item m="1" x="48"/>
        <item m="1" x="56"/>
        <item m="1" x="15"/>
        <item m="1" x="23"/>
        <item m="1" x="35"/>
        <item m="1"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Soma de TUSD_E" fld="13" baseField="0" baseItem="0" numFmtId="168"/>
  </dataFields>
  <formats count="4">
    <format dxfId="451">
      <pivotArea type="all" dataOnly="0" outline="0" fieldPosition="0"/>
    </format>
    <format dxfId="450">
      <pivotArea type="all" dataOnly="0" outline="0" fieldPosition="0"/>
    </format>
    <format dxfId="449">
      <pivotArea type="all" dataOnly="0" outline="0" fieldPosition="0"/>
    </format>
    <format dxfId="448">
      <pivotArea outline="0" collapsedLevelsAreSubtotals="1" fieldPosition="0"/>
    </format>
  </formats>
  <chartFormats count="1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20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601" dataDxfId="600">
  <autoFilter ref="AA5:AE7" xr:uid="{B3DE7FE8-5926-4E44-9EDC-9655DE4A4B67}"/>
  <tableColumns count="5">
    <tableColumn id="1" xr3:uid="{1315B14B-5316-4DE2-9050-0B99168CC239}" name="Cotas" dataDxfId="599"/>
    <tableColumn id="2" xr3:uid="{00C64702-8D8C-4EE8-B854-0E39030818B6}" name="Valor da &quot;Cota&quot;" dataDxfId="598"/>
    <tableColumn id="3" xr3:uid="{63BFFE80-8EC9-4566-842F-9FD193C67815}" name="Ano" dataDxfId="597"/>
    <tableColumn id="4" xr3:uid="{7B5A7EF8-5CB6-4557-B7D2-1C4857462594}" name="Custo Médio da Cota" dataDxfId="596"/>
    <tableColumn id="5" xr3:uid="{D3F4B71D-C886-4718-A85E-FA54E9F8D838}" name="Energia MWh" dataDxfId="595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94" dataDxfId="593" headerRowCellStyle="Normal 5" dataCellStyle="Normal 5">
  <autoFilter ref="AA21:AG23" xr:uid="{8109BFC4-5B84-4531-A319-ED0D5E86A4C5}"/>
  <tableColumns count="7">
    <tableColumn id="1" xr3:uid="{59A03A63-2F04-4649-A4AF-9B891D5BEBED}" name="Leilão" dataDxfId="592" dataCellStyle="Normal 5"/>
    <tableColumn id="2" xr3:uid="{1B8E1FA7-1B1E-42CD-98A0-C36F374D9818}" name="Produto" dataDxfId="591" dataCellStyle="Normal 5"/>
    <tableColumn id="3" xr3:uid="{3C5EB2AC-0FA8-44FB-8B3B-4F205233DD96}" name="Modalidade" dataDxfId="590" dataCellStyle="Normal 5"/>
    <tableColumn id="4" xr3:uid="{C358BA83-832A-4936-8DD9-2979DA133039}" name="Fonte" dataDxfId="589" dataCellStyle="Normal 5"/>
    <tableColumn id="5" xr3:uid="{9CA52279-BDEC-44E2-A60F-C256B4A0590B}" name="Montante" dataDxfId="588" dataCellStyle="Normal 5"/>
    <tableColumn id="6" xr3:uid="{4C1D6705-AC4A-482B-AC5B-B0F755A722F2}" name="Data Base" dataDxfId="587" dataCellStyle="Vírgula"/>
    <tableColumn id="7" xr3:uid="{3DEA0CF9-631C-4B3F-B4AC-928E92F0AB84}" name="Custo Base" dataDxfId="586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85" dataDxfId="584">
  <autoFilter ref="AA10:AD11" xr:uid="{3C49DBE7-062C-4416-B6BA-09DB0F685AD5}"/>
  <tableColumns count="4">
    <tableColumn id="1" xr3:uid="{6F9C1B42-695A-4B8B-B63F-DA108D710421}" name="GSF previsto" dataDxfId="583" dataCellStyle="Normal 5"/>
    <tableColumn id="2" xr3:uid="{4D1DBAC9-9D60-4D51-A973-81AD2081E4F6}" name="PLD" dataDxfId="582" dataCellStyle="Normal 5"/>
    <tableColumn id="3" xr3:uid="{0DCF2C66-C111-4FF7-BEB4-BFD00E93A10A}" name="MWm repactuado" dataDxfId="581" dataCellStyle="Normal 5"/>
    <tableColumn id="4" xr3:uid="{030AED12-E9C5-474F-937C-742184A44EF8}" name="Fator de rateio" dataDxfId="580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1" totalsRowShown="0" headerRowDxfId="579" dataDxfId="578">
  <autoFilter ref="AI5:AJ21" xr:uid="{C3573309-01D4-4FAA-88C4-46F0CAA1CC27}"/>
  <tableColumns count="2">
    <tableColumn id="1" xr3:uid="{56AC757E-E114-458B-A041-461374D0BA5F}" name="Data" dataDxfId="577"/>
    <tableColumn id="2" xr3:uid="{578DAC09-D952-4F72-9444-614F5761412A}" name="Valor Pis/Cofins Transmissora" dataDxfId="576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75"/>
    <tableColumn id="2" xr3:uid="{AAB31625-7790-4B9A-AC2F-62007C1AB8C0}" name="Valor" dataDxfId="574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73">
  <autoFilter ref="B70:D77" xr:uid="{2E07311B-F74E-449E-81FD-B2BBBED3E4B3}"/>
  <tableColumns count="3">
    <tableColumn id="1" xr3:uid="{34D06310-1B0F-4D68-8C00-ED68EED3BDEB}" name="Encargo" dataDxfId="572"/>
    <tableColumn id="2" xr3:uid="{9D37526B-68DA-4918-8BA1-31EFC93C676E}" name="Valor" dataDxfId="571" dataCellStyle="Vírgula"/>
    <tableColumn id="3" xr3:uid="{62B99FEA-2637-4880-B5A6-705D0DFDF64C}" name="DSP" dataDxfId="570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69">
  <autoFilter ref="AA15:AB16" xr:uid="{1246E986-5AFA-4E40-BCC4-649D094A68F9}"/>
  <tableColumns count="2">
    <tableColumn id="1" xr3:uid="{D4D96454-0BF2-4CE9-B9F7-0CF391A2F556}" name="Proinfa" dataDxfId="568"/>
    <tableColumn id="2" xr3:uid="{62B09719-28BC-4F30-8705-5FB3C24A0D07}" name="MWh" dataDxfId="567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66" dataDxfId="565">
  <autoFilter ref="AO5:AQ9" xr:uid="{1A968768-5E00-4725-815D-7B925098B780}"/>
  <tableColumns count="3">
    <tableColumn id="1" xr3:uid="{FC8C62E6-3A06-4479-B5D7-11BDBC46D611}" name="Conta Escassez" dataDxfId="564"/>
    <tableColumn id="2" xr3:uid="{55A5FC57-FA17-4C65-B2C8-0C51598692AE}" name="Valor" dataDxfId="563"/>
    <tableColumn id="3" xr3:uid="{C90C9243-AD2A-42D1-9D06-640F7A17A24B}" name="Legislacao" dataDxfId="562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61" dataDxfId="560">
  <autoFilter ref="AI24:AK45" xr:uid="{63306B16-ABC6-4C4A-8A31-BA4561D3E91F}"/>
  <tableColumns count="3">
    <tableColumn id="1" xr3:uid="{E80EBDF5-704B-4864-987B-30FABD11C257}" name="Grupo_TARIFA" dataDxfId="559"/>
    <tableColumn id="2" xr3:uid="{C48FAF4C-2500-4FE3-A576-CC56F4BB20F4}" name="Detalhe_Grupo_TARIFA" dataDxfId="558"/>
    <tableColumn id="3" xr3:uid="{C451D982-3266-4B86-86BB-DCF98A1C0BC5}" name="valor" dataDxfId="557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56" dataDxfId="555">
  <autoFilter ref="AM24:AP31" xr:uid="{5E07B889-3CC1-4EB8-A2FA-27865F10E9FF}"/>
  <tableColumns count="4">
    <tableColumn id="1" xr3:uid="{A684CBA1-85F2-4F6F-9549-132415395C97}" name="Grupo Tarifa" dataDxfId="554"/>
    <tableColumn id="2" xr3:uid="{601A6100-10DA-47B4-AC85-55E7B31A99AC}" name="Detalhe Grupo" dataDxfId="553"/>
    <tableColumn id="3" xr3:uid="{C6D6A904-43B1-4BB1-8721-FC3B084DEB3F}" name="Det3" dataDxfId="552"/>
    <tableColumn id="4" xr3:uid="{49E46CEE-1005-4E4F-AD52-B5C103AA28C0}" name="Valor" dataDxfId="551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50" tableBorderDxfId="549">
  <autoFilter ref="AA26:AB30" xr:uid="{ED60079D-08D5-46B4-B1E6-28428B2FF85A}"/>
  <tableColumns count="2">
    <tableColumn id="1" xr3:uid="{C7D3432F-090C-4D89-8F9B-66E323363124}" name="Dados de perda" dataDxfId="548"/>
    <tableColumn id="2" xr3:uid="{7924BC5A-340A-47DE-8986-F75E2F948A7A}" name="Valor" dataDxfId="547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44B3CF1D-E5DB-4F4C-8B03-12F73F64E09F}" name="DRA_CM_Perdas" displayName="DRA_CM_Perdas" ref="B82:D86" totalsRowShown="0" headerRowDxfId="546">
  <autoFilter ref="B82:D86" xr:uid="{44B3CF1D-E5DB-4F4C-8B03-12F73F64E09F}"/>
  <tableColumns count="3">
    <tableColumn id="1" xr3:uid="{025781DB-5DB9-44A5-BF05-031AE482F550}" name="DRA" dataDxfId="545"/>
    <tableColumn id="2" xr3:uid="{5A9C626F-119A-4714-A173-C779625402DE}" name="Unidade" dataDxfId="544" dataCellStyle="Vírgula"/>
    <tableColumn id="3" xr3:uid="{3DE8C72E-2AB2-473E-B78C-AE4693AB2163}" name="Valor" dataDxfId="543"/>
  </tableColumns>
  <tableStyleInfo name="Padrão 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12AA4-5E68-45F7-A3E1-82543506533D}" name="descontoTusd" displayName="descontoTusd" ref="I79:P104" totalsRowShown="0" headerRowDxfId="542" dataDxfId="541">
  <autoFilter ref="I79:P104" xr:uid="{00012AA4-5E68-45F7-A3E1-82543506533D}"/>
  <tableColumns count="8">
    <tableColumn id="1" xr3:uid="{CB533B84-C59E-4772-B5EA-C3A64D272C46}" name="Supridora" dataDxfId="540"/>
    <tableColumn id="2" xr3:uid="{01FC6D90-98B5-4200-8478-0354078800DE}" name="idSupridora" dataDxfId="539"/>
    <tableColumn id="3" xr3:uid="{1AD87F94-F60A-4C08-92F4-8F28292229A0}" name="Dt" dataDxfId="538"/>
    <tableColumn id="4" xr3:uid="{214AC461-6B87-4473-9DDD-16C2AAD27583}" name="Nível" dataDxfId="537"/>
    <tableColumn id="5" xr3:uid="{4D0E8891-518A-49CD-81FD-28801C797CC5}" name="Tipo" dataDxfId="536"/>
    <tableColumn id="6" xr3:uid="{CA101188-3484-46F6-B45E-79104CE30EBE}" name="Posto_Tarifario" dataDxfId="535"/>
    <tableColumn id="7" xr3:uid="{AB8F41CD-F087-4472-BD97-B0D1F9D75CBE}" name="Tipo_de_Montante" dataDxfId="534"/>
    <tableColumn id="8" xr3:uid="{82EA2B27-2FF3-4A21-B9FA-826D7901DCE4}" name="Desconto" dataDxfId="533"/>
  </tableColumns>
  <tableStyleInfo name="Padrão 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816D70F7-BC2B-4C29-B360-CF1B5CAA0898}" name="DescontoEnergia" displayName="DescontoEnergia" ref="I65:M74" totalsRowShown="0" headerRowDxfId="532" dataDxfId="531">
  <autoFilter ref="I65:M74" xr:uid="{816D70F7-BC2B-4C29-B360-CF1B5CAA0898}"/>
  <tableColumns count="5">
    <tableColumn id="1" xr3:uid="{68FE60EB-F773-485E-AE07-DE02F7F2F7B9}" name="Supridora" dataDxfId="530"/>
    <tableColumn id="2" xr3:uid="{C4F33DA9-F36B-46DB-B8D6-89EC735D97B5}" name="idSupridora" dataDxfId="529"/>
    <tableColumn id="3" xr3:uid="{44B2DC68-70BA-4379-9E0C-9F47CD0F0208}" name="Dt" dataDxfId="528"/>
    <tableColumn id="4" xr3:uid="{C11C6BFB-95B2-4793-B12A-82B220365699}" name="Nível" dataDxfId="527"/>
    <tableColumn id="5" xr3:uid="{188E9A16-8CC7-42C8-9321-ACF10C037EBF}" name="Desconto" dataDxfId="526"/>
  </tableColumns>
  <tableStyleInfo name="Padrão 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2861AC94-3090-4F96-AA62-69E2D7F316C7}" name="PerdasDitFinal" displayName="PerdasDitFinal" ref="AA34:AD46" totalsRowShown="0" headerRowDxfId="525" dataDxfId="524">
  <autoFilter ref="AA34:AD46" xr:uid="{2861AC94-3090-4F96-AA62-69E2D7F316C7}"/>
  <tableColumns count="4">
    <tableColumn id="1" xr3:uid="{9AF0624E-5357-40A9-9061-2BE27666398F}" name="Data" dataDxfId="523"/>
    <tableColumn id="2" xr3:uid="{8C2160E5-CF7C-4BF1-AF2D-2A136C3FA7D6}" name="QT_TRC" dataDxfId="522"/>
    <tableColumn id="3" xr3:uid="{895C5BD6-9538-4B5D-B42D-A4F8F6C8819D}" name="QT_PERDAS_C" dataDxfId="521"/>
    <tableColumn id="4" xr3:uid="{04975CB5-D567-4912-B2E4-A65C9DF65AFD}" name="QT_PERDAS_DITC" dataDxfId="520"/>
  </tableColumns>
  <tableStyleInfo name="Padrão 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48671BC-B4AC-4EB3-BA0E-8870BFDFFDA6}" name="GeracaoPropria" displayName="GeracaoPropria" ref="AA51:AB63" totalsRowShown="0" headerRowDxfId="519" dataDxfId="518">
  <autoFilter ref="AA51:AB63" xr:uid="{448671BC-B4AC-4EB3-BA0E-8870BFDFFDA6}"/>
  <tableColumns count="2">
    <tableColumn id="1" xr3:uid="{E4D209A7-AA93-4BAA-B4BE-593CA56CE768}" name="Competencia" dataDxfId="517"/>
    <tableColumn id="2" xr3:uid="{B532ECCE-0095-40E1-A316-CF754CD1820A}" name="GeracaoPropria_kWh" dataDxfId="516" dataCellStyle="Vírgula"/>
  </tableColumns>
  <tableStyleInfo name="Padrão 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18E973-C1F0-4BCA-A59F-74BE38699E89}" name="limiteParcelaB" displayName="limiteParcelaB" ref="B103:D104" totalsRowShown="0" headerRowDxfId="515" dataDxfId="514">
  <autoFilter ref="B103:D104" xr:uid="{BD18E973-C1F0-4BCA-A59F-74BE38699E89}"/>
  <tableColumns count="3">
    <tableColumn id="1" xr3:uid="{8CEB1E22-1DD3-4041-A7F8-48151A7A948D}" name="Limite_PB" dataDxfId="513" dataCellStyle="Vírgula"/>
    <tableColumn id="2" xr3:uid="{47B4F826-8D7E-41B4-A62A-9FCA24A444C4}" name="Data Base Limite_PB" dataDxfId="512"/>
    <tableColumn id="3" xr3:uid="{B2454C1A-D9A3-4F41-8958-B367EB249FB8}" name="Despacho" dataDxfId="511"/>
  </tableColumns>
  <tableStyleInfo name="Padrão 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993A9B4B-EFAE-47B7-8F28-B400207AE359}" name="subvencao" displayName="subvencao" ref="B108:H109" totalsRowShown="0" headerRowDxfId="510" dataDxfId="509">
  <autoFilter ref="B108:H109" xr:uid="{993A9B4B-EFAE-47B7-8F28-B400207AE359}"/>
  <tableColumns count="7">
    <tableColumn id="1" xr3:uid="{3C54FF0B-4E78-4809-B067-57A9A40F8EB2}" name="Supridora1" dataDxfId="508"/>
    <tableColumn id="2" xr3:uid="{90B2BE68-BDF0-4EC3-AFE2-35DB76A2C46E}" name="idsreagsupridora1" dataDxfId="507"/>
    <tableColumn id="3" xr3:uid="{9B64639C-58E0-466A-93CF-208DCC544EB5}" name="Densidade Cooperativa" dataDxfId="506"/>
    <tableColumn id="4" xr3:uid="{B6E4E105-6BD6-44F4-983E-785046CA7F5F}" name="Densidade Principal Supridora" dataDxfId="505"/>
    <tableColumn id="5" xr3:uid="{E3206071-9F16-4D6C-85FB-9305EFFBD0EC}" name="Subvencao Anual" dataDxfId="504" dataCellStyle="Vírgula"/>
    <tableColumn id="6" xr3:uid="{B1E60FB6-FFB4-40AD-84D3-B0B2D5BFCB82}" name="Data_Referencia Subvencao" dataDxfId="503"/>
    <tableColumn id="7" xr3:uid="{D67A9A6F-8227-4AFF-A96C-E1D007202229}" name="Data_aniversario supridora" dataDxfId="502"/>
  </tableColumns>
  <tableStyleInfo name="Padrão 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BB6801E4-6272-476E-A69A-A8D66091D28D}" name="Consulta3" displayName="Consulta3" ref="A1:X100" totalsRowShown="0">
  <autoFilter ref="A1:X100" xr:uid="{BB6801E4-6272-476E-A69A-A8D66091D28D}"/>
  <tableColumns count="24">
    <tableColumn id="1" xr3:uid="{959ADF65-3E6C-412D-8BCA-72B4039E9FBB}" name="NumFatura"/>
    <tableColumn id="2" xr3:uid="{C75F6F1E-6EC9-4529-92D4-AA92AB2ECE9C}" name="IdeAgenteSuprida"/>
    <tableColumn id="3" xr3:uid="{B10069C6-8D4D-4FE7-B267-C4A2B1BDEA63}" name="NomPessoaSuprida"/>
    <tableColumn id="4" xr3:uid="{F1EED55A-9747-46E3-9A4F-D69D44B0FD8F}" name="IdeAgenteSupridora"/>
    <tableColumn id="5" xr3:uid="{3AA62FAC-9EB6-4E10-81D6-B6C30872F4CB}" name="NomPessoaSupridora"/>
    <tableColumn id="6" xr3:uid="{4B657FDF-5818-4EE5-B128-A8B0D4A263C5}" name="DescSubGrupoSgt"/>
    <tableColumn id="7" xr3:uid="{4A81E775-E01A-4299-95A6-E88A252DD181}" name="AnoFatura"/>
    <tableColumn id="8" xr3:uid="{C4D9F0DA-8491-434F-9E39-AF767147D8D4}" name="mesFatura"/>
    <tableColumn id="9" xr3:uid="{D663C219-FE72-438C-B542-52F5FCF3AF8B}" name="MesAno" dataDxfId="501"/>
    <tableColumn id="10" xr3:uid="{AF4BC66E-D346-4C63-AF2A-516A93C27236}" name="Demanda Faturada Fora de Ponta"/>
    <tableColumn id="11" xr3:uid="{9785CFAE-4645-4E1F-8BF2-1ED27C2D6718}" name="Demanda Faturada Ponta"/>
    <tableColumn id="12" xr3:uid="{845A1A83-F7C2-47BC-B242-8DBBEB4ED6A0}" name="Energia TUSD Fora de Ponta (kWh)"/>
    <tableColumn id="13" xr3:uid="{32BC18EE-7AF1-4ABD-9611-22CA606BFB06}" name="Energia TUSD Ponta (kWh)"/>
    <tableColumn id="14" xr3:uid="{8F29BC7F-6329-4705-96E9-7506CA027CBE}" name="Consumo TE Fora de Ponta (kWh)"/>
    <tableColumn id="15" xr3:uid="{70B4466E-E908-465E-B3C2-38C720B97981}" name="Consumo TE Ponta (kWh)"/>
    <tableColumn id="16" xr3:uid="{C17FAC7D-0A1A-4C36-80E4-C2C91DDC8895}" name="Proinfa (kWh)"/>
    <tableColumn id="17" xr3:uid="{CFF2E88D-AA2F-4727-9E71-DEC61FCB21FC}" name="TUSD R$/kW Fora de Ponta"/>
    <tableColumn id="18" xr3:uid="{2C659F42-BB0B-4B5F-9358-4AA1A16227F9}" name="TUSD R$/kW Ponta"/>
    <tableColumn id="19" xr3:uid="{082C7B8F-4F34-492F-8661-0BED83721592}" name="TUSD_E(R$/MWh)"/>
    <tableColumn id="20" xr3:uid="{82C70F21-764D-4DE5-B4D7-E95C0329FF92}" name="TE(R$/MWh)"/>
    <tableColumn id="21" xr3:uid="{653AD962-0AD9-493F-9725-593229F0CA2B}" name="PisCofins"/>
    <tableColumn id="22" xr3:uid="{3C5F04BC-2C86-4436-90D9-46E38F969F8E}" name="ICMS"/>
    <tableColumn id="23" xr3:uid="{A4B70582-6C4F-4DFF-8DDC-18E4F8AE40E6}" name="DICFIC"/>
    <tableColumn id="24" xr3:uid="{801D030E-6416-4607-AD0E-5D93595370EC}" name="TotalFatura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259" totalsRowShown="0">
  <tableColumns count="8">
    <tableColumn id="1" xr3:uid="{00000000-0010-0000-1600-000001000000}" name="IdeAgenteSuprida" dataDxfId="500"/>
    <tableColumn id="2" xr3:uid="{00000000-0010-0000-1600-000002000000}" name="NomPessoaSuprida" dataDxfId="499"/>
    <tableColumn id="3" xr3:uid="{00000000-0010-0000-1600-000003000000}" name="IdeAgenteSupridora" dataDxfId="498"/>
    <tableColumn id="4" xr3:uid="{00000000-0010-0000-1600-000004000000}" name="NomPessoaSupridora" dataDxfId="497"/>
    <tableColumn id="5" xr3:uid="{00000000-0010-0000-1600-000005000000}" name="DescSubGrupoSgt" dataDxfId="496"/>
    <tableColumn id="6" xr3:uid="{00000000-0010-0000-1600-000006000000}" name="MesAno"/>
    <tableColumn id="7" xr3:uid="{00000000-0010-0000-1600-000007000000}" name="Descricao" dataDxfId="495"/>
    <tableColumn id="8" xr3:uid="{00000000-0010-0000-1600-000008000000}" name="Valor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T61" totalsRowShown="0" headerRowDxfId="494" dataDxfId="492" headerRowBorderDxfId="493" tableBorderDxfId="491">
  <autoFilter ref="A9:T61" xr:uid="{00000000-0009-0000-0100-00001A000000}"/>
  <tableColumns count="20">
    <tableColumn id="1" xr3:uid="{00000000-0010-0000-0000-000001000000}" name="Sigla" dataDxfId="490"/>
    <tableColumn id="2" xr3:uid="{00000000-0010-0000-0000-000002000000}" name="NomeSAMP" dataDxfId="489"/>
    <tableColumn id="3" xr3:uid="{00000000-0010-0000-0000-000003000000}" name="SARI" dataDxfId="488"/>
    <tableColumn id="4" xr3:uid="{00000000-0010-0000-0000-000004000000}" name="Área" dataDxfId="487"/>
    <tableColumn id="6" xr3:uid="{00000000-0010-0000-0000-000006000000}" name="Sede" dataDxfId="486"/>
    <tableColumn id="7" xr3:uid="{00000000-0010-0000-0000-000007000000}" name="UF" dataDxfId="485"/>
    <tableColumn id="5" xr3:uid="{F4C0AA0C-7AEF-4FC4-8FB7-D9142C5F1CBF}" name="Contrato Permissão" dataDxfId="484"/>
    <tableColumn id="11" xr3:uid="{2797FAEA-6354-4682-B35B-E763E9EEE6CE}" name="Data Contrato" dataDxfId="483"/>
    <tableColumn id="12" xr3:uid="{9C30CB17-746D-4563-BAFC-40BD6B7AD897}" name="Data de Aniversário" dataDxfId="482"/>
    <tableColumn id="8" xr3:uid="{00000000-0010-0000-0000-000008000000}" name="WACC ERD" dataDxfId="481"/>
    <tableColumn id="9" xr3:uid="{00000000-0010-0000-0000-000009000000}" name="Supridora 1" dataDxfId="480"/>
    <tableColumn id="33" xr3:uid="{00000000-0010-0000-0000-000021000000}" name="idsreagsupridora 1" dataDxfId="479"/>
    <tableColumn id="10" xr3:uid="{00000000-0010-0000-0000-00000A000000}" name="Supridora 2" dataDxfId="478"/>
    <tableColumn id="35" xr3:uid="{00000000-0010-0000-0000-000023000000}" name="idsreagsupridora2" dataDxfId="477"/>
    <tableColumn id="17" xr3:uid="{00000000-0010-0000-0000-000011000000}" name="Próxima Revisão" dataDxfId="476"/>
    <tableColumn id="23" xr3:uid="{00000000-0010-0000-0000-000017000000}" name="Geração Própria" dataDxfId="475"/>
    <tableColumn id="29" xr3:uid="{00000000-0010-0000-0000-00001D000000}" name="Data de referência da Geração Própria" dataDxfId="474"/>
    <tableColumn id="32" xr3:uid="{00000000-0010-0000-0000-000020000000}" name="Data original" dataDxfId="473"/>
    <tableColumn id="34" xr3:uid="{00000000-0010-0000-0000-000022000000}" name="Regularização" dataDxfId="472"/>
    <tableColumn id="37" xr3:uid="{00000000-0010-0000-0000-000025000000}" name="Inicio de vigência das tarifas" dataDxfId="471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0">
  <autoFilter ref="A68:N150" xr:uid="{00000000-0009-0000-0100-00001B000000}"/>
  <tableColumns count="14">
    <tableColumn id="1" xr3:uid="{00000000-0010-0000-0100-000001000000}" name="Permissionária" dataDxfId="469"/>
    <tableColumn id="2" xr3:uid="{00000000-0010-0000-0100-000002000000}" name="Supridora" dataDxfId="468"/>
    <tableColumn id="11" xr3:uid="{00000000-0010-0000-0100-00000B000000}" name="idsreag supridora" dataDxfId="467"/>
    <tableColumn id="13" xr3:uid="{00000000-0010-0000-0100-00000D000000}" name="codsariSUP" dataDxfId="466"/>
    <tableColumn id="3" xr3:uid="{00000000-0010-0000-0100-000003000000}" name="Classe" dataDxfId="465"/>
    <tableColumn id="12" xr3:uid="{00000000-0010-0000-0100-00000C000000}" name="chave" dataDxfId="464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3" dataCellStyle="Porcentagem"/>
    <tableColumn id="5" xr3:uid="{00000000-0010-0000-0100-000005000000}" name="2016" dataDxfId="462" dataCellStyle="Porcentagem"/>
    <tableColumn id="6" xr3:uid="{00000000-0010-0000-0100-000006000000}" name="2017" dataDxfId="461" dataCellStyle="Porcentagem"/>
    <tableColumn id="7" xr3:uid="{00000000-0010-0000-0100-000007000000}" name="2018" dataDxfId="460"/>
    <tableColumn id="8" xr3:uid="{00000000-0010-0000-0100-000008000000}" name="2019"/>
    <tableColumn id="9" xr3:uid="{00000000-0010-0000-0100-000009000000}" name="2020" dataDxfId="459"/>
    <tableColumn id="10" xr3:uid="{00000000-0010-0000-0100-00000A000000}" name="2021" dataDxfId="458"/>
    <tableColumn id="14" xr3:uid="{B5A28D64-A9AD-4094-B8A7-710FBD6E5C00}" name="2022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7"/>
    <tableColumn id="2" xr3:uid="{00000000-0010-0000-0200-000002000000}" name="Sigla" dataDxfId="456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5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101" totalsRowShown="0" headerRowDxfId="454" dataDxfId="453">
  <autoFilter ref="E43:E101" xr:uid="{00000000-0009-0000-0100-000015000000}">
    <filterColumn colId="0">
      <filters>
        <filter val="1"/>
      </filters>
    </filterColumn>
  </autoFilter>
  <tableColumns count="1">
    <tableColumn id="1" xr3:uid="{00000000-0010-0000-0300-000001000000}" name="Colunas1" dataDxfId="452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319" totalsRowShown="0" headerRowDxfId="447" dataDxfId="446" totalsRowDxfId="445">
  <autoFilter ref="A2:FI319" xr:uid="{00000000-000C-0000-FFFF-FFFF12000000}"/>
  <tableColumns count="165">
    <tableColumn id="1" xr3:uid="{00000000-0010-0000-1200-000001000000}" name="Código" dataDxfId="444" totalsRowDxfId="443"/>
    <tableColumn id="74" xr3:uid="{00000000-0010-0000-1200-00004A000000}" name="TipoMercado" dataDxfId="442" totalsRowDxfId="441"/>
    <tableColumn id="75" xr3:uid="{00000000-0010-0000-1200-00004B000000}" name="Modalidade" dataDxfId="440" totalsRowDxfId="439"/>
    <tableColumn id="76" xr3:uid="{00000000-0010-0000-1200-00004C000000}" name="Subgrupo" dataDxfId="438" totalsRowDxfId="437"/>
    <tableColumn id="77" xr3:uid="{00000000-0010-0000-1200-00004D000000}" name="Classe" dataDxfId="436" totalsRowDxfId="435"/>
    <tableColumn id="78" xr3:uid="{00000000-0010-0000-1200-00004E000000}" name="Subclasse" dataDxfId="434" totalsRowDxfId="433"/>
    <tableColumn id="79" xr3:uid="{00000000-0010-0000-1200-00004F000000}" name="Detalhe" dataDxfId="432" totalsRowDxfId="431"/>
    <tableColumn id="80" xr3:uid="{00000000-0010-0000-1200-000050000000}" name="Agente" dataDxfId="430" totalsRowDxfId="429"/>
    <tableColumn id="81" xr3:uid="{00000000-0010-0000-1200-000051000000}" name="Posto" dataDxfId="428" totalsRowDxfId="427"/>
    <tableColumn id="82" xr3:uid="{00000000-0010-0000-1200-000052000000}" name="OPÇÃO" dataDxfId="426" totalsRowDxfId="425"/>
    <tableColumn id="83" xr3:uid="{00000000-0010-0000-1200-000053000000}" name="AnoMes" dataDxfId="424" totalsRowDxfId="423"/>
    <tableColumn id="84" xr3:uid="{00000000-0010-0000-1200-000054000000}" name="D" dataDxfId="422" totalsRowDxfId="421"/>
    <tableColumn id="85" xr3:uid="{00000000-0010-0000-1200-000055000000}" name="Daj" dataDxfId="420" totalsRowDxfId="419"/>
    <tableColumn id="86" xr3:uid="{00000000-0010-0000-1200-000056000000}" name="TUSD_E" dataDxfId="418" totalsRowDxfId="417"/>
    <tableColumn id="87" xr3:uid="{00000000-0010-0000-1200-000057000000}" name="TUSD_Eaj" dataDxfId="416" totalsRowDxfId="415"/>
    <tableColumn id="88" xr3:uid="{00000000-0010-0000-1200-000058000000}" name="TE_E" dataDxfId="414" totalsRowDxfId="413"/>
    <tableColumn id="89" xr3:uid="{00000000-0010-0000-1200-000059000000}" name="TE_Eaj" dataDxfId="412" totalsRowDxfId="411"/>
    <tableColumn id="90" xr3:uid="{00000000-0010-0000-1200-00005A000000}" name="TUSD/KW" dataDxfId="410" totalsRowDxfId="409"/>
    <tableColumn id="91" xr3:uid="{00000000-0010-0000-1200-00005B000000}" name="TUSD/MWh" dataDxfId="408" totalsRowDxfId="407"/>
    <tableColumn id="92" xr3:uid="{00000000-0010-0000-1200-00005C000000}" name="TE" dataDxfId="406" totalsRowDxfId="405"/>
    <tableColumn id="93" xr3:uid="{00000000-0010-0000-1200-00005D000000}" name="ReceitaD" dataDxfId="404" totalsRowDxfId="403"/>
    <tableColumn id="94" xr3:uid="{00000000-0010-0000-1200-00005E000000}" name="ReceitaE" dataDxfId="402" totalsRowDxfId="401"/>
    <tableColumn id="95" xr3:uid="{00000000-0010-0000-1200-00005F000000}" name="Total" dataDxfId="400" totalsRowDxfId="399"/>
    <tableColumn id="96" xr3:uid="{00000000-0010-0000-1200-000060000000}" name="Total com Tar de aplicação" dataDxfId="398" totalsRowDxfId="397"/>
    <tableColumn id="97" xr3:uid="{00000000-0010-0000-1200-000061000000}" name="CCC" dataDxfId="396" totalsRowDxfId="395"/>
    <tableColumn id="98" xr3:uid="{00000000-0010-0000-1200-000062000000}" name="CDE" dataDxfId="394" totalsRowDxfId="393"/>
    <tableColumn id="99" xr3:uid="{00000000-0010-0000-1200-000063000000}" name="CFURH" dataDxfId="392" totalsRowDxfId="391"/>
    <tableColumn id="100" xr3:uid="{00000000-0010-0000-1200-000064000000}" name="Conexao_D" dataDxfId="390" totalsRowDxfId="389"/>
    <tableColumn id="101" xr3:uid="{00000000-0010-0000-1200-000065000000}" name="Conexao_T" dataDxfId="388" totalsRowDxfId="387"/>
    <tableColumn id="102" xr3:uid="{00000000-0010-0000-1200-000066000000}" name="CUSD" dataDxfId="386" totalsRowDxfId="385"/>
    <tableColumn id="103" xr3:uid="{00000000-0010-0000-1200-000067000000}" name="DISTRIBUICAO" dataDxfId="384" totalsRowDxfId="383"/>
    <tableColumn id="104" xr3:uid="{00000000-0010-0000-1200-000068000000}" name="EnergiaRevenda" dataDxfId="382" totalsRowDxfId="381"/>
    <tableColumn id="105" xr3:uid="{00000000-0010-0000-1200-000069000000}" name="ESSERR" dataDxfId="380" totalsRowDxfId="379"/>
    <tableColumn id="106" xr3:uid="{00000000-0010-0000-1200-00006A000000}" name="ITAIPU" dataDxfId="378" totalsRowDxfId="377"/>
    <tableColumn id="107" xr3:uid="{00000000-0010-0000-1200-00006B000000}" name="ONS" dataDxfId="376" totalsRowDxfId="375"/>
    <tableColumn id="108" xr3:uid="{00000000-0010-0000-1200-00006C000000}" name="OUTROS" dataDxfId="374" totalsRowDxfId="373"/>
    <tableColumn id="109" xr3:uid="{00000000-0010-0000-1200-00006D000000}" name="PeD" dataDxfId="372" totalsRowDxfId="371"/>
    <tableColumn id="110" xr3:uid="{00000000-0010-0000-1200-00006E000000}" name="PROINFA" dataDxfId="370" totalsRowDxfId="369"/>
    <tableColumn id="111" xr3:uid="{00000000-0010-0000-1200-00006F000000}" name="RGR" dataDxfId="368" totalsRowDxfId="367"/>
    <tableColumn id="112" xr3:uid="{00000000-0010-0000-1200-000070000000}" name="TFSEE" dataDxfId="366" totalsRowDxfId="365"/>
    <tableColumn id="113" xr3:uid="{00000000-0010-0000-1200-000071000000}" name="TUST_FR" dataDxfId="364" totalsRowDxfId="363"/>
    <tableColumn id="114" xr3:uid="{00000000-0010-0000-1200-000072000000}" name="TUST_RB" dataDxfId="362" totalsRowDxfId="361"/>
    <tableColumn id="115" xr3:uid="{00000000-0010-0000-1200-000073000000}" name="TUSDG_ONS" dataDxfId="360" totalsRowDxfId="359"/>
    <tableColumn id="116" xr3:uid="{00000000-0010-0000-1200-000074000000}" name="TUSDG_T" dataDxfId="358" totalsRowDxfId="357"/>
    <tableColumn id="117" xr3:uid="{00000000-0010-0000-1200-000075000000}" name="TUST_CI" dataDxfId="356" totalsRowDxfId="355"/>
    <tableColumn id="118" xr3:uid="{00000000-0010-0000-1200-000076000000}" name="TUST_ITAIPU" dataDxfId="354" totalsRowDxfId="353"/>
    <tableColumn id="119" xr3:uid="{00000000-0010-0000-1200-000077000000}" name="CVA_CCC" dataDxfId="352" totalsRowDxfId="351"/>
    <tableColumn id="120" xr3:uid="{00000000-0010-0000-1200-000078000000}" name="CVA_CDE" dataDxfId="350" totalsRowDxfId="349"/>
    <tableColumn id="121" xr3:uid="{00000000-0010-0000-1200-000079000000}" name="CVA_PROINFA" dataDxfId="348" totalsRowDxfId="347"/>
    <tableColumn id="122" xr3:uid="{00000000-0010-0000-1200-00007A000000}" name="CVA_TranItaipu" dataDxfId="346" totalsRowDxfId="345"/>
    <tableColumn id="123" xr3:uid="{00000000-0010-0000-1200-00007B000000}" name="CVA_ESSERR" dataDxfId="344" totalsRowDxfId="343"/>
    <tableColumn id="124" xr3:uid="{00000000-0010-0000-1200-00007C000000}" name="CVA_CFURH" dataDxfId="342" totalsRowDxfId="341"/>
    <tableColumn id="125" xr3:uid="{00000000-0010-0000-1200-00007D000000}" name="CVA_CDE_E" dataDxfId="340" totalsRowDxfId="339"/>
    <tableColumn id="126" xr3:uid="{00000000-0010-0000-1200-00007E000000}" name="CVA_Energia" dataDxfId="338" totalsRowDxfId="337"/>
    <tableColumn id="127" xr3:uid="{00000000-0010-0000-1200-00007F000000}" name="CVA_RB" dataDxfId="336" totalsRowDxfId="335"/>
    <tableColumn id="128" xr3:uid="{00000000-0010-0000-1200-000080000000}" name="perdasnt" dataDxfId="334" totalsRowDxfId="333"/>
    <tableColumn id="129" xr3:uid="{00000000-0010-0000-1200-000081000000}" name="perdasrb_d" dataDxfId="332" totalsRowDxfId="331"/>
    <tableColumn id="130" xr3:uid="{00000000-0010-0000-1200-000082000000}" name="perdasrb_c" dataDxfId="330" totalsRowDxfId="329"/>
    <tableColumn id="131" xr3:uid="{00000000-0010-0000-1200-000083000000}" name="perdastec" dataDxfId="328" totalsRowDxfId="327"/>
    <tableColumn id="132" xr3:uid="{00000000-0010-0000-1200-000084000000}" name="RI" dataDxfId="326" totalsRowDxfId="325"/>
    <tableColumn id="133" xr3:uid="{00000000-0010-0000-1200-000085000000}" name="PisPasep" dataDxfId="324" totalsRowDxfId="323"/>
    <tableColumn id="134" xr3:uid="{00000000-0010-0000-1200-000086000000}" name="Cofins" dataDxfId="322" totalsRowDxfId="321"/>
    <tableColumn id="135" xr3:uid="{00000000-0010-0000-1200-000087000000}" name="ICMS" dataDxfId="320" totalsRowDxfId="319"/>
    <tableColumn id="136" xr3:uid="{00000000-0010-0000-1200-000088000000}" name="UC" dataDxfId="318" totalsRowDxfId="317"/>
    <tableColumn id="137" xr3:uid="{00000000-0010-0000-1200-000089000000}" name="total_dummy" dataDxfId="316" totalsRowDxfId="315"/>
    <tableColumn id="138" xr3:uid="{00000000-0010-0000-1200-00008A000000}" name="Subs_CarFI" dataDxfId="314" totalsRowDxfId="313"/>
    <tableColumn id="139" xr3:uid="{00000000-0010-0000-1200-00008B000000}" name="Subs_GerFI" dataDxfId="312" totalsRowDxfId="311"/>
    <tableColumn id="140" xr3:uid="{00000000-0010-0000-1200-00008C000000}" name="Subs_Dist" dataDxfId="310" totalsRowDxfId="309"/>
    <tableColumn id="141" xr3:uid="{00000000-0010-0000-1200-00008D000000}" name="Subs_AguaEsgoto" dataDxfId="308" totalsRowDxfId="307"/>
    <tableColumn id="142" xr3:uid="{00000000-0010-0000-1200-00008E000000}" name="Subs_Rural" dataDxfId="306" totalsRowDxfId="305"/>
    <tableColumn id="143" xr3:uid="{00000000-0010-0000-1200-00008F000000}" name="Subs_Irrigante" dataDxfId="304" totalsRowDxfId="303"/>
    <tableColumn id="144" xr3:uid="{00000000-0010-0000-1200-000090000000}" name="Subs_BaixaRenda" dataDxfId="302" totalsRowDxfId="301"/>
    <tableColumn id="145" xr3:uid="{00000000-0010-0000-1200-000091000000}" name="CDE_E" dataDxfId="300" totalsRowDxfId="299"/>
    <tableColumn id="2" xr3:uid="{00000000-0010-0000-1200-000002000000}" name="DespesaEnergia" dataDxfId="298" totalsRowDxfId="297"/>
    <tableColumn id="3" xr3:uid="{00000000-0010-0000-1200-000003000000}" name="RTE_CUSD" dataDxfId="296" totalsRowDxfId="295"/>
    <tableColumn id="4" xr3:uid="{00000000-0010-0000-1200-000004000000}" name="RTE_Energia" dataDxfId="294" totalsRowDxfId="293"/>
    <tableColumn id="5" xr3:uid="{00000000-0010-0000-1200-000005000000}" name="RTE_CDE_USO" dataDxfId="292" totalsRowDxfId="291"/>
    <tableColumn id="6" xr3:uid="{00000000-0010-0000-1200-000006000000}" name="RTE_CDE_E" dataDxfId="290" totalsRowDxfId="289"/>
    <tableColumn id="7" xr3:uid="{00000000-0010-0000-1200-000007000000}" name="RTE_PeD" dataDxfId="288" totalsRowDxfId="287"/>
    <tableColumn id="8" xr3:uid="{00000000-0010-0000-1200-000008000000}" name="Dif_Subs_Car" dataDxfId="286" totalsRowDxfId="285"/>
    <tableColumn id="9" xr3:uid="{00000000-0010-0000-1200-000009000000}" name="Dif_Subs_Ger" dataDxfId="284" totalsRowDxfId="283"/>
    <tableColumn id="10" xr3:uid="{00000000-0010-0000-1200-00000A000000}" name="Dif_Subs_D" dataDxfId="282" totalsRowDxfId="281"/>
    <tableColumn id="11" xr3:uid="{00000000-0010-0000-1200-00000B000000}" name="Dif_Subs_Agua" dataDxfId="280" totalsRowDxfId="279"/>
    <tableColumn id="12" xr3:uid="{00000000-0010-0000-1200-00000C000000}" name="Dif_Subs_Ru" dataDxfId="278" totalsRowDxfId="277"/>
    <tableColumn id="13" xr3:uid="{00000000-0010-0000-1200-00000D000000}" name="Dif_Subs_Irr" dataDxfId="276" totalsRowDxfId="275"/>
    <tableColumn id="14" xr3:uid="{00000000-0010-0000-1200-00000E000000}" name="dif_subs_baixa" dataDxfId="274" totalsRowDxfId="273"/>
    <tableColumn id="15" xr3:uid="{00000000-0010-0000-1200-00000F000000}" name="FinTotAj" dataDxfId="272" totalsRowDxfId="271"/>
    <tableColumn id="16" xr3:uid="{00000000-0010-0000-1200-000010000000}" name="FinAj" dataDxfId="270" totalsRowDxfId="269"/>
    <tableColumn id="17" xr3:uid="{00000000-0010-0000-1200-000011000000}" name="RTE_CDE_E_Dec" dataDxfId="268" totalsRowDxfId="267"/>
    <tableColumn id="18" xr3:uid="{00000000-0010-0000-1200-000012000000}" name="RTE_CDE_E_ACR" dataDxfId="266" totalsRowDxfId="265"/>
    <tableColumn id="19" xr3:uid="{00000000-0010-0000-1200-000013000000}" name="CDE_E_Dec" dataDxfId="264" totalsRowDxfId="263"/>
    <tableColumn id="20" xr3:uid="{00000000-0010-0000-1200-000014000000}" name="CDE_E_ACR" dataDxfId="262" totalsRowDxfId="261"/>
    <tableColumn id="21" xr3:uid="{00000000-0010-0000-1200-000015000000}" name="FinPostTUSD" dataDxfId="260" totalsRowDxfId="259"/>
    <tableColumn id="22" xr3:uid="{00000000-0010-0000-1200-000016000000}" name="FinPostTE" dataDxfId="258" totalsRowDxfId="257"/>
    <tableColumn id="23" xr3:uid="{00000000-0010-0000-1200-000017000000}" name="FinPostQtddias" dataDxfId="256" totalsRowDxfId="255"/>
    <tableColumn id="24" xr3:uid="{00000000-0010-0000-1200-000018000000}" name="FinCT_Geral" dataDxfId="254" totalsRowDxfId="253"/>
    <tableColumn id="25" xr3:uid="{00000000-0010-0000-1200-000019000000}" name="finCT_TUST_FR" dataDxfId="252" totalsRowDxfId="251"/>
    <tableColumn id="26" xr3:uid="{00000000-0010-0000-1200-00001A000000}" name="finCT_TUST_RB" dataDxfId="250" totalsRowDxfId="249"/>
    <tableColumn id="27" xr3:uid="{00000000-0010-0000-1200-00001B000000}" name="FINCT_TUSDG_ONS" dataDxfId="248" totalsRowDxfId="247"/>
    <tableColumn id="28" xr3:uid="{00000000-0010-0000-1200-00001C000000}" name="FINCT_TUSDG_T" dataDxfId="246" totalsRowDxfId="245"/>
    <tableColumn id="29" xr3:uid="{00000000-0010-0000-1200-00001D000000}" name="FINCT_TUST_CI" dataDxfId="244" totalsRowDxfId="243"/>
    <tableColumn id="30" xr3:uid="{00000000-0010-0000-1200-00001E000000}" name="FINCT_TUST_ITAIPU" dataDxfId="242" totalsRowDxfId="241"/>
    <tableColumn id="31" xr3:uid="{00000000-0010-0000-1200-00001F000000}" name="FinCT_Itaipu" dataDxfId="240" totalsRowDxfId="239"/>
    <tableColumn id="32" xr3:uid="{00000000-0010-0000-1200-000020000000}" name="FinCT_CUSD" dataDxfId="238" totalsRowDxfId="237"/>
    <tableColumn id="33" xr3:uid="{00000000-0010-0000-1200-000021000000}" name="FinCT_Conexao_D" dataDxfId="236" totalsRowDxfId="235"/>
    <tableColumn id="34" xr3:uid="{00000000-0010-0000-1200-000022000000}" name="FinCT_Conexao_T" dataDxfId="234" totalsRowDxfId="233"/>
    <tableColumn id="35" xr3:uid="{00000000-0010-0000-1200-000023000000}" name="FinCT_EnergiaRevenda" dataDxfId="232" totalsRowDxfId="231"/>
    <tableColumn id="36" xr3:uid="{00000000-0010-0000-1200-000024000000}" name="FINCT_perdasrb_c" dataDxfId="230" totalsRowDxfId="229"/>
    <tableColumn id="37" xr3:uid="{00000000-0010-0000-1200-000025000000}" name="FINCT_perdasrb_d" dataDxfId="228" totalsRowDxfId="227"/>
    <tableColumn id="38" xr3:uid="{00000000-0010-0000-1200-000026000000}" name="FinCT_perdasnt" dataDxfId="226" totalsRowDxfId="225"/>
    <tableColumn id="39" xr3:uid="{00000000-0010-0000-1200-000027000000}" name="FinCT_perdastec" dataDxfId="224" totalsRowDxfId="223"/>
    <tableColumn id="40" xr3:uid="{00000000-0010-0000-1200-000028000000}" name="FinCT_CCC" dataDxfId="222" totalsRowDxfId="221"/>
    <tableColumn id="41" xr3:uid="{00000000-0010-0000-1200-000029000000}" name="FinCT_CDE" dataDxfId="220" totalsRowDxfId="219"/>
    <tableColumn id="42" xr3:uid="{00000000-0010-0000-1200-00002A000000}" name="FinCT_CDE_E" dataDxfId="218" totalsRowDxfId="217"/>
    <tableColumn id="43" xr3:uid="{00000000-0010-0000-1200-00002B000000}" name="FinCT_CFURH" dataDxfId="216" totalsRowDxfId="215"/>
    <tableColumn id="44" xr3:uid="{00000000-0010-0000-1200-00002C000000}" name="FinCT_ONS" dataDxfId="214" totalsRowDxfId="213"/>
    <tableColumn id="45" xr3:uid="{00000000-0010-0000-1200-00002D000000}" name="FinCT_ESSERR" dataDxfId="212" totalsRowDxfId="211"/>
    <tableColumn id="46" xr3:uid="{00000000-0010-0000-1200-00002E000000}" name="FinCT_Ped" dataDxfId="210" totalsRowDxfId="209"/>
    <tableColumn id="47" xr3:uid="{00000000-0010-0000-1200-00002F000000}" name="finCT_PROINFA" dataDxfId="208" totalsRowDxfId="207"/>
    <tableColumn id="48" xr3:uid="{00000000-0010-0000-1200-000030000000}" name="finCT_TFSEE" dataDxfId="206" totalsRowDxfId="205"/>
    <tableColumn id="49" xr3:uid="{00000000-0010-0000-1200-000031000000}" name="FINCT_Liminar" dataDxfId="204" totalsRowDxfId="203"/>
    <tableColumn id="50" xr3:uid="{00000000-0010-0000-1200-000032000000}" name="FinCT_Subsidio" dataDxfId="202" totalsRowDxfId="201"/>
    <tableColumn id="51" xr3:uid="{00000000-0010-0000-1200-000033000000}" name="FINCT_RGR" dataDxfId="200" totalsRowDxfId="199"/>
    <tableColumn id="52" xr3:uid="{00000000-0010-0000-1200-000034000000}" name="Tipo_ato" dataDxfId="198" totalsRowDxfId="197"/>
    <tableColumn id="53" xr3:uid="{00000000-0010-0000-1200-000035000000}" name="DIST_D" dataDxfId="196" totalsRowDxfId="195"/>
    <tableColumn id="54" xr3:uid="{00000000-0010-0000-1200-000036000000}" name="DIST_E" dataDxfId="194" totalsRowDxfId="193"/>
    <tableColumn id="55" xr3:uid="{00000000-0010-0000-1200-000037000000}" name="FIN_RI" dataDxfId="192" totalsRowDxfId="191"/>
    <tableColumn id="56" xr3:uid="{00000000-0010-0000-1200-000038000000}" name="FINCT_RI" dataDxfId="190" totalsRowDxfId="189"/>
    <tableColumn id="57" xr3:uid="{00000000-0010-0000-1200-000039000000}" name="Fin_TUSD" dataDxfId="188" totalsRowDxfId="187"/>
    <tableColumn id="58" xr3:uid="{00000000-0010-0000-1200-00003A000000}" name="Fin_TE" dataDxfId="186" totalsRowDxfId="185"/>
    <tableColumn id="59" xr3:uid="{00000000-0010-0000-1200-00003B000000}" name="CVA_TUSD" dataDxfId="184" totalsRowDxfId="183"/>
    <tableColumn id="60" xr3:uid="{00000000-0010-0000-1200-00003C000000}" name="CVA_TE" dataDxfId="182" totalsRowDxfId="181"/>
    <tableColumn id="61" xr3:uid="{00000000-0010-0000-1200-00003D000000}" name="FinCT_ParcelaB" dataDxfId="180" totalsRowDxfId="179"/>
    <tableColumn id="62" xr3:uid="{00000000-0010-0000-1200-00003E000000}" name="CVA_EnergiaRevenda" dataDxfId="178" totalsRowDxfId="177"/>
    <tableColumn id="63" xr3:uid="{00000000-0010-0000-1200-00003F000000}" name="CVA_perdasnt" dataDxfId="176" totalsRowDxfId="175"/>
    <tableColumn id="64" xr3:uid="{00000000-0010-0000-1200-000040000000}" name="CVA_perdasrb_d" dataDxfId="174" totalsRowDxfId="173"/>
    <tableColumn id="65" xr3:uid="{00000000-0010-0000-1200-000041000000}" name="CVA_perdasrb_c" dataDxfId="172" totalsRowDxfId="171"/>
    <tableColumn id="66" xr3:uid="{00000000-0010-0000-1200-000042000000}" name="CVA_perdastec" dataDxfId="170" totalsRowDxfId="169"/>
    <tableColumn id="67" xr3:uid="{00000000-0010-0000-1200-000043000000}" name="CVA_TUST_RB" dataDxfId="168" totalsRowDxfId="167"/>
    <tableColumn id="68" xr3:uid="{00000000-0010-0000-1200-000044000000}" name="CVA_TUST_FR" dataDxfId="166" totalsRowDxfId="165"/>
    <tableColumn id="69" xr3:uid="{00000000-0010-0000-1200-000045000000}" name="CVA_TUSDG_ONS" dataDxfId="164" totalsRowDxfId="163"/>
    <tableColumn id="70" xr3:uid="{00000000-0010-0000-1200-000046000000}" name="CVA_TUSDG_T" dataDxfId="162" totalsRowDxfId="161"/>
    <tableColumn id="71" xr3:uid="{FD269DC2-F12E-4BFC-8985-48C037DAEE3D}" name="CVA_TUST_CI" dataDxfId="160" totalsRowDxfId="159"/>
    <tableColumn id="72" xr3:uid="{2C34E4B3-7F07-4D64-9725-21233E09B2F8}" name="CVA_TUST_ITAIPU" dataDxfId="158" totalsRowDxfId="157"/>
    <tableColumn id="73" xr3:uid="{8FF1C04E-705B-4D43-8218-1D303ACBF1B4}" name="CVA_liminar" dataDxfId="156" totalsRowDxfId="155"/>
    <tableColumn id="146" xr3:uid="{A0539E69-57F8-49AD-B6ED-5CA0CA7D6897}" name="covidTusdEco" dataDxfId="154" totalsRowDxfId="153"/>
    <tableColumn id="147" xr3:uid="{412F0612-265D-4505-B4E2-63112B7EB7C9}" name="covidTeEco" dataDxfId="152" totalsRowDxfId="151"/>
    <tableColumn id="148" xr3:uid="{50DABFA8-FB5B-4872-BBA1-9BB3F56B96E2}" name="CVA_CovidTusd" dataDxfId="150" totalsRowDxfId="149"/>
    <tableColumn id="149" xr3:uid="{C64DE2C8-238E-48D0-AEEB-540EC8B5DBF4}" name="CVA_CovidTe_ou_CVA_CDE_E" dataDxfId="148" totalsRowDxfId="147"/>
    <tableColumn id="150" xr3:uid="{8D5DC1D4-E0A6-41B2-A2BB-26D2CA19EF4D}" name="FinCT_CDECOVIDTUSD" dataDxfId="146" totalsRowDxfId="145"/>
    <tableColumn id="151" xr3:uid="{D8258B5F-46FF-48E9-9CE8-9678AF6BD40F}" name="FinCT_CDECOVIDTE_ou_FinCT_CDE_E" dataDxfId="144" totalsRowDxfId="143"/>
    <tableColumn id="152" xr3:uid="{FA4B6803-ED14-4E9F-9237-11D021C62E1A}" name="idsreag" dataDxfId="142" totalsRowDxfId="141"/>
    <tableColumn id="153" xr3:uid="{6D0A4132-E9DF-49BA-93FC-314F55CD4E6C}" name="FinCTAn3En" dataDxfId="140" totalsRowDxfId="139"/>
    <tableColumn id="154" xr3:uid="{BCEBACD9-92B7-4C07-9349-0BF06725A083}" name="An3En" dataDxfId="138" totalsRowDxfId="137"/>
    <tableColumn id="155" xr3:uid="{E0739760-5FFA-460A-9B92-A98307BBEDBF}" name="CVA_An3En" dataDxfId="136" totalsRowDxfId="135"/>
    <tableColumn id="156" xr3:uid="{B6B0B208-D422-4A68-A0C8-E9FD52441D0C}" name="Fin_An3En" dataDxfId="134" totalsRowDxfId="133"/>
    <tableColumn id="157" xr3:uid="{7FDB53B5-00DC-4051-9BCD-5C44BCE1FE22}" name="FIN_CFURH" dataDxfId="132" totalsRowDxfId="131"/>
    <tableColumn id="158" xr3:uid="{234C3200-BA41-45F1-B762-23558F062AAD}" name="TEAngra" dataDxfId="130" totalsRowDxfId="129"/>
    <tableColumn id="159" xr3:uid="{4BBB7D5C-E9AD-4D0D-B22B-8576940F6A95}" name="TUSDAngra" dataDxfId="128" totalsRowDxfId="127"/>
    <tableColumn id="160" xr3:uid="{326F4D4F-8A5C-44D5-BA24-641AA39AE29E}" name="teCheia" dataDxfId="126" totalsRowDxfId="125"/>
    <tableColumn id="161" xr3:uid="{11C36C6C-88C1-412F-8622-2358DD383682}" name="tusdcheia" dataDxfId="124" totalsRowDxfId="123"/>
    <tableColumn id="162" xr3:uid="{14D370CA-1BC7-4B1B-93D5-6756E4EAFFCA}" name="AngraIII_TE" dataDxfId="122" totalsRowDxfId="121"/>
    <tableColumn id="163" xr3:uid="{C9000446-FA08-4BA9-A8BF-3E9F938C3AEE}" name="AngraIII_TUSD" dataDxfId="120" totalsRowDxfId="119"/>
    <tableColumn id="164" xr3:uid="{1E3DAD37-4778-41FB-BEFE-20A527048580}" name="AngraIII_Desc_TE" dataDxfId="118" totalsRowDxfId="117"/>
    <tableColumn id="165" xr3:uid="{6C19244C-C9FE-4DCB-ABD7-0AFB4C980B1D}" name="AngraIII_Desc_TUSD" dataDxfId="116" totalsRowDxfId="115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111" dataDxfId="110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109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108" dataDxfId="10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10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5" totalsRowShown="0" headerRowDxfId="105" dataDxfId="104">
  <autoFilter ref="L74:L95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10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100:O110" totalsRowShown="0" headerRowDxfId="102" dataDxfId="101" headerRowCellStyle="Normal 54 2">
  <autoFilter ref="O100:O110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100">
      <calculatedColumnFormula>IF(N101=0,0,1)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21:U126" totalsRowShown="0" headerRowDxfId="99" dataDxfId="98" headerRowCellStyle="Normal 54 2" dataCellStyle="Normal 54 2">
  <autoFilter ref="U121:U126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97" dataCellStyle="Normal 54 2">
      <calculatedColumnFormula>IF(T122=0,0,1)</calculatedColumnFormula>
    </tableColumn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30:Y135" totalsRowShown="0" headerRowDxfId="96" dataDxfId="95" headerRowCellStyle="Normal 54 2" dataCellStyle="Normal 54 2">
  <autoFilter ref="Y130:Y135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94" dataCellStyle="Normal 54 2">
      <calculatedColumnFormula>IF(W131=0,0,1)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9:AD143" totalsRowShown="0" headerRowDxfId="93" dataDxfId="91" headerRowBorderDxfId="92" tableBorderDxfId="90" totalsRowBorderDxfId="89" headerRowCellStyle="Normal 54 2" dataCellStyle="Normal 54 2">
  <autoFilter ref="AD139:AD143" xr:uid="{00000000-0009-0000-0100-00000C000000}"/>
  <tableColumns count="1">
    <tableColumn id="1" xr3:uid="{00000000-0010-0000-0900-000001000000}" name="1" dataDxfId="88" dataCellStyle="Normal 54 2">
      <calculatedColumnFormula>IF(AA140=0,0,1)</calculatedColumnFormula>
    </tableColumn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7:AL162" totalsRowShown="0" headerRowDxfId="87" dataDxfId="86" headerRowCellStyle="Normal 54 2" dataCellStyle="Normal 54 2">
  <autoFilter ref="AL147:AL162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85" dataCellStyle="Normal 54 2">
      <calculatedColumnFormula>IF(AE148=0,0,1)</calculatedColumnFormula>
    </tableColumn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6:AP207" totalsRowShown="0" headerRowDxfId="84" dataDxfId="83" headerRowCellStyle="Normal 54 2" dataCellStyle="Normal 54 2">
  <autoFilter ref="AO166:AP207" xr:uid="{00000000-0009-0000-0100-00000F000000}"/>
  <tableColumns count="2">
    <tableColumn id="1" xr3:uid="{00000000-0010-0000-0B00-000001000000}" name="1" dataDxfId="82" dataCellStyle="Normal 54 2">
      <calculatedColumnFormula>IF(AN167=0,0,1)</calculatedColumnFormula>
    </tableColumn>
    <tableColumn id="2" xr3:uid="{00000000-0010-0000-0B00-000002000000}" name="2" dataDxfId="81" dataCellStyle="Normal 54 2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18:AY287" totalsRowShown="0" headerRowDxfId="80" dataDxfId="79" headerRowCellStyle="Normal 54 2" dataCellStyle="Normal 54 2">
  <autoFilter ref="AY218:AY287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78" dataCellStyle="Normal 54 2">
      <calculatedColumnFormula>IF(AW219=0,0,1)</calculatedColumnFormula>
    </tableColumn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310:BS317" totalsRowShown="0" headerRowDxfId="77" dataDxfId="76" tableBorderDxfId="75" headerRowCellStyle="Normal 54 2" dataCellStyle="Year 2 6">
  <autoFilter ref="BS310:BS317" xr:uid="{00000000-0009-0000-0100-000013000000}"/>
  <tableColumns count="1">
    <tableColumn id="1" xr3:uid="{00000000-0010-0000-0D00-000001000000}" name="Colunas1" dataDxfId="74" dataCellStyle="Year 2 6">
      <calculatedColumnFormula>IF(BR311=0,0,1)</calculatedColumnFormula>
    </tableColumn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90:BJ297" totalsRowShown="0" headerRowDxfId="73" dataDxfId="71" headerRowBorderDxfId="72" tableBorderDxfId="70" totalsRowBorderDxfId="69" headerRowCellStyle="Normal 54 2" dataCellStyle="Normal 54 2">
  <autoFilter ref="BJ290:BJ297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68" dataCellStyle="Normal 54 2">
      <calculatedColumnFormula>IF(BH291=0,0,1)</calculatedColumnFormula>
    </tableColumn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319:BZ326" totalsRowShown="0" headerRowDxfId="67" dataDxfId="66" headerRowCellStyle="Normal 54 2" dataCellStyle="Normal 54 2">
  <autoFilter ref="BY319:BZ326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65" dataCellStyle="Normal 54 2">
      <calculatedColumnFormula>IF(BU320=0,0,1)</calculatedColumnFormula>
    </tableColumn>
    <tableColumn id="2" xr3:uid="{00000000-0010-0000-0F00-000002000000}" name="Colunas2" dataDxfId="64" dataCellStyle="Normal 54 2"/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99:BN307" totalsRowShown="0" headerRowDxfId="63" dataDxfId="61" headerRowBorderDxfId="62" tableBorderDxfId="60" totalsRowBorderDxfId="59" headerRowCellStyle="Normal 54 2" dataCellStyle="Normal 54 2">
  <autoFilter ref="BN299:BN307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58" dataCellStyle="Normal 54 2">
      <calculatedColumnFormula>IF(BM300=0,0,1)</calculatedColumnFormula>
    </tableColumn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Financeiros" displayName="Financeiros" ref="C8:M100" headerRowDxfId="56" dataDxfId="54" totalsRowDxfId="52" headerRowBorderDxfId="55" tableBorderDxfId="53">
  <autoFilter ref="C8:M100" xr:uid="{00000000-000C-0000-FFFF-FFFF11000000}"/>
  <tableColumns count="11">
    <tableColumn id="1" xr3:uid="{00000000-0010-0000-1100-000001000000}" name="Nome do Financeiro" totalsRowLabel="Total" dataDxfId="51" totalsRowDxfId="50"/>
    <tableColumn id="2" xr3:uid="{00000000-0010-0000-1100-000002000000}" name="Valor" totalsRowFunction="sum" dataDxfId="49" totalsRowDxfId="48" dataCellStyle="Moeda 2 5 3">
      <calculatedColumnFormula>Encargos!#REF!</calculatedColumnFormula>
    </tableColumn>
    <tableColumn id="3" xr3:uid="{00000000-0010-0000-1100-000003000000}" name="Percentual" totalsRowFunction="sum" dataDxfId="47" totalsRowDxfId="46" dataCellStyle="Porcentagem 16 3 2">
      <calculatedColumnFormula>IF(ISERROR(D9/$D$4),0,D9/$D$4)</calculatedColumnFormula>
    </tableColumn>
    <tableColumn id="16" xr3:uid="{EAE52A4D-75B6-4063-943D-EE2DF7CED2AC}" name="Tipo" dataDxfId="45" totalsRowDxfId="44" dataCellStyle="Porcentagem"/>
    <tableColumn id="17" xr3:uid="{69B7A122-9D56-49B3-A707-7A0D15BCCAA5}" name="Grupo Tarifário" dataDxfId="43" totalsRowDxfId="42" dataCellStyle="Porcentagem"/>
    <tableColumn id="10" xr3:uid="{E55F80CE-AA77-4FC2-92A4-D3E5C791B71F}" name="iddet1" dataDxfId="41" totalsRowDxfId="40" dataCellStyle="Porcentagem">
      <calculatedColumnFormula>IFERROR(VLOOKUP(Financeiros[[#This Row],[Tipo]],RefTabTipo[],2,FALSE),0)</calculatedColumnFormula>
    </tableColumn>
    <tableColumn id="11" xr3:uid="{D19466E5-DB31-4D44-AD23-5C8C60D9270B}" name="iddet2" dataDxfId="39" totalsRowDxfId="38" dataCellStyle="Vírgula">
      <calculatedColumnFormula>IFERROR(VLOOKUP(Financeiros[[#This Row],[Tipo]],RefTabTipo[],3,FALSE),0)</calculatedColumnFormula>
    </tableColumn>
    <tableColumn id="12" xr3:uid="{894C60B6-B558-4FEF-8745-52123309E17A}" name="iddet3" dataDxfId="37" totalsRowDxfId="36" dataCellStyle="Vírgula">
      <calculatedColumnFormula>IFERROR(VLOOKUP(Financeiros[[#This Row],[Tipo]],RefTabTipo[],4,FALSE),0)</calculatedColumnFormula>
    </tableColumn>
    <tableColumn id="13" xr3:uid="{A30AAC29-92F9-4E20-9ECC-5459E051CEBB}" name="id_Grupo_TARIFA" dataDxfId="35" totalsRowDxfId="34" dataCellStyle="Porcentagem">
      <calculatedColumnFormula>IFERROR(VLOOKUP(Financeiros[[#This Row],[Grupo Tarifário]],RefTabGrupoTarifa[],2,FALSE),0)</calculatedColumnFormula>
    </tableColumn>
    <tableColumn id="14" xr3:uid="{CF6EB3EB-925F-47DE-8003-E8996F989E4D}" name="id_Detalhe_Grupo_TARIFA" dataDxfId="33" totalsRowDxfId="32" dataCellStyle="Porcentagem">
      <calculatedColumnFormula>IFERROR(VLOOKUP(Financeiros[[#This Row],[Grupo Tarifário]],RefTabGrupoTarifa[],3,FALSE),0)</calculatedColumnFormula>
    </tableColumn>
    <tableColumn id="15" xr3:uid="{7E177392-F6D3-46C5-8148-91AA723E9B08}" name="id_Tipo_Tarifa" dataDxfId="31" totalsRowDxfId="30" dataCellStyle="Porcentagem">
      <calculatedColumnFormula>IFERROR(VLOOKUP(Financeiros[[#This Row],[Grupo Tarifário]],RefTabGrupoTarifa[],4,FALSE),0)</calculatedColumnFormula>
    </tableColumn>
  </tableColumns>
  <tableStyleInfo showFirstColumn="1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CF81B079-25D0-4FCA-8737-FB334E473397}" name="RefTabGrupoTarifa" displayName="RefTabGrupoTarifa" ref="T8:W46" totalsRowShown="0" headerRowDxfId="29" dataDxfId="28">
  <autoFilter ref="T8:W46" xr:uid="{CF81B079-25D0-4FCA-8737-FB334E473397}"/>
  <sortState xmlns:xlrd2="http://schemas.microsoft.com/office/spreadsheetml/2017/richdata2" ref="T9:W46">
    <sortCondition ref="T1:T39"/>
  </sortState>
  <tableColumns count="4">
    <tableColumn id="1" xr3:uid="{0DDE78A7-0BF8-4813-983D-3DF52E773C1C}" name="Tipo" dataDxfId="27"/>
    <tableColumn id="2" xr3:uid="{DD553F25-683A-46BE-AA2F-4D64EA0AAB72}" name="id_Grupo_TARIFA" dataDxfId="26"/>
    <tableColumn id="3" xr3:uid="{42C69399-1418-480D-8C12-94D5D3FD2BB5}" name="id_Detalhe_Grupo_TARIFA" dataDxfId="25"/>
    <tableColumn id="4" xr3:uid="{5542948D-8BAD-4D37-BB67-D1E847D0771D}" name="id_Tipo_Tarifa" dataDxfId="24"/>
  </tableColumns>
  <tableStyleInfo name="Padrão 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312CFA6E-55D3-4E07-8A47-6166BB0EA5F2}" name="RefTabTipo" displayName="RefTabTipo" ref="O8:R30" totalsRowShown="0" headerRowDxfId="23" dataDxfId="22">
  <autoFilter ref="O8:R30" xr:uid="{312CFA6E-55D3-4E07-8A47-6166BB0EA5F2}"/>
  <tableColumns count="4">
    <tableColumn id="1" xr3:uid="{19E6C26C-D807-4503-90EF-1B0EFD3EE9E0}" name="Tipo" dataDxfId="21"/>
    <tableColumn id="2" xr3:uid="{7FC03D40-9707-4D3B-ADA9-37F707612C8A}" name="idDet1" dataDxfId="20"/>
    <tableColumn id="3" xr3:uid="{3C6CC819-6AF1-4EF8-B223-6923CDA8EF48}" name="idDet2" dataDxfId="19"/>
    <tableColumn id="4" xr3:uid="{1436E739-84C0-4E97-95A4-F5C844EF20D8}" name="idDet3" dataDxfId="18"/>
  </tableColumns>
  <tableStyleInfo name="Padrão 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D17" totalsRowShown="0" headerRowDxfId="17" dataDxfId="15" headerRowBorderDxfId="16" tableBorderDxfId="14" headerRowCellStyle="Normal_PRTP_v5-ELETROPAULO (v. alexandre_tarifas)2 2" dataCellStyle="Comma 2 5">
  <autoFilter ref="B8:D17" xr:uid="{F1466D44-9AF0-477A-8753-108C5A31A49F}"/>
  <tableColumns count="3">
    <tableColumn id="1" xr3:uid="{9A35ED9F-18B5-4A08-9A97-E53FE145A6C8}" name="Descrição" dataDxfId="13" dataCellStyle="Normal 9_casulo 5 2"/>
    <tableColumn id="2" xr3:uid="{D1978C8E-7F91-48FB-93F7-3337F14F2B1A}" name="Delta   (R$)" dataDxfId="12" dataCellStyle="Comma 2 5"/>
    <tableColumn id="3" xr3:uid="{5B4687E5-6464-4FFC-8F87-1AD988A4E17B}" name="5° Dia Útil Anterior (R$)" dataDxfId="11" dataCellStyle="Comma 2 5"/>
  </tableColumns>
  <tableStyleInfo name="Estilo de Tabela 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40" totalsRowShown="0"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45" dT="2022-09-05T20:46:29.59" personId="{EF081DF5-4464-48BC-AF6F-E00224898ABD}" id="{9B22C5CE-6B55-472A-8EE9-509EFFC75186}">
    <text xml:space="preserve">Érika, aqui estava como parcela B e mudei para Energia genérico. Precisa confirmar ok?
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12" dT="2022-04-26T18:49:59.76" personId="{ADE79481-5EE4-4A9A-958F-EC4E352E411D}" id="{6A1BB4E7-D34E-437C-83FB-E767FB2BD8DE}">
    <text>buscar na persas do ano anterior</text>
  </threadedComment>
  <threadedComment ref="B16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2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4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2.xml"/><Relationship Id="rId13" Type="http://schemas.openxmlformats.org/officeDocument/2006/relationships/table" Target="../tables/table37.xml"/><Relationship Id="rId3" Type="http://schemas.openxmlformats.org/officeDocument/2006/relationships/table" Target="../tables/table27.xml"/><Relationship Id="rId7" Type="http://schemas.openxmlformats.org/officeDocument/2006/relationships/table" Target="../tables/table31.xml"/><Relationship Id="rId12" Type="http://schemas.openxmlformats.org/officeDocument/2006/relationships/table" Target="../tables/table36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30.xml"/><Relationship Id="rId11" Type="http://schemas.openxmlformats.org/officeDocument/2006/relationships/table" Target="../tables/table35.xml"/><Relationship Id="rId5" Type="http://schemas.openxmlformats.org/officeDocument/2006/relationships/table" Target="../tables/table29.xml"/><Relationship Id="rId15" Type="http://schemas.openxmlformats.org/officeDocument/2006/relationships/table" Target="../tables/table39.xml"/><Relationship Id="rId10" Type="http://schemas.openxmlformats.org/officeDocument/2006/relationships/table" Target="../tables/table34.xml"/><Relationship Id="rId4" Type="http://schemas.openxmlformats.org/officeDocument/2006/relationships/table" Target="../tables/table28.xml"/><Relationship Id="rId9" Type="http://schemas.openxmlformats.org/officeDocument/2006/relationships/table" Target="../tables/table33.xml"/><Relationship Id="rId14" Type="http://schemas.openxmlformats.org/officeDocument/2006/relationships/table" Target="../tables/table3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0.xml"/><Relationship Id="rId7" Type="http://schemas.microsoft.com/office/2017/10/relationships/threadedComment" Target="../threadedComments/threadedComment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6.bin"/><Relationship Id="rId6" Type="http://schemas.openxmlformats.org/officeDocument/2006/relationships/comments" Target="../comments3.xml"/><Relationship Id="rId5" Type="http://schemas.openxmlformats.org/officeDocument/2006/relationships/table" Target="../tables/table42.xml"/><Relationship Id="rId4" Type="http://schemas.openxmlformats.org/officeDocument/2006/relationships/table" Target="../tables/table41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7.bin"/><Relationship Id="rId4" Type="http://schemas.microsoft.com/office/2017/10/relationships/threadedComment" Target="../threadedComments/threadedComment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6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workbookViewId="0">
      <selection activeCell="O26" sqref="O26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2039</v>
      </c>
    </row>
    <row r="2" spans="1:15">
      <c r="A2">
        <v>252</v>
      </c>
      <c r="B2" s="909">
        <v>43922</v>
      </c>
      <c r="C2" s="232"/>
      <c r="D2" s="232"/>
      <c r="E2" s="232"/>
      <c r="F2" s="232"/>
      <c r="G2" s="232"/>
      <c r="H2" s="232"/>
      <c r="I2" s="910"/>
    </row>
    <row r="3" spans="1:15">
      <c r="A3">
        <v>255</v>
      </c>
      <c r="B3" s="909">
        <v>43922</v>
      </c>
      <c r="C3" s="232"/>
      <c r="D3" s="232"/>
      <c r="E3" s="232"/>
      <c r="F3" s="232"/>
      <c r="G3" s="232"/>
      <c r="H3" s="232"/>
      <c r="I3" s="910"/>
    </row>
    <row r="4" spans="1:15">
      <c r="A4">
        <v>206</v>
      </c>
      <c r="B4" s="909">
        <v>43922</v>
      </c>
      <c r="C4" s="232"/>
      <c r="D4" s="232"/>
      <c r="E4" s="232"/>
      <c r="F4" s="232"/>
      <c r="G4" s="232"/>
      <c r="H4" s="232"/>
      <c r="I4" s="910"/>
    </row>
    <row r="5" spans="1:15">
      <c r="A5">
        <v>256</v>
      </c>
      <c r="B5" s="909">
        <v>43922</v>
      </c>
      <c r="C5" s="232"/>
      <c r="D5" s="232"/>
      <c r="E5" s="232"/>
      <c r="F5" s="232"/>
      <c r="G5" s="232"/>
      <c r="H5" s="232"/>
      <c r="I5" s="910"/>
      <c r="J5" s="232">
        <v>4154376.2782662762</v>
      </c>
    </row>
    <row r="6" spans="1:15">
      <c r="A6">
        <v>203</v>
      </c>
      <c r="B6" s="909">
        <v>43952</v>
      </c>
      <c r="C6" s="232"/>
      <c r="D6" s="232"/>
      <c r="E6" s="232"/>
      <c r="F6" s="232"/>
      <c r="G6" s="232"/>
      <c r="H6" s="232"/>
      <c r="I6" s="910"/>
      <c r="J6" s="232"/>
    </row>
    <row r="7" spans="1:15">
      <c r="A7">
        <v>211</v>
      </c>
      <c r="B7" s="909">
        <v>43952</v>
      </c>
      <c r="C7" s="232"/>
      <c r="D7" s="232"/>
      <c r="E7" s="232"/>
      <c r="F7" s="232"/>
      <c r="G7" s="232"/>
      <c r="H7" s="232"/>
      <c r="I7" s="910"/>
      <c r="J7" s="232">
        <v>18046086.986190885</v>
      </c>
      <c r="N7" s="232"/>
      <c r="O7" s="910"/>
    </row>
    <row r="8" spans="1:15">
      <c r="A8">
        <v>254</v>
      </c>
      <c r="B8" s="909">
        <v>43952</v>
      </c>
      <c r="C8" s="232"/>
      <c r="D8" s="232"/>
      <c r="E8" s="232"/>
      <c r="F8" s="232"/>
      <c r="G8" s="232"/>
      <c r="H8" s="232"/>
      <c r="I8" s="910"/>
      <c r="N8" s="232"/>
      <c r="O8" s="910"/>
    </row>
    <row r="9" spans="1:15">
      <c r="A9">
        <v>210</v>
      </c>
      <c r="B9" s="909">
        <v>43952</v>
      </c>
      <c r="C9" s="232"/>
      <c r="D9" s="232"/>
      <c r="E9" s="232"/>
      <c r="F9" s="232"/>
      <c r="G9" s="232"/>
      <c r="H9" s="232"/>
      <c r="I9" s="910"/>
      <c r="N9" s="232"/>
      <c r="O9" s="910"/>
    </row>
    <row r="10" spans="1:15">
      <c r="A10">
        <v>258</v>
      </c>
      <c r="B10" s="909">
        <v>44013</v>
      </c>
      <c r="C10" s="232"/>
      <c r="D10" s="232"/>
      <c r="E10" s="232"/>
      <c r="F10" s="232"/>
      <c r="G10" s="232"/>
      <c r="H10" s="232"/>
      <c r="I10" s="910"/>
    </row>
    <row r="11" spans="1:15">
      <c r="A11">
        <v>247</v>
      </c>
      <c r="B11" s="909">
        <v>44013</v>
      </c>
      <c r="C11" s="232"/>
      <c r="D11" s="232"/>
      <c r="E11" s="232"/>
      <c r="F11" s="232"/>
      <c r="G11" s="232"/>
      <c r="H11" s="232"/>
      <c r="I11" s="910"/>
    </row>
    <row r="12" spans="1:15">
      <c r="A12">
        <v>248</v>
      </c>
      <c r="B12" s="909">
        <v>44013</v>
      </c>
      <c r="C12" s="232"/>
      <c r="D12" s="232"/>
      <c r="E12" s="232"/>
      <c r="F12" s="232"/>
      <c r="G12" s="232"/>
      <c r="H12" s="232"/>
      <c r="I12" s="911"/>
    </row>
    <row r="13" spans="1:15">
      <c r="A13">
        <v>209</v>
      </c>
      <c r="B13" s="909">
        <v>44013</v>
      </c>
      <c r="C13" s="232"/>
      <c r="D13" s="232"/>
      <c r="E13" s="232"/>
      <c r="F13" s="232"/>
      <c r="G13" s="232"/>
      <c r="H13" s="232"/>
      <c r="I13" s="910"/>
    </row>
    <row r="14" spans="1:15">
      <c r="A14">
        <v>207</v>
      </c>
      <c r="B14" s="909">
        <v>44013</v>
      </c>
      <c r="C14" s="232"/>
      <c r="D14" s="232"/>
      <c r="E14" s="232"/>
      <c r="F14" s="232"/>
      <c r="G14" s="232"/>
      <c r="H14" s="232"/>
      <c r="I14" s="910"/>
    </row>
    <row r="15" spans="1:15">
      <c r="A15">
        <v>249</v>
      </c>
      <c r="B15" s="909">
        <v>44013</v>
      </c>
      <c r="C15" s="232"/>
      <c r="D15" s="232"/>
      <c r="E15" s="232"/>
      <c r="F15" s="232"/>
      <c r="G15" s="232"/>
      <c r="H15" s="232"/>
      <c r="I15" s="910"/>
    </row>
    <row r="16" spans="1:15">
      <c r="A16">
        <v>237</v>
      </c>
      <c r="B16" s="909">
        <v>44013</v>
      </c>
      <c r="C16" s="232"/>
      <c r="D16" s="232"/>
      <c r="E16" s="232"/>
      <c r="F16" s="232"/>
      <c r="G16" s="232"/>
      <c r="H16" s="232"/>
      <c r="I16" s="911"/>
    </row>
    <row r="17" spans="1:10">
      <c r="A17">
        <v>246</v>
      </c>
      <c r="B17" s="909">
        <v>44013</v>
      </c>
      <c r="C17" s="232"/>
      <c r="D17" s="232"/>
      <c r="E17" s="232"/>
      <c r="F17" s="232"/>
      <c r="G17" s="232"/>
      <c r="H17" s="232"/>
      <c r="I17" s="910"/>
    </row>
    <row r="18" spans="1:10">
      <c r="A18">
        <v>238</v>
      </c>
      <c r="B18" s="909">
        <v>44013</v>
      </c>
      <c r="C18" s="232"/>
      <c r="D18" s="232"/>
      <c r="E18" s="232"/>
      <c r="F18" s="232"/>
      <c r="G18" s="232"/>
      <c r="H18" s="232"/>
      <c r="I18" s="910"/>
    </row>
    <row r="19" spans="1:10">
      <c r="A19">
        <v>240</v>
      </c>
      <c r="B19" s="909">
        <v>44013</v>
      </c>
      <c r="C19" s="232"/>
      <c r="D19" s="232"/>
      <c r="E19" s="232"/>
      <c r="F19" s="232"/>
      <c r="G19" s="232"/>
      <c r="H19" s="232"/>
      <c r="I19" s="910"/>
      <c r="J19" s="232">
        <v>81721407.839354143</v>
      </c>
    </row>
    <row r="20" spans="1:10">
      <c r="A20">
        <v>242</v>
      </c>
      <c r="B20" s="909">
        <v>44013</v>
      </c>
      <c r="C20" s="232"/>
      <c r="D20" s="232"/>
      <c r="E20" s="232"/>
      <c r="F20" s="232"/>
      <c r="G20" s="232"/>
      <c r="H20" s="232"/>
      <c r="I20" s="910"/>
    </row>
    <row r="21" spans="1:10">
      <c r="A21">
        <v>245</v>
      </c>
      <c r="B21" s="909">
        <v>44013</v>
      </c>
      <c r="C21" s="232"/>
      <c r="D21" s="232"/>
      <c r="E21" s="232"/>
      <c r="F21" s="232"/>
      <c r="G21" s="232"/>
      <c r="H21" s="232"/>
      <c r="I21" s="910"/>
    </row>
    <row r="22" spans="1:10">
      <c r="A22">
        <v>257</v>
      </c>
      <c r="B22" s="909">
        <v>44013</v>
      </c>
      <c r="C22" s="232"/>
      <c r="D22" s="232"/>
      <c r="E22" s="232"/>
      <c r="F22" s="232"/>
      <c r="G22" s="232"/>
      <c r="H22" s="232"/>
      <c r="I22" s="910"/>
    </row>
    <row r="23" spans="1:10">
      <c r="A23">
        <v>239</v>
      </c>
      <c r="B23" s="909">
        <v>44013</v>
      </c>
      <c r="C23" s="232"/>
      <c r="D23" s="232"/>
      <c r="E23" s="232"/>
      <c r="F23" s="232"/>
      <c r="G23" s="232"/>
      <c r="H23" s="232"/>
      <c r="I23" s="910"/>
    </row>
    <row r="24" spans="1:10">
      <c r="A24">
        <v>232</v>
      </c>
      <c r="B24" s="909">
        <v>44075</v>
      </c>
      <c r="C24" s="232"/>
      <c r="D24" s="232"/>
      <c r="E24" s="232"/>
      <c r="F24" s="232"/>
      <c r="G24" s="232"/>
      <c r="H24" s="232"/>
      <c r="I24" s="910"/>
    </row>
    <row r="25" spans="1:10">
      <c r="A25">
        <v>222</v>
      </c>
      <c r="B25" s="909">
        <v>44075</v>
      </c>
      <c r="C25" s="232"/>
      <c r="D25" s="232"/>
      <c r="E25" s="232"/>
      <c r="F25" s="232"/>
      <c r="G25" s="232"/>
      <c r="H25" s="232"/>
      <c r="I25" s="910"/>
    </row>
    <row r="26" spans="1:10">
      <c r="A26">
        <v>202</v>
      </c>
      <c r="B26" s="909">
        <v>44075</v>
      </c>
      <c r="C26" s="232"/>
      <c r="D26" s="232"/>
      <c r="E26" s="232"/>
      <c r="F26" s="232"/>
      <c r="G26" s="232"/>
      <c r="H26" s="232"/>
      <c r="I26" s="910"/>
    </row>
    <row r="27" spans="1:10">
      <c r="A27">
        <v>260</v>
      </c>
      <c r="B27" s="909">
        <v>44075</v>
      </c>
      <c r="C27" s="232"/>
      <c r="D27" s="232"/>
      <c r="E27" s="232"/>
      <c r="F27" s="232"/>
      <c r="G27" s="232"/>
      <c r="H27" s="232"/>
      <c r="I27" s="910"/>
    </row>
    <row r="28" spans="1:10">
      <c r="A28">
        <v>230</v>
      </c>
      <c r="B28" s="909">
        <v>44075</v>
      </c>
      <c r="C28" s="232"/>
      <c r="D28" s="232"/>
      <c r="E28" s="232"/>
      <c r="F28" s="232"/>
      <c r="G28" s="232"/>
      <c r="H28" s="232"/>
      <c r="I28" s="910"/>
    </row>
    <row r="29" spans="1:10">
      <c r="A29">
        <v>221</v>
      </c>
      <c r="B29" s="909">
        <v>44075</v>
      </c>
      <c r="C29" s="232"/>
      <c r="D29" s="232"/>
      <c r="E29" s="232"/>
      <c r="F29" s="232"/>
      <c r="G29" s="232"/>
      <c r="H29" s="232"/>
      <c r="I29" s="910"/>
    </row>
    <row r="30" spans="1:10">
      <c r="A30">
        <v>218</v>
      </c>
      <c r="B30" s="909">
        <v>44075</v>
      </c>
      <c r="C30" s="232"/>
      <c r="D30" s="232"/>
      <c r="E30" s="232"/>
      <c r="F30" s="232"/>
      <c r="G30" s="232"/>
      <c r="H30" s="232"/>
      <c r="I30" s="910"/>
    </row>
    <row r="31" spans="1:10">
      <c r="A31">
        <v>261</v>
      </c>
      <c r="B31" s="909">
        <v>44075</v>
      </c>
      <c r="C31" s="232"/>
      <c r="D31" s="232"/>
      <c r="E31" s="232"/>
      <c r="F31" s="232"/>
      <c r="G31" s="232"/>
      <c r="H31" s="232"/>
      <c r="I31" s="910"/>
    </row>
    <row r="32" spans="1:10">
      <c r="A32">
        <v>262</v>
      </c>
      <c r="B32" s="909">
        <v>44075</v>
      </c>
      <c r="C32" s="232"/>
      <c r="D32" s="232"/>
      <c r="E32" s="232"/>
      <c r="F32" s="232"/>
      <c r="G32" s="232"/>
      <c r="H32" s="232"/>
      <c r="I32" s="910"/>
    </row>
    <row r="33" spans="1:9">
      <c r="A33">
        <v>227</v>
      </c>
      <c r="B33" s="909">
        <v>44075</v>
      </c>
      <c r="C33" s="232"/>
      <c r="D33" s="232"/>
      <c r="E33" s="232"/>
      <c r="F33" s="232"/>
      <c r="G33" s="232"/>
      <c r="H33" s="232"/>
      <c r="I33" s="910"/>
    </row>
    <row r="34" spans="1:9">
      <c r="A34">
        <v>231</v>
      </c>
      <c r="B34" s="909">
        <v>44075</v>
      </c>
      <c r="C34" s="232"/>
      <c r="D34" s="232"/>
      <c r="E34" s="232"/>
      <c r="F34" s="232"/>
      <c r="G34" s="232"/>
      <c r="H34" s="232"/>
      <c r="I34" s="910"/>
    </row>
    <row r="35" spans="1:9">
      <c r="A35">
        <v>216</v>
      </c>
      <c r="B35" s="909">
        <v>44075</v>
      </c>
      <c r="C35" s="232"/>
      <c r="D35" s="232"/>
      <c r="E35" s="232"/>
      <c r="F35" s="232"/>
      <c r="G35" s="232"/>
      <c r="H35" s="232"/>
      <c r="I35" s="910"/>
    </row>
    <row r="36" spans="1:9">
      <c r="A36">
        <v>229</v>
      </c>
      <c r="B36" s="909">
        <v>44075</v>
      </c>
      <c r="C36" s="232"/>
      <c r="D36" s="232"/>
      <c r="E36" s="232"/>
      <c r="F36" s="232"/>
      <c r="G36" s="232"/>
      <c r="H36" s="232"/>
      <c r="I36" s="910"/>
    </row>
    <row r="37" spans="1:9">
      <c r="A37">
        <v>215</v>
      </c>
      <c r="B37" s="909">
        <v>44075</v>
      </c>
      <c r="C37" s="232"/>
      <c r="D37" s="232"/>
      <c r="E37" s="232"/>
      <c r="F37" s="232"/>
      <c r="G37" s="232"/>
      <c r="H37" s="232"/>
      <c r="I37" s="910"/>
    </row>
    <row r="38" spans="1:9">
      <c r="A38">
        <v>224</v>
      </c>
      <c r="B38" s="909">
        <v>44075</v>
      </c>
      <c r="C38" s="232"/>
      <c r="D38" s="232"/>
      <c r="E38" s="232"/>
      <c r="F38" s="232"/>
      <c r="G38" s="232"/>
      <c r="H38" s="232"/>
      <c r="I38" s="910"/>
    </row>
    <row r="39" spans="1:9">
      <c r="A39">
        <v>226</v>
      </c>
      <c r="B39" s="909">
        <v>44075</v>
      </c>
      <c r="C39" s="232"/>
      <c r="D39" s="232"/>
      <c r="E39" s="232"/>
      <c r="F39" s="232"/>
      <c r="G39" s="232"/>
      <c r="H39" s="232"/>
      <c r="I39" s="910"/>
    </row>
    <row r="40" spans="1:9">
      <c r="A40">
        <v>234</v>
      </c>
      <c r="B40" s="909">
        <v>44075</v>
      </c>
      <c r="C40" s="232"/>
      <c r="D40" s="232"/>
      <c r="E40" s="232"/>
      <c r="F40" s="232"/>
      <c r="G40" s="232"/>
      <c r="H40" s="232"/>
      <c r="I40" s="910"/>
    </row>
    <row r="41" spans="1:9">
      <c r="A41">
        <v>223</v>
      </c>
      <c r="B41" s="909">
        <v>44075</v>
      </c>
      <c r="C41" s="232"/>
      <c r="D41" s="232"/>
      <c r="E41" s="232"/>
      <c r="F41" s="232"/>
      <c r="G41" s="232"/>
      <c r="H41" s="232"/>
      <c r="I41" s="910"/>
    </row>
    <row r="42" spans="1:9">
      <c r="A42">
        <v>225</v>
      </c>
      <c r="B42" s="909">
        <v>44075</v>
      </c>
      <c r="C42" s="232"/>
      <c r="D42" s="232"/>
      <c r="E42" s="232"/>
      <c r="F42" s="232"/>
      <c r="G42" s="232"/>
      <c r="H42" s="232"/>
      <c r="I42" s="910"/>
    </row>
    <row r="43" spans="1:9">
      <c r="A43">
        <v>228</v>
      </c>
      <c r="B43" s="909">
        <v>44075</v>
      </c>
      <c r="C43" s="232"/>
      <c r="D43" s="232"/>
      <c r="E43" s="232"/>
      <c r="F43" s="232"/>
      <c r="G43" s="232"/>
      <c r="H43" s="232"/>
      <c r="I43" s="910"/>
    </row>
    <row r="44" spans="1:9">
      <c r="A44">
        <v>220</v>
      </c>
      <c r="B44" s="909">
        <v>44075</v>
      </c>
      <c r="C44" s="232"/>
      <c r="D44" s="232"/>
      <c r="E44" s="232"/>
      <c r="F44" s="232"/>
      <c r="G44" s="232"/>
      <c r="H44" s="232"/>
      <c r="I44" s="910"/>
    </row>
    <row r="45" spans="1:9">
      <c r="A45">
        <v>201</v>
      </c>
      <c r="B45" s="909">
        <v>44136</v>
      </c>
      <c r="C45" s="232"/>
      <c r="D45" s="232"/>
      <c r="E45" s="232"/>
      <c r="F45" s="232"/>
      <c r="G45" s="232"/>
      <c r="H45" s="232"/>
      <c r="I45" s="910"/>
    </row>
    <row r="46" spans="1:9">
      <c r="A46">
        <v>213</v>
      </c>
      <c r="B46" s="909">
        <v>44136</v>
      </c>
      <c r="C46" s="232"/>
      <c r="D46" s="232"/>
      <c r="E46" s="232"/>
      <c r="F46" s="232"/>
      <c r="G46" s="232"/>
      <c r="H46" s="232"/>
      <c r="I46" s="910"/>
    </row>
    <row r="47" spans="1:9">
      <c r="A47">
        <v>219</v>
      </c>
      <c r="B47" s="909">
        <v>44136</v>
      </c>
      <c r="C47" s="232"/>
      <c r="D47" s="232"/>
      <c r="E47" s="232"/>
      <c r="F47" s="232"/>
      <c r="G47" s="232"/>
      <c r="H47" s="232"/>
      <c r="I47" s="910"/>
    </row>
    <row r="48" spans="1:9">
      <c r="A48">
        <v>205</v>
      </c>
      <c r="B48" s="909">
        <v>44136</v>
      </c>
      <c r="C48" s="232"/>
      <c r="D48" s="232"/>
      <c r="E48" s="232"/>
      <c r="F48" s="232"/>
      <c r="G48" s="232"/>
      <c r="H48" s="232"/>
      <c r="I48" s="910"/>
    </row>
    <row r="49" spans="1:10">
      <c r="A49">
        <v>208</v>
      </c>
      <c r="B49" s="909">
        <v>44136</v>
      </c>
      <c r="C49" s="232"/>
      <c r="D49" s="232"/>
      <c r="E49" s="232"/>
      <c r="F49" s="232"/>
      <c r="G49" s="232"/>
      <c r="H49" s="232"/>
      <c r="I49" s="910"/>
    </row>
    <row r="50" spans="1:10">
      <c r="A50">
        <v>263</v>
      </c>
      <c r="B50" s="909">
        <v>44166</v>
      </c>
      <c r="C50" s="232"/>
      <c r="D50" s="232"/>
      <c r="F50" s="232"/>
      <c r="G50" s="232"/>
      <c r="H50" s="232"/>
      <c r="I50" s="910"/>
      <c r="J50" s="232">
        <v>5389974.3136365721</v>
      </c>
    </row>
    <row r="51" spans="1:10">
      <c r="A51">
        <v>217</v>
      </c>
      <c r="B51" s="909">
        <v>44166</v>
      </c>
      <c r="C51" s="232"/>
      <c r="D51" s="232"/>
      <c r="E51" s="232"/>
      <c r="F51" s="232"/>
      <c r="G51" s="232"/>
      <c r="H51" s="232"/>
      <c r="I51" s="910"/>
      <c r="J51" s="232"/>
    </row>
    <row r="52" spans="1:10">
      <c r="A52">
        <v>264</v>
      </c>
      <c r="B52" s="909">
        <v>44166</v>
      </c>
      <c r="C52" s="232"/>
      <c r="D52" s="232"/>
      <c r="F52" s="232"/>
      <c r="G52" s="232"/>
      <c r="H52" s="232"/>
      <c r="I52" s="910"/>
      <c r="J52" s="232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109"/>
  <sheetViews>
    <sheetView showGridLines="0" topLeftCell="H39" zoomScale="90" zoomScaleNormal="90" workbookViewId="0">
      <selection activeCell="X59" sqref="X59"/>
    </sheetView>
  </sheetViews>
  <sheetFormatPr defaultColWidth="9.140625" defaultRowHeight="14.25"/>
  <cols>
    <col min="1" max="1" width="5.7109375" style="68" customWidth="1"/>
    <col min="2" max="2" width="42.7109375" style="68" customWidth="1"/>
    <col min="3" max="3" width="21.42578125" style="68" customWidth="1"/>
    <col min="4" max="4" width="20.7109375" style="68" customWidth="1"/>
    <col min="5" max="5" width="26.140625" style="68" customWidth="1"/>
    <col min="6" max="6" width="20.5703125" style="68" customWidth="1"/>
    <col min="7" max="7" width="19.85546875" style="68" customWidth="1"/>
    <col min="8" max="8" width="17" style="68" customWidth="1"/>
    <col min="9" max="9" width="12" style="68" customWidth="1"/>
    <col min="10" max="10" width="13.7109375" style="68" customWidth="1"/>
    <col min="11" max="11" width="15.85546875" style="68" bestFit="1" customWidth="1"/>
    <col min="12" max="12" width="19.28515625" style="68" customWidth="1"/>
    <col min="13" max="13" width="9.140625" style="68"/>
    <col min="14" max="14" width="16.7109375" style="68" customWidth="1"/>
    <col min="15" max="15" width="19.5703125" style="68" customWidth="1"/>
    <col min="16" max="16" width="11.28515625" style="68" customWidth="1"/>
    <col min="17" max="17" width="13.42578125" style="68" bestFit="1" customWidth="1"/>
    <col min="18" max="18" width="65.7109375" style="68" bestFit="1" customWidth="1"/>
    <col min="19" max="19" width="13.7109375" style="68" customWidth="1"/>
    <col min="20" max="20" width="65.7109375" style="68" bestFit="1" customWidth="1"/>
    <col min="21" max="21" width="19.42578125" style="68" customWidth="1"/>
    <col min="22" max="22" width="11.28515625" style="68" customWidth="1"/>
    <col min="23" max="26" width="9.140625" style="68"/>
    <col min="27" max="27" width="43.42578125" style="68" customWidth="1"/>
    <col min="28" max="28" width="26.4257812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930" t="s">
        <v>12</v>
      </c>
      <c r="C1" s="931"/>
      <c r="D1" s="931"/>
      <c r="E1" s="932" t="s">
        <v>13</v>
      </c>
      <c r="F1" s="933">
        <f ca="1">LnkTXTIRTEco</f>
        <v>6.4000000000000001E-2</v>
      </c>
    </row>
    <row r="2" spans="2:43" ht="28.5" customHeight="1">
      <c r="B2" s="136" t="str">
        <f>CAPA!C9</f>
        <v>Cedri</v>
      </c>
      <c r="C2" s="70"/>
      <c r="D2" s="70"/>
      <c r="E2" s="83" t="s">
        <v>14</v>
      </c>
      <c r="F2" s="84">
        <f ca="1">LnkTXTIRTTotal</f>
        <v>-0.14050000000000001</v>
      </c>
      <c r="M2" s="85"/>
      <c r="N2" s="86"/>
      <c r="AA2" s="846"/>
      <c r="AB2" s="908"/>
      <c r="AC2" s="846"/>
      <c r="AD2" s="846"/>
    </row>
    <row r="3" spans="2:43" ht="21" customHeight="1">
      <c r="B3" s="934" t="s">
        <v>15</v>
      </c>
      <c r="C3" s="784"/>
      <c r="I3" s="934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935" t="s">
        <v>17</v>
      </c>
      <c r="C5" s="936">
        <v>21778.6495</v>
      </c>
      <c r="D5" s="1776" t="s">
        <v>18</v>
      </c>
      <c r="E5" s="90"/>
      <c r="F5" s="72"/>
      <c r="G5" s="72"/>
      <c r="H5" s="72" t="s">
        <v>19</v>
      </c>
      <c r="I5" s="480" t="s">
        <v>20</v>
      </c>
      <c r="J5" s="480" t="s">
        <v>21</v>
      </c>
      <c r="K5" s="480"/>
      <c r="L5" s="480" t="s">
        <v>22</v>
      </c>
      <c r="M5" s="480" t="s">
        <v>23</v>
      </c>
      <c r="N5" s="480" t="s">
        <v>24</v>
      </c>
      <c r="O5" s="480"/>
      <c r="P5" s="480"/>
      <c r="Q5" s="480" t="s">
        <v>25</v>
      </c>
      <c r="R5" s="480" t="s">
        <v>26</v>
      </c>
      <c r="S5" s="783" t="s">
        <v>27</v>
      </c>
      <c r="T5" s="480" t="s">
        <v>28</v>
      </c>
      <c r="U5" s="71" t="s">
        <v>29</v>
      </c>
      <c r="V5" s="783" t="s">
        <v>30</v>
      </c>
      <c r="AA5" s="68" t="s">
        <v>31</v>
      </c>
      <c r="AB5" s="68" t="s">
        <v>32</v>
      </c>
      <c r="AC5" s="68" t="s">
        <v>20</v>
      </c>
      <c r="AD5" s="846" t="s">
        <v>33</v>
      </c>
      <c r="AE5" s="846" t="s">
        <v>2035</v>
      </c>
      <c r="AI5" s="888" t="s">
        <v>34</v>
      </c>
      <c r="AJ5" s="888" t="s">
        <v>35</v>
      </c>
      <c r="AL5" s="896" t="s">
        <v>36</v>
      </c>
      <c r="AM5" s="896" t="s">
        <v>37</v>
      </c>
      <c r="AO5" s="846" t="s">
        <v>2060</v>
      </c>
      <c r="AP5" s="846" t="s">
        <v>37</v>
      </c>
      <c r="AQ5" s="846" t="s">
        <v>2061</v>
      </c>
    </row>
    <row r="6" spans="2:43" ht="16.5">
      <c r="B6" s="93"/>
      <c r="C6" s="88"/>
      <c r="D6" s="1777"/>
      <c r="E6" s="90"/>
      <c r="F6" s="72"/>
      <c r="G6" s="72"/>
      <c r="H6" s="68" t="str">
        <f>CONCATENATE(W6,J6,L6,O6)</f>
        <v>385A4Não se aplicaEnergia</v>
      </c>
      <c r="I6" s="937">
        <v>2022</v>
      </c>
      <c r="J6" s="938" t="s">
        <v>533</v>
      </c>
      <c r="K6" s="938" t="s">
        <v>752</v>
      </c>
      <c r="L6" s="938" t="s">
        <v>1239</v>
      </c>
      <c r="M6" s="938" t="s">
        <v>153</v>
      </c>
      <c r="N6" s="938">
        <v>5366</v>
      </c>
      <c r="O6" s="938" t="s">
        <v>108</v>
      </c>
      <c r="P6" s="938" t="s">
        <v>753</v>
      </c>
      <c r="Q6" s="939">
        <v>44800</v>
      </c>
      <c r="R6" s="939">
        <v>44790</v>
      </c>
      <c r="S6" s="508" t="s">
        <v>472</v>
      </c>
      <c r="T6" s="939" t="s">
        <v>2436</v>
      </c>
      <c r="U6" s="938">
        <v>12.13</v>
      </c>
      <c r="V6" s="938">
        <v>145</v>
      </c>
      <c r="W6" s="68">
        <f>VLOOKUP(V6,DescontosTE[[#All],[idsreag supridora]:[codsariSUP]],2,FALSE)</f>
        <v>385</v>
      </c>
      <c r="AA6" s="847"/>
      <c r="AB6" s="848"/>
      <c r="AC6" s="847"/>
      <c r="AD6" s="847"/>
      <c r="AE6" s="847"/>
      <c r="AI6" s="894"/>
      <c r="AJ6" s="895"/>
      <c r="AL6" s="897" t="s">
        <v>2422</v>
      </c>
      <c r="AM6" s="898">
        <v>0</v>
      </c>
      <c r="AO6" s="1457" t="s">
        <v>2074</v>
      </c>
      <c r="AP6" s="1458">
        <v>0</v>
      </c>
      <c r="AQ6" s="1458"/>
    </row>
    <row r="7" spans="2:43" ht="16.5">
      <c r="B7" s="940" t="s">
        <v>38</v>
      </c>
      <c r="C7" s="941">
        <v>0</v>
      </c>
      <c r="D7" s="1777"/>
      <c r="E7" s="72"/>
      <c r="F7" s="72"/>
      <c r="G7" s="72"/>
      <c r="H7" s="68" t="str">
        <f t="shared" ref="H7:H30" si="0">CONCATENATE(W7,J7,L7,O7)</f>
        <v>385A4PontaPotência</v>
      </c>
      <c r="I7" s="506">
        <v>2022</v>
      </c>
      <c r="J7" s="507" t="s">
        <v>533</v>
      </c>
      <c r="K7" s="507" t="s">
        <v>752</v>
      </c>
      <c r="L7" s="507" t="s">
        <v>893</v>
      </c>
      <c r="M7" s="507" t="s">
        <v>153</v>
      </c>
      <c r="N7" s="507">
        <v>5366</v>
      </c>
      <c r="O7" s="507" t="s">
        <v>1238</v>
      </c>
      <c r="P7" s="507" t="s">
        <v>753</v>
      </c>
      <c r="Q7" s="508">
        <v>44800</v>
      </c>
      <c r="R7" s="508">
        <v>44790</v>
      </c>
      <c r="S7" s="508" t="s">
        <v>472</v>
      </c>
      <c r="T7" s="508" t="s">
        <v>2436</v>
      </c>
      <c r="U7" s="507">
        <v>24.54</v>
      </c>
      <c r="V7" s="507">
        <v>145</v>
      </c>
      <c r="W7" s="68">
        <f>VLOOKUP(V7,DescontosTE[[#All],[idsreag supridora]:[codsariSUP]],2,FALSE)</f>
        <v>385</v>
      </c>
      <c r="AA7" s="847"/>
      <c r="AB7" s="848"/>
      <c r="AC7" s="847"/>
      <c r="AD7" s="847"/>
      <c r="AE7" s="847"/>
      <c r="AI7" s="894"/>
      <c r="AJ7" s="895"/>
      <c r="AL7" s="897" t="s">
        <v>2423</v>
      </c>
      <c r="AM7" s="898">
        <v>0</v>
      </c>
      <c r="AO7" s="1457" t="s">
        <v>2075</v>
      </c>
      <c r="AP7" s="1458">
        <v>0</v>
      </c>
      <c r="AQ7" s="1458"/>
    </row>
    <row r="8" spans="2:43" ht="16.5">
      <c r="B8" s="93" t="s">
        <v>39</v>
      </c>
      <c r="C8" s="119">
        <v>0</v>
      </c>
      <c r="D8" s="1777"/>
      <c r="E8" s="72"/>
      <c r="F8" s="72"/>
      <c r="G8" s="72"/>
      <c r="H8" s="68" t="str">
        <f t="shared" si="0"/>
        <v>385A4Fora pontaPotência</v>
      </c>
      <c r="I8" s="506">
        <v>2022</v>
      </c>
      <c r="J8" s="507" t="s">
        <v>533</v>
      </c>
      <c r="K8" s="507" t="s">
        <v>752</v>
      </c>
      <c r="L8" s="507" t="s">
        <v>2326</v>
      </c>
      <c r="M8" s="507" t="s">
        <v>153</v>
      </c>
      <c r="N8" s="507">
        <v>5366</v>
      </c>
      <c r="O8" s="507" t="s">
        <v>1238</v>
      </c>
      <c r="P8" s="507" t="s">
        <v>753</v>
      </c>
      <c r="Q8" s="508">
        <v>44800</v>
      </c>
      <c r="R8" s="508">
        <v>44790</v>
      </c>
      <c r="S8" s="508" t="s">
        <v>472</v>
      </c>
      <c r="T8" s="508" t="s">
        <v>2436</v>
      </c>
      <c r="U8" s="507">
        <v>16.440000000000001</v>
      </c>
      <c r="V8" s="507">
        <v>145</v>
      </c>
      <c r="W8" s="68">
        <f>VLOOKUP(V8,DescontosTE[[#All],[idsreag supridora]:[codsariSUP]],2,FALSE)</f>
        <v>385</v>
      </c>
      <c r="AI8" s="894"/>
      <c r="AJ8" s="895"/>
      <c r="AL8" s="897" t="s">
        <v>2424</v>
      </c>
      <c r="AM8" s="898">
        <v>0</v>
      </c>
      <c r="AO8" s="1457" t="s">
        <v>2076</v>
      </c>
      <c r="AP8" s="1458">
        <v>0</v>
      </c>
      <c r="AQ8" s="1458"/>
    </row>
    <row r="9" spans="2:43" ht="16.5">
      <c r="B9" s="93" t="s">
        <v>40</v>
      </c>
      <c r="C9" s="119">
        <v>32244.015181585899</v>
      </c>
      <c r="D9" s="1777"/>
      <c r="E9" s="72"/>
      <c r="F9" s="72"/>
      <c r="G9" s="72"/>
      <c r="H9" s="68" t="e">
        <f t="shared" si="0"/>
        <v>#N/A</v>
      </c>
      <c r="I9" s="506"/>
      <c r="J9" s="507"/>
      <c r="K9" s="507"/>
      <c r="L9" s="507"/>
      <c r="M9" s="507"/>
      <c r="N9" s="507"/>
      <c r="O9" s="507"/>
      <c r="P9" s="507"/>
      <c r="Q9" s="508"/>
      <c r="R9" s="508"/>
      <c r="S9" s="508"/>
      <c r="T9" s="508"/>
      <c r="U9" s="507"/>
      <c r="V9" s="507"/>
      <c r="W9" s="68" t="e">
        <f>VLOOKUP(V9,DescontosTE[[#All],[idsreag supridora]:[codsariSUP]],2,FALSE)</f>
        <v>#N/A</v>
      </c>
      <c r="AI9" s="894"/>
      <c r="AJ9" s="895"/>
      <c r="AL9" s="897" t="s">
        <v>2425</v>
      </c>
      <c r="AM9" s="898"/>
      <c r="AO9" s="1457"/>
      <c r="AP9" s="1458"/>
      <c r="AQ9" s="1458" t="s">
        <v>2077</v>
      </c>
    </row>
    <row r="10" spans="2:43" ht="16.5">
      <c r="B10" s="93" t="s">
        <v>41</v>
      </c>
      <c r="C10" s="119">
        <v>1191087.61023</v>
      </c>
      <c r="D10" s="1777"/>
      <c r="H10" s="68" t="e">
        <f t="shared" si="0"/>
        <v>#N/A</v>
      </c>
      <c r="I10" s="506"/>
      <c r="J10" s="507"/>
      <c r="K10" s="507"/>
      <c r="L10" s="507"/>
      <c r="M10" s="507"/>
      <c r="N10" s="507"/>
      <c r="O10" s="507"/>
      <c r="P10" s="507"/>
      <c r="Q10" s="508"/>
      <c r="R10" s="508"/>
      <c r="S10" s="508"/>
      <c r="T10" s="508"/>
      <c r="U10" s="507"/>
      <c r="V10" s="507"/>
      <c r="W10" s="68" t="e">
        <f>VLOOKUP(V10,DescontosTE[[#All],[idsreag supridora]:[codsariSUP]],2,FALSE)</f>
        <v>#N/A</v>
      </c>
      <c r="AA10" s="68" t="s">
        <v>42</v>
      </c>
      <c r="AB10" s="68" t="s">
        <v>43</v>
      </c>
      <c r="AC10" s="68" t="s">
        <v>44</v>
      </c>
      <c r="AD10" s="852" t="s">
        <v>45</v>
      </c>
      <c r="AI10" s="894"/>
      <c r="AJ10" s="895"/>
      <c r="AL10" s="897" t="s">
        <v>2426</v>
      </c>
      <c r="AM10" s="898">
        <v>0</v>
      </c>
    </row>
    <row r="11" spans="2:43" ht="16.5">
      <c r="B11" s="93" t="s">
        <v>46</v>
      </c>
      <c r="C11" s="119">
        <v>0</v>
      </c>
      <c r="D11" s="1777"/>
      <c r="H11" s="68" t="e">
        <f t="shared" si="0"/>
        <v>#N/A</v>
      </c>
      <c r="I11" s="506"/>
      <c r="J11" s="507"/>
      <c r="K11" s="507"/>
      <c r="L11" s="507"/>
      <c r="M11" s="507"/>
      <c r="N11" s="507"/>
      <c r="O11" s="507"/>
      <c r="P11" s="507"/>
      <c r="Q11" s="508"/>
      <c r="R11" s="508"/>
      <c r="S11" s="508"/>
      <c r="T11" s="508"/>
      <c r="U11" s="507"/>
      <c r="V11" s="507"/>
      <c r="W11" s="68" t="e">
        <f>VLOOKUP(V11,DescontosTE[[#All],[idsreag supridora]:[codsariSUP]],2,FALSE)</f>
        <v>#N/A</v>
      </c>
      <c r="AA11" s="847">
        <v>0.87029999999999996</v>
      </c>
      <c r="AB11" s="848">
        <v>195.04</v>
      </c>
      <c r="AC11" s="847">
        <v>14739.74</v>
      </c>
      <c r="AD11" s="847"/>
      <c r="AI11" s="894"/>
      <c r="AJ11" s="895"/>
      <c r="AL11" s="897" t="s">
        <v>2427</v>
      </c>
      <c r="AM11" s="898">
        <v>0</v>
      </c>
    </row>
    <row r="12" spans="2:43" ht="16.5">
      <c r="B12" s="93" t="s">
        <v>47</v>
      </c>
      <c r="C12" s="119">
        <v>200783.56998</v>
      </c>
      <c r="D12" s="1777"/>
      <c r="H12" s="68" t="e">
        <f t="shared" si="0"/>
        <v>#N/A</v>
      </c>
      <c r="I12" s="506"/>
      <c r="J12" s="507"/>
      <c r="K12" s="507"/>
      <c r="L12" s="507"/>
      <c r="M12" s="507"/>
      <c r="N12" s="507"/>
      <c r="O12" s="507"/>
      <c r="P12" s="507"/>
      <c r="Q12" s="508"/>
      <c r="R12" s="508"/>
      <c r="S12" s="508"/>
      <c r="T12" s="508"/>
      <c r="U12" s="507"/>
      <c r="V12" s="507"/>
      <c r="W12" s="68" t="e">
        <f>VLOOKUP(V12,DescontosTE[[#All],[idsreag supridora]:[codsariSUP]],2,FALSE)</f>
        <v>#N/A</v>
      </c>
      <c r="AI12" s="894"/>
      <c r="AJ12" s="895"/>
      <c r="AL12" s="897" t="s">
        <v>2428</v>
      </c>
      <c r="AM12" s="898">
        <v>0</v>
      </c>
    </row>
    <row r="13" spans="2:43" ht="16.5">
      <c r="B13" s="93" t="s">
        <v>48</v>
      </c>
      <c r="C13" s="119">
        <v>0</v>
      </c>
      <c r="D13" s="1777"/>
      <c r="H13" s="68" t="e">
        <f t="shared" si="0"/>
        <v>#N/A</v>
      </c>
      <c r="I13" s="506"/>
      <c r="J13" s="507"/>
      <c r="K13" s="507"/>
      <c r="L13" s="507"/>
      <c r="M13" s="507"/>
      <c r="N13" s="507"/>
      <c r="O13" s="507"/>
      <c r="P13" s="507"/>
      <c r="Q13" s="508"/>
      <c r="R13" s="508"/>
      <c r="S13" s="508"/>
      <c r="T13" s="508"/>
      <c r="U13" s="507"/>
      <c r="V13" s="507"/>
      <c r="W13" s="68" t="e">
        <f>VLOOKUP(V13,DescontosTE[[#All],[idsreag supridora]:[codsariSUP]],2,FALSE)</f>
        <v>#N/A</v>
      </c>
      <c r="AI13" s="894"/>
      <c r="AJ13" s="895"/>
      <c r="AL13" s="897" t="s">
        <v>2429</v>
      </c>
      <c r="AM13" s="898">
        <v>0</v>
      </c>
    </row>
    <row r="14" spans="2:43" ht="16.5">
      <c r="B14" s="93" t="s">
        <v>49</v>
      </c>
      <c r="C14" s="119">
        <v>0</v>
      </c>
      <c r="D14" s="1777"/>
      <c r="H14" s="68" t="e">
        <f t="shared" si="0"/>
        <v>#N/A</v>
      </c>
      <c r="I14" s="506"/>
      <c r="J14" s="507"/>
      <c r="K14" s="507"/>
      <c r="L14" s="507"/>
      <c r="M14" s="507"/>
      <c r="N14" s="507"/>
      <c r="O14" s="507"/>
      <c r="P14" s="507"/>
      <c r="Q14" s="508"/>
      <c r="R14" s="508"/>
      <c r="S14" s="508"/>
      <c r="T14" s="508"/>
      <c r="U14" s="507"/>
      <c r="V14" s="507"/>
      <c r="W14" s="68" t="e">
        <f>VLOOKUP(V14,DescontosTE[[#All],[idsreag supridora]:[codsariSUP]],2,FALSE)</f>
        <v>#N/A</v>
      </c>
      <c r="AA14" s="796"/>
      <c r="AB14" s="796"/>
      <c r="AC14" s="796"/>
      <c r="AI14" s="894"/>
      <c r="AJ14" s="895"/>
      <c r="AL14" s="897" t="s">
        <v>2430</v>
      </c>
      <c r="AM14" s="898">
        <v>0</v>
      </c>
    </row>
    <row r="15" spans="2:43" ht="16.5">
      <c r="B15" s="942" t="s">
        <v>2036</v>
      </c>
      <c r="C15" s="943">
        <v>561638.56127034605</v>
      </c>
      <c r="D15" s="1777"/>
      <c r="F15" s="92"/>
      <c r="H15" s="68" t="e">
        <f t="shared" si="0"/>
        <v>#N/A</v>
      </c>
      <c r="I15" s="506"/>
      <c r="J15" s="507"/>
      <c r="K15" s="507"/>
      <c r="L15" s="507"/>
      <c r="M15" s="507"/>
      <c r="N15" s="507"/>
      <c r="O15" s="507"/>
      <c r="P15" s="507"/>
      <c r="Q15" s="508"/>
      <c r="R15" s="508"/>
      <c r="S15" s="508"/>
      <c r="T15" s="508"/>
      <c r="U15" s="507"/>
      <c r="V15" s="507"/>
      <c r="W15" s="68" t="e">
        <f>VLOOKUP(V15,DescontosTE[[#All],[idsreag supridora]:[codsariSUP]],2,FALSE)</f>
        <v>#N/A</v>
      </c>
      <c r="AA15" s="900" t="s">
        <v>109</v>
      </c>
      <c r="AB15" s="900" t="s">
        <v>898</v>
      </c>
      <c r="AC15" s="796"/>
      <c r="AI15" s="894"/>
      <c r="AJ15" s="895"/>
      <c r="AL15" s="897"/>
      <c r="AM15" s="898"/>
    </row>
    <row r="16" spans="2:43" ht="16.5">
      <c r="D16" s="1777"/>
      <c r="F16" s="92"/>
      <c r="H16" s="68" t="e">
        <f t="shared" si="0"/>
        <v>#N/A</v>
      </c>
      <c r="I16" s="506"/>
      <c r="J16" s="507"/>
      <c r="K16" s="507"/>
      <c r="L16" s="507"/>
      <c r="M16" s="507"/>
      <c r="N16" s="507"/>
      <c r="O16" s="507"/>
      <c r="P16" s="507"/>
      <c r="Q16" s="508"/>
      <c r="R16" s="508"/>
      <c r="S16" s="508"/>
      <c r="T16" s="508"/>
      <c r="U16" s="507"/>
      <c r="V16" s="507"/>
      <c r="W16" s="68" t="e">
        <f>VLOOKUP(V16,DescontosTE[[#All],[idsreag supridora]:[codsariSUP]],2,FALSE)</f>
        <v>#N/A</v>
      </c>
      <c r="AA16" s="847">
        <v>2022</v>
      </c>
      <c r="AB16" s="848">
        <v>372.66056208124905</v>
      </c>
      <c r="AC16" s="846"/>
      <c r="AI16" s="894"/>
      <c r="AJ16" s="895"/>
      <c r="AL16" s="897"/>
      <c r="AM16" s="898"/>
    </row>
    <row r="17" spans="2:42" ht="16.5">
      <c r="B17" s="935" t="s">
        <v>50</v>
      </c>
      <c r="C17" s="944"/>
      <c r="D17" s="1777"/>
      <c r="F17" s="92"/>
      <c r="H17" s="68" t="e">
        <f t="shared" si="0"/>
        <v>#N/A</v>
      </c>
      <c r="I17" s="506"/>
      <c r="J17" s="507"/>
      <c r="K17" s="507"/>
      <c r="L17" s="507"/>
      <c r="M17" s="507"/>
      <c r="N17" s="507"/>
      <c r="O17" s="507"/>
      <c r="P17" s="507"/>
      <c r="Q17" s="508"/>
      <c r="R17" s="508"/>
      <c r="S17" s="508"/>
      <c r="T17" s="508"/>
      <c r="U17" s="507"/>
      <c r="V17" s="507"/>
      <c r="W17" s="68" t="e">
        <f>VLOOKUP(V17,DescontosTE[[#All],[idsreag supridora]:[codsariSUP]],2,FALSE)</f>
        <v>#N/A</v>
      </c>
      <c r="AI17" s="894"/>
      <c r="AJ17" s="895"/>
      <c r="AL17" s="853"/>
      <c r="AM17" s="848"/>
    </row>
    <row r="18" spans="2:42" ht="16.5">
      <c r="B18" s="93" t="s">
        <v>51</v>
      </c>
      <c r="C18" s="119">
        <v>0</v>
      </c>
      <c r="D18" s="1777"/>
      <c r="F18" s="92"/>
      <c r="H18" s="68" t="e">
        <f t="shared" si="0"/>
        <v>#N/A</v>
      </c>
      <c r="I18" s="506"/>
      <c r="J18" s="507"/>
      <c r="K18" s="507"/>
      <c r="L18" s="507"/>
      <c r="M18" s="507"/>
      <c r="N18" s="507"/>
      <c r="O18" s="507"/>
      <c r="P18" s="507"/>
      <c r="Q18" s="508"/>
      <c r="R18" s="508"/>
      <c r="S18" s="508"/>
      <c r="T18" s="508"/>
      <c r="U18" s="507"/>
      <c r="V18" s="507"/>
      <c r="W18" s="68" t="e">
        <f>VLOOKUP(V18,DescontosTE[[#All],[idsreag supridora]:[codsariSUP]],2,FALSE)</f>
        <v>#N/A</v>
      </c>
      <c r="AI18" s="894"/>
      <c r="AJ18" s="895"/>
      <c r="AL18" s="853"/>
      <c r="AM18" s="848"/>
    </row>
    <row r="19" spans="2:42" ht="16.5">
      <c r="B19" s="93" t="s">
        <v>52</v>
      </c>
      <c r="C19" s="119">
        <v>0</v>
      </c>
      <c r="D19" s="1777"/>
      <c r="F19" s="92"/>
      <c r="H19" s="68" t="e">
        <f t="shared" si="0"/>
        <v>#N/A</v>
      </c>
      <c r="I19" s="506"/>
      <c r="J19" s="507"/>
      <c r="K19" s="507"/>
      <c r="L19" s="507"/>
      <c r="M19" s="507"/>
      <c r="N19" s="507"/>
      <c r="O19" s="507"/>
      <c r="P19" s="507"/>
      <c r="Q19" s="508"/>
      <c r="R19" s="508"/>
      <c r="S19" s="508"/>
      <c r="T19" s="508"/>
      <c r="U19" s="507"/>
      <c r="V19" s="507"/>
      <c r="W19" s="68" t="e">
        <f>VLOOKUP(V19,DescontosTE[[#All],[idsreag supridora]:[codsariSUP]],2,FALSE)</f>
        <v>#N/A</v>
      </c>
      <c r="AI19" s="894"/>
      <c r="AJ19" s="895"/>
    </row>
    <row r="20" spans="2:42" ht="16.5">
      <c r="B20" s="93" t="s">
        <v>53</v>
      </c>
      <c r="C20" s="119"/>
      <c r="D20" s="1777"/>
      <c r="F20" s="92"/>
      <c r="H20" s="68" t="e">
        <f t="shared" si="0"/>
        <v>#N/A</v>
      </c>
      <c r="I20" s="506"/>
      <c r="J20" s="507"/>
      <c r="K20" s="507"/>
      <c r="L20" s="507"/>
      <c r="M20" s="507"/>
      <c r="N20" s="507"/>
      <c r="O20" s="507"/>
      <c r="P20" s="507"/>
      <c r="Q20" s="508"/>
      <c r="R20" s="508"/>
      <c r="S20" s="508"/>
      <c r="T20" s="508"/>
      <c r="U20" s="507"/>
      <c r="V20" s="507"/>
      <c r="W20" s="68" t="e">
        <f>VLOOKUP(V20,DescontosTE[[#All],[idsreag supridora]:[codsariSUP]],2,FALSE)</f>
        <v>#N/A</v>
      </c>
      <c r="AA20" s="849" t="s">
        <v>54</v>
      </c>
      <c r="AB20" s="849"/>
      <c r="AC20" s="850"/>
      <c r="AD20" s="850"/>
      <c r="AE20" s="850"/>
      <c r="AF20" s="850"/>
      <c r="AG20" s="851"/>
      <c r="AI20" s="853"/>
      <c r="AJ20" s="848"/>
    </row>
    <row r="21" spans="2:42" ht="16.5">
      <c r="B21" s="93" t="s">
        <v>55</v>
      </c>
      <c r="C21" s="119"/>
      <c r="D21" s="1777"/>
      <c r="F21" s="92"/>
      <c r="H21" s="68" t="e">
        <f t="shared" si="0"/>
        <v>#N/A</v>
      </c>
      <c r="I21" s="506"/>
      <c r="J21" s="507"/>
      <c r="K21" s="507"/>
      <c r="L21" s="507"/>
      <c r="M21" s="507"/>
      <c r="N21" s="507"/>
      <c r="O21" s="507"/>
      <c r="P21" s="507"/>
      <c r="Q21" s="508"/>
      <c r="R21" s="508"/>
      <c r="S21" s="508"/>
      <c r="T21" s="508"/>
      <c r="U21" s="507"/>
      <c r="V21" s="507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  <c r="AI21" s="196"/>
    </row>
    <row r="22" spans="2:42" ht="16.5">
      <c r="B22" s="93" t="s">
        <v>63</v>
      </c>
      <c r="C22" s="119"/>
      <c r="D22" s="1777"/>
      <c r="H22" s="68" t="e">
        <f t="shared" si="0"/>
        <v>#N/A</v>
      </c>
      <c r="I22" s="506"/>
      <c r="J22" s="507"/>
      <c r="K22" s="507"/>
      <c r="L22" s="507"/>
      <c r="M22" s="507"/>
      <c r="N22" s="507"/>
      <c r="O22" s="507"/>
      <c r="P22" s="507"/>
      <c r="Q22" s="508"/>
      <c r="R22" s="508"/>
      <c r="S22" s="508"/>
      <c r="T22" s="508"/>
      <c r="U22" s="507"/>
      <c r="V22" s="507"/>
      <c r="W22" s="68" t="e">
        <f>VLOOKUP(V22,DescontosTE[[#All],[idsreag supridora]:[codsariSUP]],2,FALSE)</f>
        <v>#N/A</v>
      </c>
      <c r="AA22" s="847"/>
      <c r="AB22" s="848"/>
      <c r="AC22" s="847"/>
      <c r="AD22" s="847"/>
      <c r="AE22" s="848"/>
      <c r="AF22" s="853"/>
      <c r="AG22" s="847"/>
    </row>
    <row r="23" spans="2:42" ht="16.5">
      <c r="B23" s="93" t="s">
        <v>64</v>
      </c>
      <c r="C23" s="119"/>
      <c r="D23" s="1777"/>
      <c r="F23" s="92"/>
      <c r="H23" s="68" t="e">
        <f t="shared" si="0"/>
        <v>#N/A</v>
      </c>
      <c r="I23" s="506"/>
      <c r="J23" s="507"/>
      <c r="K23" s="507"/>
      <c r="L23" s="507"/>
      <c r="M23" s="507"/>
      <c r="N23" s="507"/>
      <c r="O23" s="507"/>
      <c r="P23" s="507"/>
      <c r="Q23" s="508"/>
      <c r="R23" s="508"/>
      <c r="S23" s="508"/>
      <c r="T23" s="508"/>
      <c r="U23" s="507"/>
      <c r="V23" s="507"/>
      <c r="W23" s="68" t="e">
        <f>VLOOKUP(V23,DescontosTE[[#All],[idsreag supridora]:[codsariSUP]],2,FALSE)</f>
        <v>#N/A</v>
      </c>
      <c r="AA23" s="847"/>
      <c r="AB23" s="848"/>
      <c r="AC23" s="847"/>
      <c r="AD23" s="847"/>
      <c r="AE23" s="848"/>
      <c r="AF23" s="847"/>
      <c r="AG23" s="847"/>
      <c r="AI23" s="846" t="s">
        <v>2064</v>
      </c>
      <c r="AM23" s="846" t="s">
        <v>2068</v>
      </c>
    </row>
    <row r="24" spans="2:42" ht="16.5">
      <c r="B24" s="93" t="s">
        <v>65</v>
      </c>
      <c r="C24" s="119">
        <v>0</v>
      </c>
      <c r="D24" s="1777"/>
      <c r="F24" s="92"/>
      <c r="H24" s="68" t="e">
        <f t="shared" si="0"/>
        <v>#N/A</v>
      </c>
      <c r="I24" s="506"/>
      <c r="J24" s="507"/>
      <c r="K24" s="507"/>
      <c r="L24" s="507"/>
      <c r="M24" s="507"/>
      <c r="N24" s="507"/>
      <c r="O24" s="507"/>
      <c r="P24" s="507"/>
      <c r="Q24" s="508"/>
      <c r="R24" s="508"/>
      <c r="S24" s="508"/>
      <c r="T24" s="508"/>
      <c r="U24" s="507"/>
      <c r="V24" s="507"/>
      <c r="W24" s="68" t="e">
        <f>VLOOKUP(V24,DescontosTE[[#All],[idsreag supridora]:[codsariSUP]],2,FALSE)</f>
        <v>#N/A</v>
      </c>
      <c r="AI24" s="68" t="s">
        <v>2062</v>
      </c>
      <c r="AJ24" s="68" t="s">
        <v>2063</v>
      </c>
      <c r="AK24" s="68" t="s">
        <v>1417</v>
      </c>
      <c r="AM24" s="68" t="s">
        <v>2065</v>
      </c>
      <c r="AN24" s="68" t="s">
        <v>2066</v>
      </c>
      <c r="AO24" s="68" t="s">
        <v>2067</v>
      </c>
      <c r="AP24" s="68" t="s">
        <v>37</v>
      </c>
    </row>
    <row r="25" spans="2:42" ht="16.5">
      <c r="B25" s="93" t="s">
        <v>66</v>
      </c>
      <c r="C25" s="119">
        <v>2035479.0043599999</v>
      </c>
      <c r="D25" s="1777"/>
      <c r="H25" s="68" t="e">
        <f t="shared" si="0"/>
        <v>#N/A</v>
      </c>
      <c r="I25" s="506"/>
      <c r="J25" s="507"/>
      <c r="K25" s="507"/>
      <c r="L25" s="507"/>
      <c r="M25" s="507"/>
      <c r="N25" s="507"/>
      <c r="O25" s="507"/>
      <c r="P25" s="507"/>
      <c r="Q25" s="508"/>
      <c r="R25" s="508"/>
      <c r="S25" s="508"/>
      <c r="T25" s="508"/>
      <c r="U25" s="507"/>
      <c r="V25" s="507"/>
      <c r="W25" s="68" t="e">
        <f>VLOOKUP(V25,DescontosTE[[#All],[idsreag supridora]:[codsariSUP]],2,FALSE)</f>
        <v>#N/A</v>
      </c>
      <c r="AD25" s="846"/>
      <c r="AE25" s="908"/>
      <c r="AF25" s="846"/>
      <c r="AG25" s="846"/>
      <c r="AI25" s="257" t="s">
        <v>2078</v>
      </c>
      <c r="AJ25" s="257" t="s">
        <v>41</v>
      </c>
      <c r="AK25" s="69">
        <v>-82633.074625620793</v>
      </c>
      <c r="AM25" s="1461"/>
      <c r="AN25" s="1461"/>
      <c r="AO25" s="1461"/>
      <c r="AP25" s="1460"/>
    </row>
    <row r="26" spans="2:42" ht="16.5">
      <c r="B26" s="935" t="s">
        <v>67</v>
      </c>
      <c r="C26" s="945">
        <v>7122749.49971411</v>
      </c>
      <c r="D26" s="1777"/>
      <c r="H26" s="68" t="e">
        <f t="shared" si="0"/>
        <v>#N/A</v>
      </c>
      <c r="I26" s="506"/>
      <c r="J26" s="507"/>
      <c r="K26" s="507"/>
      <c r="L26" s="507"/>
      <c r="M26" s="507"/>
      <c r="N26" s="507"/>
      <c r="O26" s="507"/>
      <c r="P26" s="507"/>
      <c r="Q26" s="508"/>
      <c r="R26" s="508"/>
      <c r="S26" s="508"/>
      <c r="T26" s="508"/>
      <c r="U26" s="507"/>
      <c r="V26" s="507"/>
      <c r="W26" s="68" t="e">
        <f>VLOOKUP(V26,DescontosTE[[#All],[idsreag supridora]:[codsariSUP]],2,FALSE)</f>
        <v>#N/A</v>
      </c>
      <c r="AA26" s="900" t="s">
        <v>2069</v>
      </c>
      <c r="AB26" s="900" t="s">
        <v>37</v>
      </c>
      <c r="AD26" s="846"/>
      <c r="AE26" s="908"/>
      <c r="AF26" s="846"/>
      <c r="AG26" s="846"/>
      <c r="AI26" s="257" t="s">
        <v>2078</v>
      </c>
      <c r="AJ26" s="257" t="s">
        <v>47</v>
      </c>
      <c r="AK26" s="69">
        <v>-11490.502105859099</v>
      </c>
      <c r="AM26" s="1461"/>
      <c r="AN26" s="1461"/>
      <c r="AO26" s="1461"/>
      <c r="AP26" s="1460"/>
    </row>
    <row r="27" spans="2:42" ht="16.5">
      <c r="C27" s="69"/>
      <c r="D27" s="1777"/>
      <c r="H27" s="68" t="e">
        <f t="shared" si="0"/>
        <v>#N/A</v>
      </c>
      <c r="I27" s="506"/>
      <c r="J27" s="507"/>
      <c r="K27" s="507"/>
      <c r="L27" s="507"/>
      <c r="M27" s="507"/>
      <c r="N27" s="507"/>
      <c r="O27" s="507"/>
      <c r="P27" s="507"/>
      <c r="Q27" s="508"/>
      <c r="R27" s="508"/>
      <c r="S27" s="508"/>
      <c r="T27" s="508"/>
      <c r="U27" s="507"/>
      <c r="V27" s="507"/>
      <c r="W27" s="68" t="e">
        <f>VLOOKUP(V27,DescontosTE[[#All],[idsreag supridora]:[codsariSUP]],2,FALSE)</f>
        <v>#N/A</v>
      </c>
      <c r="AA27" s="847" t="s">
        <v>2071</v>
      </c>
      <c r="AB27" s="848"/>
      <c r="AI27" s="257" t="s">
        <v>2078</v>
      </c>
      <c r="AJ27" s="257" t="s">
        <v>40</v>
      </c>
      <c r="AK27" s="69">
        <v>-2729.52964324602</v>
      </c>
      <c r="AM27" s="1461"/>
      <c r="AN27" s="1461"/>
      <c r="AO27" s="1461"/>
      <c r="AP27" s="1460"/>
    </row>
    <row r="28" spans="2:42" ht="16.5">
      <c r="B28" s="934" t="s">
        <v>68</v>
      </c>
      <c r="C28" s="946"/>
      <c r="D28" s="1777"/>
      <c r="H28" s="68" t="e">
        <f t="shared" si="0"/>
        <v>#N/A</v>
      </c>
      <c r="I28" s="506"/>
      <c r="J28" s="507"/>
      <c r="K28" s="507"/>
      <c r="L28" s="507"/>
      <c r="M28" s="507"/>
      <c r="N28" s="507"/>
      <c r="O28" s="507"/>
      <c r="P28" s="507"/>
      <c r="Q28" s="508"/>
      <c r="R28" s="508"/>
      <c r="S28" s="508"/>
      <c r="T28" s="508"/>
      <c r="U28" s="507"/>
      <c r="V28" s="507"/>
      <c r="W28" s="68" t="e">
        <f>VLOOKUP(V28,DescontosTE[[#All],[idsreag supridora]:[codsariSUP]],2,FALSE)</f>
        <v>#N/A</v>
      </c>
      <c r="AA28" s="847" t="s">
        <v>2072</v>
      </c>
      <c r="AB28" s="848"/>
      <c r="AI28" s="257" t="s">
        <v>2079</v>
      </c>
      <c r="AJ28" s="257" t="s">
        <v>2080</v>
      </c>
      <c r="AK28" s="69">
        <v>-812600.13100102299</v>
      </c>
      <c r="AM28" s="1461"/>
      <c r="AN28" s="1461"/>
      <c r="AO28" s="1461"/>
      <c r="AP28" s="1460"/>
    </row>
    <row r="29" spans="2:42" ht="18" customHeight="1">
      <c r="D29" s="1777"/>
      <c r="H29" s="68" t="e">
        <f t="shared" si="0"/>
        <v>#N/A</v>
      </c>
      <c r="I29" s="506"/>
      <c r="J29" s="507"/>
      <c r="K29" s="507"/>
      <c r="L29" s="507"/>
      <c r="M29" s="507"/>
      <c r="N29" s="507"/>
      <c r="O29" s="507"/>
      <c r="P29" s="507"/>
      <c r="Q29" s="508"/>
      <c r="R29" s="508"/>
      <c r="S29" s="508"/>
      <c r="T29" s="508"/>
      <c r="U29" s="507"/>
      <c r="V29" s="507"/>
      <c r="W29" s="68" t="e">
        <f>VLOOKUP(V29,DescontosTE[[#All],[idsreag supridora]:[codsariSUP]],2,FALSE)</f>
        <v>#N/A</v>
      </c>
      <c r="AA29" s="847"/>
      <c r="AB29" s="848"/>
      <c r="AI29" s="257" t="s">
        <v>2081</v>
      </c>
      <c r="AJ29" s="257" t="s">
        <v>2082</v>
      </c>
      <c r="AK29" s="69">
        <v>69851.344464970898</v>
      </c>
      <c r="AM29" s="1461"/>
      <c r="AN29" s="1461"/>
      <c r="AO29" s="1461"/>
      <c r="AP29" s="1460"/>
    </row>
    <row r="30" spans="2:42" ht="16.5">
      <c r="B30" s="947"/>
      <c r="C30" s="948"/>
      <c r="D30" s="1777"/>
      <c r="H30" s="68" t="e">
        <f t="shared" si="0"/>
        <v>#N/A</v>
      </c>
      <c r="I30" s="506"/>
      <c r="J30" s="507"/>
      <c r="K30" s="507"/>
      <c r="L30" s="507"/>
      <c r="M30" s="507"/>
      <c r="N30" s="507"/>
      <c r="O30" s="507"/>
      <c r="P30" s="507"/>
      <c r="Q30" s="508"/>
      <c r="R30" s="508"/>
      <c r="S30" s="508"/>
      <c r="T30" s="508"/>
      <c r="U30" s="507"/>
      <c r="V30" s="507"/>
      <c r="W30" s="68" t="e">
        <f>VLOOKUP(V30,DescontosTE[[#All],[idsreag supridora]:[codsariSUP]],2,FALSE)</f>
        <v>#N/A</v>
      </c>
      <c r="AA30" s="847"/>
      <c r="AB30" s="848"/>
      <c r="AI30" s="257" t="s">
        <v>104</v>
      </c>
      <c r="AJ30" s="257"/>
      <c r="AK30" s="69">
        <v>-2599092.1327300761</v>
      </c>
      <c r="AM30" s="1461"/>
      <c r="AN30" s="1461"/>
      <c r="AO30" s="1461"/>
      <c r="AP30" s="1460"/>
    </row>
    <row r="31" spans="2:42">
      <c r="B31" s="654" t="s">
        <v>69</v>
      </c>
      <c r="C31" s="655">
        <v>0.1188</v>
      </c>
      <c r="D31" s="1778"/>
      <c r="AI31" s="257"/>
      <c r="AJ31" s="257"/>
      <c r="AK31" s="69"/>
      <c r="AM31" s="1461"/>
      <c r="AN31" s="1461"/>
      <c r="AO31" s="1461"/>
      <c r="AP31" s="1460"/>
    </row>
    <row r="32" spans="2:42">
      <c r="B32" s="949" t="s">
        <v>70</v>
      </c>
      <c r="C32" s="950">
        <v>0.82611291188169422</v>
      </c>
      <c r="D32" s="89" t="s">
        <v>71</v>
      </c>
      <c r="AI32" s="257"/>
      <c r="AJ32" s="257"/>
      <c r="AK32" s="69"/>
    </row>
    <row r="33" spans="1:37">
      <c r="D33" s="89"/>
      <c r="AA33" s="68" t="s">
        <v>2181</v>
      </c>
      <c r="AI33" s="257"/>
      <c r="AJ33" s="257"/>
      <c r="AK33" s="69"/>
    </row>
    <row r="34" spans="1:37">
      <c r="B34" s="934"/>
      <c r="C34" s="946"/>
      <c r="AA34" s="68" t="s">
        <v>34</v>
      </c>
      <c r="AB34" s="68" t="s">
        <v>2182</v>
      </c>
      <c r="AC34" s="68" t="s">
        <v>2183</v>
      </c>
      <c r="AD34" s="68" t="s">
        <v>2184</v>
      </c>
      <c r="AI34" s="257"/>
      <c r="AJ34" s="257"/>
      <c r="AK34" s="69"/>
    </row>
    <row r="35" spans="1:37">
      <c r="B35" s="947" t="s">
        <v>41</v>
      </c>
      <c r="C35" s="951">
        <v>1065501.9402000005</v>
      </c>
      <c r="AA35" s="196"/>
      <c r="AB35" s="1573"/>
      <c r="AC35" s="1573"/>
      <c r="AD35" s="1573"/>
      <c r="AI35" s="257"/>
      <c r="AJ35" s="257"/>
      <c r="AK35" s="69"/>
    </row>
    <row r="36" spans="1:37">
      <c r="B36" s="654" t="s">
        <v>47</v>
      </c>
      <c r="C36" s="87">
        <v>148586.44025000007</v>
      </c>
      <c r="AA36" s="196"/>
      <c r="AB36" s="1573"/>
      <c r="AC36" s="1573"/>
      <c r="AD36" s="1573"/>
      <c r="AI36" s="257"/>
      <c r="AJ36" s="257"/>
      <c r="AK36" s="69"/>
    </row>
    <row r="37" spans="1:37">
      <c r="B37" s="949" t="s">
        <v>40</v>
      </c>
      <c r="C37" s="952">
        <v>34564.193644674975</v>
      </c>
      <c r="AA37" s="196"/>
      <c r="AB37" s="1573"/>
      <c r="AC37" s="1573"/>
      <c r="AD37" s="1573"/>
      <c r="AI37" s="257"/>
      <c r="AJ37" s="257"/>
      <c r="AK37" s="69"/>
    </row>
    <row r="38" spans="1:37">
      <c r="AA38" s="196"/>
      <c r="AB38" s="1573"/>
      <c r="AC38" s="1573"/>
      <c r="AD38" s="1573"/>
      <c r="AI38" s="257"/>
      <c r="AJ38" s="257"/>
      <c r="AK38" s="69"/>
    </row>
    <row r="39" spans="1:37">
      <c r="D39" s="89"/>
      <c r="AA39" s="196"/>
      <c r="AB39" s="1573"/>
      <c r="AC39" s="1573"/>
      <c r="AD39" s="1573"/>
      <c r="AI39" s="257"/>
      <c r="AJ39" s="257"/>
      <c r="AK39" s="69"/>
    </row>
    <row r="40" spans="1:37" ht="16.5">
      <c r="B40" s="949"/>
      <c r="C40" s="72"/>
      <c r="D40" s="9"/>
      <c r="E40" s="9" t="s">
        <v>74</v>
      </c>
      <c r="F40" s="9"/>
      <c r="AA40" s="196"/>
      <c r="AB40" s="1573"/>
      <c r="AC40" s="1573"/>
      <c r="AD40" s="1573"/>
      <c r="AI40" s="257"/>
      <c r="AJ40" s="257"/>
      <c r="AK40" s="69"/>
    </row>
    <row r="41" spans="1:37" ht="16.5">
      <c r="A41" s="953">
        <f>DATE(YEAR(B41),MONTH(B41),1)</f>
        <v>44470</v>
      </c>
      <c r="B41" s="939">
        <v>44476</v>
      </c>
      <c r="C41" s="532">
        <v>0</v>
      </c>
      <c r="D41" s="9" t="b">
        <f ca="1">BD!E41&gt;=CAPA!$L$73</f>
        <v>0</v>
      </c>
      <c r="E41" s="233">
        <f>Indexador!L34</f>
        <v>0</v>
      </c>
      <c r="F41" s="479">
        <f>CAPA!B63</f>
        <v>44348</v>
      </c>
      <c r="AA41" s="196"/>
      <c r="AB41" s="1573"/>
      <c r="AC41" s="1573"/>
      <c r="AD41" s="1573"/>
      <c r="AI41" s="257"/>
      <c r="AJ41" s="257"/>
      <c r="AK41" s="69"/>
    </row>
    <row r="42" spans="1:37" ht="16.5">
      <c r="A42" s="953">
        <f t="shared" ref="A42:A57" si="1">DATE(YEAR(B42),MONTH(B42),1)</f>
        <v>44501</v>
      </c>
      <c r="B42" s="508">
        <v>44509</v>
      </c>
      <c r="C42" s="532">
        <v>0</v>
      </c>
      <c r="D42" s="9" t="b">
        <f ca="1">BD!E42&gt;=CAPA!$L$73</f>
        <v>0</v>
      </c>
      <c r="E42" s="233">
        <f>Indexador!L35</f>
        <v>0</v>
      </c>
      <c r="F42" s="479">
        <f>CAPA!B64</f>
        <v>44378</v>
      </c>
      <c r="I42" s="783" t="s">
        <v>20</v>
      </c>
      <c r="J42" s="783" t="s">
        <v>21</v>
      </c>
      <c r="K42" s="783"/>
      <c r="L42" s="783" t="s">
        <v>22</v>
      </c>
      <c r="M42" s="783" t="s">
        <v>23</v>
      </c>
      <c r="N42" s="783" t="s">
        <v>24</v>
      </c>
      <c r="O42" s="783" t="s">
        <v>25</v>
      </c>
      <c r="P42" s="783" t="s">
        <v>26</v>
      </c>
      <c r="Q42" s="783" t="s">
        <v>27</v>
      </c>
      <c r="R42" s="783" t="s">
        <v>28</v>
      </c>
      <c r="S42" s="784" t="s">
        <v>29</v>
      </c>
      <c r="T42" s="783" t="s">
        <v>30</v>
      </c>
      <c r="AA42" s="196"/>
      <c r="AB42" s="1573"/>
      <c r="AC42" s="1573"/>
      <c r="AD42" s="1573"/>
      <c r="AI42" s="257"/>
      <c r="AJ42" s="257"/>
      <c r="AK42" s="69"/>
    </row>
    <row r="43" spans="1:37" ht="16.5">
      <c r="A43" s="953">
        <f t="shared" si="1"/>
        <v>44531</v>
      </c>
      <c r="B43" s="508">
        <v>44538</v>
      </c>
      <c r="C43" s="532">
        <v>0</v>
      </c>
      <c r="D43" s="9" t="b">
        <f ca="1">BD!E43&gt;=CAPA!$L$73</f>
        <v>0</v>
      </c>
      <c r="E43" s="233">
        <f>Indexador!L36</f>
        <v>0</v>
      </c>
      <c r="F43" s="479">
        <f>CAPA!B65</f>
        <v>44409</v>
      </c>
      <c r="H43" s="68" t="str">
        <f>CONCATENATE(U43,J43)</f>
        <v>385A4</v>
      </c>
      <c r="I43" s="506">
        <v>2022</v>
      </c>
      <c r="J43" s="507" t="s">
        <v>533</v>
      </c>
      <c r="K43" s="507" t="s">
        <v>2437</v>
      </c>
      <c r="L43" s="507" t="s">
        <v>1239</v>
      </c>
      <c r="M43" s="507" t="s">
        <v>153</v>
      </c>
      <c r="N43" s="507">
        <v>5366</v>
      </c>
      <c r="O43" s="508">
        <v>44800</v>
      </c>
      <c r="P43" s="508">
        <v>44790</v>
      </c>
      <c r="Q43" s="508" t="s">
        <v>472</v>
      </c>
      <c r="R43" s="508" t="s">
        <v>2436</v>
      </c>
      <c r="S43" s="507">
        <v>277.02999999999997</v>
      </c>
      <c r="T43" s="507">
        <v>145</v>
      </c>
      <c r="U43" s="68">
        <f>VLOOKUP(T43,DescontosTE[[#All],[idsreag supridora]:[codsariSUP]],2,FALSE)</f>
        <v>385</v>
      </c>
      <c r="AA43" s="196"/>
      <c r="AB43" s="1573"/>
      <c r="AC43" s="1573"/>
      <c r="AD43" s="1573"/>
      <c r="AI43" s="257"/>
      <c r="AJ43" s="257"/>
      <c r="AK43" s="69"/>
    </row>
    <row r="44" spans="1:37" ht="16.5">
      <c r="A44" s="953">
        <f t="shared" si="1"/>
        <v>44562</v>
      </c>
      <c r="B44" s="508">
        <v>44566</v>
      </c>
      <c r="C44" s="532">
        <v>0</v>
      </c>
      <c r="D44" s="9" t="b">
        <f ca="1">BD!E44&gt;=CAPA!$L$73</f>
        <v>0</v>
      </c>
      <c r="E44" s="233">
        <f>Indexador!L37</f>
        <v>0</v>
      </c>
      <c r="F44" s="479">
        <f>CAPA!B66</f>
        <v>44440</v>
      </c>
      <c r="H44" s="68" t="e">
        <f t="shared" ref="H44:H59" si="2">CONCATENATE(U44,J44)</f>
        <v>#N/A</v>
      </c>
      <c r="I44" s="506"/>
      <c r="J44" s="507"/>
      <c r="K44" s="507"/>
      <c r="L44" s="507"/>
      <c r="M44" s="507"/>
      <c r="N44" s="507"/>
      <c r="O44" s="508"/>
      <c r="P44" s="508"/>
      <c r="Q44" s="508"/>
      <c r="R44" s="508"/>
      <c r="S44" s="507"/>
      <c r="T44" s="507"/>
      <c r="U44" s="68" t="e">
        <f>VLOOKUP(T44,DescontosTE[[#All],[idsreag supridora]:[codsariSUP]],2,FALSE)</f>
        <v>#N/A</v>
      </c>
      <c r="AA44" s="196"/>
      <c r="AB44" s="1573"/>
      <c r="AC44" s="1573"/>
      <c r="AD44" s="1573"/>
      <c r="AI44" s="257"/>
      <c r="AJ44" s="257"/>
      <c r="AK44" s="69"/>
    </row>
    <row r="45" spans="1:37" ht="16.5">
      <c r="A45" s="953">
        <f t="shared" si="1"/>
        <v>44593</v>
      </c>
      <c r="B45" s="508">
        <v>44599</v>
      </c>
      <c r="C45" s="532">
        <v>0</v>
      </c>
      <c r="D45" s="9" t="b">
        <f ca="1">BD!E45&gt;=CAPA!$L$73</f>
        <v>0</v>
      </c>
      <c r="E45" s="233">
        <f>Indexador!L38</f>
        <v>0</v>
      </c>
      <c r="F45" s="479">
        <f>CAPA!B67</f>
        <v>44470</v>
      </c>
      <c r="H45" s="68" t="e">
        <f t="shared" si="2"/>
        <v>#N/A</v>
      </c>
      <c r="I45" s="506"/>
      <c r="J45" s="507"/>
      <c r="K45" s="507"/>
      <c r="L45" s="507"/>
      <c r="M45" s="507"/>
      <c r="N45" s="507"/>
      <c r="O45" s="508"/>
      <c r="P45" s="508"/>
      <c r="Q45" s="508"/>
      <c r="R45" s="508"/>
      <c r="S45" s="507"/>
      <c r="T45" s="507"/>
      <c r="U45" s="68" t="e">
        <f>VLOOKUP(T45,DescontosTE[[#All],[idsreag supridora]:[codsariSUP]],2,FALSE)</f>
        <v>#N/A</v>
      </c>
      <c r="AA45" s="196"/>
      <c r="AI45" s="257"/>
      <c r="AJ45" s="257"/>
      <c r="AK45" s="69"/>
    </row>
    <row r="46" spans="1:37" ht="16.5">
      <c r="A46" s="953">
        <f t="shared" si="1"/>
        <v>44621</v>
      </c>
      <c r="B46" s="508">
        <v>44629</v>
      </c>
      <c r="C46" s="532">
        <v>0</v>
      </c>
      <c r="D46" s="9" t="b">
        <f ca="1">BD!E46&gt;=CAPA!$L$73</f>
        <v>0</v>
      </c>
      <c r="E46" s="233">
        <f>Indexador!L39</f>
        <v>0</v>
      </c>
      <c r="F46" s="479">
        <f>CAPA!B68</f>
        <v>44501</v>
      </c>
      <c r="H46" s="68" t="e">
        <f t="shared" si="2"/>
        <v>#N/A</v>
      </c>
      <c r="I46" s="506"/>
      <c r="J46" s="507"/>
      <c r="K46" s="507"/>
      <c r="L46" s="507"/>
      <c r="M46" s="507"/>
      <c r="N46" s="507"/>
      <c r="O46" s="508"/>
      <c r="P46" s="508"/>
      <c r="Q46" s="508"/>
      <c r="R46" s="508"/>
      <c r="S46" s="507"/>
      <c r="T46" s="507"/>
      <c r="U46" s="68" t="e">
        <f>VLOOKUP(T46,DescontosTE[[#All],[idsreag supridora]:[codsariSUP]],2,FALSE)</f>
        <v>#N/A</v>
      </c>
      <c r="AA46" s="196"/>
    </row>
    <row r="47" spans="1:37" ht="16.5">
      <c r="A47" s="953">
        <f t="shared" si="1"/>
        <v>44652</v>
      </c>
      <c r="B47" s="508">
        <v>44657</v>
      </c>
      <c r="C47" s="532">
        <v>0</v>
      </c>
      <c r="D47" s="9" t="b">
        <f ca="1">BD!E47&gt;=CAPA!$L$73</f>
        <v>0</v>
      </c>
      <c r="E47" s="233">
        <f>Indexador!L40</f>
        <v>0</v>
      </c>
      <c r="F47" s="479">
        <f>CAPA!B69</f>
        <v>44531</v>
      </c>
      <c r="H47" s="68" t="e">
        <f t="shared" si="2"/>
        <v>#N/A</v>
      </c>
      <c r="I47" s="506"/>
      <c r="J47" s="507"/>
      <c r="K47" s="507"/>
      <c r="L47" s="507"/>
      <c r="M47" s="507"/>
      <c r="N47" s="507"/>
      <c r="O47" s="508"/>
      <c r="P47" s="508"/>
      <c r="Q47" s="508"/>
      <c r="R47" s="508"/>
      <c r="S47" s="507"/>
      <c r="T47" s="507"/>
      <c r="U47" s="68" t="e">
        <f>VLOOKUP(T47,DescontosTE[[#All],[idsreag supridora]:[codsariSUP]],2,FALSE)</f>
        <v>#N/A</v>
      </c>
      <c r="AA47" s="196"/>
    </row>
    <row r="48" spans="1:37" ht="16.5">
      <c r="A48" s="953">
        <f t="shared" si="1"/>
        <v>44682</v>
      </c>
      <c r="B48" s="508">
        <v>44691</v>
      </c>
      <c r="C48" s="532">
        <v>0</v>
      </c>
      <c r="D48" s="9" t="b">
        <f ca="1">BD!E48&gt;=CAPA!$L$73</f>
        <v>0</v>
      </c>
      <c r="E48" s="233">
        <f>Indexador!L41</f>
        <v>0</v>
      </c>
      <c r="F48" s="479">
        <f>CAPA!B70</f>
        <v>44562</v>
      </c>
      <c r="H48" s="68" t="e">
        <f t="shared" si="2"/>
        <v>#N/A</v>
      </c>
      <c r="I48" s="506"/>
      <c r="J48" s="507"/>
      <c r="K48" s="507"/>
      <c r="L48" s="507"/>
      <c r="M48" s="507"/>
      <c r="N48" s="507"/>
      <c r="O48" s="508"/>
      <c r="P48" s="508"/>
      <c r="Q48" s="508"/>
      <c r="R48" s="508"/>
      <c r="S48" s="507"/>
      <c r="T48" s="507"/>
      <c r="U48" s="68" t="e">
        <f>VLOOKUP(T48,DescontosTE[[#All],[idsreag supridora]:[codsariSUP]],2,FALSE)</f>
        <v>#N/A</v>
      </c>
      <c r="AA48" s="196"/>
    </row>
    <row r="49" spans="1:28" ht="16.5">
      <c r="A49" s="953">
        <f t="shared" si="1"/>
        <v>44713</v>
      </c>
      <c r="B49" s="508">
        <v>44718</v>
      </c>
      <c r="C49" s="532">
        <v>80599.468900000007</v>
      </c>
      <c r="D49" s="9" t="b">
        <f ca="1">BD!E49&gt;=CAPA!$L$73</f>
        <v>0</v>
      </c>
      <c r="E49" s="233">
        <f>Indexador!L42</f>
        <v>0</v>
      </c>
      <c r="F49" s="479">
        <f>CAPA!B71</f>
        <v>44593</v>
      </c>
      <c r="H49" s="68" t="e">
        <f t="shared" si="2"/>
        <v>#N/A</v>
      </c>
      <c r="I49" s="506"/>
      <c r="J49" s="507"/>
      <c r="K49" s="507"/>
      <c r="L49" s="507"/>
      <c r="M49" s="507"/>
      <c r="N49" s="507"/>
      <c r="O49" s="507"/>
      <c r="P49" s="507"/>
      <c r="Q49" s="508"/>
      <c r="R49" s="508"/>
      <c r="S49" s="508"/>
      <c r="T49" s="507"/>
      <c r="U49" s="68" t="e">
        <f>VLOOKUP(T49,DescontosTE[[#All],[idsreag supridora]:[codsariSUP]],2,FALSE)</f>
        <v>#N/A</v>
      </c>
      <c r="AA49" s="196"/>
    </row>
    <row r="50" spans="1:28" ht="16.5">
      <c r="A50" s="953">
        <f t="shared" si="1"/>
        <v>44743</v>
      </c>
      <c r="B50" s="508">
        <v>44749</v>
      </c>
      <c r="C50" s="532">
        <v>4998.8926000000001</v>
      </c>
      <c r="D50" s="9" t="b">
        <f ca="1">BD!E50&gt;=CAPA!$L$73</f>
        <v>0</v>
      </c>
      <c r="E50" s="233">
        <f>Indexador!L43</f>
        <v>0</v>
      </c>
      <c r="F50" s="479">
        <f>CAPA!B72</f>
        <v>44621</v>
      </c>
      <c r="H50" s="68" t="e">
        <f t="shared" si="2"/>
        <v>#N/A</v>
      </c>
      <c r="I50" s="506"/>
      <c r="J50" s="507"/>
      <c r="K50" s="507"/>
      <c r="L50" s="507"/>
      <c r="M50" s="507"/>
      <c r="N50" s="507"/>
      <c r="O50" s="507"/>
      <c r="P50" s="507"/>
      <c r="Q50" s="508"/>
      <c r="R50" s="508"/>
      <c r="S50" s="508"/>
      <c r="T50" s="507"/>
      <c r="U50" s="68" t="e">
        <f>VLOOKUP(T50,DescontosTE[[#All],[idsreag supridora]:[codsariSUP]],2,FALSE)</f>
        <v>#N/A</v>
      </c>
      <c r="AA50" s="196" t="s">
        <v>2187</v>
      </c>
    </row>
    <row r="51" spans="1:28" ht="16.5">
      <c r="A51" s="953">
        <f t="shared" si="1"/>
        <v>44774</v>
      </c>
      <c r="B51" s="508">
        <v>44781</v>
      </c>
      <c r="C51" s="532">
        <v>-166.27</v>
      </c>
      <c r="D51" s="9" t="b">
        <f ca="1">BD!E51&gt;=CAPA!$L$73</f>
        <v>0</v>
      </c>
      <c r="E51" s="233">
        <f>Indexador!L44</f>
        <v>0</v>
      </c>
      <c r="F51" s="479">
        <f>CAPA!B73</f>
        <v>44652</v>
      </c>
      <c r="H51" s="68" t="e">
        <f t="shared" si="2"/>
        <v>#N/A</v>
      </c>
      <c r="I51" s="506"/>
      <c r="J51" s="507"/>
      <c r="K51" s="507"/>
      <c r="L51" s="507"/>
      <c r="M51" s="507"/>
      <c r="N51" s="507"/>
      <c r="O51" s="507"/>
      <c r="P51" s="507"/>
      <c r="Q51" s="508"/>
      <c r="R51" s="508"/>
      <c r="S51" s="508"/>
      <c r="T51" s="507"/>
      <c r="U51" s="68" t="e">
        <f>VLOOKUP(T51,DescontosTE[[#All],[idsreag supridora]:[codsariSUP]],2,FALSE)</f>
        <v>#N/A</v>
      </c>
      <c r="AA51" s="196" t="s">
        <v>2185</v>
      </c>
      <c r="AB51" s="68" t="s">
        <v>2186</v>
      </c>
    </row>
    <row r="52" spans="1:28" ht="16.5">
      <c r="A52" s="953">
        <f t="shared" si="1"/>
        <v>1</v>
      </c>
      <c r="B52" s="508"/>
      <c r="C52" s="532"/>
      <c r="D52" s="9" t="b">
        <f ca="1">BD!E52&gt;=CAPA!$L$73</f>
        <v>0</v>
      </c>
      <c r="E52" s="233">
        <f>Indexador!L45</f>
        <v>0</v>
      </c>
      <c r="F52" s="479">
        <f>CAPA!B74</f>
        <v>44682</v>
      </c>
      <c r="H52" s="68" t="e">
        <f t="shared" si="2"/>
        <v>#N/A</v>
      </c>
      <c r="I52" s="506"/>
      <c r="J52" s="507"/>
      <c r="K52" s="507"/>
      <c r="L52" s="507"/>
      <c r="M52" s="507"/>
      <c r="N52" s="507"/>
      <c r="O52" s="507"/>
      <c r="P52" s="507"/>
      <c r="Q52" s="508"/>
      <c r="R52" s="508"/>
      <c r="S52" s="508"/>
      <c r="T52" s="507"/>
      <c r="U52" s="68" t="e">
        <f>VLOOKUP(T52,DescontosTE[[#All],[idsreag supridora]:[codsariSUP]],2,FALSE)</f>
        <v>#N/A</v>
      </c>
      <c r="AA52" s="196"/>
      <c r="AB52" s="1574"/>
    </row>
    <row r="53" spans="1:28" ht="16.5">
      <c r="A53" s="953">
        <f t="shared" si="1"/>
        <v>1</v>
      </c>
      <c r="B53" s="508"/>
      <c r="C53" s="532"/>
      <c r="D53" s="9" t="b">
        <f ca="1">BD!E53&gt;=CAPA!$L$73</f>
        <v>0</v>
      </c>
      <c r="E53" s="233">
        <f>Indexador!L46</f>
        <v>83222.274641548371</v>
      </c>
      <c r="F53" s="479">
        <f>CAPA!B75</f>
        <v>44713</v>
      </c>
      <c r="H53" s="68" t="e">
        <f t="shared" si="2"/>
        <v>#N/A</v>
      </c>
      <c r="I53" s="506"/>
      <c r="J53" s="507"/>
      <c r="K53" s="507"/>
      <c r="L53" s="507"/>
      <c r="M53" s="507"/>
      <c r="N53" s="507"/>
      <c r="O53" s="507"/>
      <c r="P53" s="507"/>
      <c r="Q53" s="508"/>
      <c r="R53" s="508"/>
      <c r="S53" s="508"/>
      <c r="T53" s="507"/>
      <c r="U53" s="68" t="e">
        <f>VLOOKUP(T53,DescontosTE[[#All],[idsreag supridora]:[codsariSUP]],2,FALSE)</f>
        <v>#N/A</v>
      </c>
      <c r="AA53" s="196"/>
      <c r="AB53" s="1574"/>
    </row>
    <row r="54" spans="1:28" ht="16.5">
      <c r="A54" s="953">
        <f t="shared" si="1"/>
        <v>1</v>
      </c>
      <c r="B54" s="508"/>
      <c r="C54" s="532"/>
      <c r="D54" s="9" t="b">
        <f ca="1">BD!E54&gt;=CAPA!$L$73</f>
        <v>0</v>
      </c>
      <c r="E54" s="233">
        <f>Indexador!L47</f>
        <v>5109.6832947250023</v>
      </c>
      <c r="F54" s="479">
        <f>CAPA!B76</f>
        <v>44743</v>
      </c>
      <c r="H54" s="68" t="e">
        <f t="shared" si="2"/>
        <v>#N/A</v>
      </c>
      <c r="I54" s="506"/>
      <c r="J54" s="507"/>
      <c r="K54" s="507"/>
      <c r="L54" s="507"/>
      <c r="M54" s="507"/>
      <c r="N54" s="507"/>
      <c r="O54" s="507"/>
      <c r="P54" s="507"/>
      <c r="Q54" s="508"/>
      <c r="R54" s="508"/>
      <c r="S54" s="508"/>
      <c r="T54" s="507"/>
      <c r="U54" s="68" t="e">
        <f>VLOOKUP(T54,DescontosTE[[#All],[idsreag supridora]:[codsariSUP]],2,FALSE)</f>
        <v>#N/A</v>
      </c>
      <c r="AA54" s="196"/>
      <c r="AB54" s="1574"/>
    </row>
    <row r="55" spans="1:28" ht="16.5">
      <c r="A55" s="953">
        <f t="shared" si="1"/>
        <v>1</v>
      </c>
      <c r="B55" s="508"/>
      <c r="C55" s="532"/>
      <c r="D55" s="9" t="b">
        <f ca="1">BD!E55&gt;=CAPA!$L$73</f>
        <v>0</v>
      </c>
      <c r="E55" s="233">
        <f>Indexador!L48</f>
        <v>-168.2142970002665</v>
      </c>
      <c r="F55" s="479">
        <f>CAPA!B77</f>
        <v>44774</v>
      </c>
      <c r="H55" s="68" t="e">
        <f t="shared" si="2"/>
        <v>#N/A</v>
      </c>
      <c r="I55" s="506"/>
      <c r="J55" s="507"/>
      <c r="K55" s="507"/>
      <c r="L55" s="507"/>
      <c r="M55" s="507"/>
      <c r="N55" s="507"/>
      <c r="O55" s="507"/>
      <c r="P55" s="507"/>
      <c r="Q55" s="508"/>
      <c r="R55" s="508"/>
      <c r="S55" s="508"/>
      <c r="T55" s="507"/>
      <c r="U55" s="68" t="e">
        <f>VLOOKUP(T55,DescontosTE[[#All],[idsreag supridora]:[codsariSUP]],2,FALSE)</f>
        <v>#N/A</v>
      </c>
      <c r="AA55" s="196"/>
      <c r="AB55" s="1574"/>
    </row>
    <row r="56" spans="1:28" ht="16.5">
      <c r="A56" s="953">
        <f t="shared" si="1"/>
        <v>1</v>
      </c>
      <c r="B56" s="508"/>
      <c r="C56" s="532"/>
      <c r="D56" s="9"/>
      <c r="E56" s="233"/>
      <c r="F56" s="479"/>
      <c r="H56" s="68" t="e">
        <f t="shared" si="2"/>
        <v>#N/A</v>
      </c>
      <c r="I56" s="506"/>
      <c r="J56" s="507"/>
      <c r="K56" s="507"/>
      <c r="L56" s="507"/>
      <c r="M56" s="507"/>
      <c r="N56" s="507"/>
      <c r="O56" s="507"/>
      <c r="P56" s="507"/>
      <c r="Q56" s="508"/>
      <c r="R56" s="508"/>
      <c r="S56" s="508"/>
      <c r="T56" s="507"/>
      <c r="U56" s="68" t="e">
        <f>VLOOKUP(T56,DescontosTE[[#All],[idsreag supridora]:[codsariSUP]],2,FALSE)</f>
        <v>#N/A</v>
      </c>
      <c r="AA56" s="196"/>
      <c r="AB56" s="1574"/>
    </row>
    <row r="57" spans="1:28" ht="16.5">
      <c r="A57" s="953">
        <f t="shared" si="1"/>
        <v>1</v>
      </c>
      <c r="B57" s="954"/>
      <c r="C57" s="819"/>
      <c r="D57" s="17"/>
      <c r="H57" s="68" t="e">
        <f t="shared" si="2"/>
        <v>#N/A</v>
      </c>
      <c r="I57" s="506"/>
      <c r="J57" s="507"/>
      <c r="K57" s="507"/>
      <c r="L57" s="507"/>
      <c r="M57" s="507"/>
      <c r="N57" s="507"/>
      <c r="O57" s="507"/>
      <c r="P57" s="507"/>
      <c r="Q57" s="508"/>
      <c r="R57" s="508"/>
      <c r="S57" s="508"/>
      <c r="T57" s="507"/>
      <c r="U57" s="68" t="e">
        <f>VLOOKUP(T57,DescontosTE[[#All],[idsreag supridora]:[codsariSUP]],2,FALSE)</f>
        <v>#N/A</v>
      </c>
      <c r="AA57" s="196"/>
      <c r="AB57" s="1574"/>
    </row>
    <row r="58" spans="1:28" ht="16.5">
      <c r="H58" s="68" t="e">
        <f t="shared" si="2"/>
        <v>#N/A</v>
      </c>
      <c r="I58" s="506"/>
      <c r="J58" s="507"/>
      <c r="K58" s="507"/>
      <c r="L58" s="507"/>
      <c r="M58" s="507"/>
      <c r="N58" s="507"/>
      <c r="O58" s="507"/>
      <c r="P58" s="507"/>
      <c r="Q58" s="508"/>
      <c r="R58" s="508"/>
      <c r="S58" s="508"/>
      <c r="T58" s="507"/>
      <c r="U58" s="68" t="e">
        <f>VLOOKUP(T58,DescontosTE[[#All],[idsreag supridora]:[codsariSUP]],2,FALSE)</f>
        <v>#N/A</v>
      </c>
      <c r="AA58" s="196"/>
      <c r="AB58" s="1574"/>
    </row>
    <row r="59" spans="1:28" ht="16.5">
      <c r="H59" s="68" t="e">
        <f t="shared" si="2"/>
        <v>#N/A</v>
      </c>
      <c r="I59" s="955"/>
      <c r="J59" s="956"/>
      <c r="K59" s="956"/>
      <c r="L59" s="956"/>
      <c r="M59" s="956"/>
      <c r="N59" s="956"/>
      <c r="O59" s="956"/>
      <c r="P59" s="956"/>
      <c r="Q59" s="954"/>
      <c r="R59" s="954"/>
      <c r="S59" s="954"/>
      <c r="T59" s="956"/>
      <c r="U59" s="68" t="e">
        <f>VLOOKUP(T59,DescontosTE[[#All],[idsreag supridora]:[codsariSUP]],2,FALSE)</f>
        <v>#N/A</v>
      </c>
      <c r="AA59" s="196"/>
      <c r="AB59" s="1574"/>
    </row>
    <row r="60" spans="1:28">
      <c r="B60" s="949" t="s">
        <v>75</v>
      </c>
      <c r="C60" s="72"/>
      <c r="AA60" s="196"/>
      <c r="AB60" s="1574"/>
    </row>
    <row r="61" spans="1:28" ht="16.5">
      <c r="B61" s="957" t="s">
        <v>697</v>
      </c>
      <c r="C61" s="820">
        <v>41371.43</v>
      </c>
      <c r="D61" s="68">
        <v>0</v>
      </c>
      <c r="AA61" s="196"/>
      <c r="AB61" s="1574"/>
    </row>
    <row r="62" spans="1:28" ht="16.5">
      <c r="B62" s="691" t="s">
        <v>699</v>
      </c>
      <c r="C62" s="532">
        <v>0</v>
      </c>
      <c r="D62" s="69">
        <v>0</v>
      </c>
      <c r="AA62" s="196"/>
      <c r="AB62" s="1574"/>
    </row>
    <row r="63" spans="1:28" ht="16.5">
      <c r="B63" s="691" t="s">
        <v>701</v>
      </c>
      <c r="C63" s="532">
        <v>0</v>
      </c>
      <c r="D63" s="69">
        <v>0</v>
      </c>
      <c r="AA63" s="196"/>
      <c r="AB63" s="1574"/>
    </row>
    <row r="64" spans="1:28" ht="16.5">
      <c r="B64" s="691" t="s">
        <v>702</v>
      </c>
      <c r="C64" s="532">
        <v>10357.9</v>
      </c>
      <c r="D64" s="69">
        <v>0</v>
      </c>
      <c r="I64" s="68" t="s">
        <v>2180</v>
      </c>
    </row>
    <row r="65" spans="2:16" ht="16.5">
      <c r="B65" s="691" t="s">
        <v>705</v>
      </c>
      <c r="C65" s="532">
        <v>9522.36</v>
      </c>
      <c r="D65" s="69">
        <v>0</v>
      </c>
      <c r="I65" s="68" t="s">
        <v>27</v>
      </c>
      <c r="J65" s="68" t="s">
        <v>2175</v>
      </c>
      <c r="K65" s="68" t="s">
        <v>2176</v>
      </c>
      <c r="L65" s="68" t="s">
        <v>21</v>
      </c>
      <c r="M65" s="68" t="s">
        <v>1123</v>
      </c>
    </row>
    <row r="66" spans="2:16" ht="16.5">
      <c r="B66" s="958" t="s">
        <v>707</v>
      </c>
      <c r="C66" s="819">
        <v>0</v>
      </c>
      <c r="D66" s="69">
        <v>0</v>
      </c>
      <c r="I66" s="68" t="s">
        <v>2418</v>
      </c>
      <c r="J66" s="68">
        <v>385</v>
      </c>
      <c r="K66" s="1572">
        <v>44469</v>
      </c>
      <c r="L66" s="68" t="s">
        <v>2038</v>
      </c>
      <c r="M66" s="68">
        <v>0</v>
      </c>
    </row>
    <row r="67" spans="2:16">
      <c r="K67" s="1572"/>
    </row>
    <row r="68" spans="2:16">
      <c r="K68" s="1572"/>
    </row>
    <row r="69" spans="2:16">
      <c r="K69" s="1572"/>
    </row>
    <row r="70" spans="2:16">
      <c r="B70" s="900" t="s">
        <v>72</v>
      </c>
      <c r="C70" s="900" t="s">
        <v>37</v>
      </c>
      <c r="D70" s="900" t="s">
        <v>73</v>
      </c>
      <c r="K70" s="1572"/>
    </row>
    <row r="71" spans="2:16">
      <c r="B71" s="847" t="s">
        <v>49</v>
      </c>
      <c r="C71" s="1459"/>
      <c r="D71" s="848"/>
      <c r="K71" s="1572"/>
    </row>
    <row r="72" spans="2:16">
      <c r="B72" s="847" t="s">
        <v>768</v>
      </c>
      <c r="C72" s="1459"/>
      <c r="D72" s="848"/>
      <c r="K72" s="1572"/>
    </row>
    <row r="73" spans="2:16">
      <c r="B73" s="847" t="s">
        <v>2320</v>
      </c>
      <c r="C73" s="1459"/>
      <c r="D73" s="848"/>
      <c r="K73" s="1572"/>
    </row>
    <row r="74" spans="2:16">
      <c r="B74" s="847" t="s">
        <v>2073</v>
      </c>
      <c r="C74" s="1459"/>
      <c r="D74" s="848"/>
      <c r="K74" s="1572"/>
    </row>
    <row r="75" spans="2:16">
      <c r="B75" s="847" t="s">
        <v>2321</v>
      </c>
      <c r="C75" s="1459">
        <v>561638.5612703464</v>
      </c>
      <c r="D75" s="848" t="s">
        <v>2322</v>
      </c>
      <c r="K75" s="1572"/>
    </row>
    <row r="76" spans="2:16">
      <c r="B76" s="847" t="s">
        <v>2323</v>
      </c>
      <c r="C76" s="1459">
        <v>1</v>
      </c>
      <c r="D76" s="848"/>
    </row>
    <row r="77" spans="2:16">
      <c r="B77" s="847" t="s">
        <v>2324</v>
      </c>
      <c r="C77" s="1459">
        <v>0</v>
      </c>
      <c r="D77" s="848"/>
    </row>
    <row r="78" spans="2:16">
      <c r="I78" s="68" t="s">
        <v>2179</v>
      </c>
    </row>
    <row r="79" spans="2:16">
      <c r="I79" s="68" t="s">
        <v>27</v>
      </c>
      <c r="J79" s="68" t="s">
        <v>2175</v>
      </c>
      <c r="K79" s="68" t="s">
        <v>2176</v>
      </c>
      <c r="L79" s="68" t="s">
        <v>21</v>
      </c>
      <c r="M79" s="68" t="s">
        <v>22</v>
      </c>
      <c r="N79" s="68" t="s">
        <v>2177</v>
      </c>
      <c r="O79" s="68" t="s">
        <v>2178</v>
      </c>
      <c r="P79" s="68" t="s">
        <v>1123</v>
      </c>
    </row>
    <row r="80" spans="2:16">
      <c r="I80" s="68" t="s">
        <v>2418</v>
      </c>
      <c r="J80" s="68">
        <v>385</v>
      </c>
      <c r="K80" s="1572">
        <v>44469</v>
      </c>
      <c r="L80" s="68" t="s">
        <v>2038</v>
      </c>
      <c r="M80" s="68" t="s">
        <v>178</v>
      </c>
      <c r="N80" s="68" t="s">
        <v>1237</v>
      </c>
      <c r="O80" s="68" t="s">
        <v>1238</v>
      </c>
      <c r="P80" s="68">
        <v>0</v>
      </c>
    </row>
    <row r="81" spans="2:16">
      <c r="I81" s="68" t="s">
        <v>2418</v>
      </c>
      <c r="J81" s="68">
        <v>385</v>
      </c>
      <c r="K81" s="1572">
        <v>44469</v>
      </c>
      <c r="L81" s="68" t="s">
        <v>2038</v>
      </c>
      <c r="M81" s="68" t="s">
        <v>180</v>
      </c>
      <c r="N81" s="68" t="s">
        <v>893</v>
      </c>
      <c r="O81" s="68" t="s">
        <v>1238</v>
      </c>
      <c r="P81" s="68">
        <v>0</v>
      </c>
    </row>
    <row r="82" spans="2:16">
      <c r="B82" s="900" t="s">
        <v>695</v>
      </c>
      <c r="C82" s="900" t="s">
        <v>2174</v>
      </c>
      <c r="D82" s="900" t="s">
        <v>37</v>
      </c>
      <c r="I82" s="68" t="s">
        <v>2418</v>
      </c>
      <c r="J82" s="68">
        <v>385</v>
      </c>
      <c r="K82" s="1572">
        <v>44469</v>
      </c>
      <c r="L82" s="68" t="s">
        <v>2038</v>
      </c>
      <c r="M82" s="68" t="s">
        <v>182</v>
      </c>
      <c r="N82" s="68" t="s">
        <v>1239</v>
      </c>
      <c r="O82" s="68" t="s">
        <v>108</v>
      </c>
      <c r="P82" s="68">
        <v>0</v>
      </c>
    </row>
    <row r="83" spans="2:16">
      <c r="B83" s="847" t="s">
        <v>1438</v>
      </c>
      <c r="C83" s="1459" t="s">
        <v>2419</v>
      </c>
      <c r="D83" s="848">
        <v>281.41153489737098</v>
      </c>
      <c r="I83" s="68" t="s">
        <v>2418</v>
      </c>
      <c r="J83" s="68">
        <v>385</v>
      </c>
      <c r="K83" s="1572">
        <v>44469</v>
      </c>
      <c r="L83" s="68" t="s">
        <v>2038</v>
      </c>
      <c r="M83" s="68" t="s">
        <v>184</v>
      </c>
      <c r="N83" s="68" t="s">
        <v>1239</v>
      </c>
      <c r="O83" s="68" t="s">
        <v>108</v>
      </c>
      <c r="P83" s="68">
        <v>0</v>
      </c>
    </row>
    <row r="84" spans="2:16">
      <c r="B84" s="847" t="s">
        <v>2420</v>
      </c>
      <c r="C84" s="1459" t="s">
        <v>2421</v>
      </c>
      <c r="D84" s="848">
        <v>0</v>
      </c>
      <c r="K84" s="1572"/>
    </row>
    <row r="85" spans="2:16">
      <c r="B85" s="847" t="s">
        <v>1431</v>
      </c>
      <c r="C85" s="1459" t="s">
        <v>2421</v>
      </c>
      <c r="D85" s="848">
        <v>0</v>
      </c>
      <c r="K85" s="1572"/>
    </row>
    <row r="86" spans="2:16">
      <c r="B86" s="847" t="s">
        <v>1430</v>
      </c>
      <c r="C86" s="1459" t="s">
        <v>2421</v>
      </c>
      <c r="D86" s="848">
        <v>0.1188</v>
      </c>
      <c r="K86" s="1572"/>
    </row>
    <row r="87" spans="2:16">
      <c r="K87" s="1572"/>
    </row>
    <row r="88" spans="2:16">
      <c r="K88" s="1572"/>
    </row>
    <row r="89" spans="2:16">
      <c r="K89" s="1572"/>
    </row>
    <row r="90" spans="2:16">
      <c r="K90" s="1572"/>
    </row>
    <row r="91" spans="2:16">
      <c r="K91" s="1572"/>
    </row>
    <row r="92" spans="2:16">
      <c r="K92" s="1572"/>
    </row>
    <row r="93" spans="2:16">
      <c r="K93" s="1572"/>
    </row>
    <row r="94" spans="2:16">
      <c r="K94" s="1572"/>
    </row>
    <row r="95" spans="2:16">
      <c r="K95" s="1572"/>
    </row>
    <row r="96" spans="2:16">
      <c r="K96" s="1572"/>
    </row>
    <row r="97" spans="2:11">
      <c r="K97" s="1572"/>
    </row>
    <row r="98" spans="2:11">
      <c r="K98" s="1572"/>
    </row>
    <row r="103" spans="2:11" ht="25.5" customHeight="1">
      <c r="B103" s="68" t="s">
        <v>2190</v>
      </c>
      <c r="C103" s="1575" t="s">
        <v>2192</v>
      </c>
      <c r="D103" s="68" t="s">
        <v>2191</v>
      </c>
    </row>
    <row r="104" spans="2:11">
      <c r="B104" s="69">
        <v>12051594.579145933</v>
      </c>
      <c r="C104" s="196">
        <v>44531</v>
      </c>
      <c r="D104" s="68" t="s">
        <v>2325</v>
      </c>
    </row>
    <row r="108" spans="2:11" ht="28.5">
      <c r="B108" s="1575" t="s">
        <v>2188</v>
      </c>
      <c r="C108" s="1575" t="s">
        <v>2189</v>
      </c>
      <c r="D108" s="1575" t="s">
        <v>213</v>
      </c>
      <c r="E108" s="1575" t="s">
        <v>214</v>
      </c>
      <c r="F108" s="1575" t="s">
        <v>2193</v>
      </c>
      <c r="G108" s="1575" t="s">
        <v>2194</v>
      </c>
      <c r="H108" s="1575" t="s">
        <v>2195</v>
      </c>
    </row>
    <row r="109" spans="2:11">
      <c r="B109" s="1575" t="s">
        <v>136</v>
      </c>
      <c r="C109" s="1575">
        <v>145</v>
      </c>
      <c r="D109" s="1575">
        <v>39.799999999999997</v>
      </c>
      <c r="E109" s="1575">
        <v>133.91999999999999</v>
      </c>
      <c r="F109" s="1576">
        <v>2423958.41</v>
      </c>
      <c r="G109" s="1577">
        <v>43678</v>
      </c>
      <c r="H109" s="1577">
        <v>43678</v>
      </c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8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>
      <selection activeCell="A304" sqref="A304:L312"/>
    </sheetView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0">
      <c r="B2" s="374" t="s">
        <v>76</v>
      </c>
      <c r="C2" s="374" t="s">
        <v>77</v>
      </c>
      <c r="D2" s="374" t="s">
        <v>78</v>
      </c>
      <c r="E2" s="374" t="s">
        <v>79</v>
      </c>
      <c r="F2" s="374" t="s">
        <v>80</v>
      </c>
      <c r="G2" s="374" t="s">
        <v>81</v>
      </c>
      <c r="H2" s="374" t="s">
        <v>82</v>
      </c>
      <c r="I2" s="374" t="s">
        <v>83</v>
      </c>
      <c r="J2" s="374" t="s">
        <v>84</v>
      </c>
      <c r="K2" s="374" t="s">
        <v>85</v>
      </c>
      <c r="L2" s="374" t="s">
        <v>86</v>
      </c>
      <c r="M2" s="374" t="s">
        <v>87</v>
      </c>
      <c r="N2" s="374" t="s">
        <v>88</v>
      </c>
      <c r="O2" s="374" t="s">
        <v>89</v>
      </c>
      <c r="P2" s="374" t="s">
        <v>90</v>
      </c>
      <c r="Q2" s="374" t="s">
        <v>91</v>
      </c>
      <c r="R2" s="374" t="s">
        <v>92</v>
      </c>
      <c r="S2" s="374" t="s">
        <v>93</v>
      </c>
      <c r="T2" s="374" t="s">
        <v>94</v>
      </c>
    </row>
    <row r="3" spans="2:20"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375"/>
    </row>
    <row r="4" spans="2:20"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/>
      <c r="Q4" s="375"/>
      <c r="R4" s="375"/>
      <c r="S4" s="375"/>
      <c r="T4" s="375"/>
    </row>
    <row r="5" spans="2:20">
      <c r="B5" s="375"/>
      <c r="C5" s="375"/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/>
      <c r="P5" s="375"/>
      <c r="Q5" s="375"/>
      <c r="R5" s="375"/>
      <c r="S5" s="375"/>
      <c r="T5" s="375"/>
    </row>
    <row r="6" spans="2:20">
      <c r="B6" s="375"/>
      <c r="C6" s="375"/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/>
      <c r="P6" s="375"/>
      <c r="Q6" s="375"/>
      <c r="R6" s="375"/>
      <c r="S6" s="375"/>
      <c r="T6" s="375"/>
    </row>
    <row r="7" spans="2:20">
      <c r="B7" s="375"/>
      <c r="C7" s="375"/>
      <c r="D7" s="375"/>
      <c r="E7" s="375"/>
      <c r="F7" s="375"/>
      <c r="G7" s="375"/>
      <c r="H7" s="375"/>
      <c r="I7" s="375"/>
      <c r="J7" s="375"/>
      <c r="K7" s="375"/>
      <c r="L7" s="375"/>
      <c r="M7" s="375"/>
      <c r="N7" s="375"/>
      <c r="O7" s="375"/>
      <c r="P7" s="375"/>
      <c r="Q7" s="375"/>
      <c r="R7" s="375"/>
      <c r="S7" s="375"/>
      <c r="T7" s="375"/>
    </row>
    <row r="8" spans="2:20">
      <c r="B8" s="375"/>
      <c r="C8" s="375"/>
      <c r="D8" s="375"/>
      <c r="E8" s="375"/>
      <c r="F8" s="375"/>
      <c r="G8" s="375"/>
      <c r="H8" s="375"/>
      <c r="I8" s="375"/>
      <c r="J8" s="375"/>
      <c r="K8" s="375"/>
      <c r="L8" s="375"/>
      <c r="M8" s="375"/>
      <c r="N8" s="375"/>
      <c r="O8" s="375"/>
      <c r="P8" s="375"/>
      <c r="Q8" s="375"/>
      <c r="R8" s="375"/>
      <c r="S8" s="375"/>
      <c r="T8" s="375"/>
    </row>
    <row r="9" spans="2:20">
      <c r="B9" s="375"/>
      <c r="C9" s="375"/>
      <c r="D9" s="375"/>
      <c r="E9" s="375"/>
      <c r="F9" s="375"/>
      <c r="G9" s="375"/>
      <c r="H9" s="375"/>
      <c r="I9" s="375"/>
      <c r="J9" s="375"/>
      <c r="K9" s="375"/>
      <c r="L9" s="375"/>
      <c r="M9" s="375"/>
      <c r="N9" s="375"/>
      <c r="O9" s="375"/>
      <c r="P9" s="375"/>
      <c r="Q9" s="375"/>
      <c r="R9" s="375"/>
      <c r="S9" s="375"/>
      <c r="T9" s="375"/>
    </row>
    <row r="10" spans="2:20">
      <c r="B10" s="375"/>
      <c r="C10" s="375"/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/>
      <c r="P10" s="375"/>
      <c r="Q10" s="375"/>
      <c r="R10" s="375"/>
      <c r="S10" s="375"/>
      <c r="T10" s="375"/>
    </row>
    <row r="11" spans="2:20">
      <c r="B11" s="375"/>
      <c r="C11" s="375"/>
      <c r="D11" s="375"/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/>
      <c r="Q11" s="375"/>
      <c r="R11" s="375"/>
      <c r="S11" s="375"/>
      <c r="T11" s="375"/>
    </row>
    <row r="12" spans="2:20">
      <c r="B12" s="375"/>
      <c r="C12" s="375"/>
      <c r="D12" s="375"/>
      <c r="E12" s="375"/>
      <c r="F12" s="375"/>
      <c r="G12" s="375"/>
      <c r="H12" s="375"/>
      <c r="I12" s="375"/>
      <c r="J12" s="375"/>
      <c r="K12" s="375"/>
      <c r="L12" s="375"/>
      <c r="M12" s="375"/>
      <c r="N12" s="375"/>
      <c r="O12" s="375"/>
      <c r="P12" s="375"/>
      <c r="Q12" s="375"/>
      <c r="R12" s="375"/>
      <c r="S12" s="375"/>
      <c r="T12" s="375"/>
    </row>
    <row r="13" spans="2:20">
      <c r="B13" s="375"/>
      <c r="C13" s="375"/>
      <c r="D13" s="375"/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/>
      <c r="Q13" s="375"/>
      <c r="R13" s="375"/>
      <c r="S13" s="375"/>
      <c r="T13" s="375"/>
    </row>
    <row r="14" spans="2:20">
      <c r="B14" s="375"/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/>
      <c r="P14" s="375"/>
      <c r="Q14" s="375"/>
      <c r="R14" s="375"/>
      <c r="S14" s="375"/>
      <c r="T14" s="375"/>
    </row>
    <row r="15" spans="2:20">
      <c r="B15" s="375"/>
      <c r="C15" s="375"/>
      <c r="D15" s="375"/>
      <c r="E15" s="375"/>
      <c r="F15" s="375"/>
      <c r="G15" s="375"/>
      <c r="H15" s="375"/>
      <c r="I15" s="375"/>
      <c r="J15" s="375"/>
      <c r="K15" s="375"/>
      <c r="L15" s="375"/>
      <c r="M15" s="375"/>
      <c r="N15" s="375"/>
      <c r="O15" s="375"/>
      <c r="P15" s="375"/>
      <c r="Q15" s="375"/>
      <c r="R15" s="375"/>
      <c r="S15" s="375"/>
      <c r="T15" s="375"/>
    </row>
    <row r="16" spans="2:20">
      <c r="B16" s="375"/>
      <c r="C16" s="375"/>
      <c r="D16" s="375"/>
      <c r="E16" s="375"/>
      <c r="F16" s="375"/>
      <c r="G16" s="375"/>
      <c r="H16" s="375"/>
      <c r="I16" s="375"/>
      <c r="J16" s="375"/>
      <c r="K16" s="375"/>
      <c r="L16" s="375"/>
      <c r="M16" s="375"/>
      <c r="N16" s="375"/>
      <c r="O16" s="375"/>
      <c r="P16" s="375"/>
      <c r="Q16" s="375"/>
      <c r="R16" s="375"/>
      <c r="S16" s="375"/>
      <c r="T16" s="375"/>
    </row>
    <row r="17" spans="2:20">
      <c r="B17" s="375"/>
      <c r="C17" s="375"/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/>
      <c r="P17" s="375"/>
      <c r="Q17" s="375"/>
      <c r="R17" s="375"/>
      <c r="S17" s="375"/>
      <c r="T17" s="375"/>
    </row>
    <row r="18" spans="2:20">
      <c r="B18" s="375"/>
      <c r="C18" s="375"/>
      <c r="D18" s="375"/>
      <c r="E18" s="375"/>
      <c r="F18" s="375"/>
      <c r="G18" s="375"/>
      <c r="H18" s="375"/>
      <c r="I18" s="375"/>
      <c r="J18" s="375"/>
      <c r="K18" s="375"/>
      <c r="L18" s="375"/>
      <c r="M18" s="375"/>
      <c r="N18" s="375"/>
      <c r="O18" s="375"/>
      <c r="P18" s="375"/>
      <c r="Q18" s="375"/>
      <c r="R18" s="375"/>
      <c r="S18" s="375"/>
      <c r="T18" s="375"/>
    </row>
    <row r="19" spans="2:20">
      <c r="B19" s="375"/>
      <c r="C19" s="375"/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/>
      <c r="P19" s="375"/>
      <c r="Q19" s="375"/>
      <c r="R19" s="375"/>
      <c r="S19" s="375"/>
      <c r="T19" s="375"/>
    </row>
    <row r="20" spans="2:20">
      <c r="B20" s="375"/>
      <c r="C20" s="375"/>
      <c r="D20" s="375"/>
      <c r="E20" s="375"/>
      <c r="F20" s="375"/>
      <c r="G20" s="375"/>
      <c r="H20" s="375"/>
      <c r="I20" s="375"/>
      <c r="J20" s="375"/>
      <c r="K20" s="375"/>
      <c r="L20" s="375"/>
      <c r="M20" s="375"/>
      <c r="N20" s="375"/>
      <c r="O20" s="375"/>
      <c r="P20" s="375"/>
      <c r="Q20" s="375"/>
      <c r="R20" s="375"/>
      <c r="S20" s="375"/>
      <c r="T20" s="375"/>
    </row>
    <row r="21" spans="2:20">
      <c r="B21" s="375"/>
      <c r="C21" s="375"/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/>
      <c r="Q21" s="375"/>
      <c r="R21" s="375"/>
      <c r="S21" s="375"/>
      <c r="T21" s="375"/>
    </row>
    <row r="22" spans="2:20">
      <c r="B22" s="375"/>
      <c r="C22" s="375"/>
      <c r="D22" s="375"/>
      <c r="E22" s="375"/>
      <c r="F22" s="375"/>
      <c r="G22" s="375"/>
      <c r="H22" s="375"/>
      <c r="I22" s="375"/>
      <c r="J22" s="375"/>
      <c r="K22" s="375"/>
      <c r="L22" s="375"/>
      <c r="M22" s="375"/>
      <c r="N22" s="375"/>
      <c r="O22" s="375"/>
      <c r="P22" s="375"/>
      <c r="Q22" s="375"/>
      <c r="R22" s="375"/>
      <c r="S22" s="375"/>
      <c r="T22" s="375"/>
    </row>
    <row r="23" spans="2:20">
      <c r="B23" s="375"/>
      <c r="C23" s="375"/>
      <c r="D23" s="375"/>
      <c r="E23" s="375"/>
      <c r="F23" s="375"/>
      <c r="G23" s="375"/>
      <c r="H23" s="375"/>
      <c r="I23" s="375"/>
      <c r="J23" s="375"/>
      <c r="K23" s="375"/>
      <c r="L23" s="375"/>
      <c r="M23" s="375"/>
      <c r="N23" s="375"/>
      <c r="O23" s="375"/>
      <c r="P23" s="375"/>
      <c r="Q23" s="375"/>
      <c r="R23" s="375"/>
      <c r="S23" s="375"/>
      <c r="T23" s="375"/>
    </row>
    <row r="24" spans="2:20">
      <c r="B24" s="375"/>
      <c r="C24" s="375"/>
      <c r="D24" s="375"/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/>
      <c r="Q24" s="375"/>
      <c r="R24" s="375"/>
      <c r="S24" s="375"/>
      <c r="T24" s="375"/>
    </row>
    <row r="25" spans="2:20">
      <c r="B25" s="375"/>
      <c r="C25" s="375"/>
      <c r="D25" s="375"/>
      <c r="E25" s="375"/>
      <c r="F25" s="375"/>
      <c r="G25" s="375"/>
      <c r="H25" s="375"/>
      <c r="I25" s="375"/>
      <c r="J25" s="375"/>
      <c r="K25" s="375"/>
      <c r="L25" s="375"/>
      <c r="M25" s="375"/>
      <c r="N25" s="375"/>
      <c r="O25" s="375"/>
      <c r="P25" s="375"/>
      <c r="Q25" s="375"/>
      <c r="R25" s="375"/>
      <c r="S25" s="375"/>
      <c r="T25" s="375"/>
    </row>
    <row r="26" spans="2:20">
      <c r="B26" s="375"/>
      <c r="C26" s="375"/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/>
      <c r="P26" s="375"/>
      <c r="Q26" s="375"/>
      <c r="R26" s="375"/>
      <c r="S26" s="375"/>
      <c r="T26" s="375"/>
    </row>
    <row r="27" spans="2:20">
      <c r="B27" s="375"/>
      <c r="C27" s="375"/>
      <c r="D27" s="375"/>
      <c r="E27" s="375"/>
      <c r="F27" s="375"/>
      <c r="G27" s="375"/>
      <c r="H27" s="375"/>
      <c r="I27" s="375"/>
      <c r="J27" s="375"/>
      <c r="K27" s="375"/>
      <c r="L27" s="375"/>
      <c r="M27" s="375"/>
      <c r="N27" s="375"/>
      <c r="O27" s="375"/>
      <c r="P27" s="375"/>
      <c r="Q27" s="375"/>
      <c r="R27" s="375"/>
      <c r="S27" s="375"/>
      <c r="T27" s="375"/>
    </row>
    <row r="28" spans="2:20">
      <c r="B28" s="375"/>
      <c r="C28" s="375"/>
      <c r="D28" s="375"/>
      <c r="E28" s="375"/>
      <c r="F28" s="375"/>
      <c r="G28" s="375"/>
      <c r="H28" s="375"/>
      <c r="I28" s="375"/>
      <c r="J28" s="375"/>
      <c r="K28" s="375"/>
      <c r="L28" s="375"/>
      <c r="M28" s="375"/>
      <c r="N28" s="375"/>
      <c r="O28" s="375"/>
      <c r="P28" s="375"/>
      <c r="Q28" s="375"/>
      <c r="R28" s="375"/>
      <c r="S28" s="375"/>
      <c r="T28" s="375"/>
    </row>
    <row r="29" spans="2:20">
      <c r="B29" s="375"/>
      <c r="C29" s="375"/>
      <c r="D29" s="375"/>
      <c r="E29" s="375"/>
      <c r="F29" s="375"/>
      <c r="G29" s="375"/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</row>
    <row r="30" spans="2:20">
      <c r="B30" s="375"/>
      <c r="C30" s="375"/>
      <c r="D30" s="375"/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/>
      <c r="Q30" s="375"/>
      <c r="R30" s="375"/>
      <c r="S30" s="375"/>
      <c r="T30" s="375"/>
    </row>
    <row r="31" spans="2:20">
      <c r="B31" s="375"/>
      <c r="C31" s="375"/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/>
      <c r="Q31" s="375"/>
      <c r="R31" s="375"/>
      <c r="S31" s="375"/>
      <c r="T31" s="375"/>
    </row>
    <row r="32" spans="2:20">
      <c r="B32" s="375"/>
      <c r="C32" s="375"/>
      <c r="D32" s="37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/>
      <c r="Q32" s="375"/>
      <c r="R32" s="375"/>
      <c r="S32" s="375"/>
      <c r="T32" s="375"/>
    </row>
    <row r="33" spans="2:20">
      <c r="B33" s="375"/>
      <c r="C33" s="375"/>
      <c r="D33" s="37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  <c r="S33" s="375"/>
      <c r="T33" s="375"/>
    </row>
    <row r="34" spans="2:20">
      <c r="B34" s="375"/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  <c r="S34" s="375"/>
      <c r="T34" s="375"/>
    </row>
    <row r="35" spans="2:20">
      <c r="B35" s="375"/>
      <c r="C35" s="375"/>
      <c r="D35" s="37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  <c r="S35" s="375"/>
      <c r="T35" s="375"/>
    </row>
    <row r="36" spans="2:20">
      <c r="B36" s="375"/>
      <c r="C36" s="375"/>
      <c r="D36" s="37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  <c r="S36" s="375"/>
      <c r="T36" s="375"/>
    </row>
    <row r="37" spans="2:20">
      <c r="B37" s="375"/>
      <c r="C37" s="375"/>
      <c r="D37" s="37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  <c r="S37" s="375"/>
      <c r="T37" s="375"/>
    </row>
    <row r="38" spans="2:20">
      <c r="B38" s="375"/>
      <c r="C38" s="375"/>
      <c r="D38" s="37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  <c r="S38" s="375"/>
      <c r="T38" s="375"/>
    </row>
    <row r="39" spans="2:20">
      <c r="B39" s="375"/>
      <c r="C39" s="375"/>
      <c r="D39" s="37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  <c r="S39" s="375"/>
      <c r="T39" s="375"/>
    </row>
    <row r="40" spans="2:20">
      <c r="B40" s="375"/>
      <c r="C40" s="375"/>
      <c r="D40" s="37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  <c r="S40" s="375"/>
      <c r="T40" s="375"/>
    </row>
    <row r="41" spans="2:20">
      <c r="B41" s="375"/>
      <c r="C41" s="375"/>
      <c r="D41" s="37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  <c r="S41" s="375"/>
      <c r="T41" s="375"/>
    </row>
    <row r="42" spans="2:20">
      <c r="B42" s="375"/>
      <c r="C42" s="375"/>
      <c r="D42" s="375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  <c r="S42" s="375"/>
      <c r="T42" s="375"/>
    </row>
    <row r="43" spans="2:20">
      <c r="B43" s="375"/>
      <c r="C43" s="375"/>
      <c r="D43" s="375"/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375"/>
      <c r="R43" s="375"/>
      <c r="S43" s="375"/>
      <c r="T43" s="375"/>
    </row>
    <row r="44" spans="2:20">
      <c r="B44" s="375"/>
      <c r="C44" s="375"/>
      <c r="D44" s="375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/>
      <c r="S44" s="375"/>
      <c r="T44" s="375"/>
    </row>
    <row r="45" spans="2:20">
      <c r="B45" s="375"/>
      <c r="C45" s="375"/>
      <c r="D45" s="375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5"/>
      <c r="P45" s="375"/>
      <c r="Q45" s="375"/>
      <c r="R45" s="375"/>
      <c r="S45" s="375"/>
      <c r="T45" s="375"/>
    </row>
    <row r="46" spans="2:20">
      <c r="B46" s="375"/>
      <c r="C46" s="375"/>
      <c r="D46" s="375"/>
      <c r="E46" s="375"/>
      <c r="F46" s="375"/>
      <c r="G46" s="375"/>
      <c r="H46" s="375"/>
      <c r="I46" s="375"/>
      <c r="J46" s="375"/>
      <c r="K46" s="375"/>
      <c r="L46" s="375"/>
      <c r="M46" s="375"/>
      <c r="N46" s="375"/>
      <c r="O46" s="375"/>
      <c r="P46" s="375"/>
      <c r="Q46" s="375"/>
      <c r="R46" s="375"/>
      <c r="S46" s="375"/>
      <c r="T46" s="375"/>
    </row>
    <row r="47" spans="2:20">
      <c r="B47" s="375"/>
      <c r="C47" s="375"/>
      <c r="D47" s="375"/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/>
      <c r="Q47" s="375"/>
      <c r="R47" s="375"/>
      <c r="S47" s="375"/>
      <c r="T47" s="375"/>
    </row>
    <row r="48" spans="2:20">
      <c r="B48" s="375"/>
      <c r="C48" s="375"/>
      <c r="D48" s="375"/>
      <c r="E48" s="375"/>
      <c r="F48" s="375"/>
      <c r="G48" s="375"/>
      <c r="H48" s="375"/>
      <c r="I48" s="375"/>
      <c r="J48" s="375"/>
      <c r="K48" s="375"/>
      <c r="L48" s="375"/>
      <c r="M48" s="375"/>
      <c r="N48" s="375"/>
      <c r="O48" s="375"/>
      <c r="P48" s="375"/>
      <c r="Q48" s="375"/>
      <c r="R48" s="375"/>
      <c r="S48" s="375"/>
      <c r="T48" s="375"/>
    </row>
    <row r="49" spans="2:20">
      <c r="B49" s="375"/>
      <c r="C49" s="375"/>
      <c r="D49" s="375"/>
      <c r="E49" s="375"/>
      <c r="F49" s="375"/>
      <c r="G49" s="375"/>
      <c r="H49" s="375"/>
      <c r="I49" s="375"/>
      <c r="J49" s="375"/>
      <c r="K49" s="375"/>
      <c r="L49" s="375"/>
      <c r="M49" s="375"/>
      <c r="N49" s="375"/>
      <c r="O49" s="375"/>
      <c r="P49" s="375"/>
      <c r="Q49" s="375"/>
      <c r="R49" s="375"/>
      <c r="S49" s="375"/>
      <c r="T49" s="375"/>
    </row>
    <row r="50" spans="2:20">
      <c r="B50" s="375"/>
      <c r="C50" s="375"/>
      <c r="D50" s="375"/>
      <c r="E50" s="375"/>
      <c r="F50" s="375"/>
      <c r="G50" s="375"/>
      <c r="H50" s="375"/>
      <c r="I50" s="375"/>
      <c r="J50" s="375"/>
      <c r="K50" s="375"/>
      <c r="L50" s="375"/>
      <c r="M50" s="375"/>
      <c r="N50" s="375"/>
      <c r="O50" s="375"/>
      <c r="P50" s="375"/>
      <c r="Q50" s="375"/>
      <c r="R50" s="375"/>
      <c r="S50" s="375"/>
      <c r="T50" s="375"/>
    </row>
    <row r="51" spans="2:20">
      <c r="B51" s="375"/>
      <c r="C51" s="375"/>
      <c r="D51" s="375"/>
      <c r="E51" s="375"/>
      <c r="F51" s="375"/>
      <c r="G51" s="375"/>
      <c r="H51" s="375"/>
      <c r="I51" s="375"/>
      <c r="J51" s="375"/>
      <c r="K51" s="375"/>
      <c r="L51" s="375"/>
      <c r="M51" s="375"/>
      <c r="N51" s="375"/>
      <c r="O51" s="375"/>
      <c r="P51" s="375"/>
      <c r="Q51" s="375"/>
      <c r="R51" s="375"/>
      <c r="S51" s="375"/>
      <c r="T51" s="375"/>
    </row>
    <row r="52" spans="2:20">
      <c r="B52" s="375"/>
      <c r="C52" s="375"/>
      <c r="D52" s="375"/>
      <c r="E52" s="375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  <c r="S52" s="375"/>
      <c r="T52" s="375"/>
    </row>
    <row r="53" spans="2:20">
      <c r="B53" s="375"/>
      <c r="C53" s="375"/>
      <c r="D53" s="37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  <c r="S53" s="375"/>
      <c r="T53" s="375"/>
    </row>
    <row r="54" spans="2:20">
      <c r="B54" s="375"/>
      <c r="C54" s="375"/>
      <c r="D54" s="375"/>
      <c r="E54" s="375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  <c r="S54" s="375"/>
      <c r="T54" s="375"/>
    </row>
    <row r="55" spans="2:20">
      <c r="B55" s="375"/>
      <c r="C55" s="375"/>
      <c r="D55" s="375"/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  <c r="S55" s="375"/>
      <c r="T55" s="375"/>
    </row>
    <row r="56" spans="2:20">
      <c r="B56" s="375"/>
      <c r="C56" s="375"/>
      <c r="D56" s="375"/>
      <c r="E56" s="375"/>
      <c r="F56" s="375"/>
      <c r="G56" s="375"/>
      <c r="H56" s="375"/>
      <c r="I56" s="375"/>
      <c r="J56" s="375"/>
      <c r="K56" s="375"/>
      <c r="L56" s="375"/>
      <c r="M56" s="375"/>
      <c r="N56" s="375"/>
      <c r="O56" s="375"/>
      <c r="P56" s="375"/>
      <c r="Q56" s="375"/>
      <c r="R56" s="375"/>
      <c r="S56" s="375"/>
      <c r="T56" s="375"/>
    </row>
    <row r="57" spans="2:20">
      <c r="B57" s="375"/>
      <c r="C57" s="375"/>
      <c r="D57" s="37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  <c r="S57" s="375"/>
      <c r="T57" s="375"/>
    </row>
    <row r="58" spans="2:20">
      <c r="B58" s="375"/>
      <c r="C58" s="375"/>
      <c r="D58" s="375"/>
      <c r="E58" s="375"/>
      <c r="F58" s="375"/>
      <c r="G58" s="375"/>
      <c r="H58" s="375"/>
      <c r="I58" s="375"/>
      <c r="J58" s="375"/>
      <c r="K58" s="375"/>
      <c r="L58" s="375"/>
      <c r="M58" s="375"/>
      <c r="N58" s="375"/>
      <c r="O58" s="375"/>
      <c r="P58" s="375"/>
      <c r="Q58" s="375"/>
      <c r="R58" s="375"/>
      <c r="S58" s="375"/>
      <c r="T58" s="375"/>
    </row>
    <row r="59" spans="2:20">
      <c r="B59" s="375"/>
      <c r="C59" s="375"/>
      <c r="D59" s="375"/>
      <c r="E59" s="375"/>
      <c r="F59" s="375"/>
      <c r="G59" s="375"/>
      <c r="H59" s="375"/>
      <c r="I59" s="375"/>
      <c r="J59" s="375"/>
      <c r="K59" s="375"/>
      <c r="L59" s="375"/>
      <c r="M59" s="375"/>
      <c r="N59" s="375"/>
      <c r="O59" s="375"/>
      <c r="P59" s="375"/>
      <c r="Q59" s="375"/>
      <c r="R59" s="375"/>
      <c r="S59" s="375"/>
      <c r="T59" s="375"/>
    </row>
    <row r="60" spans="2:20">
      <c r="B60" s="375"/>
      <c r="C60" s="375"/>
      <c r="D60" s="37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75"/>
      <c r="S60" s="375"/>
      <c r="T60" s="375"/>
    </row>
    <row r="61" spans="2:20">
      <c r="B61" s="375"/>
      <c r="C61" s="375"/>
      <c r="D61" s="37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75"/>
      <c r="S61" s="375"/>
      <c r="T61" s="375"/>
    </row>
    <row r="62" spans="2:20">
      <c r="B62" s="375"/>
      <c r="C62" s="375"/>
      <c r="D62" s="37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  <c r="S62" s="375"/>
      <c r="T62" s="375"/>
    </row>
    <row r="63" spans="2:20">
      <c r="B63" s="375"/>
      <c r="C63" s="375"/>
      <c r="D63" s="37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  <c r="S63" s="375"/>
      <c r="T63" s="375"/>
    </row>
    <row r="64" spans="2:20">
      <c r="B64" s="375"/>
      <c r="C64" s="375"/>
      <c r="D64" s="37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  <c r="S64" s="375"/>
      <c r="T64" s="375"/>
    </row>
    <row r="65" spans="2:20">
      <c r="B65" s="375"/>
      <c r="C65" s="375"/>
      <c r="D65" s="375"/>
      <c r="E65" s="375"/>
      <c r="F65" s="375"/>
      <c r="G65" s="375"/>
      <c r="H65" s="375"/>
      <c r="I65" s="375"/>
      <c r="J65" s="375"/>
      <c r="K65" s="375"/>
      <c r="L65" s="375"/>
      <c r="M65" s="375"/>
      <c r="N65" s="375"/>
      <c r="O65" s="375"/>
      <c r="P65" s="375"/>
      <c r="Q65" s="375"/>
      <c r="R65" s="375"/>
      <c r="S65" s="375"/>
      <c r="T65" s="375"/>
    </row>
    <row r="66" spans="2:20">
      <c r="B66" s="375"/>
      <c r="C66" s="375"/>
      <c r="D66" s="375"/>
      <c r="E66" s="375"/>
      <c r="F66" s="375"/>
      <c r="G66" s="375"/>
      <c r="H66" s="375"/>
      <c r="I66" s="375"/>
      <c r="J66" s="375"/>
      <c r="K66" s="375"/>
      <c r="L66" s="375"/>
      <c r="M66" s="375"/>
      <c r="N66" s="375"/>
      <c r="O66" s="375"/>
      <c r="P66" s="375"/>
      <c r="Q66" s="375"/>
      <c r="R66" s="375"/>
      <c r="S66" s="375"/>
      <c r="T66" s="375"/>
    </row>
    <row r="67" spans="2:20">
      <c r="B67" s="375"/>
      <c r="C67" s="375"/>
      <c r="D67" s="37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  <c r="S67" s="375"/>
      <c r="T67" s="375"/>
    </row>
    <row r="68" spans="2:20">
      <c r="B68" s="375"/>
      <c r="C68" s="375"/>
      <c r="D68" s="375"/>
      <c r="E68" s="375"/>
      <c r="F68" s="375"/>
      <c r="G68" s="375"/>
      <c r="H68" s="375"/>
      <c r="I68" s="375"/>
      <c r="J68" s="375"/>
      <c r="K68" s="375"/>
      <c r="L68" s="375"/>
      <c r="M68" s="375"/>
      <c r="N68" s="375"/>
      <c r="O68" s="375"/>
      <c r="P68" s="375"/>
      <c r="Q68" s="375"/>
      <c r="R68" s="375"/>
      <c r="S68" s="375"/>
      <c r="T68" s="375"/>
    </row>
    <row r="69" spans="2:20">
      <c r="B69" s="375"/>
      <c r="C69" s="375"/>
      <c r="D69" s="375"/>
      <c r="E69" s="375"/>
      <c r="F69" s="375"/>
      <c r="G69" s="375"/>
      <c r="H69" s="375"/>
      <c r="I69" s="375"/>
      <c r="J69" s="375"/>
      <c r="K69" s="375"/>
      <c r="L69" s="375"/>
      <c r="M69" s="375"/>
      <c r="N69" s="375"/>
      <c r="O69" s="375"/>
      <c r="P69" s="375"/>
      <c r="Q69" s="375"/>
      <c r="R69" s="375"/>
      <c r="S69" s="375"/>
      <c r="T69" s="375"/>
    </row>
    <row r="70" spans="2:20">
      <c r="B70" s="375"/>
      <c r="C70" s="375"/>
      <c r="D70" s="375"/>
      <c r="E70" s="375"/>
      <c r="F70" s="375"/>
      <c r="G70" s="375"/>
      <c r="H70" s="375"/>
      <c r="I70" s="375"/>
      <c r="J70" s="375"/>
      <c r="K70" s="375"/>
      <c r="L70" s="375"/>
      <c r="M70" s="375"/>
      <c r="N70" s="375"/>
      <c r="O70" s="375"/>
      <c r="P70" s="375"/>
      <c r="Q70" s="375"/>
      <c r="R70" s="375"/>
      <c r="S70" s="375"/>
      <c r="T70" s="375"/>
    </row>
    <row r="71" spans="2:20">
      <c r="B71" s="375"/>
      <c r="C71" s="375"/>
      <c r="D71" s="375"/>
      <c r="E71" s="375"/>
      <c r="F71" s="375"/>
      <c r="G71" s="375"/>
      <c r="H71" s="375"/>
      <c r="I71" s="375"/>
      <c r="J71" s="375"/>
      <c r="K71" s="375"/>
      <c r="L71" s="375"/>
      <c r="M71" s="375"/>
      <c r="N71" s="375"/>
      <c r="O71" s="375"/>
      <c r="P71" s="375"/>
      <c r="Q71" s="375"/>
      <c r="R71" s="375"/>
      <c r="S71" s="375"/>
      <c r="T71" s="375"/>
    </row>
    <row r="72" spans="2:20">
      <c r="B72" s="375"/>
      <c r="C72" s="375"/>
      <c r="D72" s="37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  <c r="R72" s="375"/>
      <c r="S72" s="375"/>
      <c r="T72" s="375"/>
    </row>
    <row r="73" spans="2:20">
      <c r="B73" s="375"/>
      <c r="C73" s="375"/>
      <c r="D73" s="375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  <c r="S73" s="375"/>
      <c r="T73" s="375"/>
    </row>
    <row r="74" spans="2:20">
      <c r="B74" s="375"/>
      <c r="C74" s="375"/>
      <c r="D74" s="375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  <c r="S74" s="375"/>
      <c r="T74" s="375"/>
    </row>
    <row r="75" spans="2:20">
      <c r="B75" s="375"/>
      <c r="C75" s="375"/>
      <c r="D75" s="375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  <c r="S75" s="375"/>
      <c r="T75" s="375"/>
    </row>
    <row r="76" spans="2:20">
      <c r="B76" s="375"/>
      <c r="C76" s="375"/>
      <c r="D76" s="375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  <c r="S76" s="375"/>
      <c r="T76" s="375"/>
    </row>
    <row r="77" spans="2:20">
      <c r="B77" s="375"/>
      <c r="C77" s="375"/>
      <c r="D77" s="37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375"/>
      <c r="S77" s="375"/>
      <c r="T77" s="375"/>
    </row>
    <row r="78" spans="2:20">
      <c r="B78" s="375"/>
      <c r="C78" s="375"/>
      <c r="D78" s="37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5"/>
    </row>
    <row r="79" spans="2:20">
      <c r="B79" s="375"/>
      <c r="C79" s="375"/>
      <c r="D79" s="37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  <c r="S79" s="375"/>
      <c r="T79" s="375"/>
    </row>
    <row r="80" spans="2:20">
      <c r="B80" s="375"/>
      <c r="C80" s="375"/>
      <c r="D80" s="375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  <c r="S80" s="375"/>
      <c r="T80" s="375"/>
    </row>
    <row r="81" spans="2:20">
      <c r="B81" s="375"/>
      <c r="C81" s="375"/>
      <c r="D81" s="375"/>
      <c r="E81" s="375"/>
      <c r="F81" s="375"/>
      <c r="G81" s="375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  <c r="S81" s="375"/>
      <c r="T81" s="375"/>
    </row>
    <row r="82" spans="2:20">
      <c r="B82" s="375"/>
      <c r="C82" s="375"/>
      <c r="D82" s="375"/>
      <c r="E82" s="375"/>
      <c r="F82" s="375"/>
      <c r="G82" s="375"/>
      <c r="H82" s="375"/>
      <c r="I82" s="375"/>
      <c r="J82" s="375"/>
      <c r="K82" s="375"/>
      <c r="L82" s="375"/>
      <c r="M82" s="375"/>
      <c r="N82" s="375"/>
      <c r="O82" s="375"/>
      <c r="P82" s="375"/>
      <c r="Q82" s="375"/>
      <c r="R82" s="375"/>
      <c r="S82" s="375"/>
      <c r="T82" s="375"/>
    </row>
    <row r="83" spans="2:20">
      <c r="B83" s="375"/>
      <c r="C83" s="375"/>
      <c r="D83" s="375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  <c r="S83" s="375"/>
      <c r="T83" s="375"/>
    </row>
    <row r="84" spans="2:20">
      <c r="B84" s="375"/>
      <c r="C84" s="375"/>
      <c r="D84" s="375"/>
      <c r="E84" s="375"/>
      <c r="F84" s="375"/>
      <c r="G84" s="375"/>
      <c r="H84" s="375"/>
      <c r="I84" s="375"/>
      <c r="J84" s="375"/>
      <c r="K84" s="375"/>
      <c r="L84" s="375"/>
      <c r="M84" s="375"/>
      <c r="N84" s="375"/>
      <c r="O84" s="375"/>
      <c r="P84" s="375"/>
      <c r="Q84" s="375"/>
      <c r="R84" s="375"/>
      <c r="S84" s="375"/>
      <c r="T84" s="375"/>
    </row>
    <row r="85" spans="2:20">
      <c r="B85" s="375"/>
      <c r="C85" s="375"/>
      <c r="D85" s="375"/>
      <c r="E85" s="375"/>
      <c r="F85" s="375"/>
      <c r="G85" s="375"/>
      <c r="H85" s="375"/>
      <c r="I85" s="375"/>
      <c r="J85" s="375"/>
      <c r="K85" s="375"/>
      <c r="L85" s="375"/>
      <c r="M85" s="375"/>
      <c r="N85" s="375"/>
      <c r="O85" s="375"/>
      <c r="P85" s="375"/>
      <c r="Q85" s="375"/>
      <c r="R85" s="375"/>
      <c r="S85" s="375"/>
      <c r="T85" s="375"/>
    </row>
    <row r="86" spans="2:20">
      <c r="B86" s="375"/>
      <c r="C86" s="375"/>
      <c r="D86" s="375"/>
      <c r="E86" s="375"/>
      <c r="F86" s="375"/>
      <c r="G86" s="375"/>
      <c r="H86" s="375"/>
      <c r="I86" s="375"/>
      <c r="J86" s="375"/>
      <c r="K86" s="375"/>
      <c r="L86" s="375"/>
      <c r="M86" s="375"/>
      <c r="N86" s="375"/>
      <c r="O86" s="375"/>
      <c r="P86" s="375"/>
      <c r="Q86" s="375"/>
      <c r="R86" s="375"/>
      <c r="S86" s="375"/>
      <c r="T86" s="375"/>
    </row>
    <row r="87" spans="2:20">
      <c r="B87" s="375"/>
      <c r="C87" s="375"/>
      <c r="D87" s="375"/>
      <c r="E87" s="375"/>
      <c r="F87" s="375"/>
      <c r="G87" s="375"/>
      <c r="H87" s="375"/>
      <c r="I87" s="375"/>
      <c r="J87" s="375"/>
      <c r="K87" s="375"/>
      <c r="L87" s="375"/>
      <c r="M87" s="375"/>
      <c r="N87" s="375"/>
      <c r="O87" s="375"/>
      <c r="P87" s="375"/>
      <c r="Q87" s="375"/>
      <c r="R87" s="375"/>
      <c r="S87" s="375"/>
      <c r="T87" s="375"/>
    </row>
    <row r="88" spans="2:20">
      <c r="B88" s="375"/>
      <c r="C88" s="375"/>
      <c r="D88" s="375"/>
      <c r="E88" s="375"/>
      <c r="F88" s="375"/>
      <c r="G88" s="375"/>
      <c r="H88" s="375"/>
      <c r="I88" s="375"/>
      <c r="J88" s="375"/>
      <c r="K88" s="375"/>
      <c r="L88" s="375"/>
      <c r="M88" s="375"/>
      <c r="N88" s="375"/>
      <c r="O88" s="375"/>
      <c r="P88" s="375"/>
      <c r="Q88" s="375"/>
      <c r="R88" s="375"/>
      <c r="S88" s="375"/>
      <c r="T88" s="375"/>
    </row>
    <row r="89" spans="2:20">
      <c r="B89" s="375"/>
      <c r="C89" s="375"/>
      <c r="D89" s="375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75"/>
      <c r="S89" s="375"/>
      <c r="T89" s="375"/>
    </row>
    <row r="90" spans="2:20">
      <c r="B90" s="375"/>
      <c r="C90" s="375"/>
      <c r="D90" s="375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5"/>
      <c r="P90" s="375"/>
      <c r="Q90" s="375"/>
      <c r="R90" s="375"/>
      <c r="S90" s="375"/>
      <c r="T90" s="375"/>
    </row>
    <row r="91" spans="2:20">
      <c r="B91" s="375"/>
      <c r="C91" s="375"/>
      <c r="D91" s="375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  <c r="S91" s="375"/>
      <c r="T91" s="375"/>
    </row>
    <row r="92" spans="2:20">
      <c r="B92" s="375"/>
      <c r="C92" s="375"/>
      <c r="D92" s="375"/>
      <c r="E92" s="375"/>
      <c r="F92" s="375"/>
      <c r="G92" s="375"/>
      <c r="H92" s="375"/>
      <c r="I92" s="375"/>
      <c r="J92" s="375"/>
      <c r="K92" s="375"/>
      <c r="L92" s="375"/>
      <c r="M92" s="375"/>
      <c r="N92" s="375"/>
      <c r="O92" s="375"/>
      <c r="P92" s="375"/>
      <c r="Q92" s="375"/>
      <c r="R92" s="375"/>
      <c r="S92" s="375"/>
      <c r="T92" s="375"/>
    </row>
    <row r="93" spans="2:20">
      <c r="B93" s="375"/>
      <c r="C93" s="375"/>
      <c r="D93" s="375"/>
      <c r="E93" s="375"/>
      <c r="F93" s="375"/>
      <c r="G93" s="375"/>
      <c r="H93" s="375"/>
      <c r="I93" s="375"/>
      <c r="J93" s="375"/>
      <c r="K93" s="375"/>
      <c r="L93" s="375"/>
      <c r="M93" s="375"/>
      <c r="N93" s="375"/>
      <c r="O93" s="375"/>
      <c r="P93" s="375"/>
      <c r="Q93" s="375"/>
      <c r="R93" s="375"/>
      <c r="S93" s="375"/>
      <c r="T93" s="375"/>
    </row>
    <row r="94" spans="2:20">
      <c r="B94" s="375"/>
      <c r="C94" s="375"/>
      <c r="D94" s="375"/>
      <c r="E94" s="375"/>
      <c r="F94" s="375"/>
      <c r="G94" s="375"/>
      <c r="H94" s="375"/>
      <c r="I94" s="375"/>
      <c r="J94" s="375"/>
      <c r="K94" s="375"/>
      <c r="L94" s="375"/>
      <c r="M94" s="375"/>
      <c r="N94" s="375"/>
      <c r="O94" s="375"/>
      <c r="P94" s="375"/>
      <c r="Q94" s="375"/>
      <c r="R94" s="375"/>
      <c r="S94" s="375"/>
      <c r="T94" s="375"/>
    </row>
    <row r="95" spans="2:20">
      <c r="B95" s="375"/>
      <c r="C95" s="375"/>
      <c r="D95" s="375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  <c r="S95" s="375"/>
      <c r="T95" s="375"/>
    </row>
    <row r="96" spans="2:20">
      <c r="B96" s="375"/>
      <c r="C96" s="375"/>
      <c r="D96" s="375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  <c r="S96" s="375"/>
      <c r="T96" s="375"/>
    </row>
    <row r="97" spans="2:20">
      <c r="B97" s="375"/>
      <c r="C97" s="375"/>
      <c r="D97" s="375"/>
      <c r="E97" s="375"/>
      <c r="F97" s="375"/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  <c r="S97" s="375"/>
      <c r="T97" s="375"/>
    </row>
    <row r="98" spans="2:20">
      <c r="B98" s="375"/>
      <c r="C98" s="375"/>
      <c r="D98" s="375"/>
      <c r="E98" s="375"/>
      <c r="F98" s="375"/>
      <c r="G98" s="375"/>
      <c r="H98" s="375"/>
      <c r="I98" s="375"/>
      <c r="J98" s="375"/>
      <c r="K98" s="375"/>
      <c r="L98" s="375"/>
      <c r="M98" s="375"/>
      <c r="N98" s="375"/>
      <c r="O98" s="375"/>
      <c r="P98" s="375"/>
      <c r="Q98" s="375"/>
      <c r="R98" s="375"/>
      <c r="S98" s="375"/>
      <c r="T98" s="375"/>
    </row>
    <row r="99" spans="2:20">
      <c r="B99" s="375"/>
      <c r="C99" s="375"/>
      <c r="D99" s="375"/>
      <c r="E99" s="375"/>
      <c r="F99" s="375"/>
      <c r="G99" s="375"/>
      <c r="H99" s="375"/>
      <c r="I99" s="375"/>
      <c r="J99" s="375"/>
      <c r="K99" s="375"/>
      <c r="L99" s="375"/>
      <c r="M99" s="375"/>
      <c r="N99" s="375"/>
      <c r="O99" s="375"/>
      <c r="P99" s="375"/>
      <c r="Q99" s="375"/>
      <c r="R99" s="375"/>
      <c r="S99" s="375"/>
      <c r="T99" s="375"/>
    </row>
    <row r="100" spans="2:20">
      <c r="B100" s="375"/>
      <c r="C100" s="375"/>
      <c r="D100" s="375"/>
      <c r="E100" s="375"/>
      <c r="F100" s="375"/>
      <c r="G100" s="375"/>
      <c r="H100" s="375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  <c r="S100" s="375"/>
      <c r="T100" s="375"/>
    </row>
    <row r="101" spans="2:20">
      <c r="B101" s="375"/>
      <c r="C101" s="375"/>
      <c r="D101" s="375"/>
      <c r="E101" s="375"/>
      <c r="F101" s="375"/>
      <c r="G101" s="375"/>
      <c r="H101" s="375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  <c r="S101" s="375"/>
      <c r="T101" s="375"/>
    </row>
    <row r="102" spans="2:20">
      <c r="B102" s="375"/>
      <c r="C102" s="375"/>
      <c r="D102" s="375"/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  <c r="S102" s="375"/>
      <c r="T102" s="375"/>
    </row>
    <row r="103" spans="2:20">
      <c r="B103" s="375"/>
      <c r="C103" s="375"/>
      <c r="D103" s="375"/>
      <c r="E103" s="37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  <c r="S103" s="375"/>
      <c r="T103" s="375"/>
    </row>
    <row r="104" spans="2:20">
      <c r="B104" s="375"/>
      <c r="C104" s="375"/>
      <c r="D104" s="375"/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  <c r="S104" s="375"/>
      <c r="T104" s="375"/>
    </row>
    <row r="105" spans="2:20">
      <c r="B105" s="375"/>
      <c r="C105" s="375"/>
      <c r="D105" s="375"/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  <c r="S105" s="375"/>
      <c r="T105" s="375"/>
    </row>
    <row r="106" spans="2:20">
      <c r="B106" s="375"/>
      <c r="C106" s="375"/>
      <c r="D106" s="375"/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  <c r="S106" s="375"/>
      <c r="T106" s="375"/>
    </row>
    <row r="107" spans="2:20">
      <c r="B107" s="375"/>
      <c r="C107" s="375"/>
      <c r="D107" s="375"/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  <c r="S107" s="375"/>
      <c r="T107" s="375"/>
    </row>
    <row r="108" spans="2:20">
      <c r="B108" s="375"/>
      <c r="C108" s="375"/>
      <c r="D108" s="375"/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  <c r="S108" s="375"/>
      <c r="T108" s="375"/>
    </row>
    <row r="109" spans="2:20">
      <c r="B109" s="375"/>
      <c r="C109" s="375"/>
      <c r="D109" s="375"/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  <c r="S109" s="375"/>
      <c r="T109" s="375"/>
    </row>
    <row r="110" spans="2:20">
      <c r="B110" s="375"/>
      <c r="C110" s="375"/>
      <c r="D110" s="375"/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  <c r="S110" s="375"/>
      <c r="T110" s="375"/>
    </row>
    <row r="111" spans="2:20">
      <c r="B111" s="375"/>
      <c r="C111" s="375"/>
      <c r="D111" s="375"/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  <c r="S111" s="375"/>
      <c r="T111" s="375"/>
    </row>
    <row r="112" spans="2:20">
      <c r="B112" s="375"/>
      <c r="C112" s="375"/>
      <c r="D112" s="375"/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  <c r="S112" s="375"/>
      <c r="T112" s="375"/>
    </row>
    <row r="113" spans="2:20">
      <c r="B113" s="375"/>
      <c r="C113" s="375"/>
      <c r="D113" s="375"/>
      <c r="E113" s="375"/>
      <c r="F113" s="375"/>
      <c r="G113" s="375"/>
      <c r="H113" s="375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  <c r="S113" s="375"/>
      <c r="T113" s="375"/>
    </row>
    <row r="114" spans="2:20">
      <c r="B114" s="375"/>
      <c r="C114" s="375"/>
      <c r="D114" s="375"/>
      <c r="E114" s="375"/>
      <c r="F114" s="375"/>
      <c r="G114" s="375"/>
      <c r="H114" s="375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  <c r="S114" s="375"/>
      <c r="T114" s="375"/>
    </row>
    <row r="115" spans="2:20">
      <c r="B115" s="375"/>
      <c r="C115" s="375"/>
      <c r="D115" s="375"/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  <c r="S115" s="375"/>
      <c r="T115" s="375"/>
    </row>
    <row r="116" spans="2:20">
      <c r="B116" s="375"/>
      <c r="C116" s="375"/>
      <c r="D116" s="375"/>
      <c r="E116" s="375"/>
      <c r="F116" s="375"/>
      <c r="G116" s="375"/>
      <c r="H116" s="375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  <c r="S116" s="375"/>
      <c r="T116" s="375"/>
    </row>
    <row r="117" spans="2:20">
      <c r="B117" s="375"/>
      <c r="C117" s="375"/>
      <c r="D117" s="375"/>
      <c r="E117" s="375"/>
      <c r="F117" s="375"/>
      <c r="G117" s="375"/>
      <c r="H117" s="375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  <c r="S117" s="375"/>
      <c r="T117" s="375"/>
    </row>
    <row r="118" spans="2:20">
      <c r="B118" s="375"/>
      <c r="C118" s="375"/>
      <c r="D118" s="375"/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  <c r="S118" s="375"/>
      <c r="T118" s="375"/>
    </row>
    <row r="119" spans="2:20">
      <c r="B119" s="375"/>
      <c r="C119" s="375"/>
      <c r="D119" s="375"/>
      <c r="E119" s="375"/>
      <c r="F119" s="375"/>
      <c r="G119" s="375"/>
      <c r="H119" s="375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  <c r="S119" s="375"/>
      <c r="T119" s="375"/>
    </row>
    <row r="120" spans="2:20">
      <c r="B120" s="375"/>
      <c r="C120" s="375"/>
      <c r="D120" s="375"/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  <c r="S120" s="375"/>
      <c r="T120" s="375"/>
    </row>
    <row r="121" spans="2:20">
      <c r="B121" s="375"/>
      <c r="C121" s="375"/>
      <c r="D121" s="375"/>
      <c r="E121" s="375"/>
      <c r="F121" s="375"/>
      <c r="G121" s="375"/>
      <c r="H121" s="375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  <c r="S121" s="375"/>
      <c r="T121" s="375"/>
    </row>
    <row r="122" spans="2:20">
      <c r="B122" s="375"/>
      <c r="C122" s="375"/>
      <c r="D122" s="375"/>
      <c r="E122" s="375"/>
      <c r="F122" s="375"/>
      <c r="G122" s="375"/>
      <c r="H122" s="375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  <c r="S122" s="375"/>
      <c r="T122" s="375"/>
    </row>
    <row r="123" spans="2:20">
      <c r="B123" s="375"/>
      <c r="C123" s="375"/>
      <c r="D123" s="375"/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  <c r="S123" s="375"/>
      <c r="T123" s="375"/>
    </row>
    <row r="124" spans="2:20">
      <c r="B124" s="375"/>
      <c r="C124" s="375"/>
      <c r="D124" s="375"/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  <c r="S124" s="375"/>
      <c r="T124" s="375"/>
    </row>
    <row r="125" spans="2:20">
      <c r="B125" s="375"/>
      <c r="C125" s="375"/>
      <c r="D125" s="375"/>
      <c r="E125" s="375"/>
      <c r="F125" s="375"/>
      <c r="G125" s="375"/>
      <c r="H125" s="375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  <c r="S125" s="375"/>
      <c r="T125" s="375"/>
    </row>
    <row r="126" spans="2:20">
      <c r="B126" s="375"/>
      <c r="C126" s="375"/>
      <c r="D126" s="375"/>
      <c r="E126" s="375"/>
      <c r="F126" s="375"/>
      <c r="G126" s="375"/>
      <c r="H126" s="375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  <c r="S126" s="375"/>
      <c r="T126" s="375"/>
    </row>
    <row r="127" spans="2:20">
      <c r="B127" s="375"/>
      <c r="C127" s="375"/>
      <c r="D127" s="375"/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  <c r="S127" s="375"/>
      <c r="T127" s="375"/>
    </row>
    <row r="128" spans="2:20">
      <c r="B128" s="375"/>
      <c r="C128" s="375"/>
      <c r="D128" s="375"/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  <c r="S128" s="375"/>
      <c r="T128" s="375"/>
    </row>
    <row r="129" spans="2:20">
      <c r="B129" s="375"/>
      <c r="C129" s="375"/>
      <c r="D129" s="375"/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  <c r="S129" s="375"/>
      <c r="T129" s="375"/>
    </row>
    <row r="130" spans="2:20">
      <c r="B130" s="375"/>
      <c r="C130" s="375"/>
      <c r="D130" s="375"/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  <c r="S130" s="375"/>
      <c r="T130" s="375"/>
    </row>
    <row r="131" spans="2:20">
      <c r="B131" s="375"/>
      <c r="C131" s="375"/>
      <c r="D131" s="375"/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  <c r="S131" s="375"/>
      <c r="T131" s="375"/>
    </row>
    <row r="132" spans="2:20">
      <c r="B132" s="375"/>
      <c r="C132" s="375"/>
      <c r="D132" s="375"/>
      <c r="E132" s="375"/>
      <c r="F132" s="375"/>
      <c r="G132" s="375"/>
      <c r="H132" s="375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  <c r="S132" s="375"/>
      <c r="T132" s="375"/>
    </row>
    <row r="133" spans="2:20">
      <c r="B133" s="375"/>
      <c r="C133" s="375"/>
      <c r="D133" s="375"/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  <c r="S133" s="375"/>
      <c r="T133" s="375"/>
    </row>
    <row r="134" spans="2:20">
      <c r="B134" s="375"/>
      <c r="C134" s="375"/>
      <c r="D134" s="375"/>
      <c r="E134" s="375"/>
      <c r="F134" s="375"/>
      <c r="G134" s="375"/>
      <c r="H134" s="375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  <c r="S134" s="375"/>
      <c r="T134" s="375"/>
    </row>
    <row r="135" spans="2:20">
      <c r="B135" s="375"/>
      <c r="C135" s="375"/>
      <c r="D135" s="375"/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</row>
    <row r="136" spans="2:20">
      <c r="B136" s="375"/>
      <c r="C136" s="375"/>
      <c r="D136" s="375"/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  <c r="S136" s="375"/>
      <c r="T136" s="375"/>
    </row>
    <row r="137" spans="2:20">
      <c r="B137" s="375"/>
      <c r="C137" s="375"/>
      <c r="D137" s="375"/>
      <c r="E137" s="375"/>
      <c r="F137" s="375"/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  <c r="S137" s="375"/>
      <c r="T137" s="375"/>
    </row>
    <row r="138" spans="2:20">
      <c r="B138" s="375"/>
      <c r="C138" s="375"/>
      <c r="D138" s="375"/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  <c r="S138" s="375"/>
      <c r="T138" s="375"/>
    </row>
    <row r="139" spans="2:20">
      <c r="B139" s="375"/>
      <c r="C139" s="375"/>
      <c r="D139" s="375"/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  <c r="S139" s="375"/>
      <c r="T139" s="375"/>
    </row>
    <row r="140" spans="2:20">
      <c r="B140" s="375"/>
      <c r="C140" s="375"/>
      <c r="D140" s="375"/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  <c r="S140" s="375"/>
      <c r="T140" s="375"/>
    </row>
    <row r="141" spans="2:20">
      <c r="B141" s="375"/>
      <c r="C141" s="375"/>
      <c r="D141" s="375"/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  <c r="S141" s="375"/>
      <c r="T141" s="375"/>
    </row>
    <row r="142" spans="2:20">
      <c r="B142" s="375"/>
      <c r="C142" s="375"/>
      <c r="D142" s="375"/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  <c r="S142" s="375"/>
      <c r="T142" s="375"/>
    </row>
    <row r="143" spans="2:20">
      <c r="B143" s="375"/>
      <c r="C143" s="375"/>
      <c r="D143" s="375"/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  <c r="S143" s="375"/>
      <c r="T143" s="375"/>
    </row>
    <row r="144" spans="2:20">
      <c r="B144" s="375"/>
      <c r="C144" s="375"/>
      <c r="D144" s="375"/>
      <c r="E144" s="375"/>
      <c r="F144" s="375"/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  <c r="S144" s="375"/>
      <c r="T144" s="375"/>
    </row>
    <row r="145" spans="2:20">
      <c r="B145" s="375"/>
      <c r="C145" s="375"/>
      <c r="D145" s="375"/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  <c r="S145" s="375"/>
      <c r="T145" s="375"/>
    </row>
    <row r="146" spans="2:20">
      <c r="B146" s="375"/>
      <c r="C146" s="375"/>
      <c r="D146" s="375"/>
      <c r="E146" s="375"/>
      <c r="F146" s="375"/>
      <c r="G146" s="375"/>
      <c r="H146" s="375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  <c r="S146" s="375"/>
      <c r="T146" s="375"/>
    </row>
    <row r="147" spans="2:20">
      <c r="B147" s="375"/>
      <c r="C147" s="375"/>
      <c r="D147" s="375"/>
      <c r="E147" s="375"/>
      <c r="F147" s="375"/>
      <c r="G147" s="375"/>
      <c r="H147" s="375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  <c r="S147" s="375"/>
      <c r="T147" s="375"/>
    </row>
    <row r="148" spans="2:20">
      <c r="B148" s="375"/>
      <c r="C148" s="375"/>
      <c r="D148" s="375"/>
      <c r="E148" s="375"/>
      <c r="F148" s="375"/>
      <c r="G148" s="375"/>
      <c r="H148" s="375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  <c r="S148" s="375"/>
      <c r="T148" s="375"/>
    </row>
    <row r="149" spans="2:20">
      <c r="B149" s="375"/>
      <c r="C149" s="375"/>
      <c r="D149" s="375"/>
      <c r="E149" s="375"/>
      <c r="F149" s="375"/>
      <c r="G149" s="375"/>
      <c r="H149" s="375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  <c r="S149" s="375"/>
      <c r="T149" s="375"/>
    </row>
    <row r="150" spans="2:20">
      <c r="B150" s="375"/>
      <c r="C150" s="375"/>
      <c r="D150" s="375"/>
      <c r="E150" s="375"/>
      <c r="F150" s="375"/>
      <c r="G150" s="375"/>
      <c r="H150" s="375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  <c r="S150" s="375"/>
      <c r="T150" s="375"/>
    </row>
    <row r="151" spans="2:20">
      <c r="B151" s="375"/>
      <c r="C151" s="375"/>
      <c r="D151" s="375"/>
      <c r="E151" s="375"/>
      <c r="F151" s="375"/>
      <c r="G151" s="375"/>
      <c r="H151" s="375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  <c r="S151" s="375"/>
      <c r="T151" s="375"/>
    </row>
    <row r="152" spans="2:20">
      <c r="B152" s="375"/>
      <c r="C152" s="375"/>
      <c r="D152" s="375"/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  <c r="S152" s="375"/>
      <c r="T152" s="375"/>
    </row>
    <row r="153" spans="2:20">
      <c r="B153" s="375"/>
      <c r="C153" s="375"/>
      <c r="D153" s="375"/>
      <c r="E153" s="375"/>
      <c r="F153" s="375"/>
      <c r="G153" s="375"/>
      <c r="H153" s="375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  <c r="S153" s="375"/>
      <c r="T153" s="375"/>
    </row>
    <row r="154" spans="2:20">
      <c r="B154" s="375"/>
      <c r="C154" s="375"/>
      <c r="D154" s="375"/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  <c r="S154" s="375"/>
      <c r="T154" s="375"/>
    </row>
    <row r="155" spans="2:20">
      <c r="B155" s="375"/>
      <c r="C155" s="375"/>
      <c r="D155" s="375"/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  <c r="S155" s="375"/>
      <c r="T155" s="375"/>
    </row>
    <row r="156" spans="2:20">
      <c r="B156" s="375"/>
      <c r="C156" s="375"/>
      <c r="D156" s="375"/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5"/>
    </row>
    <row r="157" spans="2:20">
      <c r="B157" s="375"/>
      <c r="C157" s="375"/>
      <c r="D157" s="375"/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  <c r="S157" s="375"/>
      <c r="T157" s="375"/>
    </row>
    <row r="158" spans="2:20">
      <c r="B158" s="375"/>
      <c r="C158" s="375"/>
      <c r="D158" s="375"/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  <c r="S158" s="375"/>
      <c r="T158" s="375"/>
    </row>
    <row r="159" spans="2:20">
      <c r="B159" s="375"/>
      <c r="C159" s="375"/>
      <c r="D159" s="375"/>
      <c r="E159" s="375"/>
      <c r="F159" s="375"/>
      <c r="G159" s="375"/>
      <c r="H159" s="375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  <c r="S159" s="375"/>
      <c r="T159" s="375"/>
    </row>
    <row r="160" spans="2:20">
      <c r="B160" s="375"/>
      <c r="C160" s="375"/>
      <c r="D160" s="375"/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  <c r="S160" s="375"/>
      <c r="T160" s="375"/>
    </row>
    <row r="161" spans="2:20">
      <c r="B161" s="375"/>
      <c r="C161" s="375"/>
      <c r="D161" s="375"/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  <c r="S161" s="375"/>
      <c r="T161" s="375"/>
    </row>
    <row r="162" spans="2:20">
      <c r="B162" s="375"/>
      <c r="C162" s="375"/>
      <c r="D162" s="375"/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  <c r="S162" s="375"/>
      <c r="T162" s="375"/>
    </row>
    <row r="163" spans="2:20">
      <c r="B163" s="375"/>
      <c r="C163" s="375"/>
      <c r="D163" s="375"/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  <c r="S163" s="375"/>
      <c r="T163" s="375"/>
    </row>
    <row r="164" spans="2:20">
      <c r="B164" s="375"/>
      <c r="C164" s="375"/>
      <c r="D164" s="375"/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  <c r="S164" s="375"/>
      <c r="T164" s="375"/>
    </row>
    <row r="165" spans="2:20">
      <c r="B165" s="375"/>
      <c r="C165" s="375"/>
      <c r="D165" s="375"/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  <c r="S165" s="375"/>
      <c r="T165" s="375"/>
    </row>
    <row r="166" spans="2:20">
      <c r="B166" s="375"/>
      <c r="C166" s="375"/>
      <c r="D166" s="375"/>
      <c r="E166" s="375"/>
      <c r="F166" s="375"/>
      <c r="G166" s="375"/>
      <c r="H166" s="375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  <c r="S166" s="375"/>
      <c r="T166" s="375"/>
    </row>
    <row r="167" spans="2:20">
      <c r="B167" s="375"/>
      <c r="C167" s="375"/>
      <c r="D167" s="375"/>
      <c r="E167" s="375"/>
      <c r="F167" s="375"/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  <c r="S167" s="375"/>
      <c r="T167" s="375"/>
    </row>
    <row r="168" spans="2:20">
      <c r="B168" s="375"/>
      <c r="C168" s="375"/>
      <c r="D168" s="375"/>
      <c r="E168" s="375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  <c r="S168" s="375"/>
      <c r="T168" s="375"/>
    </row>
    <row r="169" spans="2:20">
      <c r="B169" s="375"/>
      <c r="C169" s="375"/>
      <c r="D169" s="375"/>
      <c r="E169" s="375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  <c r="S169" s="375"/>
      <c r="T169" s="375"/>
    </row>
    <row r="170" spans="2:20">
      <c r="B170" s="375"/>
      <c r="C170" s="375"/>
      <c r="D170" s="375"/>
      <c r="E170" s="375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  <c r="S170" s="375"/>
      <c r="T170" s="375"/>
    </row>
    <row r="171" spans="2:20">
      <c r="B171" s="375"/>
      <c r="C171" s="375"/>
      <c r="D171" s="375"/>
      <c r="E171" s="375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  <c r="S171" s="375"/>
      <c r="T171" s="375"/>
    </row>
    <row r="172" spans="2:20">
      <c r="B172" s="375"/>
      <c r="C172" s="375"/>
      <c r="D172" s="375"/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  <c r="S172" s="375"/>
      <c r="T172" s="375"/>
    </row>
    <row r="173" spans="2:20">
      <c r="B173" s="375"/>
      <c r="C173" s="375"/>
      <c r="D173" s="375"/>
      <c r="E173" s="375"/>
      <c r="F173" s="375"/>
      <c r="G173" s="375"/>
      <c r="H173" s="375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  <c r="S173" s="375"/>
      <c r="T173" s="375"/>
    </row>
    <row r="174" spans="2:20">
      <c r="B174" s="375"/>
      <c r="C174" s="375"/>
      <c r="D174" s="375"/>
      <c r="E174" s="375"/>
      <c r="F174" s="375"/>
      <c r="G174" s="375"/>
      <c r="H174" s="375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  <c r="S174" s="375"/>
      <c r="T174" s="375"/>
    </row>
    <row r="175" spans="2:20">
      <c r="B175" s="375"/>
      <c r="C175" s="375"/>
      <c r="D175" s="375"/>
      <c r="E175" s="375"/>
      <c r="F175" s="375"/>
      <c r="G175" s="375"/>
      <c r="H175" s="375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  <c r="S175" s="375"/>
      <c r="T175" s="375"/>
    </row>
    <row r="176" spans="2:20">
      <c r="B176" s="375"/>
      <c r="C176" s="375"/>
      <c r="D176" s="375"/>
      <c r="E176" s="375"/>
      <c r="F176" s="375"/>
      <c r="G176" s="375"/>
      <c r="H176" s="375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  <c r="S176" s="375"/>
      <c r="T176" s="375"/>
    </row>
    <row r="177" spans="2:20">
      <c r="B177" s="375"/>
      <c r="C177" s="3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5"/>
      <c r="T177" s="375"/>
    </row>
    <row r="178" spans="2:20">
      <c r="B178" s="375"/>
      <c r="C178" s="375"/>
      <c r="D178" s="375"/>
      <c r="E178" s="375"/>
      <c r="F178" s="375"/>
      <c r="G178" s="375"/>
      <c r="H178" s="375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  <c r="S178" s="375"/>
      <c r="T178" s="375"/>
    </row>
    <row r="179" spans="2:20">
      <c r="B179" s="375"/>
      <c r="C179" s="375"/>
      <c r="D179" s="375"/>
      <c r="E179" s="375"/>
      <c r="F179" s="375"/>
      <c r="G179" s="375"/>
      <c r="H179" s="375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  <c r="S179" s="375"/>
      <c r="T179" s="375"/>
    </row>
    <row r="180" spans="2:20">
      <c r="B180" s="375"/>
      <c r="C180" s="375"/>
      <c r="D180" s="375"/>
      <c r="E180" s="375"/>
      <c r="F180" s="375"/>
      <c r="G180" s="375"/>
      <c r="H180" s="375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  <c r="S180" s="375"/>
      <c r="T180" s="375"/>
    </row>
    <row r="181" spans="2:20">
      <c r="B181" s="375"/>
      <c r="C181" s="375"/>
      <c r="D181" s="375"/>
      <c r="E181" s="375"/>
      <c r="F181" s="375"/>
      <c r="G181" s="375"/>
      <c r="H181" s="375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  <c r="S181" s="375"/>
      <c r="T181" s="375"/>
    </row>
    <row r="182" spans="2:20">
      <c r="B182" s="375"/>
      <c r="C182" s="375"/>
      <c r="D182" s="375"/>
      <c r="E182" s="375"/>
      <c r="F182" s="375"/>
      <c r="G182" s="375"/>
      <c r="H182" s="375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  <c r="S182" s="375"/>
      <c r="T182" s="375"/>
    </row>
    <row r="183" spans="2:20">
      <c r="B183" s="375"/>
      <c r="C183" s="375"/>
      <c r="D183" s="375"/>
      <c r="E183" s="375"/>
      <c r="F183" s="375"/>
      <c r="G183" s="375"/>
      <c r="H183" s="375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  <c r="S183" s="375"/>
      <c r="T183" s="375"/>
    </row>
    <row r="184" spans="2:20">
      <c r="B184" s="375"/>
      <c r="C184" s="375"/>
      <c r="D184" s="375"/>
      <c r="E184" s="375"/>
      <c r="F184" s="375"/>
      <c r="G184" s="375"/>
      <c r="H184" s="375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  <c r="S184" s="375"/>
      <c r="T184" s="375"/>
    </row>
    <row r="185" spans="2:20">
      <c r="B185" s="375"/>
      <c r="C185" s="375"/>
      <c r="D185" s="375"/>
      <c r="E185" s="375"/>
      <c r="F185" s="375"/>
      <c r="G185" s="375"/>
      <c r="H185" s="375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  <c r="S185" s="375"/>
      <c r="T185" s="375"/>
    </row>
    <row r="186" spans="2:20">
      <c r="B186" s="375"/>
      <c r="C186" s="375"/>
      <c r="D186" s="375"/>
      <c r="E186" s="375"/>
      <c r="F186" s="375"/>
      <c r="G186" s="375"/>
      <c r="H186" s="375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  <c r="S186" s="375"/>
      <c r="T186" s="375"/>
    </row>
    <row r="187" spans="2:20">
      <c r="B187" s="375"/>
      <c r="C187" s="375"/>
      <c r="D187" s="375"/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  <c r="S187" s="375"/>
      <c r="T187" s="375"/>
    </row>
    <row r="188" spans="2:20">
      <c r="B188" s="375"/>
      <c r="C188" s="375"/>
      <c r="D188" s="375"/>
      <c r="E188" s="375"/>
      <c r="F188" s="375"/>
      <c r="G188" s="375"/>
      <c r="H188" s="375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  <c r="S188" s="375"/>
      <c r="T188" s="375"/>
    </row>
    <row r="189" spans="2:20">
      <c r="B189" s="375"/>
      <c r="C189" s="375"/>
      <c r="D189" s="375"/>
      <c r="E189" s="375"/>
      <c r="F189" s="375"/>
      <c r="G189" s="375"/>
      <c r="H189" s="375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  <c r="S189" s="375"/>
      <c r="T189" s="375"/>
    </row>
    <row r="190" spans="2:20">
      <c r="B190" s="375"/>
      <c r="C190" s="375"/>
      <c r="D190" s="375"/>
      <c r="E190" s="375"/>
      <c r="F190" s="375"/>
      <c r="G190" s="375"/>
      <c r="H190" s="375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  <c r="S190" s="375"/>
      <c r="T190" s="375"/>
    </row>
    <row r="191" spans="2:20">
      <c r="B191" s="375"/>
      <c r="C191" s="375"/>
      <c r="D191" s="375"/>
      <c r="E191" s="375"/>
      <c r="F191" s="375"/>
      <c r="G191" s="375"/>
      <c r="H191" s="375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  <c r="S191" s="375"/>
      <c r="T191" s="375"/>
    </row>
    <row r="192" spans="2:20">
      <c r="B192" s="375"/>
      <c r="C192" s="375"/>
      <c r="D192" s="375"/>
      <c r="E192" s="375"/>
      <c r="F192" s="375"/>
      <c r="G192" s="375"/>
      <c r="H192" s="375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  <c r="S192" s="375"/>
      <c r="T192" s="375"/>
    </row>
    <row r="193" spans="2:20">
      <c r="B193" s="375"/>
      <c r="C193" s="375"/>
      <c r="D193" s="375"/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  <c r="S193" s="375"/>
      <c r="T193" s="375"/>
    </row>
    <row r="194" spans="2:20">
      <c r="B194" s="375"/>
      <c r="C194" s="375"/>
      <c r="D194" s="375"/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  <c r="S194" s="375"/>
      <c r="T194" s="375"/>
    </row>
    <row r="195" spans="2:20">
      <c r="B195" s="375"/>
      <c r="C195" s="375"/>
      <c r="D195" s="375"/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  <c r="S195" s="375"/>
      <c r="T195" s="375"/>
    </row>
    <row r="196" spans="2:20">
      <c r="B196" s="375"/>
      <c r="C196" s="375"/>
      <c r="D196" s="375"/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  <c r="S196" s="375"/>
      <c r="T196" s="375"/>
    </row>
    <row r="197" spans="2:20">
      <c r="B197" s="375"/>
      <c r="C197" s="375"/>
      <c r="D197" s="375"/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  <c r="S197" s="375"/>
      <c r="T197" s="375"/>
    </row>
    <row r="198" spans="2:20">
      <c r="B198" s="375"/>
      <c r="C198" s="375"/>
      <c r="D198" s="375"/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  <c r="S198" s="375"/>
      <c r="T198" s="375"/>
    </row>
    <row r="199" spans="2:20">
      <c r="B199" s="375"/>
      <c r="C199" s="375"/>
      <c r="D199" s="375"/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  <c r="S199" s="375"/>
      <c r="T199" s="375"/>
    </row>
    <row r="200" spans="2:20">
      <c r="B200" s="375"/>
      <c r="C200" s="375"/>
      <c r="D200" s="375"/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  <c r="S200" s="375"/>
      <c r="T200" s="375"/>
    </row>
    <row r="201" spans="2:20">
      <c r="B201" s="375"/>
      <c r="C201" s="375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5"/>
      <c r="T201" s="375"/>
    </row>
    <row r="202" spans="2:20">
      <c r="B202" s="375"/>
      <c r="C202" s="375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5"/>
      <c r="T202" s="375"/>
    </row>
    <row r="203" spans="2:20">
      <c r="B203" s="375"/>
      <c r="C203" s="375"/>
      <c r="D203" s="375"/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  <c r="S203" s="375"/>
      <c r="T203" s="375"/>
    </row>
    <row r="204" spans="2:20">
      <c r="B204" s="375"/>
      <c r="C204" s="375"/>
      <c r="D204" s="375"/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  <c r="S204" s="375"/>
      <c r="T204" s="375"/>
    </row>
    <row r="205" spans="2:20">
      <c r="B205" s="375"/>
      <c r="C205" s="375"/>
      <c r="D205" s="375"/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  <c r="S205" s="375"/>
      <c r="T205" s="375"/>
    </row>
    <row r="206" spans="2:20">
      <c r="B206" s="375"/>
      <c r="C206" s="375"/>
      <c r="D206" s="375"/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  <c r="S206" s="375"/>
      <c r="T206" s="375"/>
    </row>
    <row r="207" spans="2:20">
      <c r="B207" s="375"/>
      <c r="C207" s="375"/>
      <c r="D207" s="375"/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  <c r="S207" s="375"/>
      <c r="T207" s="375"/>
    </row>
    <row r="208" spans="2:20">
      <c r="B208" s="375"/>
      <c r="C208" s="375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5"/>
      <c r="T208" s="375"/>
    </row>
    <row r="209" spans="2:20">
      <c r="B209" s="375"/>
      <c r="C209" s="375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5"/>
      <c r="T209" s="375"/>
    </row>
    <row r="210" spans="2:20">
      <c r="B210" s="375"/>
      <c r="C210" s="375"/>
      <c r="D210" s="375"/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  <c r="S210" s="375"/>
      <c r="T210" s="375"/>
    </row>
    <row r="211" spans="2:20">
      <c r="B211" s="375"/>
      <c r="C211" s="375"/>
      <c r="D211" s="375"/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  <c r="S211" s="375"/>
      <c r="T211" s="375"/>
    </row>
    <row r="212" spans="2:20">
      <c r="B212" s="375"/>
      <c r="C212" s="375"/>
      <c r="D212" s="375"/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  <c r="S212" s="375"/>
      <c r="T212" s="375"/>
    </row>
    <row r="213" spans="2:20">
      <c r="B213" s="375"/>
      <c r="C213" s="375"/>
      <c r="D213" s="375"/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  <c r="S213" s="375"/>
      <c r="T213" s="375"/>
    </row>
    <row r="214" spans="2:20">
      <c r="B214" s="375"/>
      <c r="C214" s="375"/>
      <c r="D214" s="375"/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  <c r="S214" s="375"/>
      <c r="T214" s="375"/>
    </row>
    <row r="215" spans="2:20">
      <c r="B215" s="375"/>
      <c r="C215" s="375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5"/>
      <c r="T215" s="375"/>
    </row>
    <row r="216" spans="2:20">
      <c r="B216" s="375"/>
      <c r="C216" s="375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5"/>
      <c r="T216" s="375"/>
    </row>
    <row r="217" spans="2:20">
      <c r="B217" s="375"/>
      <c r="C217" s="375"/>
      <c r="D217" s="375"/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  <c r="S217" s="375"/>
      <c r="T217" s="375"/>
    </row>
    <row r="218" spans="2:20">
      <c r="B218" s="375"/>
      <c r="C218" s="375"/>
      <c r="D218" s="375"/>
      <c r="E218" s="375"/>
      <c r="F218" s="375"/>
      <c r="G218" s="375"/>
      <c r="H218" s="375"/>
      <c r="I218" s="375"/>
      <c r="J218" s="375"/>
      <c r="K218" s="375"/>
      <c r="L218" s="375"/>
      <c r="M218" s="375"/>
      <c r="N218" s="375"/>
      <c r="O218" s="375"/>
      <c r="P218" s="375"/>
      <c r="Q218" s="375"/>
      <c r="R218" s="375"/>
      <c r="S218" s="375"/>
      <c r="T218" s="375"/>
    </row>
    <row r="219" spans="2:20">
      <c r="B219" s="375"/>
      <c r="C219" s="375"/>
      <c r="D219" s="375"/>
      <c r="E219" s="375"/>
      <c r="F219" s="375"/>
      <c r="G219" s="375"/>
      <c r="H219" s="375"/>
      <c r="I219" s="375"/>
      <c r="J219" s="375"/>
      <c r="K219" s="375"/>
      <c r="L219" s="375"/>
      <c r="M219" s="375"/>
      <c r="N219" s="375"/>
      <c r="O219" s="375"/>
      <c r="P219" s="375"/>
      <c r="Q219" s="375"/>
      <c r="R219" s="375"/>
      <c r="S219" s="375"/>
      <c r="T219" s="375"/>
    </row>
    <row r="220" spans="2:20">
      <c r="B220" s="375"/>
      <c r="C220" s="375"/>
      <c r="D220" s="375"/>
      <c r="E220" s="375"/>
      <c r="F220" s="375"/>
      <c r="G220" s="375"/>
      <c r="H220" s="375"/>
      <c r="I220" s="375"/>
      <c r="J220" s="375"/>
      <c r="K220" s="375"/>
      <c r="L220" s="375"/>
      <c r="M220" s="375"/>
      <c r="N220" s="375"/>
      <c r="O220" s="375"/>
      <c r="P220" s="375"/>
      <c r="Q220" s="375"/>
      <c r="R220" s="375"/>
      <c r="S220" s="375"/>
      <c r="T220" s="375"/>
    </row>
    <row r="221" spans="2:20">
      <c r="B221" s="375"/>
      <c r="C221" s="375"/>
      <c r="D221" s="375"/>
      <c r="E221" s="375"/>
      <c r="F221" s="375"/>
      <c r="G221" s="375"/>
      <c r="H221" s="375"/>
      <c r="I221" s="375"/>
      <c r="J221" s="375"/>
      <c r="K221" s="375"/>
      <c r="L221" s="375"/>
      <c r="M221" s="375"/>
      <c r="N221" s="375"/>
      <c r="O221" s="375"/>
      <c r="P221" s="375"/>
      <c r="Q221" s="375"/>
      <c r="R221" s="375"/>
      <c r="S221" s="375"/>
      <c r="T221" s="375"/>
    </row>
    <row r="222" spans="2:20">
      <c r="B222" s="375"/>
      <c r="C222" s="375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5"/>
      <c r="T222" s="375"/>
    </row>
    <row r="223" spans="2:20">
      <c r="B223" s="375"/>
      <c r="C223" s="375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5"/>
      <c r="T223" s="375"/>
    </row>
    <row r="224" spans="2:20">
      <c r="B224" s="375"/>
      <c r="C224" s="375"/>
      <c r="D224" s="375"/>
      <c r="E224" s="375"/>
      <c r="F224" s="375"/>
      <c r="G224" s="375"/>
      <c r="H224" s="375"/>
      <c r="I224" s="375"/>
      <c r="J224" s="375"/>
      <c r="K224" s="375"/>
      <c r="L224" s="375"/>
      <c r="M224" s="375"/>
      <c r="N224" s="375"/>
      <c r="O224" s="375"/>
      <c r="P224" s="375"/>
      <c r="Q224" s="375"/>
      <c r="R224" s="375"/>
      <c r="S224" s="375"/>
      <c r="T224" s="375"/>
    </row>
    <row r="225" spans="2:20">
      <c r="B225" s="375"/>
      <c r="C225" s="375"/>
      <c r="D225" s="375"/>
      <c r="E225" s="375"/>
      <c r="F225" s="375"/>
      <c r="G225" s="375"/>
      <c r="H225" s="375"/>
      <c r="I225" s="375"/>
      <c r="J225" s="375"/>
      <c r="K225" s="375"/>
      <c r="L225" s="375"/>
      <c r="M225" s="375"/>
      <c r="N225" s="375"/>
      <c r="O225" s="375"/>
      <c r="P225" s="375"/>
      <c r="Q225" s="375"/>
      <c r="R225" s="375"/>
      <c r="S225" s="375"/>
      <c r="T225" s="375"/>
    </row>
    <row r="226" spans="2:20">
      <c r="B226" s="375"/>
      <c r="C226" s="375"/>
      <c r="D226" s="375"/>
      <c r="E226" s="375"/>
      <c r="F226" s="375"/>
      <c r="G226" s="375"/>
      <c r="H226" s="375"/>
      <c r="I226" s="375"/>
      <c r="J226" s="375"/>
      <c r="K226" s="375"/>
      <c r="L226" s="375"/>
      <c r="M226" s="375"/>
      <c r="N226" s="375"/>
      <c r="O226" s="375"/>
      <c r="P226" s="375"/>
      <c r="Q226" s="375"/>
      <c r="R226" s="375"/>
      <c r="S226" s="375"/>
      <c r="T226" s="375"/>
    </row>
    <row r="227" spans="2:20">
      <c r="B227" s="375"/>
      <c r="C227" s="375"/>
      <c r="D227" s="375"/>
      <c r="E227" s="375"/>
      <c r="F227" s="375"/>
      <c r="G227" s="375"/>
      <c r="H227" s="375"/>
      <c r="I227" s="375"/>
      <c r="J227" s="375"/>
      <c r="K227" s="375"/>
      <c r="L227" s="375"/>
      <c r="M227" s="375"/>
      <c r="N227" s="375"/>
      <c r="O227" s="375"/>
      <c r="P227" s="375"/>
      <c r="Q227" s="375"/>
      <c r="R227" s="375"/>
      <c r="S227" s="375"/>
      <c r="T227" s="375"/>
    </row>
    <row r="228" spans="2:20">
      <c r="B228" s="375"/>
      <c r="C228" s="375"/>
      <c r="D228" s="375"/>
      <c r="E228" s="375"/>
      <c r="F228" s="375"/>
      <c r="G228" s="375"/>
      <c r="H228" s="375"/>
      <c r="I228" s="375"/>
      <c r="J228" s="375"/>
      <c r="K228" s="375"/>
      <c r="L228" s="375"/>
      <c r="M228" s="375"/>
      <c r="N228" s="375"/>
      <c r="O228" s="375"/>
      <c r="P228" s="375"/>
      <c r="Q228" s="375"/>
      <c r="R228" s="375"/>
      <c r="S228" s="375"/>
      <c r="T228" s="375"/>
    </row>
    <row r="229" spans="2:20">
      <c r="B229" s="375"/>
      <c r="C229" s="375"/>
      <c r="D229" s="375"/>
      <c r="E229" s="375"/>
      <c r="F229" s="375"/>
      <c r="G229" s="375"/>
      <c r="H229" s="375"/>
      <c r="I229" s="375"/>
      <c r="J229" s="375"/>
      <c r="K229" s="375"/>
      <c r="L229" s="375"/>
      <c r="M229" s="375"/>
      <c r="N229" s="375"/>
      <c r="O229" s="375"/>
      <c r="P229" s="375"/>
      <c r="Q229" s="375"/>
      <c r="R229" s="375"/>
      <c r="S229" s="375"/>
      <c r="T229" s="375"/>
    </row>
    <row r="230" spans="2:20">
      <c r="B230" s="375"/>
      <c r="C230" s="375"/>
      <c r="D230" s="375"/>
      <c r="E230" s="375"/>
      <c r="F230" s="375"/>
      <c r="G230" s="375"/>
      <c r="H230" s="375"/>
      <c r="I230" s="375"/>
      <c r="J230" s="375"/>
      <c r="K230" s="375"/>
      <c r="L230" s="375"/>
      <c r="M230" s="375"/>
      <c r="N230" s="375"/>
      <c r="O230" s="375"/>
      <c r="P230" s="375"/>
      <c r="Q230" s="375"/>
      <c r="R230" s="375"/>
      <c r="S230" s="375"/>
      <c r="T230" s="375"/>
    </row>
    <row r="231" spans="2:20">
      <c r="B231" s="375"/>
      <c r="C231" s="375"/>
      <c r="D231" s="375"/>
      <c r="E231" s="375"/>
      <c r="F231" s="375"/>
      <c r="G231" s="375"/>
      <c r="H231" s="375"/>
      <c r="I231" s="375"/>
      <c r="J231" s="375"/>
      <c r="K231" s="375"/>
      <c r="L231" s="375"/>
      <c r="M231" s="375"/>
      <c r="N231" s="375"/>
      <c r="O231" s="375"/>
      <c r="P231" s="375"/>
      <c r="Q231" s="375"/>
      <c r="R231" s="375"/>
      <c r="S231" s="375"/>
      <c r="T231" s="375"/>
    </row>
    <row r="232" spans="2:20">
      <c r="B232" s="375"/>
      <c r="C232" s="375"/>
      <c r="D232" s="375"/>
      <c r="E232" s="375"/>
      <c r="F232" s="375"/>
      <c r="G232" s="375"/>
      <c r="H232" s="375"/>
      <c r="I232" s="375"/>
      <c r="J232" s="375"/>
      <c r="K232" s="375"/>
      <c r="L232" s="375"/>
      <c r="M232" s="375"/>
      <c r="N232" s="375"/>
      <c r="O232" s="375"/>
      <c r="P232" s="375"/>
      <c r="Q232" s="375"/>
      <c r="R232" s="375"/>
      <c r="S232" s="375"/>
      <c r="T232" s="375"/>
    </row>
    <row r="233" spans="2:20">
      <c r="B233" s="375"/>
      <c r="C233" s="375"/>
      <c r="D233" s="375"/>
      <c r="E233" s="375"/>
      <c r="F233" s="375"/>
      <c r="G233" s="375"/>
      <c r="H233" s="375"/>
      <c r="I233" s="375"/>
      <c r="J233" s="375"/>
      <c r="K233" s="375"/>
      <c r="L233" s="375"/>
      <c r="M233" s="375"/>
      <c r="N233" s="375"/>
      <c r="O233" s="375"/>
      <c r="P233" s="375"/>
      <c r="Q233" s="375"/>
      <c r="R233" s="375"/>
      <c r="S233" s="375"/>
      <c r="T233" s="375"/>
    </row>
    <row r="234" spans="2:20">
      <c r="B234" s="375"/>
      <c r="C234" s="375"/>
      <c r="D234" s="375"/>
      <c r="E234" s="375"/>
      <c r="F234" s="375"/>
      <c r="G234" s="375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5"/>
    </row>
    <row r="235" spans="2:20">
      <c r="B235" s="375"/>
      <c r="C235" s="375"/>
      <c r="D235" s="375"/>
      <c r="E235" s="375"/>
      <c r="F235" s="375"/>
      <c r="G235" s="375"/>
      <c r="H235" s="375"/>
      <c r="I235" s="375"/>
      <c r="J235" s="375"/>
      <c r="K235" s="375"/>
      <c r="L235" s="375"/>
      <c r="M235" s="375"/>
      <c r="N235" s="375"/>
      <c r="O235" s="375"/>
      <c r="P235" s="375"/>
      <c r="Q235" s="375"/>
      <c r="R235" s="375"/>
      <c r="S235" s="375"/>
      <c r="T235" s="375"/>
    </row>
    <row r="236" spans="2:20">
      <c r="B236" s="375"/>
      <c r="C236" s="375"/>
      <c r="D236" s="375"/>
      <c r="E236" s="375"/>
      <c r="F236" s="375"/>
      <c r="G236" s="375"/>
      <c r="H236" s="375"/>
      <c r="I236" s="375"/>
      <c r="J236" s="375"/>
      <c r="K236" s="375"/>
      <c r="L236" s="375"/>
      <c r="M236" s="375"/>
      <c r="N236" s="375"/>
      <c r="O236" s="375"/>
      <c r="P236" s="375"/>
      <c r="Q236" s="375"/>
      <c r="R236" s="375"/>
      <c r="S236" s="375"/>
      <c r="T236" s="375"/>
    </row>
    <row r="237" spans="2:20">
      <c r="B237" s="375"/>
      <c r="C237" s="375"/>
      <c r="D237" s="375"/>
      <c r="E237" s="375"/>
      <c r="F237" s="375"/>
      <c r="G237" s="375"/>
      <c r="H237" s="375"/>
      <c r="I237" s="375"/>
      <c r="J237" s="375"/>
      <c r="K237" s="375"/>
      <c r="L237" s="375"/>
      <c r="M237" s="375"/>
      <c r="N237" s="375"/>
      <c r="O237" s="375"/>
      <c r="P237" s="375"/>
      <c r="Q237" s="375"/>
      <c r="R237" s="375"/>
      <c r="S237" s="375"/>
      <c r="T237" s="375"/>
    </row>
    <row r="238" spans="2:20">
      <c r="B238" s="375"/>
      <c r="C238" s="375"/>
      <c r="D238" s="375"/>
      <c r="E238" s="375"/>
      <c r="F238" s="375"/>
      <c r="G238" s="375"/>
      <c r="H238" s="375"/>
      <c r="I238" s="375"/>
      <c r="J238" s="375"/>
      <c r="K238" s="375"/>
      <c r="L238" s="375"/>
      <c r="M238" s="375"/>
      <c r="N238" s="375"/>
      <c r="O238" s="375"/>
      <c r="P238" s="375"/>
      <c r="Q238" s="375"/>
      <c r="R238" s="375"/>
      <c r="S238" s="375"/>
      <c r="T238" s="375"/>
    </row>
    <row r="239" spans="2:20">
      <c r="B239" s="375"/>
      <c r="C239" s="375"/>
      <c r="D239" s="375"/>
      <c r="E239" s="375"/>
      <c r="F239" s="375"/>
      <c r="G239" s="375"/>
      <c r="H239" s="375"/>
      <c r="I239" s="375"/>
      <c r="J239" s="375"/>
      <c r="K239" s="375"/>
      <c r="L239" s="375"/>
      <c r="M239" s="375"/>
      <c r="N239" s="375"/>
      <c r="O239" s="375"/>
      <c r="P239" s="375"/>
      <c r="Q239" s="375"/>
      <c r="R239" s="375"/>
      <c r="S239" s="375"/>
      <c r="T239" s="375"/>
    </row>
    <row r="240" spans="2:20">
      <c r="B240" s="375"/>
      <c r="C240" s="375"/>
      <c r="D240" s="375"/>
      <c r="E240" s="375"/>
      <c r="F240" s="375"/>
      <c r="G240" s="375"/>
      <c r="H240" s="375"/>
      <c r="I240" s="375"/>
      <c r="J240" s="375"/>
      <c r="K240" s="375"/>
      <c r="L240" s="375"/>
      <c r="M240" s="375"/>
      <c r="N240" s="375"/>
      <c r="O240" s="375"/>
      <c r="P240" s="375"/>
      <c r="Q240" s="375"/>
      <c r="R240" s="375"/>
      <c r="S240" s="375"/>
      <c r="T240" s="375"/>
    </row>
    <row r="241" spans="2:20">
      <c r="B241" s="375"/>
      <c r="C241" s="375"/>
      <c r="D241" s="375"/>
      <c r="E241" s="375"/>
      <c r="F241" s="375"/>
      <c r="G241" s="375"/>
      <c r="H241" s="375"/>
      <c r="I241" s="375"/>
      <c r="J241" s="375"/>
      <c r="K241" s="375"/>
      <c r="L241" s="375"/>
      <c r="M241" s="375"/>
      <c r="N241" s="375"/>
      <c r="O241" s="375"/>
      <c r="P241" s="375"/>
      <c r="Q241" s="375"/>
      <c r="R241" s="375"/>
      <c r="S241" s="375"/>
      <c r="T241" s="375"/>
    </row>
    <row r="242" spans="2:20">
      <c r="B242" s="375"/>
      <c r="C242" s="375"/>
      <c r="D242" s="375"/>
      <c r="E242" s="375"/>
      <c r="F242" s="375"/>
      <c r="G242" s="375"/>
      <c r="H242" s="375"/>
      <c r="I242" s="375"/>
      <c r="J242" s="375"/>
      <c r="K242" s="375"/>
      <c r="L242" s="375"/>
      <c r="M242" s="375"/>
      <c r="N242" s="375"/>
      <c r="O242" s="375"/>
      <c r="P242" s="375"/>
      <c r="Q242" s="375"/>
      <c r="R242" s="375"/>
      <c r="S242" s="375"/>
      <c r="T242" s="375"/>
    </row>
    <row r="243" spans="2:20">
      <c r="B243" s="375"/>
      <c r="C243" s="375"/>
      <c r="D243" s="375"/>
      <c r="E243" s="375"/>
      <c r="F243" s="375"/>
      <c r="G243" s="375"/>
      <c r="H243" s="375"/>
      <c r="I243" s="375"/>
      <c r="J243" s="375"/>
      <c r="K243" s="375"/>
      <c r="L243" s="375"/>
      <c r="M243" s="375"/>
      <c r="N243" s="375"/>
      <c r="O243" s="375"/>
      <c r="P243" s="375"/>
      <c r="Q243" s="375"/>
      <c r="R243" s="375"/>
      <c r="S243" s="375"/>
      <c r="T243" s="375"/>
    </row>
    <row r="244" spans="2:20">
      <c r="B244" s="375"/>
      <c r="C244" s="375"/>
      <c r="D244" s="375"/>
      <c r="E244" s="375"/>
      <c r="F244" s="375"/>
      <c r="G244" s="375"/>
      <c r="H244" s="375"/>
      <c r="I244" s="375"/>
      <c r="J244" s="375"/>
      <c r="K244" s="375"/>
      <c r="L244" s="375"/>
      <c r="M244" s="375"/>
      <c r="N244" s="375"/>
      <c r="O244" s="375"/>
      <c r="P244" s="375"/>
      <c r="Q244" s="375"/>
      <c r="R244" s="375"/>
      <c r="S244" s="375"/>
      <c r="T244" s="375"/>
    </row>
    <row r="245" spans="2:20">
      <c r="B245" s="375"/>
      <c r="C245" s="375"/>
      <c r="D245" s="375"/>
      <c r="E245" s="375"/>
      <c r="F245" s="375"/>
      <c r="G245" s="375"/>
      <c r="H245" s="375"/>
      <c r="I245" s="375"/>
      <c r="J245" s="375"/>
      <c r="K245" s="375"/>
      <c r="L245" s="375"/>
      <c r="M245" s="375"/>
      <c r="N245" s="375"/>
      <c r="O245" s="375"/>
      <c r="P245" s="375"/>
      <c r="Q245" s="375"/>
      <c r="R245" s="375"/>
      <c r="S245" s="375"/>
      <c r="T245" s="375"/>
    </row>
    <row r="246" spans="2:20">
      <c r="B246" s="375"/>
      <c r="C246" s="375"/>
      <c r="D246" s="375"/>
      <c r="E246" s="375"/>
      <c r="F246" s="375"/>
      <c r="G246" s="375"/>
      <c r="H246" s="375"/>
      <c r="I246" s="375"/>
      <c r="J246" s="375"/>
      <c r="K246" s="375"/>
      <c r="L246" s="375"/>
      <c r="M246" s="375"/>
      <c r="N246" s="375"/>
      <c r="O246" s="375"/>
      <c r="P246" s="375"/>
      <c r="Q246" s="375"/>
      <c r="R246" s="375"/>
      <c r="S246" s="375"/>
      <c r="T246" s="375"/>
    </row>
    <row r="247" spans="2:20">
      <c r="B247" s="375"/>
      <c r="C247" s="375"/>
      <c r="D247" s="375"/>
      <c r="E247" s="375"/>
      <c r="F247" s="375"/>
      <c r="G247" s="375"/>
      <c r="H247" s="375"/>
      <c r="I247" s="375"/>
      <c r="J247" s="375"/>
      <c r="K247" s="375"/>
      <c r="L247" s="375"/>
      <c r="M247" s="375"/>
      <c r="N247" s="375"/>
      <c r="O247" s="375"/>
      <c r="P247" s="375"/>
      <c r="Q247" s="375"/>
      <c r="R247" s="375"/>
      <c r="S247" s="375"/>
      <c r="T247" s="375"/>
    </row>
    <row r="248" spans="2:20">
      <c r="B248" s="375"/>
      <c r="C248" s="375"/>
      <c r="D248" s="375"/>
      <c r="E248" s="375"/>
      <c r="F248" s="375"/>
      <c r="G248" s="375"/>
      <c r="H248" s="375"/>
      <c r="I248" s="375"/>
      <c r="J248" s="375"/>
      <c r="K248" s="375"/>
      <c r="L248" s="375"/>
      <c r="M248" s="375"/>
      <c r="N248" s="375"/>
      <c r="O248" s="375"/>
      <c r="P248" s="375"/>
      <c r="Q248" s="375"/>
      <c r="R248" s="375"/>
      <c r="S248" s="375"/>
      <c r="T248" s="375"/>
    </row>
    <row r="249" spans="2:20">
      <c r="B249" s="375"/>
      <c r="C249" s="375"/>
      <c r="D249" s="375"/>
      <c r="E249" s="375"/>
      <c r="F249" s="375"/>
      <c r="G249" s="375"/>
      <c r="H249" s="375"/>
      <c r="I249" s="375"/>
      <c r="J249" s="375"/>
      <c r="K249" s="375"/>
      <c r="L249" s="375"/>
      <c r="M249" s="375"/>
      <c r="N249" s="375"/>
      <c r="O249" s="375"/>
      <c r="P249" s="375"/>
      <c r="Q249" s="375"/>
      <c r="R249" s="375"/>
      <c r="S249" s="375"/>
      <c r="T249" s="375"/>
    </row>
    <row r="250" spans="2:20">
      <c r="B250" s="375"/>
      <c r="C250" s="375"/>
      <c r="D250" s="375"/>
      <c r="E250" s="375"/>
      <c r="F250" s="375"/>
      <c r="G250" s="375"/>
      <c r="H250" s="375"/>
      <c r="I250" s="375"/>
      <c r="J250" s="375"/>
      <c r="K250" s="375"/>
      <c r="L250" s="375"/>
      <c r="M250" s="375"/>
      <c r="N250" s="375"/>
      <c r="O250" s="375"/>
      <c r="P250" s="375"/>
      <c r="Q250" s="375"/>
      <c r="R250" s="375"/>
      <c r="S250" s="375"/>
      <c r="T250" s="375"/>
    </row>
    <row r="251" spans="2:20">
      <c r="B251" s="375"/>
      <c r="C251" s="375"/>
      <c r="D251" s="375"/>
      <c r="E251" s="375"/>
      <c r="F251" s="375"/>
      <c r="G251" s="375"/>
      <c r="H251" s="375"/>
      <c r="I251" s="375"/>
      <c r="J251" s="375"/>
      <c r="K251" s="375"/>
      <c r="L251" s="375"/>
      <c r="M251" s="375"/>
      <c r="N251" s="375"/>
      <c r="O251" s="375"/>
      <c r="P251" s="375"/>
      <c r="Q251" s="375"/>
      <c r="R251" s="375"/>
      <c r="S251" s="375"/>
      <c r="T251" s="375"/>
    </row>
    <row r="252" spans="2:20">
      <c r="B252" s="375"/>
      <c r="C252" s="375"/>
      <c r="D252" s="375"/>
      <c r="E252" s="375"/>
      <c r="F252" s="375"/>
      <c r="G252" s="375"/>
      <c r="H252" s="375"/>
      <c r="I252" s="375"/>
      <c r="J252" s="375"/>
      <c r="K252" s="375"/>
      <c r="L252" s="375"/>
      <c r="M252" s="375"/>
      <c r="N252" s="375"/>
      <c r="O252" s="375"/>
      <c r="P252" s="375"/>
      <c r="Q252" s="375"/>
      <c r="R252" s="375"/>
      <c r="S252" s="375"/>
      <c r="T252" s="375"/>
    </row>
    <row r="253" spans="2:20">
      <c r="B253" s="375"/>
      <c r="C253" s="375"/>
      <c r="D253" s="375"/>
      <c r="E253" s="375"/>
      <c r="F253" s="375"/>
      <c r="G253" s="375"/>
      <c r="H253" s="375"/>
      <c r="I253" s="375"/>
      <c r="J253" s="375"/>
      <c r="K253" s="375"/>
      <c r="L253" s="375"/>
      <c r="M253" s="375"/>
      <c r="N253" s="375"/>
      <c r="O253" s="375"/>
      <c r="P253" s="375"/>
      <c r="Q253" s="375"/>
      <c r="R253" s="375"/>
      <c r="S253" s="375"/>
      <c r="T253" s="375"/>
    </row>
    <row r="254" spans="2:20">
      <c r="B254" s="375"/>
      <c r="C254" s="375"/>
      <c r="D254" s="375"/>
      <c r="E254" s="375"/>
      <c r="F254" s="375"/>
      <c r="G254" s="375"/>
      <c r="H254" s="375"/>
      <c r="I254" s="375"/>
      <c r="J254" s="375"/>
      <c r="K254" s="375"/>
      <c r="L254" s="375"/>
      <c r="M254" s="375"/>
      <c r="N254" s="375"/>
      <c r="O254" s="375"/>
      <c r="P254" s="375"/>
      <c r="Q254" s="375"/>
      <c r="R254" s="375"/>
      <c r="S254" s="375"/>
      <c r="T254" s="375"/>
    </row>
    <row r="255" spans="2:20">
      <c r="B255" s="375"/>
      <c r="C255" s="375"/>
      <c r="D255" s="375"/>
      <c r="E255" s="375"/>
      <c r="F255" s="375"/>
      <c r="G255" s="375"/>
      <c r="H255" s="375"/>
      <c r="I255" s="375"/>
      <c r="J255" s="375"/>
      <c r="K255" s="375"/>
      <c r="L255" s="375"/>
      <c r="M255" s="375"/>
      <c r="N255" s="375"/>
      <c r="O255" s="375"/>
      <c r="P255" s="375"/>
      <c r="Q255" s="375"/>
      <c r="R255" s="375"/>
      <c r="S255" s="375"/>
      <c r="T255" s="375"/>
    </row>
    <row r="256" spans="2:20">
      <c r="B256" s="375"/>
      <c r="C256" s="375"/>
      <c r="D256" s="375"/>
      <c r="E256" s="375"/>
      <c r="F256" s="375"/>
      <c r="G256" s="375"/>
      <c r="H256" s="375"/>
      <c r="I256" s="375"/>
      <c r="J256" s="375"/>
      <c r="K256" s="375"/>
      <c r="L256" s="375"/>
      <c r="M256" s="375"/>
      <c r="N256" s="375"/>
      <c r="O256" s="375"/>
      <c r="P256" s="375"/>
      <c r="Q256" s="375"/>
      <c r="R256" s="375"/>
      <c r="S256" s="375"/>
      <c r="T256" s="375"/>
    </row>
    <row r="257" spans="2:20">
      <c r="B257" s="375"/>
      <c r="C257" s="375"/>
      <c r="D257" s="375"/>
      <c r="E257" s="375"/>
      <c r="F257" s="375"/>
      <c r="G257" s="375"/>
      <c r="H257" s="375"/>
      <c r="I257" s="375"/>
      <c r="J257" s="375"/>
      <c r="K257" s="375"/>
      <c r="L257" s="375"/>
      <c r="M257" s="375"/>
      <c r="N257" s="375"/>
      <c r="O257" s="375"/>
      <c r="P257" s="375"/>
      <c r="Q257" s="375"/>
      <c r="R257" s="375"/>
      <c r="S257" s="375"/>
      <c r="T257" s="375"/>
    </row>
    <row r="258" spans="2:20">
      <c r="B258" s="375"/>
      <c r="C258" s="375"/>
      <c r="D258" s="375"/>
      <c r="E258" s="375"/>
      <c r="F258" s="375"/>
      <c r="G258" s="375"/>
      <c r="H258" s="375"/>
      <c r="I258" s="375"/>
      <c r="J258" s="375"/>
      <c r="K258" s="375"/>
      <c r="L258" s="375"/>
      <c r="M258" s="375"/>
      <c r="N258" s="375"/>
      <c r="O258" s="375"/>
      <c r="P258" s="375"/>
      <c r="Q258" s="375"/>
      <c r="R258" s="375"/>
      <c r="S258" s="375"/>
      <c r="T258" s="375"/>
    </row>
    <row r="259" spans="2:20">
      <c r="B259" s="375"/>
      <c r="C259" s="375"/>
      <c r="D259" s="375"/>
      <c r="E259" s="375"/>
      <c r="F259" s="375"/>
      <c r="G259" s="375"/>
      <c r="H259" s="375"/>
      <c r="I259" s="375"/>
      <c r="J259" s="375"/>
      <c r="K259" s="375"/>
      <c r="L259" s="375"/>
      <c r="M259" s="375"/>
      <c r="N259" s="375"/>
      <c r="O259" s="375"/>
      <c r="P259" s="375"/>
      <c r="Q259" s="375"/>
      <c r="R259" s="375"/>
      <c r="S259" s="375"/>
      <c r="T259" s="375"/>
    </row>
    <row r="260" spans="2:20">
      <c r="B260" s="375"/>
      <c r="C260" s="375"/>
      <c r="D260" s="375"/>
      <c r="E260" s="375"/>
      <c r="F260" s="375"/>
      <c r="G260" s="375"/>
      <c r="H260" s="375"/>
      <c r="I260" s="375"/>
      <c r="J260" s="375"/>
      <c r="K260" s="375"/>
      <c r="L260" s="375"/>
      <c r="M260" s="375"/>
      <c r="N260" s="375"/>
      <c r="O260" s="375"/>
      <c r="P260" s="375"/>
      <c r="Q260" s="375"/>
      <c r="R260" s="375"/>
      <c r="S260" s="375"/>
      <c r="T260" s="375"/>
    </row>
    <row r="261" spans="2:20">
      <c r="B261" s="375"/>
      <c r="C261" s="375"/>
      <c r="D261" s="375"/>
      <c r="E261" s="375"/>
      <c r="F261" s="375"/>
      <c r="G261" s="375"/>
      <c r="H261" s="375"/>
      <c r="I261" s="375"/>
      <c r="J261" s="375"/>
      <c r="K261" s="375"/>
      <c r="L261" s="375"/>
      <c r="M261" s="375"/>
      <c r="N261" s="375"/>
      <c r="O261" s="375"/>
      <c r="P261" s="375"/>
      <c r="Q261" s="375"/>
      <c r="R261" s="375"/>
      <c r="S261" s="375"/>
      <c r="T261" s="375"/>
    </row>
    <row r="262" spans="2:20">
      <c r="B262" s="375"/>
      <c r="C262" s="375"/>
      <c r="D262" s="375"/>
      <c r="E262" s="375"/>
      <c r="F262" s="375"/>
      <c r="G262" s="375"/>
      <c r="H262" s="375"/>
      <c r="I262" s="375"/>
      <c r="J262" s="375"/>
      <c r="K262" s="375"/>
      <c r="L262" s="375"/>
      <c r="M262" s="375"/>
      <c r="N262" s="375"/>
      <c r="O262" s="375"/>
      <c r="P262" s="375"/>
      <c r="Q262" s="375"/>
      <c r="R262" s="375"/>
      <c r="S262" s="375"/>
      <c r="T262" s="375"/>
    </row>
    <row r="263" spans="2:20">
      <c r="B263" s="375"/>
      <c r="C263" s="375"/>
      <c r="D263" s="375"/>
      <c r="E263" s="375"/>
      <c r="F263" s="375"/>
      <c r="G263" s="375"/>
      <c r="H263" s="375"/>
      <c r="I263" s="375"/>
      <c r="J263" s="375"/>
      <c r="K263" s="375"/>
      <c r="L263" s="375"/>
      <c r="M263" s="375"/>
      <c r="N263" s="375"/>
      <c r="O263" s="375"/>
      <c r="P263" s="375"/>
      <c r="Q263" s="375"/>
      <c r="R263" s="375"/>
      <c r="S263" s="375"/>
      <c r="T263" s="375"/>
    </row>
    <row r="264" spans="2:20">
      <c r="B264" s="375"/>
      <c r="C264" s="375"/>
      <c r="D264" s="375"/>
      <c r="E264" s="375"/>
      <c r="F264" s="375"/>
      <c r="G264" s="375"/>
      <c r="H264" s="375"/>
      <c r="I264" s="375"/>
      <c r="J264" s="375"/>
      <c r="K264" s="375"/>
      <c r="L264" s="375"/>
      <c r="M264" s="375"/>
      <c r="N264" s="375"/>
      <c r="O264" s="375"/>
      <c r="P264" s="375"/>
      <c r="Q264" s="375"/>
      <c r="R264" s="375"/>
      <c r="S264" s="375"/>
      <c r="T264" s="375"/>
    </row>
    <row r="265" spans="2:20">
      <c r="B265" s="375"/>
      <c r="C265" s="375"/>
      <c r="D265" s="375"/>
      <c r="E265" s="375"/>
      <c r="F265" s="375"/>
      <c r="G265" s="375"/>
      <c r="H265" s="375"/>
      <c r="I265" s="375"/>
      <c r="J265" s="375"/>
      <c r="K265" s="375"/>
      <c r="L265" s="375"/>
      <c r="M265" s="375"/>
      <c r="N265" s="375"/>
      <c r="O265" s="375"/>
      <c r="P265" s="375"/>
      <c r="Q265" s="375"/>
      <c r="R265" s="375"/>
      <c r="S265" s="375"/>
      <c r="T265" s="375"/>
    </row>
    <row r="266" spans="2:20">
      <c r="B266" s="375"/>
      <c r="C266" s="375"/>
      <c r="D266" s="375"/>
      <c r="E266" s="375"/>
      <c r="F266" s="375"/>
      <c r="G266" s="375"/>
      <c r="H266" s="375"/>
      <c r="I266" s="375"/>
      <c r="J266" s="375"/>
      <c r="K266" s="375"/>
      <c r="L266" s="375"/>
      <c r="M266" s="375"/>
      <c r="N266" s="375"/>
      <c r="O266" s="375"/>
      <c r="P266" s="375"/>
      <c r="Q266" s="375"/>
      <c r="R266" s="375"/>
      <c r="S266" s="375"/>
      <c r="T266" s="375"/>
    </row>
    <row r="267" spans="2:20">
      <c r="B267" s="375"/>
      <c r="C267" s="375"/>
      <c r="D267" s="375"/>
      <c r="E267" s="375"/>
      <c r="F267" s="375"/>
      <c r="G267" s="375"/>
      <c r="H267" s="375"/>
      <c r="I267" s="375"/>
      <c r="J267" s="375"/>
      <c r="K267" s="375"/>
      <c r="L267" s="375"/>
      <c r="M267" s="375"/>
      <c r="N267" s="375"/>
      <c r="O267" s="375"/>
      <c r="P267" s="375"/>
      <c r="Q267" s="375"/>
      <c r="R267" s="375"/>
      <c r="S267" s="375"/>
      <c r="T267" s="375"/>
    </row>
    <row r="268" spans="2:20">
      <c r="B268" s="375"/>
      <c r="C268" s="375"/>
      <c r="D268" s="375"/>
      <c r="E268" s="375"/>
      <c r="F268" s="375"/>
      <c r="G268" s="375"/>
      <c r="H268" s="375"/>
      <c r="I268" s="375"/>
      <c r="J268" s="375"/>
      <c r="K268" s="375"/>
      <c r="L268" s="375"/>
      <c r="M268" s="375"/>
      <c r="N268" s="375"/>
      <c r="O268" s="375"/>
      <c r="P268" s="375"/>
      <c r="Q268" s="375"/>
      <c r="R268" s="375"/>
      <c r="S268" s="375"/>
      <c r="T268" s="375"/>
    </row>
    <row r="269" spans="2:20">
      <c r="B269" s="375"/>
      <c r="C269" s="375"/>
      <c r="D269" s="375"/>
      <c r="E269" s="375"/>
      <c r="F269" s="375"/>
      <c r="G269" s="375"/>
      <c r="H269" s="375"/>
      <c r="I269" s="375"/>
      <c r="J269" s="375"/>
      <c r="K269" s="375"/>
      <c r="L269" s="375"/>
      <c r="M269" s="375"/>
      <c r="N269" s="375"/>
      <c r="O269" s="375"/>
      <c r="P269" s="375"/>
      <c r="Q269" s="375"/>
      <c r="R269" s="375"/>
      <c r="S269" s="375"/>
      <c r="T269" s="375"/>
    </row>
    <row r="270" spans="2:20">
      <c r="B270" s="375"/>
      <c r="C270" s="375"/>
      <c r="D270" s="375"/>
      <c r="E270" s="375"/>
      <c r="F270" s="375"/>
      <c r="G270" s="375"/>
      <c r="H270" s="375"/>
      <c r="I270" s="375"/>
      <c r="J270" s="375"/>
      <c r="K270" s="375"/>
      <c r="L270" s="375"/>
      <c r="M270" s="375"/>
      <c r="N270" s="375"/>
      <c r="O270" s="375"/>
      <c r="P270" s="375"/>
      <c r="Q270" s="375"/>
      <c r="R270" s="375"/>
      <c r="S270" s="375"/>
      <c r="T270" s="375"/>
    </row>
    <row r="271" spans="2:20">
      <c r="B271" s="375"/>
      <c r="C271" s="375"/>
      <c r="D271" s="375"/>
      <c r="E271" s="375"/>
      <c r="F271" s="375"/>
      <c r="G271" s="375"/>
      <c r="H271" s="375"/>
      <c r="I271" s="375"/>
      <c r="J271" s="375"/>
      <c r="K271" s="375"/>
      <c r="L271" s="375"/>
      <c r="M271" s="375"/>
      <c r="N271" s="375"/>
      <c r="O271" s="375"/>
      <c r="P271" s="375"/>
      <c r="Q271" s="375"/>
      <c r="R271" s="375"/>
      <c r="S271" s="375"/>
      <c r="T271" s="375"/>
    </row>
    <row r="272" spans="2:20">
      <c r="B272" s="375"/>
      <c r="C272" s="375"/>
      <c r="D272" s="375"/>
      <c r="E272" s="375"/>
      <c r="F272" s="375"/>
      <c r="G272" s="375"/>
      <c r="H272" s="375"/>
      <c r="I272" s="375"/>
      <c r="J272" s="375"/>
      <c r="K272" s="375"/>
      <c r="L272" s="375"/>
      <c r="M272" s="375"/>
      <c r="N272" s="375"/>
      <c r="O272" s="375"/>
      <c r="P272" s="375"/>
      <c r="Q272" s="375"/>
      <c r="R272" s="375"/>
      <c r="S272" s="375"/>
      <c r="T272" s="375"/>
    </row>
    <row r="273" spans="2:20">
      <c r="B273" s="375"/>
      <c r="C273" s="375"/>
      <c r="D273" s="375"/>
      <c r="E273" s="375"/>
      <c r="F273" s="375"/>
      <c r="G273" s="375"/>
      <c r="H273" s="375"/>
      <c r="I273" s="375"/>
      <c r="J273" s="375"/>
      <c r="K273" s="375"/>
      <c r="L273" s="375"/>
      <c r="M273" s="375"/>
      <c r="N273" s="375"/>
      <c r="O273" s="375"/>
      <c r="P273" s="375"/>
      <c r="Q273" s="375"/>
      <c r="R273" s="375"/>
      <c r="S273" s="375"/>
      <c r="T273" s="375"/>
    </row>
    <row r="274" spans="2:20">
      <c r="B274" s="375"/>
      <c r="C274" s="375"/>
      <c r="D274" s="375"/>
      <c r="E274" s="375"/>
      <c r="F274" s="375"/>
      <c r="G274" s="375"/>
      <c r="H274" s="375"/>
      <c r="I274" s="375"/>
      <c r="J274" s="375"/>
      <c r="K274" s="375"/>
      <c r="L274" s="375"/>
      <c r="M274" s="375"/>
      <c r="N274" s="375"/>
      <c r="O274" s="375"/>
      <c r="P274" s="375"/>
      <c r="Q274" s="375"/>
      <c r="R274" s="375"/>
      <c r="S274" s="375"/>
      <c r="T274" s="375"/>
    </row>
    <row r="275" spans="2:20">
      <c r="B275" s="375"/>
      <c r="C275" s="375"/>
      <c r="D275" s="375"/>
      <c r="E275" s="375"/>
      <c r="F275" s="375"/>
      <c r="G275" s="375"/>
      <c r="H275" s="375"/>
      <c r="I275" s="375"/>
      <c r="J275" s="375"/>
      <c r="K275" s="375"/>
      <c r="L275" s="375"/>
      <c r="M275" s="375"/>
      <c r="N275" s="375"/>
      <c r="O275" s="375"/>
      <c r="P275" s="375"/>
      <c r="Q275" s="375"/>
      <c r="R275" s="375"/>
      <c r="S275" s="375"/>
      <c r="T275" s="375"/>
    </row>
    <row r="276" spans="2:20">
      <c r="B276" s="375"/>
      <c r="C276" s="375"/>
      <c r="D276" s="375"/>
      <c r="E276" s="375"/>
      <c r="F276" s="375"/>
      <c r="G276" s="375"/>
      <c r="H276" s="375"/>
      <c r="I276" s="375"/>
      <c r="J276" s="375"/>
      <c r="K276" s="375"/>
      <c r="L276" s="375"/>
      <c r="M276" s="375"/>
      <c r="N276" s="375"/>
      <c r="O276" s="375"/>
      <c r="P276" s="375"/>
      <c r="Q276" s="375"/>
      <c r="R276" s="375"/>
      <c r="S276" s="375"/>
      <c r="T276" s="375"/>
    </row>
    <row r="277" spans="2:20">
      <c r="B277" s="375"/>
      <c r="C277" s="375"/>
      <c r="D277" s="375"/>
      <c r="E277" s="375"/>
      <c r="F277" s="375"/>
      <c r="G277" s="375"/>
      <c r="H277" s="375"/>
      <c r="I277" s="375"/>
      <c r="J277" s="375"/>
      <c r="K277" s="375"/>
      <c r="L277" s="375"/>
      <c r="M277" s="375"/>
      <c r="N277" s="375"/>
      <c r="O277" s="375"/>
      <c r="P277" s="375"/>
      <c r="Q277" s="375"/>
      <c r="R277" s="375"/>
      <c r="S277" s="375"/>
      <c r="T277" s="375"/>
    </row>
    <row r="278" spans="2:20">
      <c r="B278" s="375"/>
      <c r="C278" s="375"/>
      <c r="D278" s="375"/>
      <c r="E278" s="375"/>
      <c r="F278" s="375"/>
      <c r="G278" s="375"/>
      <c r="H278" s="375"/>
      <c r="I278" s="375"/>
      <c r="J278" s="375"/>
      <c r="K278" s="375"/>
      <c r="L278" s="375"/>
      <c r="M278" s="375"/>
      <c r="N278" s="375"/>
      <c r="O278" s="375"/>
      <c r="P278" s="375"/>
      <c r="Q278" s="375"/>
      <c r="R278" s="375"/>
      <c r="S278" s="375"/>
      <c r="T278" s="375"/>
    </row>
    <row r="279" spans="2:20">
      <c r="B279" s="375"/>
      <c r="C279" s="375"/>
      <c r="D279" s="375"/>
      <c r="E279" s="375"/>
      <c r="F279" s="375"/>
      <c r="G279" s="375"/>
      <c r="H279" s="375"/>
      <c r="I279" s="375"/>
      <c r="J279" s="375"/>
      <c r="K279" s="375"/>
      <c r="L279" s="375"/>
      <c r="M279" s="375"/>
      <c r="N279" s="375"/>
      <c r="O279" s="375"/>
      <c r="P279" s="375"/>
      <c r="Q279" s="375"/>
      <c r="R279" s="375"/>
      <c r="S279" s="375"/>
      <c r="T279" s="375"/>
    </row>
    <row r="280" spans="2:20">
      <c r="B280" s="375"/>
      <c r="C280" s="375"/>
      <c r="D280" s="375"/>
      <c r="E280" s="375"/>
      <c r="F280" s="375"/>
      <c r="G280" s="375"/>
      <c r="H280" s="375"/>
      <c r="I280" s="375"/>
      <c r="J280" s="375"/>
      <c r="K280" s="375"/>
      <c r="L280" s="375"/>
      <c r="M280" s="375"/>
      <c r="N280" s="375"/>
      <c r="O280" s="375"/>
      <c r="P280" s="375"/>
      <c r="Q280" s="375"/>
      <c r="R280" s="375"/>
      <c r="S280" s="375"/>
      <c r="T280" s="375"/>
    </row>
    <row r="281" spans="2:20">
      <c r="B281" s="375"/>
      <c r="C281" s="375"/>
      <c r="D281" s="375"/>
      <c r="E281" s="375"/>
      <c r="F281" s="375"/>
      <c r="G281" s="375"/>
      <c r="H281" s="375"/>
      <c r="I281" s="375"/>
      <c r="J281" s="375"/>
      <c r="K281" s="375"/>
      <c r="L281" s="375"/>
      <c r="M281" s="375"/>
      <c r="N281" s="375"/>
      <c r="O281" s="375"/>
      <c r="P281" s="375"/>
      <c r="Q281" s="375"/>
      <c r="R281" s="375"/>
      <c r="S281" s="375"/>
      <c r="T281" s="375"/>
    </row>
    <row r="282" spans="2:20">
      <c r="B282" s="375"/>
      <c r="C282" s="375"/>
      <c r="D282" s="375"/>
      <c r="E282" s="375"/>
      <c r="F282" s="375"/>
      <c r="G282" s="375"/>
      <c r="H282" s="375"/>
      <c r="I282" s="375"/>
      <c r="J282" s="375"/>
      <c r="K282" s="375"/>
      <c r="L282" s="375"/>
      <c r="M282" s="375"/>
      <c r="N282" s="375"/>
      <c r="O282" s="375"/>
      <c r="P282" s="375"/>
      <c r="Q282" s="375"/>
      <c r="R282" s="375"/>
      <c r="S282" s="375"/>
      <c r="T282" s="375"/>
    </row>
    <row r="283" spans="2:20">
      <c r="B283" s="375"/>
      <c r="C283" s="375"/>
      <c r="D283" s="375"/>
      <c r="E283" s="375"/>
      <c r="F283" s="375"/>
      <c r="G283" s="375"/>
      <c r="H283" s="375"/>
      <c r="I283" s="375"/>
      <c r="J283" s="375"/>
      <c r="K283" s="375"/>
      <c r="L283" s="375"/>
      <c r="M283" s="375"/>
      <c r="N283" s="375"/>
      <c r="O283" s="375"/>
      <c r="P283" s="375"/>
      <c r="Q283" s="375"/>
      <c r="R283" s="375"/>
      <c r="S283" s="375"/>
      <c r="T283" s="375"/>
    </row>
    <row r="284" spans="2:20">
      <c r="B284" s="375"/>
      <c r="C284" s="375"/>
      <c r="D284" s="375"/>
      <c r="E284" s="375"/>
      <c r="F284" s="375"/>
      <c r="G284" s="375"/>
      <c r="H284" s="375"/>
      <c r="I284" s="375"/>
      <c r="J284" s="375"/>
      <c r="K284" s="375"/>
      <c r="L284" s="375"/>
      <c r="M284" s="375"/>
      <c r="N284" s="375"/>
      <c r="O284" s="375"/>
      <c r="P284" s="375"/>
      <c r="Q284" s="375"/>
      <c r="R284" s="375"/>
      <c r="S284" s="375"/>
      <c r="T284" s="375"/>
    </row>
    <row r="285" spans="2:20">
      <c r="B285" s="375"/>
      <c r="C285" s="375"/>
      <c r="D285" s="375"/>
      <c r="E285" s="375"/>
      <c r="F285" s="375"/>
      <c r="G285" s="375"/>
      <c r="H285" s="375"/>
      <c r="I285" s="375"/>
      <c r="J285" s="375"/>
      <c r="K285" s="375"/>
      <c r="L285" s="375"/>
      <c r="M285" s="375"/>
      <c r="N285" s="375"/>
      <c r="O285" s="375"/>
      <c r="P285" s="375"/>
      <c r="Q285" s="375"/>
      <c r="R285" s="375"/>
      <c r="S285" s="375"/>
      <c r="T285" s="375"/>
    </row>
    <row r="286" spans="2:20">
      <c r="B286" s="375"/>
      <c r="C286" s="375"/>
      <c r="D286" s="375"/>
      <c r="E286" s="375"/>
      <c r="F286" s="375"/>
      <c r="G286" s="375"/>
      <c r="H286" s="375"/>
      <c r="I286" s="375"/>
      <c r="J286" s="375"/>
      <c r="K286" s="375"/>
      <c r="L286" s="375"/>
      <c r="M286" s="375"/>
      <c r="N286" s="375"/>
      <c r="O286" s="375"/>
      <c r="P286" s="375"/>
      <c r="Q286" s="375"/>
      <c r="R286" s="375"/>
      <c r="S286" s="375"/>
      <c r="T286" s="375"/>
    </row>
    <row r="287" spans="2:20">
      <c r="B287" s="375"/>
      <c r="C287" s="375"/>
      <c r="D287" s="375"/>
      <c r="E287" s="375"/>
      <c r="F287" s="375"/>
      <c r="G287" s="375"/>
      <c r="H287" s="375"/>
      <c r="I287" s="375"/>
      <c r="J287" s="375"/>
      <c r="K287" s="375"/>
      <c r="L287" s="375"/>
      <c r="M287" s="375"/>
      <c r="N287" s="375"/>
      <c r="O287" s="375"/>
      <c r="P287" s="375"/>
      <c r="Q287" s="375"/>
      <c r="R287" s="375"/>
      <c r="S287" s="375"/>
      <c r="T287" s="375"/>
    </row>
    <row r="288" spans="2:20">
      <c r="B288" s="375"/>
      <c r="C288" s="375"/>
      <c r="D288" s="375"/>
      <c r="E288" s="375"/>
      <c r="F288" s="375"/>
      <c r="G288" s="375"/>
      <c r="H288" s="375"/>
      <c r="I288" s="375"/>
      <c r="J288" s="375"/>
      <c r="K288" s="375"/>
      <c r="L288" s="375"/>
      <c r="M288" s="375"/>
      <c r="N288" s="375"/>
      <c r="O288" s="375"/>
      <c r="P288" s="375"/>
      <c r="Q288" s="375"/>
      <c r="R288" s="375"/>
      <c r="S288" s="375"/>
      <c r="T288" s="375"/>
    </row>
    <row r="289" spans="2:20">
      <c r="B289" s="375"/>
      <c r="C289" s="375"/>
      <c r="D289" s="375"/>
      <c r="E289" s="375"/>
      <c r="F289" s="375"/>
      <c r="G289" s="375"/>
      <c r="H289" s="375"/>
      <c r="I289" s="375"/>
      <c r="J289" s="375"/>
      <c r="K289" s="375"/>
      <c r="L289" s="375"/>
      <c r="M289" s="375"/>
      <c r="N289" s="375"/>
      <c r="O289" s="375"/>
      <c r="P289" s="375"/>
      <c r="Q289" s="375"/>
      <c r="R289" s="375"/>
      <c r="S289" s="375"/>
      <c r="T289" s="375"/>
    </row>
    <row r="290" spans="2:20">
      <c r="B290" s="375"/>
      <c r="C290" s="375"/>
      <c r="D290" s="375"/>
      <c r="E290" s="375"/>
      <c r="F290" s="375"/>
      <c r="G290" s="375"/>
      <c r="H290" s="375"/>
      <c r="I290" s="375"/>
      <c r="J290" s="375"/>
      <c r="K290" s="375"/>
      <c r="L290" s="375"/>
      <c r="M290" s="375"/>
      <c r="N290" s="375"/>
      <c r="O290" s="375"/>
      <c r="P290" s="375"/>
      <c r="Q290" s="375"/>
      <c r="R290" s="375"/>
      <c r="S290" s="375"/>
      <c r="T290" s="375"/>
    </row>
    <row r="291" spans="2:20">
      <c r="B291" s="375"/>
      <c r="C291" s="375"/>
      <c r="D291" s="375"/>
      <c r="E291" s="375"/>
      <c r="F291" s="375"/>
      <c r="G291" s="375"/>
      <c r="H291" s="375"/>
      <c r="I291" s="375"/>
      <c r="J291" s="375"/>
      <c r="K291" s="375"/>
      <c r="L291" s="375"/>
      <c r="M291" s="375"/>
      <c r="N291" s="375"/>
      <c r="O291" s="375"/>
      <c r="P291" s="375"/>
      <c r="Q291" s="375"/>
      <c r="R291" s="375"/>
      <c r="S291" s="375"/>
      <c r="T291" s="375"/>
    </row>
    <row r="292" spans="2:20">
      <c r="B292" s="375"/>
      <c r="C292" s="375"/>
      <c r="D292" s="375"/>
      <c r="E292" s="375"/>
      <c r="F292" s="375"/>
      <c r="G292" s="375"/>
      <c r="H292" s="375"/>
      <c r="I292" s="375"/>
      <c r="J292" s="375"/>
      <c r="K292" s="375"/>
      <c r="L292" s="375"/>
      <c r="M292" s="375"/>
      <c r="N292" s="375"/>
      <c r="O292" s="375"/>
      <c r="P292" s="375"/>
      <c r="Q292" s="375"/>
      <c r="R292" s="375"/>
      <c r="S292" s="375"/>
      <c r="T292" s="375"/>
    </row>
    <row r="293" spans="2:20">
      <c r="B293" s="375"/>
      <c r="C293" s="375"/>
      <c r="D293" s="375"/>
      <c r="E293" s="375"/>
      <c r="F293" s="375"/>
      <c r="G293" s="375"/>
      <c r="H293" s="375"/>
      <c r="I293" s="375"/>
      <c r="J293" s="375"/>
      <c r="K293" s="375"/>
      <c r="L293" s="375"/>
      <c r="M293" s="375"/>
      <c r="N293" s="375"/>
      <c r="O293" s="375"/>
      <c r="P293" s="375"/>
      <c r="Q293" s="375"/>
      <c r="R293" s="375"/>
      <c r="S293" s="375"/>
      <c r="T293" s="375"/>
    </row>
    <row r="294" spans="2:20">
      <c r="B294" s="375"/>
      <c r="C294" s="375"/>
      <c r="D294" s="375"/>
      <c r="E294" s="375"/>
      <c r="F294" s="375"/>
      <c r="G294" s="375"/>
      <c r="H294" s="375"/>
      <c r="I294" s="375"/>
      <c r="J294" s="375"/>
      <c r="K294" s="375"/>
      <c r="L294" s="375"/>
      <c r="M294" s="375"/>
      <c r="N294" s="375"/>
      <c r="O294" s="375"/>
      <c r="P294" s="375"/>
      <c r="Q294" s="375"/>
      <c r="R294" s="375"/>
      <c r="S294" s="375"/>
      <c r="T294" s="375"/>
    </row>
    <row r="295" spans="2:20">
      <c r="B295" s="375"/>
      <c r="C295" s="375"/>
      <c r="D295" s="375"/>
      <c r="E295" s="375"/>
      <c r="F295" s="375"/>
      <c r="G295" s="375"/>
      <c r="H295" s="375"/>
      <c r="I295" s="375"/>
      <c r="J295" s="375"/>
      <c r="K295" s="375"/>
      <c r="L295" s="375"/>
      <c r="M295" s="375"/>
      <c r="N295" s="375"/>
      <c r="O295" s="375"/>
      <c r="P295" s="375"/>
      <c r="Q295" s="375"/>
      <c r="R295" s="375"/>
      <c r="S295" s="375"/>
      <c r="T295" s="375"/>
    </row>
    <row r="296" spans="2:20">
      <c r="B296" s="375"/>
      <c r="C296" s="375"/>
      <c r="D296" s="375"/>
      <c r="E296" s="375"/>
      <c r="F296" s="375"/>
      <c r="G296" s="375"/>
      <c r="H296" s="375"/>
      <c r="I296" s="375"/>
      <c r="J296" s="375"/>
      <c r="K296" s="375"/>
      <c r="L296" s="375"/>
      <c r="M296" s="375"/>
      <c r="N296" s="375"/>
      <c r="O296" s="375"/>
      <c r="P296" s="375"/>
      <c r="Q296" s="375"/>
      <c r="R296" s="375"/>
      <c r="S296" s="375"/>
      <c r="T296" s="375"/>
    </row>
    <row r="297" spans="2:20">
      <c r="B297" s="375"/>
      <c r="C297" s="375"/>
      <c r="D297" s="375"/>
      <c r="E297" s="375"/>
      <c r="F297" s="375"/>
      <c r="G297" s="375"/>
      <c r="H297" s="375"/>
      <c r="I297" s="375"/>
      <c r="J297" s="375"/>
      <c r="K297" s="375"/>
      <c r="L297" s="375"/>
      <c r="M297" s="375"/>
      <c r="N297" s="375"/>
      <c r="O297" s="375"/>
      <c r="P297" s="375"/>
      <c r="Q297" s="375"/>
      <c r="R297" s="375"/>
      <c r="S297" s="375"/>
      <c r="T297" s="375"/>
    </row>
    <row r="298" spans="2:20">
      <c r="B298" s="375"/>
      <c r="C298" s="375"/>
      <c r="D298" s="375"/>
      <c r="E298" s="375"/>
      <c r="F298" s="375"/>
      <c r="G298" s="375"/>
      <c r="H298" s="375"/>
      <c r="I298" s="375"/>
      <c r="J298" s="375"/>
      <c r="K298" s="375"/>
      <c r="L298" s="375"/>
      <c r="M298" s="375"/>
      <c r="N298" s="375"/>
      <c r="O298" s="375"/>
      <c r="P298" s="375"/>
      <c r="Q298" s="375"/>
      <c r="R298" s="375"/>
      <c r="S298" s="375"/>
      <c r="T298" s="375"/>
    </row>
    <row r="299" spans="2:20">
      <c r="B299" s="375"/>
      <c r="C299" s="375"/>
      <c r="D299" s="375"/>
      <c r="E299" s="375"/>
      <c r="F299" s="375"/>
      <c r="G299" s="375"/>
      <c r="H299" s="375"/>
      <c r="I299" s="375"/>
      <c r="J299" s="375"/>
      <c r="K299" s="375"/>
      <c r="L299" s="375"/>
      <c r="M299" s="375"/>
      <c r="N299" s="375"/>
      <c r="O299" s="375"/>
      <c r="P299" s="375"/>
      <c r="Q299" s="375"/>
      <c r="R299" s="375"/>
      <c r="S299" s="375"/>
      <c r="T299" s="375"/>
    </row>
    <row r="300" spans="2:20">
      <c r="B300" s="375"/>
      <c r="C300" s="375"/>
      <c r="D300" s="375"/>
      <c r="E300" s="375"/>
      <c r="F300" s="375"/>
      <c r="G300" s="375"/>
      <c r="H300" s="375"/>
      <c r="I300" s="375"/>
      <c r="J300" s="375"/>
      <c r="K300" s="375"/>
      <c r="L300" s="375"/>
      <c r="M300" s="375"/>
      <c r="N300" s="375"/>
      <c r="O300" s="375"/>
      <c r="P300" s="375"/>
      <c r="Q300" s="375"/>
      <c r="R300" s="375"/>
      <c r="S300" s="375"/>
      <c r="T300" s="375"/>
    </row>
    <row r="301" spans="2:20">
      <c r="B301" s="375"/>
      <c r="C301" s="375"/>
      <c r="D301" s="375"/>
      <c r="E301" s="375"/>
      <c r="F301" s="375"/>
      <c r="G301" s="375"/>
      <c r="H301" s="375"/>
      <c r="I301" s="375"/>
      <c r="J301" s="375"/>
      <c r="K301" s="375"/>
      <c r="L301" s="375"/>
      <c r="M301" s="375"/>
      <c r="N301" s="375"/>
      <c r="O301" s="375"/>
      <c r="P301" s="375"/>
      <c r="Q301" s="375"/>
      <c r="R301" s="375"/>
      <c r="S301" s="375"/>
      <c r="T301" s="375"/>
    </row>
    <row r="302" spans="2:20">
      <c r="B302" s="376"/>
      <c r="C302" s="376"/>
      <c r="D302" s="376"/>
      <c r="G302" s="376"/>
      <c r="H302" s="376"/>
      <c r="I302" s="376"/>
      <c r="M302" s="377"/>
      <c r="S302" s="376"/>
      <c r="T302" s="376"/>
    </row>
    <row r="303" spans="2:20" ht="115.5">
      <c r="B303" s="378" t="s">
        <v>95</v>
      </c>
      <c r="C303" s="378" t="s">
        <v>96</v>
      </c>
      <c r="D303" s="378" t="s">
        <v>97</v>
      </c>
      <c r="E303" s="378" t="s">
        <v>98</v>
      </c>
      <c r="F303" s="378" t="s">
        <v>99</v>
      </c>
      <c r="G303" s="378" t="s">
        <v>100</v>
      </c>
      <c r="H303" s="378" t="s">
        <v>101</v>
      </c>
      <c r="I303" s="378" t="s">
        <v>102</v>
      </c>
      <c r="J303" s="378" t="s">
        <v>103</v>
      </c>
      <c r="K303" s="379"/>
      <c r="L303" s="379"/>
      <c r="M303" s="380"/>
      <c r="N303" s="379"/>
      <c r="O303" s="379"/>
      <c r="P303" s="379"/>
      <c r="Q303" s="379"/>
      <c r="R303" s="379"/>
      <c r="S303" s="381"/>
      <c r="T303" s="381"/>
    </row>
    <row r="304" spans="2:20">
      <c r="B304" s="375"/>
      <c r="C304" s="375"/>
      <c r="D304" s="375"/>
      <c r="E304" s="375"/>
      <c r="F304" s="375"/>
      <c r="G304" s="375"/>
      <c r="H304" s="375"/>
      <c r="I304" s="375"/>
      <c r="J304" s="375"/>
      <c r="M304" s="377"/>
      <c r="S304" s="376"/>
      <c r="T304" s="376"/>
    </row>
    <row r="305" spans="2:20">
      <c r="B305" s="375"/>
      <c r="C305" s="375"/>
      <c r="D305" s="375"/>
      <c r="E305" s="375"/>
      <c r="F305" s="375"/>
      <c r="G305" s="375"/>
      <c r="H305" s="375"/>
      <c r="I305" s="375"/>
      <c r="J305" s="375"/>
      <c r="M305" s="377"/>
      <c r="S305" s="376"/>
      <c r="T305" s="376"/>
    </row>
    <row r="306" spans="2:20">
      <c r="B306" s="375"/>
      <c r="C306" s="375"/>
      <c r="D306" s="375"/>
      <c r="E306" s="375"/>
      <c r="F306" s="375"/>
      <c r="G306" s="375"/>
      <c r="H306" s="375"/>
      <c r="I306" s="375"/>
      <c r="J306" s="375"/>
      <c r="M306" s="377"/>
      <c r="S306" s="376"/>
      <c r="T306" s="376"/>
    </row>
    <row r="307" spans="2:20">
      <c r="B307" s="375"/>
      <c r="C307" s="375"/>
      <c r="D307" s="375"/>
      <c r="E307" s="375"/>
      <c r="F307" s="375"/>
      <c r="G307" s="375"/>
      <c r="H307" s="375"/>
      <c r="I307" s="375"/>
      <c r="J307" s="375"/>
      <c r="M307" s="377"/>
      <c r="S307" s="376"/>
      <c r="T307" s="376"/>
    </row>
    <row r="308" spans="2:20">
      <c r="B308" s="375"/>
      <c r="C308" s="375"/>
      <c r="D308" s="375"/>
      <c r="E308" s="375"/>
      <c r="F308" s="375"/>
      <c r="G308" s="375"/>
      <c r="H308" s="375"/>
      <c r="I308" s="375"/>
      <c r="J308" s="375"/>
      <c r="M308" s="377"/>
      <c r="S308" s="376"/>
      <c r="T308" s="376"/>
    </row>
    <row r="309" spans="2:20">
      <c r="B309" s="375"/>
      <c r="C309" s="375"/>
      <c r="D309" s="375"/>
      <c r="E309" s="375"/>
      <c r="F309" s="375"/>
      <c r="G309" s="375"/>
      <c r="H309" s="375"/>
      <c r="I309" s="375"/>
      <c r="J309" s="375"/>
      <c r="M309" s="377"/>
      <c r="S309" s="376"/>
      <c r="T309" s="376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A6909-7AAD-48B6-85F2-36FF73D72D47}">
  <sheetPr codeName="Planilha4">
    <tabColor theme="0" tint="-0.499984740745262"/>
  </sheetPr>
  <dimension ref="A1:AB441"/>
  <sheetViews>
    <sheetView topLeftCell="A2" workbookViewId="0">
      <selection activeCell="E16" sqref="E16"/>
    </sheetView>
  </sheetViews>
  <sheetFormatPr defaultRowHeight="15.75"/>
  <cols>
    <col min="1" max="1" width="12.85546875" customWidth="1"/>
    <col min="2" max="2" width="19" customWidth="1"/>
    <col min="3" max="3" width="20.7109375" customWidth="1"/>
    <col min="4" max="4" width="20.85546875" customWidth="1"/>
    <col min="5" max="5" width="22.5703125" customWidth="1"/>
    <col min="6" max="6" width="19.5703125" customWidth="1"/>
    <col min="7" max="7" width="12.28515625" customWidth="1"/>
    <col min="8" max="8" width="12.42578125" customWidth="1"/>
    <col min="9" max="9" width="10.28515625" style="8" customWidth="1"/>
    <col min="10" max="10" width="32.7109375" customWidth="1"/>
    <col min="11" max="11" width="25.42578125" customWidth="1"/>
    <col min="12" max="12" width="34" customWidth="1"/>
    <col min="13" max="13" width="26.7109375" customWidth="1"/>
    <col min="14" max="14" width="33.140625" customWidth="1"/>
    <col min="15" max="15" width="25.85546875" customWidth="1"/>
    <col min="16" max="16" width="15" customWidth="1"/>
    <col min="17" max="17" width="27.140625" customWidth="1"/>
    <col min="18" max="18" width="19.85546875" customWidth="1"/>
    <col min="19" max="19" width="18.7109375" customWidth="1"/>
    <col min="20" max="20" width="13.85546875" customWidth="1"/>
    <col min="21" max="21" width="11.7109375" customWidth="1"/>
    <col min="23" max="23" width="9.28515625" customWidth="1"/>
    <col min="24" max="24" width="13.140625" customWidth="1"/>
    <col min="27" max="27" width="13.28515625" style="232" bestFit="1" customWidth="1"/>
    <col min="28" max="28" width="12.85546875" style="232" bestFit="1" customWidth="1"/>
  </cols>
  <sheetData>
    <row r="1" spans="1:28">
      <c r="A1" t="s">
        <v>2165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2166</v>
      </c>
      <c r="H1" t="s">
        <v>2167</v>
      </c>
      <c r="I1" s="8" t="s">
        <v>174</v>
      </c>
      <c r="J1" t="s">
        <v>178</v>
      </c>
      <c r="K1" t="s">
        <v>180</v>
      </c>
      <c r="L1" t="s">
        <v>182</v>
      </c>
      <c r="M1" t="s">
        <v>184</v>
      </c>
      <c r="N1" t="s">
        <v>190</v>
      </c>
      <c r="O1" t="s">
        <v>191</v>
      </c>
      <c r="P1" t="s">
        <v>186</v>
      </c>
      <c r="Q1" t="s">
        <v>2168</v>
      </c>
      <c r="R1" t="s">
        <v>2169</v>
      </c>
      <c r="S1" t="s">
        <v>2170</v>
      </c>
      <c r="T1" t="s">
        <v>2171</v>
      </c>
      <c r="U1" t="s">
        <v>2172</v>
      </c>
      <c r="V1" t="s">
        <v>192</v>
      </c>
      <c r="W1" t="s">
        <v>176</v>
      </c>
      <c r="X1" t="s">
        <v>2173</v>
      </c>
      <c r="AA1" s="232" t="s">
        <v>2196</v>
      </c>
      <c r="AB1" s="232" t="s">
        <v>2197</v>
      </c>
    </row>
    <row r="2" spans="1:28">
      <c r="A2" t="s">
        <v>2329</v>
      </c>
      <c r="B2">
        <v>5366</v>
      </c>
      <c r="C2" t="s">
        <v>2327</v>
      </c>
      <c r="D2">
        <v>385</v>
      </c>
      <c r="E2" t="s">
        <v>2328</v>
      </c>
      <c r="F2" t="s">
        <v>2038</v>
      </c>
      <c r="G2">
        <v>2021</v>
      </c>
      <c r="H2">
        <v>6</v>
      </c>
      <c r="I2" s="8">
        <v>44348</v>
      </c>
      <c r="J2">
        <v>548.35</v>
      </c>
      <c r="K2">
        <v>546.33000000000004</v>
      </c>
      <c r="L2">
        <v>194933</v>
      </c>
      <c r="M2">
        <v>28708</v>
      </c>
      <c r="N2">
        <v>161901</v>
      </c>
      <c r="O2">
        <v>28708</v>
      </c>
      <c r="P2">
        <v>33032</v>
      </c>
      <c r="Q2">
        <v>13.66</v>
      </c>
      <c r="R2">
        <v>19.399999999999999</v>
      </c>
      <c r="S2">
        <v>11.5</v>
      </c>
      <c r="T2">
        <v>252.06</v>
      </c>
      <c r="U2">
        <v>3441.43</v>
      </c>
      <c r="V2">
        <v>0</v>
      </c>
      <c r="W2">
        <v>0</v>
      </c>
      <c r="X2">
        <v>72147.44</v>
      </c>
      <c r="AA2" s="232">
        <f>J2*Q2+K2*R2+((L2+M2)/1000)*S2</f>
        <v>20661.1345</v>
      </c>
      <c r="AB2" s="232">
        <f>((N2+O2)/1000)*T2</f>
        <v>48044.904540000003</v>
      </c>
    </row>
    <row r="3" spans="1:28">
      <c r="A3" t="s">
        <v>2330</v>
      </c>
      <c r="B3">
        <v>5366</v>
      </c>
      <c r="C3" t="s">
        <v>2327</v>
      </c>
      <c r="D3">
        <v>385</v>
      </c>
      <c r="E3" t="s">
        <v>2328</v>
      </c>
      <c r="F3" t="s">
        <v>2038</v>
      </c>
      <c r="G3">
        <v>2021</v>
      </c>
      <c r="H3">
        <v>6</v>
      </c>
      <c r="I3" s="8">
        <v>44348</v>
      </c>
      <c r="J3">
        <v>840</v>
      </c>
      <c r="K3">
        <v>758</v>
      </c>
      <c r="L3">
        <v>276271</v>
      </c>
      <c r="M3">
        <v>40703</v>
      </c>
      <c r="N3">
        <v>276271</v>
      </c>
      <c r="O3">
        <v>40703</v>
      </c>
      <c r="P3">
        <v>0</v>
      </c>
      <c r="Q3">
        <v>13.66</v>
      </c>
      <c r="R3">
        <v>19.399999999999999</v>
      </c>
      <c r="S3">
        <v>11.5</v>
      </c>
      <c r="T3">
        <v>252.06</v>
      </c>
      <c r="U3">
        <v>5554.75</v>
      </c>
      <c r="V3">
        <v>0</v>
      </c>
      <c r="W3">
        <v>0</v>
      </c>
      <c r="X3">
        <v>116451.62</v>
      </c>
      <c r="AA3" s="232">
        <f t="shared" ref="AA3:AA66" si="0">J3*Q3+K3*R3+((L3+M3)/1000)*S3</f>
        <v>29824.800999999999</v>
      </c>
      <c r="AB3" s="232">
        <f t="shared" ref="AB3:AB66" si="1">((N3+O3)/1000)*T3</f>
        <v>79896.466440000004</v>
      </c>
    </row>
    <row r="4" spans="1:28">
      <c r="A4" t="s">
        <v>2331</v>
      </c>
      <c r="B4">
        <v>5366</v>
      </c>
      <c r="C4" t="s">
        <v>2327</v>
      </c>
      <c r="D4">
        <v>385</v>
      </c>
      <c r="E4" t="s">
        <v>2328</v>
      </c>
      <c r="F4" t="s">
        <v>2038</v>
      </c>
      <c r="G4">
        <v>2021</v>
      </c>
      <c r="H4">
        <v>6</v>
      </c>
      <c r="I4" s="8">
        <v>44348</v>
      </c>
      <c r="J4">
        <v>181.94</v>
      </c>
      <c r="K4">
        <v>162.79</v>
      </c>
      <c r="L4">
        <v>57031</v>
      </c>
      <c r="M4">
        <v>8167</v>
      </c>
      <c r="N4">
        <v>57031</v>
      </c>
      <c r="O4">
        <v>8167</v>
      </c>
      <c r="Q4">
        <v>13.66</v>
      </c>
      <c r="R4">
        <v>19.399999999999999</v>
      </c>
      <c r="S4">
        <v>11.5</v>
      </c>
      <c r="T4">
        <v>252.06</v>
      </c>
      <c r="U4">
        <v>1200.8800000000001</v>
      </c>
      <c r="V4">
        <v>0</v>
      </c>
      <c r="W4">
        <v>0</v>
      </c>
      <c r="X4">
        <v>25175.69</v>
      </c>
      <c r="AA4" s="232">
        <f t="shared" si="0"/>
        <v>6393.2034000000003</v>
      </c>
      <c r="AB4" s="232">
        <f t="shared" si="1"/>
        <v>16433.807879999997</v>
      </c>
    </row>
    <row r="5" spans="1:28">
      <c r="A5" t="s">
        <v>2332</v>
      </c>
      <c r="B5">
        <v>5366</v>
      </c>
      <c r="C5" t="s">
        <v>2327</v>
      </c>
      <c r="D5">
        <v>385</v>
      </c>
      <c r="E5" t="s">
        <v>2328</v>
      </c>
      <c r="F5" t="s">
        <v>2038</v>
      </c>
      <c r="G5">
        <v>2021</v>
      </c>
      <c r="H5">
        <v>6</v>
      </c>
      <c r="I5" s="8">
        <v>44348</v>
      </c>
      <c r="J5">
        <v>330.62</v>
      </c>
      <c r="K5">
        <v>360.52</v>
      </c>
      <c r="L5">
        <v>142332</v>
      </c>
      <c r="M5">
        <v>17755</v>
      </c>
      <c r="N5">
        <v>142332</v>
      </c>
      <c r="O5">
        <v>17755</v>
      </c>
      <c r="P5">
        <v>0</v>
      </c>
      <c r="Q5">
        <v>13.66</v>
      </c>
      <c r="R5">
        <v>19.399999999999999</v>
      </c>
      <c r="S5">
        <v>11.5</v>
      </c>
      <c r="T5">
        <v>252.06</v>
      </c>
      <c r="U5">
        <v>2689.93</v>
      </c>
      <c r="V5">
        <v>0</v>
      </c>
      <c r="W5">
        <v>0</v>
      </c>
      <c r="X5">
        <v>56392.78</v>
      </c>
      <c r="AA5" s="232">
        <f t="shared" si="0"/>
        <v>13351.357699999999</v>
      </c>
      <c r="AB5" s="232">
        <f t="shared" si="1"/>
        <v>40351.529219999997</v>
      </c>
    </row>
    <row r="6" spans="1:28">
      <c r="A6" t="s">
        <v>2333</v>
      </c>
      <c r="B6">
        <v>5366</v>
      </c>
      <c r="C6" t="s">
        <v>2327</v>
      </c>
      <c r="D6">
        <v>385</v>
      </c>
      <c r="E6" t="s">
        <v>2328</v>
      </c>
      <c r="F6" t="s">
        <v>2038</v>
      </c>
      <c r="G6">
        <v>2021</v>
      </c>
      <c r="H6">
        <v>6</v>
      </c>
      <c r="I6" s="8">
        <v>44348</v>
      </c>
      <c r="J6">
        <v>2261.2800000000002</v>
      </c>
      <c r="K6">
        <v>2200.8000000000002</v>
      </c>
      <c r="L6">
        <v>1101152</v>
      </c>
      <c r="M6">
        <v>104465</v>
      </c>
      <c r="N6">
        <v>350654</v>
      </c>
      <c r="O6">
        <v>33609</v>
      </c>
      <c r="P6">
        <v>0</v>
      </c>
      <c r="Q6">
        <v>13.66</v>
      </c>
      <c r="R6">
        <v>19.399999999999999</v>
      </c>
      <c r="S6">
        <v>11.5</v>
      </c>
      <c r="T6">
        <v>252.06</v>
      </c>
      <c r="U6">
        <v>9232.99</v>
      </c>
      <c r="V6">
        <v>0</v>
      </c>
      <c r="W6">
        <v>0</v>
      </c>
      <c r="X6">
        <v>193563.76</v>
      </c>
      <c r="AA6" s="232">
        <f t="shared" si="0"/>
        <v>87449.200299999997</v>
      </c>
      <c r="AB6" s="232">
        <f t="shared" si="1"/>
        <v>96857.331779999993</v>
      </c>
    </row>
    <row r="7" spans="1:28">
      <c r="A7" t="s">
        <v>2334</v>
      </c>
      <c r="B7">
        <v>5366</v>
      </c>
      <c r="C7" t="s">
        <v>2327</v>
      </c>
      <c r="D7">
        <v>385</v>
      </c>
      <c r="E7" t="s">
        <v>2328</v>
      </c>
      <c r="F7" t="s">
        <v>2038</v>
      </c>
      <c r="G7">
        <v>2021</v>
      </c>
      <c r="H7">
        <v>7</v>
      </c>
      <c r="I7" s="8">
        <v>44378</v>
      </c>
      <c r="J7">
        <v>326.92</v>
      </c>
      <c r="K7">
        <v>311.8</v>
      </c>
      <c r="L7">
        <v>133385</v>
      </c>
      <c r="M7">
        <v>16574</v>
      </c>
      <c r="N7">
        <v>133385</v>
      </c>
      <c r="O7">
        <v>16574</v>
      </c>
      <c r="P7">
        <v>0</v>
      </c>
      <c r="Q7">
        <v>13.66</v>
      </c>
      <c r="R7">
        <v>19.399999999999999</v>
      </c>
      <c r="S7">
        <v>11.5</v>
      </c>
      <c r="T7">
        <v>252.06</v>
      </c>
      <c r="U7">
        <v>2489.81</v>
      </c>
      <c r="V7">
        <v>0</v>
      </c>
      <c r="W7">
        <v>0</v>
      </c>
      <c r="X7">
        <v>52527.63</v>
      </c>
      <c r="AA7" s="232">
        <f t="shared" si="0"/>
        <v>12239.1757</v>
      </c>
      <c r="AB7" s="232">
        <f t="shared" si="1"/>
        <v>37798.665540000002</v>
      </c>
    </row>
    <row r="8" spans="1:28">
      <c r="A8" t="s">
        <v>2335</v>
      </c>
      <c r="B8">
        <v>5366</v>
      </c>
      <c r="C8" t="s">
        <v>2327</v>
      </c>
      <c r="D8">
        <v>385</v>
      </c>
      <c r="E8" t="s">
        <v>2328</v>
      </c>
      <c r="F8" t="s">
        <v>2038</v>
      </c>
      <c r="G8">
        <v>2021</v>
      </c>
      <c r="H8">
        <v>7</v>
      </c>
      <c r="I8" s="8">
        <v>44378</v>
      </c>
      <c r="J8">
        <v>207.14</v>
      </c>
      <c r="K8">
        <v>174.88</v>
      </c>
      <c r="L8">
        <v>55743</v>
      </c>
      <c r="M8">
        <v>8191</v>
      </c>
      <c r="N8">
        <v>55743</v>
      </c>
      <c r="O8">
        <v>8191</v>
      </c>
      <c r="P8">
        <v>0</v>
      </c>
      <c r="Q8">
        <v>13.66</v>
      </c>
      <c r="R8">
        <v>19.399999999999999</v>
      </c>
      <c r="S8">
        <v>11.5</v>
      </c>
      <c r="T8">
        <v>252.06</v>
      </c>
      <c r="U8">
        <v>1209.6600000000001</v>
      </c>
      <c r="V8">
        <v>0</v>
      </c>
      <c r="W8">
        <v>0</v>
      </c>
      <c r="X8">
        <v>25520.13</v>
      </c>
      <c r="AA8" s="232">
        <f t="shared" si="0"/>
        <v>6957.4453999999996</v>
      </c>
      <c r="AB8" s="232">
        <f t="shared" si="1"/>
        <v>16115.204039999999</v>
      </c>
    </row>
    <row r="9" spans="1:28">
      <c r="A9" t="s">
        <v>2336</v>
      </c>
      <c r="B9">
        <v>5366</v>
      </c>
      <c r="C9" t="s">
        <v>2327</v>
      </c>
      <c r="D9">
        <v>385</v>
      </c>
      <c r="E9" t="s">
        <v>2328</v>
      </c>
      <c r="F9" t="s">
        <v>2038</v>
      </c>
      <c r="G9">
        <v>2021</v>
      </c>
      <c r="H9">
        <v>7</v>
      </c>
      <c r="I9" s="8">
        <v>44378</v>
      </c>
      <c r="J9">
        <v>787.92</v>
      </c>
      <c r="K9">
        <v>840.84</v>
      </c>
      <c r="L9">
        <v>255948</v>
      </c>
      <c r="M9">
        <v>43606</v>
      </c>
      <c r="N9">
        <v>255948</v>
      </c>
      <c r="O9">
        <v>43606</v>
      </c>
      <c r="P9">
        <v>0</v>
      </c>
      <c r="Q9">
        <v>13.66</v>
      </c>
      <c r="R9">
        <v>19.399999999999999</v>
      </c>
      <c r="S9">
        <v>11.5</v>
      </c>
      <c r="T9">
        <v>252.06</v>
      </c>
      <c r="U9">
        <v>5338.57</v>
      </c>
      <c r="V9">
        <v>0</v>
      </c>
      <c r="W9">
        <v>0</v>
      </c>
      <c r="X9">
        <v>112628.16</v>
      </c>
      <c r="AA9" s="232">
        <f t="shared" si="0"/>
        <v>30520.154199999997</v>
      </c>
      <c r="AB9" s="232">
        <f t="shared" si="1"/>
        <v>75505.58124</v>
      </c>
    </row>
    <row r="10" spans="1:28">
      <c r="A10" t="s">
        <v>2337</v>
      </c>
      <c r="B10">
        <v>5366</v>
      </c>
      <c r="C10" t="s">
        <v>2327</v>
      </c>
      <c r="D10">
        <v>385</v>
      </c>
      <c r="E10" t="s">
        <v>2328</v>
      </c>
      <c r="F10" t="s">
        <v>2038</v>
      </c>
      <c r="G10">
        <v>2021</v>
      </c>
      <c r="H10">
        <v>7</v>
      </c>
      <c r="I10" s="8">
        <v>44378</v>
      </c>
      <c r="J10">
        <v>558.92999999999995</v>
      </c>
      <c r="K10">
        <v>565.48</v>
      </c>
      <c r="L10">
        <v>185405</v>
      </c>
      <c r="M10">
        <v>28271</v>
      </c>
      <c r="N10">
        <v>151442</v>
      </c>
      <c r="O10">
        <v>28271</v>
      </c>
      <c r="P10">
        <v>33963</v>
      </c>
      <c r="Q10">
        <v>13.66</v>
      </c>
      <c r="R10">
        <v>19.399999999999999</v>
      </c>
      <c r="S10">
        <v>11.5</v>
      </c>
      <c r="T10">
        <v>252.06</v>
      </c>
      <c r="U10">
        <v>3302.04</v>
      </c>
      <c r="V10">
        <v>0</v>
      </c>
      <c r="W10">
        <v>0</v>
      </c>
      <c r="X10">
        <v>69663.039999999994</v>
      </c>
      <c r="AA10" s="232">
        <f t="shared" si="0"/>
        <v>21062.569800000001</v>
      </c>
      <c r="AB10" s="232">
        <f t="shared" si="1"/>
        <v>45298.458780000001</v>
      </c>
    </row>
    <row r="11" spans="1:28">
      <c r="A11" t="s">
        <v>2338</v>
      </c>
      <c r="B11">
        <v>5366</v>
      </c>
      <c r="C11" t="s">
        <v>2327</v>
      </c>
      <c r="D11">
        <v>385</v>
      </c>
      <c r="E11" t="s">
        <v>2328</v>
      </c>
      <c r="F11" t="s">
        <v>2038</v>
      </c>
      <c r="G11">
        <v>2021</v>
      </c>
      <c r="H11">
        <v>7</v>
      </c>
      <c r="I11" s="8">
        <v>44378</v>
      </c>
      <c r="J11">
        <v>2237.7600000000002</v>
      </c>
      <c r="K11">
        <v>2224.3200000000002</v>
      </c>
      <c r="L11">
        <v>1036092</v>
      </c>
      <c r="M11">
        <v>107412</v>
      </c>
      <c r="N11">
        <v>332057</v>
      </c>
      <c r="O11">
        <v>33649</v>
      </c>
      <c r="P11">
        <v>0</v>
      </c>
      <c r="Q11">
        <v>13.66</v>
      </c>
      <c r="R11">
        <v>19.399999999999999</v>
      </c>
      <c r="S11">
        <v>11.5</v>
      </c>
      <c r="T11">
        <v>252.06</v>
      </c>
      <c r="U11">
        <v>8910.15</v>
      </c>
      <c r="V11">
        <v>0</v>
      </c>
      <c r="W11">
        <v>0</v>
      </c>
      <c r="X11">
        <v>187978.07</v>
      </c>
      <c r="AA11" s="232">
        <f t="shared" si="0"/>
        <v>86869.905599999998</v>
      </c>
      <c r="AB11" s="232">
        <f t="shared" si="1"/>
        <v>92179.854360000012</v>
      </c>
    </row>
    <row r="12" spans="1:28">
      <c r="A12" t="s">
        <v>2339</v>
      </c>
      <c r="B12">
        <v>5366</v>
      </c>
      <c r="C12" t="s">
        <v>2327</v>
      </c>
      <c r="D12">
        <v>385</v>
      </c>
      <c r="E12" t="s">
        <v>2328</v>
      </c>
      <c r="F12" t="s">
        <v>2038</v>
      </c>
      <c r="G12">
        <v>2021</v>
      </c>
      <c r="H12">
        <v>8</v>
      </c>
      <c r="I12" s="8">
        <v>44409</v>
      </c>
      <c r="J12">
        <v>977.76</v>
      </c>
      <c r="K12">
        <v>852.6</v>
      </c>
      <c r="L12">
        <v>264280</v>
      </c>
      <c r="M12">
        <v>42892</v>
      </c>
      <c r="N12">
        <v>264280</v>
      </c>
      <c r="O12">
        <v>42892</v>
      </c>
      <c r="P12">
        <v>0</v>
      </c>
      <c r="Q12">
        <v>13.66</v>
      </c>
      <c r="R12">
        <v>19.399999999999999</v>
      </c>
      <c r="S12">
        <v>11.5</v>
      </c>
      <c r="T12">
        <v>252.06</v>
      </c>
      <c r="U12">
        <v>4668.72</v>
      </c>
      <c r="V12">
        <v>0</v>
      </c>
      <c r="W12">
        <v>0</v>
      </c>
      <c r="X12">
        <v>117304.85</v>
      </c>
      <c r="AA12" s="232">
        <f t="shared" si="0"/>
        <v>33429.119599999998</v>
      </c>
      <c r="AB12" s="232">
        <f t="shared" si="1"/>
        <v>77425.774320000011</v>
      </c>
    </row>
    <row r="13" spans="1:28">
      <c r="A13" t="s">
        <v>2340</v>
      </c>
      <c r="B13">
        <v>5366</v>
      </c>
      <c r="C13" t="s">
        <v>2327</v>
      </c>
      <c r="D13">
        <v>385</v>
      </c>
      <c r="E13" t="s">
        <v>2328</v>
      </c>
      <c r="F13" t="s">
        <v>2038</v>
      </c>
      <c r="G13">
        <v>2021</v>
      </c>
      <c r="H13">
        <v>8</v>
      </c>
      <c r="I13" s="8">
        <v>44409</v>
      </c>
      <c r="J13">
        <v>213.19</v>
      </c>
      <c r="K13">
        <v>225.79</v>
      </c>
      <c r="L13">
        <v>58045</v>
      </c>
      <c r="M13">
        <v>8928</v>
      </c>
      <c r="N13">
        <v>58045</v>
      </c>
      <c r="O13">
        <v>8928</v>
      </c>
      <c r="P13">
        <v>0</v>
      </c>
      <c r="Q13">
        <v>13.66</v>
      </c>
      <c r="R13">
        <v>19.399999999999999</v>
      </c>
      <c r="S13">
        <v>11.5</v>
      </c>
      <c r="T13">
        <v>252.06</v>
      </c>
      <c r="U13">
        <v>1095.06</v>
      </c>
      <c r="V13">
        <v>0</v>
      </c>
      <c r="W13">
        <v>0</v>
      </c>
      <c r="X13">
        <v>27514.240000000002</v>
      </c>
      <c r="AA13" s="232">
        <f t="shared" si="0"/>
        <v>8062.6908999999996</v>
      </c>
      <c r="AB13" s="232">
        <f t="shared" si="1"/>
        <v>16881.214380000001</v>
      </c>
    </row>
    <row r="14" spans="1:28">
      <c r="A14" t="s">
        <v>2341</v>
      </c>
      <c r="B14">
        <v>5366</v>
      </c>
      <c r="C14" t="s">
        <v>2327</v>
      </c>
      <c r="D14">
        <v>385</v>
      </c>
      <c r="E14" t="s">
        <v>2328</v>
      </c>
      <c r="F14" t="s">
        <v>2038</v>
      </c>
      <c r="G14">
        <v>2021</v>
      </c>
      <c r="H14">
        <v>8</v>
      </c>
      <c r="I14" s="8">
        <v>44409</v>
      </c>
      <c r="J14">
        <v>338.01</v>
      </c>
      <c r="K14">
        <v>323.23</v>
      </c>
      <c r="L14">
        <v>132276</v>
      </c>
      <c r="M14">
        <v>17799</v>
      </c>
      <c r="N14">
        <v>132276</v>
      </c>
      <c r="O14">
        <v>17799</v>
      </c>
      <c r="P14">
        <v>0</v>
      </c>
      <c r="Q14">
        <v>13.66</v>
      </c>
      <c r="R14">
        <v>19.399999999999999</v>
      </c>
      <c r="S14">
        <v>11.5</v>
      </c>
      <c r="T14">
        <v>252.06</v>
      </c>
      <c r="U14">
        <v>2090.79</v>
      </c>
      <c r="V14">
        <v>0</v>
      </c>
      <c r="W14">
        <v>0</v>
      </c>
      <c r="X14">
        <v>52532.4</v>
      </c>
      <c r="AA14" s="232">
        <f t="shared" si="0"/>
        <v>12613.741099999999</v>
      </c>
      <c r="AB14" s="232">
        <f t="shared" si="1"/>
        <v>37827.904499999997</v>
      </c>
    </row>
    <row r="15" spans="1:28">
      <c r="A15" t="s">
        <v>2342</v>
      </c>
      <c r="B15">
        <v>5366</v>
      </c>
      <c r="C15" t="s">
        <v>2327</v>
      </c>
      <c r="D15">
        <v>385</v>
      </c>
      <c r="E15" t="s">
        <v>2328</v>
      </c>
      <c r="F15" t="s">
        <v>2038</v>
      </c>
      <c r="G15">
        <v>2021</v>
      </c>
      <c r="H15">
        <v>8</v>
      </c>
      <c r="I15" s="8">
        <v>44409</v>
      </c>
      <c r="J15">
        <v>559.94000000000005</v>
      </c>
      <c r="K15">
        <v>543.80999999999995</v>
      </c>
      <c r="L15">
        <v>183716</v>
      </c>
      <c r="M15">
        <v>29747</v>
      </c>
      <c r="N15">
        <v>148370</v>
      </c>
      <c r="O15">
        <v>29747</v>
      </c>
      <c r="P15">
        <v>35346</v>
      </c>
      <c r="Q15">
        <v>13.66</v>
      </c>
      <c r="R15">
        <v>19.399999999999999</v>
      </c>
      <c r="S15">
        <v>11.5</v>
      </c>
      <c r="T15">
        <v>252.06</v>
      </c>
      <c r="U15">
        <v>2717.01</v>
      </c>
      <c r="V15">
        <v>0</v>
      </c>
      <c r="W15">
        <v>0</v>
      </c>
      <c r="X15">
        <v>68266.679999999993</v>
      </c>
      <c r="AA15" s="232">
        <f t="shared" si="0"/>
        <v>20653.518899999999</v>
      </c>
      <c r="AB15" s="232">
        <f t="shared" si="1"/>
        <v>44896.171019999994</v>
      </c>
    </row>
    <row r="16" spans="1:28">
      <c r="A16" t="s">
        <v>2343</v>
      </c>
      <c r="B16">
        <v>5366</v>
      </c>
      <c r="C16" t="s">
        <v>2327</v>
      </c>
      <c r="D16">
        <v>385</v>
      </c>
      <c r="E16" t="s">
        <v>2328</v>
      </c>
      <c r="F16" t="s">
        <v>2038</v>
      </c>
      <c r="G16">
        <v>2021</v>
      </c>
      <c r="H16">
        <v>8</v>
      </c>
      <c r="I16" s="8">
        <v>44409</v>
      </c>
      <c r="J16">
        <v>2298.2399999999998</v>
      </c>
      <c r="K16">
        <v>2247.84</v>
      </c>
      <c r="L16">
        <v>1169740</v>
      </c>
      <c r="M16">
        <v>120295</v>
      </c>
      <c r="N16">
        <v>357542</v>
      </c>
      <c r="O16">
        <v>36568</v>
      </c>
      <c r="P16">
        <v>0</v>
      </c>
      <c r="Q16">
        <v>13.66</v>
      </c>
      <c r="R16">
        <v>19.399999999999999</v>
      </c>
      <c r="S16">
        <v>11.5</v>
      </c>
      <c r="T16">
        <v>252.06</v>
      </c>
      <c r="U16">
        <v>7841.39</v>
      </c>
      <c r="V16">
        <v>0</v>
      </c>
      <c r="W16">
        <v>0</v>
      </c>
      <c r="X16">
        <v>197019.94</v>
      </c>
      <c r="AA16" s="232">
        <f t="shared" si="0"/>
        <v>89837.45689999999</v>
      </c>
      <c r="AB16" s="232">
        <f t="shared" si="1"/>
        <v>99339.366600000008</v>
      </c>
    </row>
    <row r="17" spans="1:28">
      <c r="A17" t="s">
        <v>2344</v>
      </c>
      <c r="B17">
        <v>5366</v>
      </c>
      <c r="C17" t="s">
        <v>2327</v>
      </c>
      <c r="D17">
        <v>385</v>
      </c>
      <c r="E17" t="s">
        <v>2328</v>
      </c>
      <c r="F17" t="s">
        <v>2038</v>
      </c>
      <c r="G17">
        <v>2021</v>
      </c>
      <c r="H17">
        <v>9</v>
      </c>
      <c r="I17" s="8">
        <v>44440</v>
      </c>
      <c r="J17">
        <v>889.56</v>
      </c>
      <c r="K17">
        <v>781.2</v>
      </c>
      <c r="L17">
        <v>264091</v>
      </c>
      <c r="M17">
        <v>42325</v>
      </c>
      <c r="N17">
        <v>264091</v>
      </c>
      <c r="O17">
        <v>42325</v>
      </c>
      <c r="P17">
        <v>0</v>
      </c>
      <c r="Q17">
        <v>13.66</v>
      </c>
      <c r="R17">
        <v>19.399999999999999</v>
      </c>
      <c r="S17">
        <v>11.5</v>
      </c>
      <c r="T17">
        <v>252.06</v>
      </c>
      <c r="U17">
        <v>4273.3999999999996</v>
      </c>
      <c r="V17">
        <v>0</v>
      </c>
      <c r="W17">
        <v>0</v>
      </c>
      <c r="X17">
        <v>113957.16</v>
      </c>
      <c r="AA17" s="232">
        <f t="shared" si="0"/>
        <v>30830.453600000001</v>
      </c>
      <c r="AB17" s="232">
        <f t="shared" si="1"/>
        <v>77235.216960000005</v>
      </c>
    </row>
    <row r="18" spans="1:28">
      <c r="A18" t="s">
        <v>2345</v>
      </c>
      <c r="B18">
        <v>5366</v>
      </c>
      <c r="C18" t="s">
        <v>2327</v>
      </c>
      <c r="D18">
        <v>385</v>
      </c>
      <c r="E18" t="s">
        <v>2328</v>
      </c>
      <c r="F18" t="s">
        <v>2038</v>
      </c>
      <c r="G18">
        <v>2021</v>
      </c>
      <c r="H18">
        <v>9</v>
      </c>
      <c r="I18" s="8">
        <v>44440</v>
      </c>
      <c r="J18">
        <v>189</v>
      </c>
      <c r="K18">
        <v>158.76</v>
      </c>
      <c r="L18">
        <v>56705</v>
      </c>
      <c r="M18">
        <v>6143</v>
      </c>
      <c r="N18">
        <v>56705</v>
      </c>
      <c r="O18">
        <v>6143</v>
      </c>
      <c r="P18">
        <v>0</v>
      </c>
      <c r="Q18">
        <v>13.66</v>
      </c>
      <c r="R18">
        <v>19.399999999999999</v>
      </c>
      <c r="S18">
        <v>11.5</v>
      </c>
      <c r="T18">
        <v>252.06</v>
      </c>
      <c r="U18">
        <v>921.03</v>
      </c>
      <c r="V18">
        <v>0</v>
      </c>
      <c r="W18">
        <v>0</v>
      </c>
      <c r="X18">
        <v>24746.560000000001</v>
      </c>
      <c r="AA18" s="232">
        <f t="shared" si="0"/>
        <v>6384.4359999999997</v>
      </c>
      <c r="AB18" s="232">
        <f t="shared" si="1"/>
        <v>15841.46688</v>
      </c>
    </row>
    <row r="19" spans="1:28">
      <c r="A19" t="s">
        <v>2346</v>
      </c>
      <c r="B19">
        <v>5366</v>
      </c>
      <c r="C19" t="s">
        <v>2327</v>
      </c>
      <c r="D19">
        <v>385</v>
      </c>
      <c r="E19" t="s">
        <v>2328</v>
      </c>
      <c r="F19" t="s">
        <v>2038</v>
      </c>
      <c r="G19">
        <v>2021</v>
      </c>
      <c r="H19">
        <v>9</v>
      </c>
      <c r="I19" s="8">
        <v>44440</v>
      </c>
      <c r="J19">
        <v>360.86</v>
      </c>
      <c r="K19">
        <v>350.44</v>
      </c>
      <c r="L19">
        <v>140509</v>
      </c>
      <c r="M19">
        <v>17713</v>
      </c>
      <c r="N19">
        <v>140509</v>
      </c>
      <c r="O19">
        <v>17713</v>
      </c>
      <c r="P19">
        <v>0</v>
      </c>
      <c r="Q19">
        <v>13.66</v>
      </c>
      <c r="R19">
        <v>19.399999999999999</v>
      </c>
      <c r="S19">
        <v>11.5</v>
      </c>
      <c r="T19">
        <v>252.06</v>
      </c>
      <c r="U19">
        <v>2081.64</v>
      </c>
      <c r="V19">
        <v>0</v>
      </c>
      <c r="W19">
        <v>0</v>
      </c>
      <c r="X19">
        <v>55510.51</v>
      </c>
      <c r="AA19" s="232">
        <f t="shared" si="0"/>
        <v>13547.436599999999</v>
      </c>
      <c r="AB19" s="232">
        <f t="shared" si="1"/>
        <v>39881.437320000005</v>
      </c>
    </row>
    <row r="20" spans="1:28">
      <c r="A20" t="s">
        <v>2347</v>
      </c>
      <c r="B20">
        <v>5366</v>
      </c>
      <c r="C20" t="s">
        <v>2327</v>
      </c>
      <c r="D20">
        <v>385</v>
      </c>
      <c r="E20" t="s">
        <v>2328</v>
      </c>
      <c r="F20" t="s">
        <v>2038</v>
      </c>
      <c r="G20">
        <v>2021</v>
      </c>
      <c r="H20">
        <v>9</v>
      </c>
      <c r="I20" s="8">
        <v>44440</v>
      </c>
      <c r="J20">
        <v>584.64</v>
      </c>
      <c r="K20">
        <v>538.77</v>
      </c>
      <c r="L20">
        <v>189982</v>
      </c>
      <c r="M20">
        <v>29507</v>
      </c>
      <c r="N20">
        <v>154644</v>
      </c>
      <c r="O20">
        <v>29507</v>
      </c>
      <c r="P20">
        <v>35338</v>
      </c>
      <c r="Q20">
        <v>13.66</v>
      </c>
      <c r="R20">
        <v>19.399999999999999</v>
      </c>
      <c r="S20">
        <v>11.5</v>
      </c>
      <c r="T20">
        <v>252.06</v>
      </c>
      <c r="U20">
        <v>2625.18</v>
      </c>
      <c r="V20">
        <v>0</v>
      </c>
      <c r="W20">
        <v>0</v>
      </c>
      <c r="X20">
        <v>70004.7</v>
      </c>
      <c r="AA20" s="232">
        <f t="shared" si="0"/>
        <v>20962.443899999998</v>
      </c>
      <c r="AB20" s="232">
        <f t="shared" si="1"/>
        <v>46417.101060000001</v>
      </c>
    </row>
    <row r="21" spans="1:28">
      <c r="A21" t="s">
        <v>2348</v>
      </c>
      <c r="B21">
        <v>5366</v>
      </c>
      <c r="C21" t="s">
        <v>2327</v>
      </c>
      <c r="D21">
        <v>385</v>
      </c>
      <c r="E21" t="s">
        <v>2328</v>
      </c>
      <c r="F21" t="s">
        <v>2038</v>
      </c>
      <c r="G21">
        <v>2021</v>
      </c>
      <c r="H21">
        <v>9</v>
      </c>
      <c r="I21" s="8">
        <v>44440</v>
      </c>
      <c r="J21">
        <v>2321.7600000000002</v>
      </c>
      <c r="K21">
        <v>2184</v>
      </c>
      <c r="L21">
        <v>1230463</v>
      </c>
      <c r="M21">
        <v>124055</v>
      </c>
      <c r="N21">
        <v>371791</v>
      </c>
      <c r="O21">
        <v>37249</v>
      </c>
      <c r="P21">
        <v>0</v>
      </c>
      <c r="Q21">
        <v>13.66</v>
      </c>
      <c r="R21">
        <v>19.399999999999999</v>
      </c>
      <c r="S21">
        <v>11.5</v>
      </c>
      <c r="T21">
        <v>252.06</v>
      </c>
      <c r="U21">
        <v>7510.31</v>
      </c>
      <c r="V21">
        <v>0</v>
      </c>
      <c r="W21">
        <v>0</v>
      </c>
      <c r="X21">
        <v>200274.71</v>
      </c>
      <c r="AA21" s="232">
        <f t="shared" si="0"/>
        <v>89661.798599999995</v>
      </c>
      <c r="AB21" s="232">
        <f t="shared" si="1"/>
        <v>103102.62240000001</v>
      </c>
    </row>
    <row r="22" spans="1:28">
      <c r="A22" t="s">
        <v>2349</v>
      </c>
      <c r="B22">
        <v>5366</v>
      </c>
      <c r="C22" t="s">
        <v>2327</v>
      </c>
      <c r="D22">
        <v>385</v>
      </c>
      <c r="E22" t="s">
        <v>2328</v>
      </c>
      <c r="F22" t="s">
        <v>2038</v>
      </c>
      <c r="G22">
        <v>2021</v>
      </c>
      <c r="H22">
        <v>10</v>
      </c>
      <c r="I22" s="8">
        <v>44470</v>
      </c>
      <c r="J22">
        <v>926.52</v>
      </c>
      <c r="K22">
        <v>855.96</v>
      </c>
      <c r="L22">
        <v>270007</v>
      </c>
      <c r="M22">
        <v>40364</v>
      </c>
      <c r="N22">
        <v>270007</v>
      </c>
      <c r="O22">
        <v>40364</v>
      </c>
      <c r="P22">
        <v>0</v>
      </c>
      <c r="Q22">
        <v>13.63</v>
      </c>
      <c r="R22">
        <v>19.41</v>
      </c>
      <c r="S22">
        <v>11.62</v>
      </c>
      <c r="T22">
        <v>253.34</v>
      </c>
      <c r="U22">
        <v>2560.2800000000002</v>
      </c>
      <c r="V22">
        <v>0</v>
      </c>
      <c r="W22">
        <v>0</v>
      </c>
      <c r="X22">
        <v>114299.53</v>
      </c>
      <c r="AA22" s="232">
        <f t="shared" si="0"/>
        <v>32849.162219999998</v>
      </c>
      <c r="AB22" s="232">
        <f t="shared" si="1"/>
        <v>78629.389139999999</v>
      </c>
    </row>
    <row r="23" spans="1:28">
      <c r="A23" t="s">
        <v>2350</v>
      </c>
      <c r="B23">
        <v>5366</v>
      </c>
      <c r="C23" t="s">
        <v>2327</v>
      </c>
      <c r="D23">
        <v>385</v>
      </c>
      <c r="E23" t="s">
        <v>2328</v>
      </c>
      <c r="F23" t="s">
        <v>2038</v>
      </c>
      <c r="G23">
        <v>2021</v>
      </c>
      <c r="H23">
        <v>10</v>
      </c>
      <c r="I23" s="8">
        <v>44470</v>
      </c>
      <c r="J23">
        <v>241.92</v>
      </c>
      <c r="K23">
        <v>195.55</v>
      </c>
      <c r="L23">
        <v>57102</v>
      </c>
      <c r="M23">
        <v>8083</v>
      </c>
      <c r="N23">
        <v>57102</v>
      </c>
      <c r="O23">
        <v>8083</v>
      </c>
      <c r="P23">
        <v>0</v>
      </c>
      <c r="Q23">
        <v>13.63</v>
      </c>
      <c r="R23">
        <v>19.41</v>
      </c>
      <c r="S23">
        <v>11.62</v>
      </c>
      <c r="T23">
        <v>253.34</v>
      </c>
      <c r="U23">
        <v>589.47</v>
      </c>
      <c r="V23">
        <v>0</v>
      </c>
      <c r="W23">
        <v>-390.95</v>
      </c>
      <c r="X23">
        <v>25925.55</v>
      </c>
      <c r="AA23" s="232">
        <f t="shared" si="0"/>
        <v>7850.4448000000002</v>
      </c>
      <c r="AB23" s="232">
        <f t="shared" si="1"/>
        <v>16513.9679</v>
      </c>
    </row>
    <row r="24" spans="1:28">
      <c r="A24" t="s">
        <v>2351</v>
      </c>
      <c r="B24">
        <v>5366</v>
      </c>
      <c r="C24" t="s">
        <v>2327</v>
      </c>
      <c r="D24">
        <v>385</v>
      </c>
      <c r="E24" t="s">
        <v>2328</v>
      </c>
      <c r="F24" t="s">
        <v>2038</v>
      </c>
      <c r="G24">
        <v>2021</v>
      </c>
      <c r="H24">
        <v>10</v>
      </c>
      <c r="I24" s="8">
        <v>44470</v>
      </c>
      <c r="J24">
        <v>339.36</v>
      </c>
      <c r="K24">
        <v>337.34</v>
      </c>
      <c r="L24">
        <v>132147</v>
      </c>
      <c r="M24">
        <v>16150</v>
      </c>
      <c r="N24">
        <v>132147</v>
      </c>
      <c r="O24">
        <v>16150</v>
      </c>
      <c r="P24">
        <v>0</v>
      </c>
      <c r="Q24">
        <v>13.63</v>
      </c>
      <c r="R24">
        <v>19.41</v>
      </c>
      <c r="S24">
        <v>11.61</v>
      </c>
      <c r="T24">
        <v>253.34</v>
      </c>
      <c r="U24">
        <v>1156.54</v>
      </c>
      <c r="V24">
        <v>0</v>
      </c>
      <c r="W24">
        <v>0</v>
      </c>
      <c r="X24">
        <v>51630.96</v>
      </c>
      <c r="AA24" s="232">
        <f t="shared" si="0"/>
        <v>12894.97437</v>
      </c>
      <c r="AB24" s="232">
        <f t="shared" si="1"/>
        <v>37569.561979999999</v>
      </c>
    </row>
    <row r="25" spans="1:28">
      <c r="A25" t="s">
        <v>2352</v>
      </c>
      <c r="B25">
        <v>5366</v>
      </c>
      <c r="C25" t="s">
        <v>2327</v>
      </c>
      <c r="D25">
        <v>385</v>
      </c>
      <c r="E25" t="s">
        <v>2328</v>
      </c>
      <c r="F25" t="s">
        <v>2038</v>
      </c>
      <c r="G25">
        <v>2021</v>
      </c>
      <c r="H25">
        <v>10</v>
      </c>
      <c r="I25" s="8">
        <v>44470</v>
      </c>
      <c r="J25">
        <v>580.6</v>
      </c>
      <c r="K25">
        <v>551.88</v>
      </c>
      <c r="L25">
        <v>191945</v>
      </c>
      <c r="M25">
        <v>28310</v>
      </c>
      <c r="N25">
        <v>154318</v>
      </c>
      <c r="O25">
        <v>28310</v>
      </c>
      <c r="P25">
        <v>37627</v>
      </c>
      <c r="Q25">
        <v>13.63</v>
      </c>
      <c r="R25">
        <v>19.41</v>
      </c>
      <c r="S25">
        <v>11.62</v>
      </c>
      <c r="T25">
        <v>253.34</v>
      </c>
      <c r="U25">
        <v>1545.51</v>
      </c>
      <c r="V25">
        <v>0</v>
      </c>
      <c r="W25">
        <v>0</v>
      </c>
      <c r="X25">
        <v>68995.59</v>
      </c>
      <c r="AA25" s="232">
        <f t="shared" si="0"/>
        <v>21184.9319</v>
      </c>
      <c r="AB25" s="232">
        <f t="shared" si="1"/>
        <v>46266.97752</v>
      </c>
    </row>
    <row r="26" spans="1:28">
      <c r="A26" t="s">
        <v>2353</v>
      </c>
      <c r="B26">
        <v>5366</v>
      </c>
      <c r="C26" t="s">
        <v>2327</v>
      </c>
      <c r="D26">
        <v>385</v>
      </c>
      <c r="E26" t="s">
        <v>2328</v>
      </c>
      <c r="F26" t="s">
        <v>2038</v>
      </c>
      <c r="G26">
        <v>2021</v>
      </c>
      <c r="H26">
        <v>10</v>
      </c>
      <c r="I26" s="8">
        <v>44470</v>
      </c>
      <c r="J26">
        <v>2355.36</v>
      </c>
      <c r="K26">
        <v>2194.08</v>
      </c>
      <c r="L26">
        <v>1159305</v>
      </c>
      <c r="M26">
        <v>117316</v>
      </c>
      <c r="N26">
        <v>360836</v>
      </c>
      <c r="O26">
        <v>35775</v>
      </c>
      <c r="P26">
        <v>0</v>
      </c>
      <c r="Q26">
        <v>13.63</v>
      </c>
      <c r="R26">
        <v>19.41</v>
      </c>
      <c r="S26">
        <v>11.62</v>
      </c>
      <c r="T26">
        <v>253.33</v>
      </c>
      <c r="U26">
        <v>4353.82</v>
      </c>
      <c r="V26">
        <v>0</v>
      </c>
      <c r="W26">
        <v>0</v>
      </c>
      <c r="X26">
        <v>194367.25</v>
      </c>
      <c r="AA26" s="232">
        <f t="shared" si="0"/>
        <v>89524.985620000007</v>
      </c>
      <c r="AB26" s="232">
        <f t="shared" si="1"/>
        <v>100473.46463</v>
      </c>
    </row>
    <row r="27" spans="1:28">
      <c r="A27" t="s">
        <v>2354</v>
      </c>
      <c r="B27">
        <v>5366</v>
      </c>
      <c r="C27" t="s">
        <v>2327</v>
      </c>
      <c r="D27">
        <v>385</v>
      </c>
      <c r="E27" t="s">
        <v>2328</v>
      </c>
      <c r="F27" t="s">
        <v>2038</v>
      </c>
      <c r="G27">
        <v>2021</v>
      </c>
      <c r="H27">
        <v>11</v>
      </c>
      <c r="I27" s="8">
        <v>44501</v>
      </c>
      <c r="J27">
        <v>546.84</v>
      </c>
      <c r="K27">
        <v>528.19000000000005</v>
      </c>
      <c r="L27">
        <v>196886</v>
      </c>
      <c r="M27">
        <v>25713</v>
      </c>
      <c r="N27">
        <v>159320</v>
      </c>
      <c r="O27">
        <v>25713</v>
      </c>
      <c r="P27">
        <v>37566</v>
      </c>
      <c r="Q27">
        <v>12.63</v>
      </c>
      <c r="R27">
        <v>19.809999999999999</v>
      </c>
      <c r="S27">
        <v>14.98</v>
      </c>
      <c r="T27">
        <v>290.39</v>
      </c>
      <c r="U27">
        <v>1775.74</v>
      </c>
      <c r="V27">
        <v>0</v>
      </c>
      <c r="W27">
        <v>0</v>
      </c>
      <c r="X27">
        <v>76212.009999999995</v>
      </c>
      <c r="AA27" s="232">
        <f t="shared" si="0"/>
        <v>20704.56612</v>
      </c>
      <c r="AB27" s="232">
        <f t="shared" si="1"/>
        <v>53731.732869999993</v>
      </c>
    </row>
    <row r="28" spans="1:28">
      <c r="A28" t="s">
        <v>2355</v>
      </c>
      <c r="B28">
        <v>5366</v>
      </c>
      <c r="C28" t="s">
        <v>2327</v>
      </c>
      <c r="D28">
        <v>385</v>
      </c>
      <c r="E28" t="s">
        <v>2328</v>
      </c>
      <c r="F28" t="s">
        <v>2038</v>
      </c>
      <c r="G28">
        <v>2021</v>
      </c>
      <c r="H28">
        <v>11</v>
      </c>
      <c r="I28" s="8">
        <v>44501</v>
      </c>
      <c r="J28">
        <v>786.24</v>
      </c>
      <c r="K28">
        <v>815.64</v>
      </c>
      <c r="L28">
        <v>276444</v>
      </c>
      <c r="M28">
        <v>41798</v>
      </c>
      <c r="N28">
        <v>276444</v>
      </c>
      <c r="O28">
        <v>41798</v>
      </c>
      <c r="P28">
        <v>0</v>
      </c>
      <c r="Q28">
        <v>12.63</v>
      </c>
      <c r="R28">
        <v>19.809999999999999</v>
      </c>
      <c r="S28">
        <v>14.98</v>
      </c>
      <c r="T28">
        <v>290.39</v>
      </c>
      <c r="U28">
        <v>2940.68</v>
      </c>
      <c r="V28">
        <v>0</v>
      </c>
      <c r="W28">
        <v>0</v>
      </c>
      <c r="X28">
        <v>126210.26</v>
      </c>
      <c r="AA28" s="232">
        <f t="shared" si="0"/>
        <v>30855.304759999999</v>
      </c>
      <c r="AB28" s="232">
        <f t="shared" si="1"/>
        <v>92414.294380000007</v>
      </c>
    </row>
    <row r="29" spans="1:28">
      <c r="A29" t="s">
        <v>2356</v>
      </c>
      <c r="B29">
        <v>5366</v>
      </c>
      <c r="C29" t="s">
        <v>2327</v>
      </c>
      <c r="D29">
        <v>385</v>
      </c>
      <c r="E29" t="s">
        <v>2328</v>
      </c>
      <c r="F29" t="s">
        <v>2038</v>
      </c>
      <c r="G29">
        <v>2021</v>
      </c>
      <c r="H29">
        <v>11</v>
      </c>
      <c r="I29" s="8">
        <v>44501</v>
      </c>
      <c r="J29">
        <v>297.36</v>
      </c>
      <c r="K29">
        <v>202.1</v>
      </c>
      <c r="L29">
        <v>59509</v>
      </c>
      <c r="M29">
        <v>8818</v>
      </c>
      <c r="N29">
        <v>59509</v>
      </c>
      <c r="O29">
        <v>8818</v>
      </c>
      <c r="P29">
        <v>0</v>
      </c>
      <c r="Q29">
        <v>12.63</v>
      </c>
      <c r="R29">
        <v>19.809999999999999</v>
      </c>
      <c r="S29">
        <v>14.98</v>
      </c>
      <c r="T29">
        <v>290.39</v>
      </c>
      <c r="U29">
        <v>719.31</v>
      </c>
      <c r="V29">
        <v>0</v>
      </c>
      <c r="W29">
        <v>0</v>
      </c>
      <c r="X29">
        <v>30872.080000000002</v>
      </c>
      <c r="AA29" s="232">
        <f t="shared" si="0"/>
        <v>8782.7962599999992</v>
      </c>
      <c r="AB29" s="232">
        <f t="shared" si="1"/>
        <v>19841.47753</v>
      </c>
    </row>
    <row r="30" spans="1:28">
      <c r="A30" t="s">
        <v>2357</v>
      </c>
      <c r="B30">
        <v>5366</v>
      </c>
      <c r="C30" t="s">
        <v>2327</v>
      </c>
      <c r="D30">
        <v>385</v>
      </c>
      <c r="E30" t="s">
        <v>2328</v>
      </c>
      <c r="F30" t="s">
        <v>2038</v>
      </c>
      <c r="G30">
        <v>2021</v>
      </c>
      <c r="H30">
        <v>11</v>
      </c>
      <c r="I30" s="8">
        <v>44501</v>
      </c>
      <c r="J30">
        <v>327.60000000000002</v>
      </c>
      <c r="K30">
        <v>318.19</v>
      </c>
      <c r="L30">
        <v>142877</v>
      </c>
      <c r="M30">
        <v>15413</v>
      </c>
      <c r="N30">
        <v>142877</v>
      </c>
      <c r="O30">
        <v>15413</v>
      </c>
      <c r="P30">
        <v>0</v>
      </c>
      <c r="Q30">
        <v>12.63</v>
      </c>
      <c r="R30">
        <v>19.809999999999999</v>
      </c>
      <c r="S30">
        <v>14.98</v>
      </c>
      <c r="T30">
        <v>290.39</v>
      </c>
      <c r="U30">
        <v>1402.49</v>
      </c>
      <c r="V30">
        <v>0</v>
      </c>
      <c r="W30">
        <v>0</v>
      </c>
      <c r="X30">
        <v>60193.13</v>
      </c>
      <c r="AA30" s="232">
        <f t="shared" si="0"/>
        <v>12812.116099999999</v>
      </c>
      <c r="AB30" s="232">
        <f t="shared" si="1"/>
        <v>45965.833099999996</v>
      </c>
    </row>
    <row r="31" spans="1:28">
      <c r="A31" t="s">
        <v>2358</v>
      </c>
      <c r="B31">
        <v>5366</v>
      </c>
      <c r="C31" t="s">
        <v>2327</v>
      </c>
      <c r="D31">
        <v>385</v>
      </c>
      <c r="E31" t="s">
        <v>2328</v>
      </c>
      <c r="F31" t="s">
        <v>2038</v>
      </c>
      <c r="G31">
        <v>2021</v>
      </c>
      <c r="H31">
        <v>11</v>
      </c>
      <c r="I31" s="8">
        <v>44501</v>
      </c>
      <c r="J31">
        <v>2331.56</v>
      </c>
      <c r="K31">
        <v>2143.6799999999998</v>
      </c>
      <c r="L31">
        <v>1123248</v>
      </c>
      <c r="M31">
        <v>110474</v>
      </c>
      <c r="N31">
        <v>364305</v>
      </c>
      <c r="O31">
        <v>42043</v>
      </c>
      <c r="P31">
        <v>0</v>
      </c>
      <c r="Q31">
        <v>12.63</v>
      </c>
      <c r="R31">
        <v>19.809999999999999</v>
      </c>
      <c r="S31">
        <v>14.98</v>
      </c>
      <c r="T31">
        <v>290.39</v>
      </c>
      <c r="U31">
        <v>4971.43</v>
      </c>
      <c r="V31">
        <v>0</v>
      </c>
      <c r="W31">
        <v>0</v>
      </c>
      <c r="X31">
        <v>213365.86</v>
      </c>
      <c r="AA31" s="232">
        <f t="shared" si="0"/>
        <v>90395.05915999999</v>
      </c>
      <c r="AB31" s="232">
        <f t="shared" si="1"/>
        <v>117999.39572</v>
      </c>
    </row>
    <row r="32" spans="1:28">
      <c r="A32" t="s">
        <v>2359</v>
      </c>
      <c r="B32">
        <v>5366</v>
      </c>
      <c r="C32" t="s">
        <v>2327</v>
      </c>
      <c r="D32">
        <v>385</v>
      </c>
      <c r="E32" t="s">
        <v>2328</v>
      </c>
      <c r="F32" t="s">
        <v>2038</v>
      </c>
      <c r="G32">
        <v>2021</v>
      </c>
      <c r="H32">
        <v>12</v>
      </c>
      <c r="I32" s="8">
        <v>44531</v>
      </c>
      <c r="J32">
        <v>570.52</v>
      </c>
      <c r="K32">
        <v>554.4</v>
      </c>
      <c r="L32">
        <v>198643</v>
      </c>
      <c r="M32">
        <v>26148</v>
      </c>
      <c r="N32">
        <v>164388</v>
      </c>
      <c r="O32">
        <v>26148</v>
      </c>
      <c r="P32">
        <v>34255</v>
      </c>
      <c r="Q32">
        <v>12.63</v>
      </c>
      <c r="R32">
        <v>19.809999999999999</v>
      </c>
      <c r="S32">
        <v>14.98</v>
      </c>
      <c r="T32">
        <v>290.39</v>
      </c>
      <c r="U32">
        <v>3328.89</v>
      </c>
      <c r="V32">
        <v>0</v>
      </c>
      <c r="W32">
        <v>-250.72</v>
      </c>
      <c r="X32">
        <v>79963.59</v>
      </c>
      <c r="AA32" s="232">
        <f t="shared" si="0"/>
        <v>21555.700779999999</v>
      </c>
      <c r="AB32" s="232">
        <f t="shared" si="1"/>
        <v>55329.749039999995</v>
      </c>
    </row>
    <row r="33" spans="1:28">
      <c r="A33" t="s">
        <v>2360</v>
      </c>
      <c r="B33">
        <v>5366</v>
      </c>
      <c r="C33" t="s">
        <v>2327</v>
      </c>
      <c r="D33">
        <v>385</v>
      </c>
      <c r="E33" t="s">
        <v>2328</v>
      </c>
      <c r="F33" t="s">
        <v>2038</v>
      </c>
      <c r="G33">
        <v>2021</v>
      </c>
      <c r="H33">
        <v>12</v>
      </c>
      <c r="I33" s="8">
        <v>44531</v>
      </c>
      <c r="J33">
        <v>366.24</v>
      </c>
      <c r="K33">
        <v>334.32</v>
      </c>
      <c r="L33">
        <v>144706</v>
      </c>
      <c r="M33">
        <v>16141</v>
      </c>
      <c r="N33">
        <v>144706</v>
      </c>
      <c r="O33">
        <v>16141</v>
      </c>
      <c r="P33">
        <v>0</v>
      </c>
      <c r="Q33">
        <v>12.63</v>
      </c>
      <c r="R33">
        <v>19.809999999999999</v>
      </c>
      <c r="S33">
        <v>14.98</v>
      </c>
      <c r="T33">
        <v>290.39</v>
      </c>
      <c r="U33">
        <v>2613.6799999999998</v>
      </c>
      <c r="V33">
        <v>0</v>
      </c>
      <c r="W33">
        <v>0</v>
      </c>
      <c r="X33">
        <v>62979.99</v>
      </c>
      <c r="AA33" s="232">
        <f t="shared" si="0"/>
        <v>13657.978459999998</v>
      </c>
      <c r="AB33" s="232">
        <f t="shared" si="1"/>
        <v>46708.360330000003</v>
      </c>
    </row>
    <row r="34" spans="1:28">
      <c r="A34" t="s">
        <v>2361</v>
      </c>
      <c r="B34">
        <v>5366</v>
      </c>
      <c r="C34" t="s">
        <v>2327</v>
      </c>
      <c r="D34">
        <v>385</v>
      </c>
      <c r="E34" t="s">
        <v>2328</v>
      </c>
      <c r="F34" t="s">
        <v>2038</v>
      </c>
      <c r="G34">
        <v>2021</v>
      </c>
      <c r="H34">
        <v>12</v>
      </c>
      <c r="I34" s="8">
        <v>44531</v>
      </c>
      <c r="J34">
        <v>228.31</v>
      </c>
      <c r="K34">
        <v>170.35</v>
      </c>
      <c r="L34">
        <v>59304</v>
      </c>
      <c r="M34">
        <v>7470</v>
      </c>
      <c r="N34">
        <v>59304</v>
      </c>
      <c r="O34">
        <v>7470</v>
      </c>
      <c r="P34">
        <v>0</v>
      </c>
      <c r="Q34">
        <v>12.63</v>
      </c>
      <c r="R34">
        <v>19.809999999999999</v>
      </c>
      <c r="S34">
        <v>14.98</v>
      </c>
      <c r="T34">
        <v>290.39</v>
      </c>
      <c r="U34">
        <v>1208.8</v>
      </c>
      <c r="V34">
        <v>0</v>
      </c>
      <c r="W34">
        <v>0</v>
      </c>
      <c r="X34">
        <v>29127.51</v>
      </c>
      <c r="AA34" s="232">
        <f t="shared" si="0"/>
        <v>7258.4633199999998</v>
      </c>
      <c r="AB34" s="232">
        <f t="shared" si="1"/>
        <v>19390.50186</v>
      </c>
    </row>
    <row r="35" spans="1:28">
      <c r="A35" t="s">
        <v>2362</v>
      </c>
      <c r="B35">
        <v>5366</v>
      </c>
      <c r="C35" t="s">
        <v>2327</v>
      </c>
      <c r="D35">
        <v>385</v>
      </c>
      <c r="E35" t="s">
        <v>2328</v>
      </c>
      <c r="F35" t="s">
        <v>2038</v>
      </c>
      <c r="G35">
        <v>2021</v>
      </c>
      <c r="H35">
        <v>12</v>
      </c>
      <c r="I35" s="8">
        <v>44531</v>
      </c>
      <c r="J35">
        <v>840</v>
      </c>
      <c r="K35">
        <v>772.8</v>
      </c>
      <c r="L35">
        <v>283624</v>
      </c>
      <c r="M35">
        <v>36612</v>
      </c>
      <c r="N35">
        <v>283624</v>
      </c>
      <c r="O35">
        <v>36612</v>
      </c>
      <c r="P35">
        <v>0</v>
      </c>
      <c r="Q35">
        <v>12.63</v>
      </c>
      <c r="R35">
        <v>19.809999999999999</v>
      </c>
      <c r="S35">
        <v>14.98</v>
      </c>
      <c r="T35">
        <v>290.39</v>
      </c>
      <c r="U35">
        <v>5356.2</v>
      </c>
      <c r="V35">
        <v>0</v>
      </c>
      <c r="W35">
        <v>0</v>
      </c>
      <c r="X35">
        <v>129065</v>
      </c>
      <c r="AA35" s="232">
        <f t="shared" si="0"/>
        <v>30715.503279999997</v>
      </c>
      <c r="AB35" s="232">
        <f t="shared" si="1"/>
        <v>92993.332039999994</v>
      </c>
    </row>
    <row r="36" spans="1:28">
      <c r="A36" t="s">
        <v>2363</v>
      </c>
      <c r="B36">
        <v>5366</v>
      </c>
      <c r="C36" t="s">
        <v>2327</v>
      </c>
      <c r="D36">
        <v>385</v>
      </c>
      <c r="E36" t="s">
        <v>2328</v>
      </c>
      <c r="F36" t="s">
        <v>2038</v>
      </c>
      <c r="G36">
        <v>2021</v>
      </c>
      <c r="H36">
        <v>12</v>
      </c>
      <c r="I36" s="8">
        <v>44531</v>
      </c>
      <c r="J36">
        <v>2437.6799999999998</v>
      </c>
      <c r="K36">
        <v>2271.36</v>
      </c>
      <c r="L36">
        <v>1143912</v>
      </c>
      <c r="M36">
        <v>104682</v>
      </c>
      <c r="N36">
        <v>355718</v>
      </c>
      <c r="O36">
        <v>32733</v>
      </c>
      <c r="P36">
        <v>0</v>
      </c>
      <c r="Q36">
        <v>12.63</v>
      </c>
      <c r="R36">
        <v>19.809999999999999</v>
      </c>
      <c r="S36">
        <v>14.98</v>
      </c>
      <c r="T36">
        <v>290.39</v>
      </c>
      <c r="U36">
        <v>8977.0300000000007</v>
      </c>
      <c r="V36">
        <v>0</v>
      </c>
      <c r="W36">
        <v>0</v>
      </c>
      <c r="X36">
        <v>216314.28</v>
      </c>
      <c r="AA36" s="232">
        <f t="shared" si="0"/>
        <v>94487.478120000014</v>
      </c>
      <c r="AB36" s="232">
        <f t="shared" si="1"/>
        <v>112802.28589</v>
      </c>
    </row>
    <row r="37" spans="1:28">
      <c r="A37" t="s">
        <v>2364</v>
      </c>
      <c r="B37">
        <v>5366</v>
      </c>
      <c r="C37" t="s">
        <v>2327</v>
      </c>
      <c r="D37">
        <v>385</v>
      </c>
      <c r="E37" t="s">
        <v>2328</v>
      </c>
      <c r="F37" t="s">
        <v>2038</v>
      </c>
      <c r="G37">
        <v>2022</v>
      </c>
      <c r="H37">
        <v>1</v>
      </c>
      <c r="I37" s="8">
        <v>44562</v>
      </c>
      <c r="J37">
        <v>466.36</v>
      </c>
      <c r="K37">
        <v>461.32</v>
      </c>
      <c r="L37">
        <v>159855</v>
      </c>
      <c r="M37">
        <v>19766</v>
      </c>
      <c r="N37">
        <v>159855</v>
      </c>
      <c r="O37">
        <v>19766</v>
      </c>
      <c r="P37">
        <v>0</v>
      </c>
      <c r="Q37">
        <v>12.63</v>
      </c>
      <c r="R37">
        <v>19.809999999999999</v>
      </c>
      <c r="S37">
        <v>14.98</v>
      </c>
      <c r="T37">
        <v>290.39</v>
      </c>
      <c r="U37">
        <v>3369.45</v>
      </c>
      <c r="V37">
        <v>0</v>
      </c>
      <c r="W37">
        <v>0</v>
      </c>
      <c r="X37">
        <v>73249.149999999994</v>
      </c>
      <c r="AA37" s="232">
        <f t="shared" si="0"/>
        <v>17719.598580000002</v>
      </c>
      <c r="AB37" s="232">
        <f t="shared" si="1"/>
        <v>52160.142189999999</v>
      </c>
    </row>
    <row r="38" spans="1:28">
      <c r="A38" t="s">
        <v>2365</v>
      </c>
      <c r="B38">
        <v>5366</v>
      </c>
      <c r="C38" t="s">
        <v>2327</v>
      </c>
      <c r="D38">
        <v>385</v>
      </c>
      <c r="E38" t="s">
        <v>2328</v>
      </c>
      <c r="F38" t="s">
        <v>2038</v>
      </c>
      <c r="G38">
        <v>2022</v>
      </c>
      <c r="H38">
        <v>1</v>
      </c>
      <c r="I38" s="8">
        <v>44562</v>
      </c>
      <c r="J38">
        <v>316</v>
      </c>
      <c r="K38">
        <v>321.04000000000002</v>
      </c>
      <c r="L38">
        <v>72822</v>
      </c>
      <c r="M38">
        <v>10767</v>
      </c>
      <c r="N38">
        <v>72822</v>
      </c>
      <c r="O38">
        <v>10767</v>
      </c>
      <c r="P38">
        <v>0</v>
      </c>
      <c r="Q38">
        <v>12.63</v>
      </c>
      <c r="R38">
        <v>19.809999999999999</v>
      </c>
      <c r="S38">
        <v>14.98</v>
      </c>
      <c r="T38">
        <v>290.39</v>
      </c>
      <c r="U38">
        <v>1771.38</v>
      </c>
      <c r="V38">
        <v>0</v>
      </c>
      <c r="W38">
        <v>0</v>
      </c>
      <c r="X38">
        <v>38508.65</v>
      </c>
      <c r="AA38" s="232">
        <f t="shared" si="0"/>
        <v>11603.045620000001</v>
      </c>
      <c r="AB38" s="232">
        <f t="shared" si="1"/>
        <v>24273.40971</v>
      </c>
    </row>
    <row r="39" spans="1:28">
      <c r="A39" t="s">
        <v>2366</v>
      </c>
      <c r="B39">
        <v>5366</v>
      </c>
      <c r="C39" t="s">
        <v>2327</v>
      </c>
      <c r="D39">
        <v>385</v>
      </c>
      <c r="E39" t="s">
        <v>2328</v>
      </c>
      <c r="F39" t="s">
        <v>2038</v>
      </c>
      <c r="G39">
        <v>2022</v>
      </c>
      <c r="H39">
        <v>1</v>
      </c>
      <c r="I39" s="8">
        <v>44562</v>
      </c>
      <c r="J39">
        <v>1102.08</v>
      </c>
      <c r="K39">
        <v>1131.48</v>
      </c>
      <c r="L39">
        <v>315374</v>
      </c>
      <c r="M39">
        <v>44430</v>
      </c>
      <c r="N39">
        <v>315374</v>
      </c>
      <c r="O39">
        <v>44430</v>
      </c>
      <c r="P39">
        <v>0</v>
      </c>
      <c r="Q39">
        <v>12.63</v>
      </c>
      <c r="R39">
        <v>19.809999999999999</v>
      </c>
      <c r="S39">
        <v>14.98</v>
      </c>
      <c r="T39">
        <v>290.39</v>
      </c>
      <c r="U39">
        <v>7049.83</v>
      </c>
      <c r="V39">
        <v>0</v>
      </c>
      <c r="W39">
        <v>0</v>
      </c>
      <c r="X39">
        <v>153257.04</v>
      </c>
      <c r="AA39" s="232">
        <f t="shared" si="0"/>
        <v>41723.753119999994</v>
      </c>
      <c r="AB39" s="232">
        <f t="shared" si="1"/>
        <v>104483.48355999999</v>
      </c>
    </row>
    <row r="40" spans="1:28">
      <c r="A40" t="s">
        <v>2367</v>
      </c>
      <c r="B40">
        <v>5366</v>
      </c>
      <c r="C40" t="s">
        <v>2327</v>
      </c>
      <c r="D40">
        <v>385</v>
      </c>
      <c r="E40" t="s">
        <v>2328</v>
      </c>
      <c r="F40" t="s">
        <v>2038</v>
      </c>
      <c r="G40">
        <v>2022</v>
      </c>
      <c r="H40">
        <v>1</v>
      </c>
      <c r="I40" s="8">
        <v>44562</v>
      </c>
      <c r="J40">
        <v>778.17</v>
      </c>
      <c r="K40">
        <v>772.63</v>
      </c>
      <c r="L40">
        <v>223458</v>
      </c>
      <c r="M40">
        <v>31700</v>
      </c>
      <c r="N40">
        <v>194372</v>
      </c>
      <c r="O40">
        <v>31700</v>
      </c>
      <c r="P40">
        <v>29086</v>
      </c>
      <c r="Q40">
        <v>12.63</v>
      </c>
      <c r="R40">
        <v>19.809999999999999</v>
      </c>
      <c r="S40">
        <v>14.98</v>
      </c>
      <c r="T40">
        <v>290.39</v>
      </c>
      <c r="U40">
        <v>4561.68</v>
      </c>
      <c r="V40">
        <v>0</v>
      </c>
      <c r="W40">
        <v>0</v>
      </c>
      <c r="X40">
        <v>99167.06</v>
      </c>
      <c r="AA40" s="232">
        <f t="shared" si="0"/>
        <v>28956.354239999997</v>
      </c>
      <c r="AB40" s="232">
        <f t="shared" si="1"/>
        <v>65649.048079999993</v>
      </c>
    </row>
    <row r="41" spans="1:28">
      <c r="A41" t="s">
        <v>2368</v>
      </c>
      <c r="B41">
        <v>5366</v>
      </c>
      <c r="C41" t="s">
        <v>2327</v>
      </c>
      <c r="D41">
        <v>385</v>
      </c>
      <c r="E41" t="s">
        <v>2328</v>
      </c>
      <c r="F41" t="s">
        <v>2038</v>
      </c>
      <c r="G41">
        <v>2022</v>
      </c>
      <c r="H41">
        <v>1</v>
      </c>
      <c r="I41" s="8">
        <v>44562</v>
      </c>
      <c r="J41">
        <v>2486.4</v>
      </c>
      <c r="K41">
        <v>2348.64</v>
      </c>
      <c r="L41">
        <v>1224792</v>
      </c>
      <c r="M41">
        <v>129764</v>
      </c>
      <c r="N41">
        <v>356333</v>
      </c>
      <c r="O41">
        <v>36920</v>
      </c>
      <c r="P41">
        <v>0</v>
      </c>
      <c r="Q41">
        <v>12.63</v>
      </c>
      <c r="R41">
        <v>19.809999999999999</v>
      </c>
      <c r="S41">
        <v>14.98</v>
      </c>
      <c r="T41">
        <v>290.39</v>
      </c>
      <c r="U41">
        <v>10242.57</v>
      </c>
      <c r="V41">
        <v>0</v>
      </c>
      <c r="W41">
        <v>0</v>
      </c>
      <c r="X41">
        <v>222665.11</v>
      </c>
      <c r="AA41" s="232">
        <f t="shared" si="0"/>
        <v>98221.039279999997</v>
      </c>
      <c r="AB41" s="232">
        <f t="shared" si="1"/>
        <v>114196.73866999999</v>
      </c>
    </row>
    <row r="42" spans="1:28">
      <c r="A42" t="s">
        <v>2369</v>
      </c>
      <c r="B42">
        <v>5366</v>
      </c>
      <c r="C42" t="s">
        <v>2327</v>
      </c>
      <c r="D42">
        <v>385</v>
      </c>
      <c r="E42" t="s">
        <v>2328</v>
      </c>
      <c r="F42" t="s">
        <v>2038</v>
      </c>
      <c r="G42">
        <v>2022</v>
      </c>
      <c r="H42">
        <v>2</v>
      </c>
      <c r="I42" s="8">
        <v>44593</v>
      </c>
      <c r="J42">
        <v>717.19</v>
      </c>
      <c r="K42">
        <v>610.34</v>
      </c>
      <c r="L42">
        <v>247628</v>
      </c>
      <c r="M42">
        <v>29046</v>
      </c>
      <c r="N42">
        <v>221579</v>
      </c>
      <c r="O42">
        <v>29046</v>
      </c>
      <c r="P42">
        <v>26049</v>
      </c>
      <c r="Q42">
        <v>12.63</v>
      </c>
      <c r="R42">
        <v>19.809999999999999</v>
      </c>
      <c r="S42">
        <v>14.98</v>
      </c>
      <c r="T42">
        <v>290.39</v>
      </c>
      <c r="U42">
        <v>5303.17</v>
      </c>
      <c r="V42">
        <v>0</v>
      </c>
      <c r="W42">
        <v>-1789.16</v>
      </c>
      <c r="X42">
        <v>101586.48</v>
      </c>
      <c r="AA42" s="232">
        <f t="shared" si="0"/>
        <v>25293.52162</v>
      </c>
      <c r="AB42" s="232">
        <f t="shared" si="1"/>
        <v>72778.993749999994</v>
      </c>
    </row>
    <row r="43" spans="1:28">
      <c r="A43" t="s">
        <v>2370</v>
      </c>
      <c r="B43">
        <v>5366</v>
      </c>
      <c r="C43" t="s">
        <v>2327</v>
      </c>
      <c r="D43">
        <v>385</v>
      </c>
      <c r="E43" t="s">
        <v>2328</v>
      </c>
      <c r="F43" t="s">
        <v>2038</v>
      </c>
      <c r="G43">
        <v>2022</v>
      </c>
      <c r="H43">
        <v>2</v>
      </c>
      <c r="I43" s="8">
        <v>44593</v>
      </c>
      <c r="J43">
        <v>993.72</v>
      </c>
      <c r="K43">
        <v>812.28</v>
      </c>
      <c r="L43">
        <v>345498</v>
      </c>
      <c r="M43">
        <v>40341</v>
      </c>
      <c r="N43">
        <v>345498</v>
      </c>
      <c r="O43">
        <v>40341</v>
      </c>
      <c r="P43">
        <v>0</v>
      </c>
      <c r="Q43">
        <v>12.63</v>
      </c>
      <c r="R43">
        <v>19.809999999999999</v>
      </c>
      <c r="S43">
        <v>14.98</v>
      </c>
      <c r="T43">
        <v>290.39</v>
      </c>
      <c r="U43">
        <v>7919.18</v>
      </c>
      <c r="V43">
        <v>0</v>
      </c>
      <c r="W43">
        <v>0</v>
      </c>
      <c r="X43">
        <v>154385.56</v>
      </c>
      <c r="AA43" s="232">
        <f t="shared" si="0"/>
        <v>34421.818619999998</v>
      </c>
      <c r="AB43" s="232">
        <f t="shared" si="1"/>
        <v>112043.78720999999</v>
      </c>
    </row>
    <row r="44" spans="1:28">
      <c r="A44" t="s">
        <v>2371</v>
      </c>
      <c r="B44">
        <v>5366</v>
      </c>
      <c r="C44" t="s">
        <v>2327</v>
      </c>
      <c r="D44">
        <v>385</v>
      </c>
      <c r="E44" t="s">
        <v>2328</v>
      </c>
      <c r="F44" t="s">
        <v>2038</v>
      </c>
      <c r="G44">
        <v>2022</v>
      </c>
      <c r="H44">
        <v>2</v>
      </c>
      <c r="I44" s="8">
        <v>44593</v>
      </c>
      <c r="J44">
        <v>329.11</v>
      </c>
      <c r="K44">
        <v>254.01</v>
      </c>
      <c r="L44">
        <v>86784</v>
      </c>
      <c r="M44">
        <v>10350</v>
      </c>
      <c r="N44">
        <v>86784</v>
      </c>
      <c r="O44">
        <v>10350</v>
      </c>
      <c r="Q44">
        <v>12.63</v>
      </c>
      <c r="R44">
        <v>19.809999999999999</v>
      </c>
      <c r="S44">
        <v>14.98</v>
      </c>
      <c r="T44">
        <v>290.39</v>
      </c>
      <c r="U44">
        <v>2123.9899999999998</v>
      </c>
      <c r="V44">
        <v>0</v>
      </c>
      <c r="W44">
        <v>-1889.04</v>
      </c>
      <c r="X44">
        <v>39514.04</v>
      </c>
      <c r="AA44" s="232">
        <f t="shared" si="0"/>
        <v>10643.664719999999</v>
      </c>
      <c r="AB44" s="232">
        <f t="shared" si="1"/>
        <v>28206.742259999999</v>
      </c>
    </row>
    <row r="45" spans="1:28">
      <c r="A45" t="s">
        <v>2372</v>
      </c>
      <c r="B45">
        <v>5366</v>
      </c>
      <c r="C45" t="s">
        <v>2327</v>
      </c>
      <c r="D45">
        <v>385</v>
      </c>
      <c r="E45" t="s">
        <v>2328</v>
      </c>
      <c r="F45" t="s">
        <v>2038</v>
      </c>
      <c r="G45">
        <v>2022</v>
      </c>
      <c r="H45">
        <v>2</v>
      </c>
      <c r="I45" s="8">
        <v>44593</v>
      </c>
      <c r="J45">
        <v>449.23</v>
      </c>
      <c r="K45">
        <v>362.88</v>
      </c>
      <c r="L45">
        <v>160875</v>
      </c>
      <c r="M45">
        <v>17536</v>
      </c>
      <c r="N45">
        <v>160875</v>
      </c>
      <c r="O45">
        <v>17536</v>
      </c>
      <c r="P45">
        <v>0</v>
      </c>
      <c r="Q45">
        <v>12.63</v>
      </c>
      <c r="R45">
        <v>19.809999999999999</v>
      </c>
      <c r="S45">
        <v>14.98</v>
      </c>
      <c r="T45">
        <v>290.39</v>
      </c>
      <c r="U45">
        <v>3641.54</v>
      </c>
      <c r="V45">
        <v>0</v>
      </c>
      <c r="W45">
        <v>0</v>
      </c>
      <c r="X45">
        <v>70985.3</v>
      </c>
      <c r="AA45" s="232">
        <f t="shared" si="0"/>
        <v>15535.02448</v>
      </c>
      <c r="AB45" s="232">
        <f t="shared" si="1"/>
        <v>51808.77029</v>
      </c>
    </row>
    <row r="46" spans="1:28">
      <c r="A46" t="s">
        <v>2373</v>
      </c>
      <c r="B46">
        <v>5366</v>
      </c>
      <c r="C46" t="s">
        <v>2327</v>
      </c>
      <c r="D46">
        <v>385</v>
      </c>
      <c r="E46" t="s">
        <v>2328</v>
      </c>
      <c r="F46" t="s">
        <v>2038</v>
      </c>
      <c r="G46">
        <v>2022</v>
      </c>
      <c r="H46">
        <v>2</v>
      </c>
      <c r="I46" s="8">
        <v>44593</v>
      </c>
      <c r="J46">
        <v>2399.04</v>
      </c>
      <c r="K46">
        <v>2207.7600000000002</v>
      </c>
      <c r="L46">
        <v>1271939</v>
      </c>
      <c r="M46">
        <v>102047</v>
      </c>
      <c r="N46">
        <v>403582</v>
      </c>
      <c r="O46">
        <v>18427</v>
      </c>
      <c r="P46">
        <v>0</v>
      </c>
      <c r="Q46">
        <v>12.63</v>
      </c>
      <c r="R46">
        <v>19.809999999999999</v>
      </c>
      <c r="S46">
        <v>14.98</v>
      </c>
      <c r="T46">
        <v>290.39</v>
      </c>
      <c r="U46">
        <v>11744.02</v>
      </c>
      <c r="V46">
        <v>0</v>
      </c>
      <c r="W46">
        <v>-4933.45</v>
      </c>
      <c r="X46">
        <v>223994.27</v>
      </c>
      <c r="AA46" s="232">
        <f t="shared" si="0"/>
        <v>94617.911080000005</v>
      </c>
      <c r="AB46" s="232">
        <f t="shared" si="1"/>
        <v>122547.19351</v>
      </c>
    </row>
    <row r="47" spans="1:28">
      <c r="A47" t="s">
        <v>2374</v>
      </c>
      <c r="B47">
        <v>5366</v>
      </c>
      <c r="C47" t="s">
        <v>2327</v>
      </c>
      <c r="D47">
        <v>385</v>
      </c>
      <c r="E47" t="s">
        <v>2328</v>
      </c>
      <c r="F47" t="s">
        <v>2038</v>
      </c>
      <c r="G47">
        <v>2022</v>
      </c>
      <c r="H47">
        <v>3</v>
      </c>
      <c r="I47" s="8">
        <v>44621</v>
      </c>
      <c r="J47">
        <v>402.86</v>
      </c>
      <c r="K47">
        <v>405.55</v>
      </c>
      <c r="L47">
        <v>142583</v>
      </c>
      <c r="M47">
        <v>16313</v>
      </c>
      <c r="N47">
        <v>142583</v>
      </c>
      <c r="O47">
        <v>16313</v>
      </c>
      <c r="P47">
        <v>0</v>
      </c>
      <c r="Q47">
        <v>12.63</v>
      </c>
      <c r="R47">
        <v>19.809999999999999</v>
      </c>
      <c r="S47">
        <v>14.98</v>
      </c>
      <c r="T47">
        <v>290.39</v>
      </c>
      <c r="U47">
        <v>3388.18</v>
      </c>
      <c r="V47">
        <v>0</v>
      </c>
      <c r="W47">
        <v>0</v>
      </c>
      <c r="X47">
        <v>65032.29</v>
      </c>
      <c r="AA47" s="232">
        <f t="shared" si="0"/>
        <v>15502.329380000001</v>
      </c>
      <c r="AB47" s="232">
        <f t="shared" si="1"/>
        <v>46141.809439999997</v>
      </c>
    </row>
    <row r="48" spans="1:28">
      <c r="A48" t="s">
        <v>2375</v>
      </c>
      <c r="B48">
        <v>5366</v>
      </c>
      <c r="C48" t="s">
        <v>2327</v>
      </c>
      <c r="D48">
        <v>385</v>
      </c>
      <c r="E48" t="s">
        <v>2328</v>
      </c>
      <c r="F48" t="s">
        <v>2038</v>
      </c>
      <c r="G48">
        <v>2022</v>
      </c>
      <c r="H48">
        <v>3</v>
      </c>
      <c r="I48" s="8">
        <v>44621</v>
      </c>
      <c r="J48">
        <v>1042.44</v>
      </c>
      <c r="K48">
        <v>1044.96</v>
      </c>
      <c r="L48">
        <v>314751</v>
      </c>
      <c r="M48">
        <v>38619</v>
      </c>
      <c r="N48">
        <v>314751</v>
      </c>
      <c r="O48">
        <v>38619</v>
      </c>
      <c r="P48">
        <v>0</v>
      </c>
      <c r="Q48">
        <v>12.63</v>
      </c>
      <c r="R48">
        <v>19.809999999999999</v>
      </c>
      <c r="S48">
        <v>14.98</v>
      </c>
      <c r="T48">
        <v>290.39</v>
      </c>
      <c r="U48">
        <v>7792.49</v>
      </c>
      <c r="V48">
        <v>0</v>
      </c>
      <c r="W48">
        <v>0</v>
      </c>
      <c r="X48">
        <v>149567.73000000001</v>
      </c>
      <c r="AA48" s="232">
        <f t="shared" si="0"/>
        <v>39160.157400000004</v>
      </c>
      <c r="AB48" s="232">
        <f t="shared" si="1"/>
        <v>102615.1143</v>
      </c>
    </row>
    <row r="49" spans="1:28">
      <c r="A49" t="s">
        <v>2376</v>
      </c>
      <c r="B49">
        <v>5366</v>
      </c>
      <c r="C49" t="s">
        <v>2327</v>
      </c>
      <c r="D49">
        <v>385</v>
      </c>
      <c r="E49" t="s">
        <v>2328</v>
      </c>
      <c r="F49" t="s">
        <v>2038</v>
      </c>
      <c r="G49">
        <v>2022</v>
      </c>
      <c r="H49">
        <v>3</v>
      </c>
      <c r="I49" s="8">
        <v>44621</v>
      </c>
      <c r="J49">
        <v>668.3</v>
      </c>
      <c r="K49">
        <v>689.47</v>
      </c>
      <c r="L49">
        <v>214722</v>
      </c>
      <c r="M49">
        <v>27031</v>
      </c>
      <c r="N49">
        <v>186569</v>
      </c>
      <c r="O49">
        <v>27031</v>
      </c>
      <c r="P49">
        <v>27153</v>
      </c>
      <c r="Q49">
        <v>12.63</v>
      </c>
      <c r="R49">
        <v>19.809999999999999</v>
      </c>
      <c r="S49">
        <v>14.98</v>
      </c>
      <c r="T49">
        <v>290.39</v>
      </c>
      <c r="U49">
        <v>4822.92</v>
      </c>
      <c r="V49">
        <v>0</v>
      </c>
      <c r="W49">
        <v>0</v>
      </c>
      <c r="X49">
        <v>92570.69</v>
      </c>
      <c r="AA49" s="232">
        <f t="shared" si="0"/>
        <v>25720.48964</v>
      </c>
      <c r="AB49" s="232">
        <f t="shared" si="1"/>
        <v>62027.303999999996</v>
      </c>
    </row>
    <row r="50" spans="1:28">
      <c r="A50" t="s">
        <v>2377</v>
      </c>
      <c r="B50">
        <v>5366</v>
      </c>
      <c r="C50" t="s">
        <v>2327</v>
      </c>
      <c r="D50">
        <v>385</v>
      </c>
      <c r="E50" t="s">
        <v>2328</v>
      </c>
      <c r="F50" t="s">
        <v>2038</v>
      </c>
      <c r="G50">
        <v>2022</v>
      </c>
      <c r="H50">
        <v>3</v>
      </c>
      <c r="I50" s="8">
        <v>44621</v>
      </c>
      <c r="J50">
        <v>287</v>
      </c>
      <c r="K50">
        <v>193</v>
      </c>
      <c r="L50">
        <v>69224</v>
      </c>
      <c r="M50">
        <v>8819</v>
      </c>
      <c r="N50">
        <v>69224</v>
      </c>
      <c r="O50">
        <v>8819</v>
      </c>
      <c r="P50">
        <v>0</v>
      </c>
      <c r="Q50">
        <v>12.63</v>
      </c>
      <c r="R50">
        <v>19.809999999999999</v>
      </c>
      <c r="S50">
        <v>14.98</v>
      </c>
      <c r="T50">
        <v>290.39</v>
      </c>
      <c r="U50">
        <v>1857.91</v>
      </c>
      <c r="V50">
        <v>0</v>
      </c>
      <c r="W50">
        <v>0</v>
      </c>
      <c r="X50">
        <v>35660.74</v>
      </c>
      <c r="AA50" s="232">
        <f t="shared" si="0"/>
        <v>8617.2241400000003</v>
      </c>
      <c r="AB50" s="232">
        <f t="shared" si="1"/>
        <v>22662.906770000001</v>
      </c>
    </row>
    <row r="51" spans="1:28">
      <c r="A51" t="s">
        <v>2378</v>
      </c>
      <c r="B51">
        <v>5366</v>
      </c>
      <c r="C51" t="s">
        <v>2327</v>
      </c>
      <c r="D51">
        <v>385</v>
      </c>
      <c r="E51" t="s">
        <v>2328</v>
      </c>
      <c r="F51" t="s">
        <v>2038</v>
      </c>
      <c r="G51">
        <v>2022</v>
      </c>
      <c r="H51">
        <v>3</v>
      </c>
      <c r="I51" s="8">
        <v>44621</v>
      </c>
      <c r="J51">
        <v>2456</v>
      </c>
      <c r="K51">
        <v>2177</v>
      </c>
      <c r="L51">
        <v>1112916</v>
      </c>
      <c r="M51">
        <v>108457</v>
      </c>
      <c r="N51">
        <v>314029</v>
      </c>
      <c r="O51">
        <v>30382</v>
      </c>
      <c r="P51">
        <v>0</v>
      </c>
      <c r="Q51">
        <v>12.63</v>
      </c>
      <c r="R51">
        <v>19.809999999999999</v>
      </c>
      <c r="S51">
        <v>14.98</v>
      </c>
      <c r="T51">
        <v>290.39</v>
      </c>
      <c r="U51">
        <v>10578.05</v>
      </c>
      <c r="V51">
        <v>0</v>
      </c>
      <c r="W51">
        <v>0</v>
      </c>
      <c r="X51">
        <v>203033.32</v>
      </c>
      <c r="AA51" s="232">
        <f t="shared" si="0"/>
        <v>92441.817539999989</v>
      </c>
      <c r="AB51" s="232">
        <f t="shared" si="1"/>
        <v>100013.51028999999</v>
      </c>
    </row>
    <row r="52" spans="1:28">
      <c r="A52" t="s">
        <v>2379</v>
      </c>
      <c r="B52">
        <v>5366</v>
      </c>
      <c r="C52" t="s">
        <v>2327</v>
      </c>
      <c r="D52">
        <v>385</v>
      </c>
      <c r="E52" t="s">
        <v>2328</v>
      </c>
      <c r="F52" t="s">
        <v>2038</v>
      </c>
      <c r="G52">
        <v>2022</v>
      </c>
      <c r="H52">
        <v>4</v>
      </c>
      <c r="I52" s="8">
        <v>44652</v>
      </c>
      <c r="J52">
        <v>619.41</v>
      </c>
      <c r="K52">
        <v>566.49</v>
      </c>
      <c r="L52">
        <v>239235</v>
      </c>
      <c r="M52">
        <v>31013</v>
      </c>
      <c r="N52">
        <v>212147</v>
      </c>
      <c r="O52">
        <v>31013</v>
      </c>
      <c r="P52">
        <v>27088</v>
      </c>
      <c r="Q52">
        <v>12.63</v>
      </c>
      <c r="R52">
        <v>19.809999999999999</v>
      </c>
      <c r="S52">
        <v>14.98</v>
      </c>
      <c r="T52">
        <v>290.39</v>
      </c>
      <c r="U52">
        <v>4282.03</v>
      </c>
      <c r="V52">
        <v>0</v>
      </c>
      <c r="W52">
        <v>0</v>
      </c>
      <c r="X52">
        <v>97986.86</v>
      </c>
      <c r="AA52" s="232">
        <f t="shared" si="0"/>
        <v>23093.630240000002</v>
      </c>
      <c r="AB52" s="232">
        <f t="shared" si="1"/>
        <v>70611.232399999994</v>
      </c>
    </row>
    <row r="53" spans="1:28">
      <c r="A53" t="s">
        <v>2380</v>
      </c>
      <c r="B53">
        <v>5366</v>
      </c>
      <c r="C53" t="s">
        <v>2327</v>
      </c>
      <c r="D53">
        <v>385</v>
      </c>
      <c r="E53" t="s">
        <v>2328</v>
      </c>
      <c r="F53" t="s">
        <v>2038</v>
      </c>
      <c r="G53">
        <v>2022</v>
      </c>
      <c r="H53">
        <v>4</v>
      </c>
      <c r="I53" s="8">
        <v>44652</v>
      </c>
      <c r="J53">
        <v>356.83</v>
      </c>
      <c r="K53">
        <v>322.56</v>
      </c>
      <c r="L53">
        <v>151270</v>
      </c>
      <c r="M53">
        <v>17308</v>
      </c>
      <c r="N53">
        <v>151270</v>
      </c>
      <c r="O53">
        <v>17308</v>
      </c>
      <c r="P53">
        <v>0</v>
      </c>
      <c r="Q53">
        <v>12.63</v>
      </c>
      <c r="R53">
        <v>19.809999999999999</v>
      </c>
      <c r="S53">
        <v>14.98</v>
      </c>
      <c r="T53">
        <v>290.39</v>
      </c>
      <c r="U53">
        <v>2850.35</v>
      </c>
      <c r="V53">
        <v>0</v>
      </c>
      <c r="W53">
        <v>0</v>
      </c>
      <c r="X53">
        <v>65225.67</v>
      </c>
      <c r="AA53" s="232">
        <f t="shared" si="0"/>
        <v>13421.97494</v>
      </c>
      <c r="AB53" s="232">
        <f t="shared" si="1"/>
        <v>48953.365420000002</v>
      </c>
    </row>
    <row r="54" spans="1:28">
      <c r="A54" t="s">
        <v>2381</v>
      </c>
      <c r="B54">
        <v>5366</v>
      </c>
      <c r="C54" t="s">
        <v>2327</v>
      </c>
      <c r="D54">
        <v>385</v>
      </c>
      <c r="E54" t="s">
        <v>2328</v>
      </c>
      <c r="F54" t="s">
        <v>2038</v>
      </c>
      <c r="G54">
        <v>2022</v>
      </c>
      <c r="H54">
        <v>4</v>
      </c>
      <c r="I54" s="8">
        <v>44652</v>
      </c>
      <c r="J54">
        <v>875.28</v>
      </c>
      <c r="K54">
        <v>799.68</v>
      </c>
      <c r="L54">
        <v>339540</v>
      </c>
      <c r="M54">
        <v>43197</v>
      </c>
      <c r="N54">
        <v>339540</v>
      </c>
      <c r="O54">
        <v>43197</v>
      </c>
      <c r="P54">
        <v>0</v>
      </c>
      <c r="Q54">
        <v>12.63</v>
      </c>
      <c r="R54">
        <v>19.809999999999999</v>
      </c>
      <c r="S54">
        <v>14.98</v>
      </c>
      <c r="T54">
        <v>290.39</v>
      </c>
      <c r="U54">
        <v>6569.98</v>
      </c>
      <c r="V54">
        <v>0</v>
      </c>
      <c r="W54">
        <v>0</v>
      </c>
      <c r="X54">
        <v>150342.79999999999</v>
      </c>
      <c r="AA54" s="232">
        <f t="shared" si="0"/>
        <v>32629.847459999997</v>
      </c>
      <c r="AB54" s="232">
        <f t="shared" si="1"/>
        <v>111142.99743</v>
      </c>
    </row>
    <row r="55" spans="1:28">
      <c r="A55" t="s">
        <v>2382</v>
      </c>
      <c r="B55">
        <v>5366</v>
      </c>
      <c r="C55" t="s">
        <v>2327</v>
      </c>
      <c r="D55">
        <v>385</v>
      </c>
      <c r="E55" t="s">
        <v>2328</v>
      </c>
      <c r="F55" t="s">
        <v>2038</v>
      </c>
      <c r="G55">
        <v>2022</v>
      </c>
      <c r="H55">
        <v>4</v>
      </c>
      <c r="I55" s="8">
        <v>44652</v>
      </c>
      <c r="J55">
        <v>220.75</v>
      </c>
      <c r="K55">
        <v>177.91</v>
      </c>
      <c r="L55">
        <v>72381</v>
      </c>
      <c r="M55">
        <v>9007</v>
      </c>
      <c r="N55">
        <v>72381</v>
      </c>
      <c r="O55">
        <v>9007</v>
      </c>
      <c r="P55">
        <v>0</v>
      </c>
      <c r="Q55">
        <v>12.63</v>
      </c>
      <c r="R55">
        <v>19.809999999999999</v>
      </c>
      <c r="S55">
        <v>14.98</v>
      </c>
      <c r="T55">
        <v>290.39</v>
      </c>
      <c r="U55">
        <v>1563.34</v>
      </c>
      <c r="V55">
        <v>0</v>
      </c>
      <c r="W55">
        <v>0</v>
      </c>
      <c r="X55">
        <v>35774.42</v>
      </c>
      <c r="AA55" s="232">
        <f t="shared" si="0"/>
        <v>7531.6618400000007</v>
      </c>
      <c r="AB55" s="232">
        <f t="shared" si="1"/>
        <v>23634.261320000001</v>
      </c>
    </row>
    <row r="56" spans="1:28">
      <c r="A56" t="s">
        <v>2383</v>
      </c>
      <c r="B56">
        <v>5366</v>
      </c>
      <c r="C56" t="s">
        <v>2327</v>
      </c>
      <c r="D56">
        <v>385</v>
      </c>
      <c r="E56" t="s">
        <v>2328</v>
      </c>
      <c r="F56" t="s">
        <v>2038</v>
      </c>
      <c r="G56">
        <v>2022</v>
      </c>
      <c r="H56">
        <v>4</v>
      </c>
      <c r="I56" s="8">
        <v>44652</v>
      </c>
      <c r="J56">
        <v>2604</v>
      </c>
      <c r="K56">
        <v>2305</v>
      </c>
      <c r="L56">
        <v>1213548</v>
      </c>
      <c r="M56">
        <v>122558</v>
      </c>
      <c r="N56">
        <v>357488</v>
      </c>
      <c r="O56">
        <v>36432</v>
      </c>
      <c r="P56">
        <v>0</v>
      </c>
      <c r="Q56">
        <v>12.63</v>
      </c>
      <c r="R56">
        <v>19.809999999999999</v>
      </c>
      <c r="S56">
        <v>14.98</v>
      </c>
      <c r="T56">
        <v>290.39</v>
      </c>
      <c r="U56">
        <v>9731.75</v>
      </c>
      <c r="V56">
        <v>0</v>
      </c>
      <c r="W56">
        <v>0</v>
      </c>
      <c r="X56">
        <v>222694.39999999999</v>
      </c>
      <c r="AA56" s="232">
        <f t="shared" si="0"/>
        <v>98565.437880000012</v>
      </c>
      <c r="AB56" s="232">
        <f t="shared" si="1"/>
        <v>114390.42879999999</v>
      </c>
    </row>
    <row r="57" spans="1:28">
      <c r="A57" t="s">
        <v>2384</v>
      </c>
      <c r="B57">
        <v>5366</v>
      </c>
      <c r="C57" t="s">
        <v>2327</v>
      </c>
      <c r="D57">
        <v>385</v>
      </c>
      <c r="E57" t="s">
        <v>2328</v>
      </c>
      <c r="F57" t="s">
        <v>2038</v>
      </c>
      <c r="G57">
        <v>2022</v>
      </c>
      <c r="H57">
        <v>5</v>
      </c>
      <c r="I57" s="8">
        <v>44682</v>
      </c>
      <c r="J57">
        <v>348.76</v>
      </c>
      <c r="K57">
        <v>342.38</v>
      </c>
      <c r="L57">
        <v>139599</v>
      </c>
      <c r="M57">
        <v>15108</v>
      </c>
      <c r="N57">
        <v>139599</v>
      </c>
      <c r="O57">
        <v>15108</v>
      </c>
      <c r="P57">
        <v>0</v>
      </c>
      <c r="Q57">
        <v>12.63</v>
      </c>
      <c r="R57">
        <v>19.809999999999999</v>
      </c>
      <c r="S57">
        <v>14.98</v>
      </c>
      <c r="T57">
        <v>290.39</v>
      </c>
      <c r="U57">
        <v>3479.37</v>
      </c>
      <c r="V57">
        <v>0</v>
      </c>
      <c r="W57">
        <v>0</v>
      </c>
      <c r="X57">
        <v>61910.73</v>
      </c>
      <c r="AA57" s="232">
        <f t="shared" si="0"/>
        <v>13504.89746</v>
      </c>
      <c r="AB57" s="232">
        <f t="shared" si="1"/>
        <v>44925.365729999998</v>
      </c>
    </row>
    <row r="58" spans="1:28">
      <c r="A58" t="s">
        <v>2385</v>
      </c>
      <c r="B58">
        <v>5366</v>
      </c>
      <c r="C58" t="s">
        <v>2327</v>
      </c>
      <c r="D58">
        <v>385</v>
      </c>
      <c r="E58" t="s">
        <v>2328</v>
      </c>
      <c r="F58" t="s">
        <v>2038</v>
      </c>
      <c r="G58">
        <v>2022</v>
      </c>
      <c r="H58">
        <v>5</v>
      </c>
      <c r="I58" s="8">
        <v>44682</v>
      </c>
      <c r="J58">
        <v>584.64</v>
      </c>
      <c r="K58">
        <v>572.54</v>
      </c>
      <c r="L58">
        <v>208619</v>
      </c>
      <c r="M58">
        <v>26327</v>
      </c>
      <c r="N58">
        <v>177892</v>
      </c>
      <c r="O58">
        <v>26327</v>
      </c>
      <c r="P58">
        <v>30727</v>
      </c>
      <c r="Q58">
        <v>12.63</v>
      </c>
      <c r="R58">
        <v>19.809999999999999</v>
      </c>
      <c r="S58">
        <v>14.98</v>
      </c>
      <c r="T58">
        <v>290.39</v>
      </c>
      <c r="U58">
        <v>4855.92</v>
      </c>
      <c r="V58">
        <v>0</v>
      </c>
      <c r="W58">
        <v>0</v>
      </c>
      <c r="X58">
        <v>86404.55</v>
      </c>
      <c r="AA58" s="232">
        <f t="shared" si="0"/>
        <v>22245.51168</v>
      </c>
      <c r="AB58" s="232">
        <f t="shared" si="1"/>
        <v>59303.155409999992</v>
      </c>
    </row>
    <row r="59" spans="1:28">
      <c r="A59" t="s">
        <v>2386</v>
      </c>
      <c r="B59">
        <v>5366</v>
      </c>
      <c r="C59" t="s">
        <v>2327</v>
      </c>
      <c r="D59">
        <v>385</v>
      </c>
      <c r="E59" t="s">
        <v>2328</v>
      </c>
      <c r="F59" t="s">
        <v>2038</v>
      </c>
      <c r="G59">
        <v>2022</v>
      </c>
      <c r="H59">
        <v>5</v>
      </c>
      <c r="I59" s="8">
        <v>44682</v>
      </c>
      <c r="J59">
        <v>223.27</v>
      </c>
      <c r="K59">
        <v>230.83</v>
      </c>
      <c r="L59">
        <v>63700</v>
      </c>
      <c r="M59">
        <v>7638</v>
      </c>
      <c r="N59">
        <v>63700</v>
      </c>
      <c r="O59">
        <v>7638</v>
      </c>
      <c r="P59">
        <v>0</v>
      </c>
      <c r="Q59">
        <v>12.63</v>
      </c>
      <c r="R59">
        <v>19.809999999999999</v>
      </c>
      <c r="S59">
        <v>14.98</v>
      </c>
      <c r="T59">
        <v>290.39</v>
      </c>
      <c r="U59">
        <v>1879.56</v>
      </c>
      <c r="V59">
        <v>0</v>
      </c>
      <c r="W59">
        <v>0</v>
      </c>
      <c r="X59">
        <v>33444.050000000003</v>
      </c>
      <c r="AA59" s="232">
        <f t="shared" si="0"/>
        <v>8461.2856400000001</v>
      </c>
      <c r="AB59" s="232">
        <f t="shared" si="1"/>
        <v>20715.841819999998</v>
      </c>
    </row>
    <row r="60" spans="1:28">
      <c r="A60" t="s">
        <v>2387</v>
      </c>
      <c r="B60">
        <v>5366</v>
      </c>
      <c r="C60" t="s">
        <v>2327</v>
      </c>
      <c r="D60">
        <v>385</v>
      </c>
      <c r="E60" t="s">
        <v>2328</v>
      </c>
      <c r="F60" t="s">
        <v>2038</v>
      </c>
      <c r="G60">
        <v>2022</v>
      </c>
      <c r="H60">
        <v>5</v>
      </c>
      <c r="I60" s="8">
        <v>44682</v>
      </c>
      <c r="J60">
        <v>939.12</v>
      </c>
      <c r="K60">
        <v>953.4</v>
      </c>
      <c r="L60">
        <v>302350</v>
      </c>
      <c r="M60">
        <v>37761</v>
      </c>
      <c r="N60">
        <v>302350</v>
      </c>
      <c r="O60">
        <v>37761</v>
      </c>
      <c r="P60">
        <v>0</v>
      </c>
      <c r="Q60">
        <v>12.63</v>
      </c>
      <c r="R60">
        <v>19.809999999999999</v>
      </c>
      <c r="S60">
        <v>14.98</v>
      </c>
      <c r="T60">
        <v>290.39</v>
      </c>
      <c r="U60">
        <v>8015.4</v>
      </c>
      <c r="V60">
        <v>0</v>
      </c>
      <c r="W60">
        <v>0</v>
      </c>
      <c r="X60">
        <v>142622.98000000001</v>
      </c>
      <c r="AA60" s="232">
        <f t="shared" si="0"/>
        <v>35842.802380000001</v>
      </c>
      <c r="AB60" s="232">
        <f t="shared" si="1"/>
        <v>98764.833289999995</v>
      </c>
    </row>
    <row r="61" spans="1:28">
      <c r="A61" t="s">
        <v>2388</v>
      </c>
      <c r="B61">
        <v>5366</v>
      </c>
      <c r="C61" t="s">
        <v>2327</v>
      </c>
      <c r="D61">
        <v>385</v>
      </c>
      <c r="E61" t="s">
        <v>2328</v>
      </c>
      <c r="F61" t="s">
        <v>2038</v>
      </c>
      <c r="G61">
        <v>2022</v>
      </c>
      <c r="H61">
        <v>5</v>
      </c>
      <c r="I61" s="8">
        <v>44682</v>
      </c>
      <c r="J61">
        <v>2365</v>
      </c>
      <c r="K61">
        <v>2187</v>
      </c>
      <c r="L61">
        <v>1141308</v>
      </c>
      <c r="M61">
        <v>96435</v>
      </c>
      <c r="N61">
        <v>343394</v>
      </c>
      <c r="O61">
        <v>18687</v>
      </c>
      <c r="P61">
        <v>0</v>
      </c>
      <c r="Q61">
        <v>12.63</v>
      </c>
      <c r="R61">
        <v>19.809999999999999</v>
      </c>
      <c r="S61">
        <v>14.98</v>
      </c>
      <c r="T61">
        <v>290.39</v>
      </c>
      <c r="U61">
        <v>11723.56</v>
      </c>
      <c r="V61">
        <v>0</v>
      </c>
      <c r="W61">
        <v>0</v>
      </c>
      <c r="X61">
        <v>208604.05</v>
      </c>
      <c r="AA61" s="232">
        <f t="shared" si="0"/>
        <v>91735.810140000001</v>
      </c>
      <c r="AB61" s="232">
        <f t="shared" si="1"/>
        <v>105144.70159</v>
      </c>
    </row>
    <row r="62" spans="1:28">
      <c r="A62" t="s">
        <v>2389</v>
      </c>
      <c r="B62">
        <v>5366</v>
      </c>
      <c r="C62" t="s">
        <v>2327</v>
      </c>
      <c r="D62">
        <v>385</v>
      </c>
      <c r="E62" t="s">
        <v>2328</v>
      </c>
      <c r="F62" t="s">
        <v>2038</v>
      </c>
      <c r="G62">
        <v>2022</v>
      </c>
      <c r="H62">
        <v>6</v>
      </c>
      <c r="I62" s="8">
        <v>44713</v>
      </c>
      <c r="J62">
        <v>329.95</v>
      </c>
      <c r="K62">
        <v>312.14</v>
      </c>
      <c r="L62">
        <v>132142</v>
      </c>
      <c r="M62">
        <v>16767</v>
      </c>
      <c r="N62">
        <v>132142</v>
      </c>
      <c r="O62">
        <v>16767</v>
      </c>
      <c r="P62">
        <v>0</v>
      </c>
      <c r="Q62">
        <v>12.63</v>
      </c>
      <c r="R62">
        <v>19.809999999999999</v>
      </c>
      <c r="S62">
        <v>14.98</v>
      </c>
      <c r="T62">
        <v>290.39</v>
      </c>
      <c r="U62">
        <v>1881.21</v>
      </c>
      <c r="V62">
        <v>0</v>
      </c>
      <c r="W62">
        <v>0</v>
      </c>
      <c r="X62">
        <v>57706.239999999998</v>
      </c>
      <c r="AA62" s="232">
        <f t="shared" si="0"/>
        <v>12581.41872</v>
      </c>
      <c r="AB62" s="232">
        <f t="shared" si="1"/>
        <v>43241.684509999999</v>
      </c>
    </row>
    <row r="63" spans="1:28">
      <c r="A63" t="s">
        <v>2390</v>
      </c>
      <c r="B63">
        <v>5366</v>
      </c>
      <c r="C63" t="s">
        <v>2327</v>
      </c>
      <c r="D63">
        <v>385</v>
      </c>
      <c r="E63" t="s">
        <v>2328</v>
      </c>
      <c r="F63" t="s">
        <v>2038</v>
      </c>
      <c r="G63">
        <v>2022</v>
      </c>
      <c r="H63">
        <v>6</v>
      </c>
      <c r="I63" s="8">
        <v>44713</v>
      </c>
      <c r="J63">
        <v>832.44</v>
      </c>
      <c r="K63">
        <v>757.68</v>
      </c>
      <c r="L63">
        <v>275022</v>
      </c>
      <c r="M63">
        <v>41589</v>
      </c>
      <c r="N63">
        <v>275022</v>
      </c>
      <c r="O63">
        <v>41589</v>
      </c>
      <c r="P63">
        <v>0</v>
      </c>
      <c r="Q63">
        <v>12.63</v>
      </c>
      <c r="R63">
        <v>19.809999999999999</v>
      </c>
      <c r="S63">
        <v>14.98</v>
      </c>
      <c r="T63">
        <v>290.39</v>
      </c>
      <c r="U63">
        <v>4138.1899999999996</v>
      </c>
      <c r="V63">
        <v>0</v>
      </c>
      <c r="W63">
        <v>0</v>
      </c>
      <c r="X63">
        <v>126938.04</v>
      </c>
      <c r="AA63" s="232">
        <f t="shared" si="0"/>
        <v>30266.190780000001</v>
      </c>
      <c r="AB63" s="232">
        <f t="shared" si="1"/>
        <v>91940.668289999987</v>
      </c>
    </row>
    <row r="64" spans="1:28">
      <c r="A64" t="s">
        <v>2391</v>
      </c>
      <c r="B64">
        <v>5366</v>
      </c>
      <c r="C64" t="s">
        <v>2327</v>
      </c>
      <c r="D64">
        <v>385</v>
      </c>
      <c r="E64" t="s">
        <v>2328</v>
      </c>
      <c r="F64" t="s">
        <v>2038</v>
      </c>
      <c r="G64">
        <v>2022</v>
      </c>
      <c r="H64">
        <v>6</v>
      </c>
      <c r="I64" s="8">
        <v>44713</v>
      </c>
      <c r="J64">
        <v>170</v>
      </c>
      <c r="K64">
        <v>173</v>
      </c>
      <c r="L64">
        <v>58509</v>
      </c>
      <c r="M64">
        <v>6881</v>
      </c>
      <c r="N64">
        <v>58509</v>
      </c>
      <c r="O64">
        <v>6881</v>
      </c>
      <c r="P64">
        <v>0</v>
      </c>
      <c r="Q64">
        <v>12.63</v>
      </c>
      <c r="R64">
        <v>19.809999999999999</v>
      </c>
      <c r="S64">
        <v>14.98</v>
      </c>
      <c r="T64">
        <v>290.39</v>
      </c>
      <c r="U64">
        <v>934.77</v>
      </c>
      <c r="V64">
        <v>0</v>
      </c>
      <c r="W64">
        <v>0</v>
      </c>
      <c r="X64">
        <v>28673.9</v>
      </c>
      <c r="AA64" s="232">
        <f t="shared" si="0"/>
        <v>6553.7721999999994</v>
      </c>
      <c r="AB64" s="232">
        <f t="shared" si="1"/>
        <v>18988.6021</v>
      </c>
    </row>
    <row r="65" spans="1:28">
      <c r="A65" t="s">
        <v>2392</v>
      </c>
      <c r="B65">
        <v>5366</v>
      </c>
      <c r="C65" t="s">
        <v>2327</v>
      </c>
      <c r="D65">
        <v>385</v>
      </c>
      <c r="E65" t="s">
        <v>2328</v>
      </c>
      <c r="F65" t="s">
        <v>2038</v>
      </c>
      <c r="G65">
        <v>2022</v>
      </c>
      <c r="H65">
        <v>6</v>
      </c>
      <c r="I65" s="8">
        <v>44713</v>
      </c>
      <c r="J65">
        <v>542.79999999999995</v>
      </c>
      <c r="K65">
        <v>515.08000000000004</v>
      </c>
      <c r="L65">
        <v>192861</v>
      </c>
      <c r="M65">
        <v>29239</v>
      </c>
      <c r="N65">
        <v>162155</v>
      </c>
      <c r="O65">
        <v>29239</v>
      </c>
      <c r="P65">
        <v>30706</v>
      </c>
      <c r="Q65">
        <v>12.63</v>
      </c>
      <c r="R65">
        <v>19.809999999999999</v>
      </c>
      <c r="S65">
        <v>14.98</v>
      </c>
      <c r="T65">
        <v>290.39</v>
      </c>
      <c r="U65">
        <v>2559.91</v>
      </c>
      <c r="V65">
        <v>0</v>
      </c>
      <c r="W65">
        <v>0</v>
      </c>
      <c r="X65">
        <v>78525.149999999994</v>
      </c>
      <c r="AA65" s="232">
        <f t="shared" si="0"/>
        <v>20386.356800000001</v>
      </c>
      <c r="AB65" s="232">
        <f t="shared" si="1"/>
        <v>55578.903659999996</v>
      </c>
    </row>
    <row r="66" spans="1:28">
      <c r="A66" t="s">
        <v>2393</v>
      </c>
      <c r="B66">
        <v>5366</v>
      </c>
      <c r="C66" t="s">
        <v>2327</v>
      </c>
      <c r="D66">
        <v>385</v>
      </c>
      <c r="E66" t="s">
        <v>2328</v>
      </c>
      <c r="F66" t="s">
        <v>2038</v>
      </c>
      <c r="G66">
        <v>2022</v>
      </c>
      <c r="H66">
        <v>6</v>
      </c>
      <c r="I66" s="8">
        <v>44713</v>
      </c>
      <c r="J66">
        <v>3964.8</v>
      </c>
      <c r="K66">
        <v>2059.6799999999998</v>
      </c>
      <c r="L66">
        <v>1187088</v>
      </c>
      <c r="M66">
        <v>108638</v>
      </c>
      <c r="N66">
        <v>365135</v>
      </c>
      <c r="O66">
        <v>22599</v>
      </c>
      <c r="P66">
        <v>0</v>
      </c>
      <c r="Q66">
        <v>12.63</v>
      </c>
      <c r="R66">
        <v>19.809999999999999</v>
      </c>
      <c r="S66">
        <v>14.98</v>
      </c>
      <c r="T66">
        <v>290.39</v>
      </c>
      <c r="U66">
        <v>7510.79</v>
      </c>
      <c r="V66">
        <v>0</v>
      </c>
      <c r="W66">
        <v>0</v>
      </c>
      <c r="X66">
        <v>230392.5</v>
      </c>
      <c r="AA66" s="232">
        <f t="shared" si="0"/>
        <v>110287.66028000001</v>
      </c>
      <c r="AB66" s="232">
        <f t="shared" si="1"/>
        <v>112594.07625999999</v>
      </c>
    </row>
    <row r="67" spans="1:28">
      <c r="A67" t="s">
        <v>2394</v>
      </c>
      <c r="B67">
        <v>5366</v>
      </c>
      <c r="C67" t="s">
        <v>2327</v>
      </c>
      <c r="D67">
        <v>385</v>
      </c>
      <c r="E67" t="s">
        <v>2328</v>
      </c>
      <c r="F67" t="s">
        <v>2038</v>
      </c>
      <c r="G67">
        <v>2022</v>
      </c>
      <c r="H67">
        <v>7</v>
      </c>
      <c r="I67" s="8">
        <v>44743</v>
      </c>
      <c r="J67">
        <v>546.84</v>
      </c>
      <c r="K67">
        <v>560.44000000000005</v>
      </c>
      <c r="L67">
        <v>184337</v>
      </c>
      <c r="M67">
        <v>28562</v>
      </c>
      <c r="N67">
        <v>152522</v>
      </c>
      <c r="O67">
        <v>28562</v>
      </c>
      <c r="P67">
        <v>31815</v>
      </c>
      <c r="Q67">
        <v>12.63</v>
      </c>
      <c r="R67">
        <v>19.809999999999999</v>
      </c>
      <c r="S67">
        <v>14.98</v>
      </c>
      <c r="T67">
        <v>290.39</v>
      </c>
      <c r="U67">
        <v>3355.54</v>
      </c>
      <c r="V67">
        <v>0</v>
      </c>
      <c r="W67">
        <v>0</v>
      </c>
      <c r="X67">
        <v>77138.61</v>
      </c>
      <c r="AA67" s="232">
        <f t="shared" ref="AA67:AA130" si="2">J67*Q67+K67*R67+((L67+M67)/1000)*S67</f>
        <v>21198.132620000004</v>
      </c>
      <c r="AB67" s="232">
        <f t="shared" ref="AB67:AB130" si="3">((N67+O67)/1000)*T67</f>
        <v>52584.982759999999</v>
      </c>
    </row>
    <row r="68" spans="1:28">
      <c r="A68" t="s">
        <v>2395</v>
      </c>
      <c r="B68">
        <v>5366</v>
      </c>
      <c r="C68" t="s">
        <v>2327</v>
      </c>
      <c r="D68">
        <v>385</v>
      </c>
      <c r="E68" t="s">
        <v>2328</v>
      </c>
      <c r="F68" t="s">
        <v>2038</v>
      </c>
      <c r="G68">
        <v>2022</v>
      </c>
      <c r="H68">
        <v>7</v>
      </c>
      <c r="I68" s="8">
        <v>44743</v>
      </c>
      <c r="J68">
        <v>198.57</v>
      </c>
      <c r="K68">
        <v>198.57</v>
      </c>
      <c r="L68">
        <v>55267</v>
      </c>
      <c r="M68">
        <v>8040</v>
      </c>
      <c r="N68">
        <v>55267</v>
      </c>
      <c r="O68">
        <v>8040</v>
      </c>
      <c r="P68">
        <v>0</v>
      </c>
      <c r="Q68">
        <v>12.63</v>
      </c>
      <c r="R68">
        <v>19.809999999999999</v>
      </c>
      <c r="S68">
        <v>14.98</v>
      </c>
      <c r="T68">
        <v>290.39</v>
      </c>
      <c r="U68">
        <v>1234.8800000000001</v>
      </c>
      <c r="V68">
        <v>0</v>
      </c>
      <c r="W68">
        <v>0</v>
      </c>
      <c r="X68">
        <v>28388</v>
      </c>
      <c r="AA68" s="232">
        <f t="shared" si="2"/>
        <v>7389.9496599999993</v>
      </c>
      <c r="AB68" s="232">
        <f t="shared" si="3"/>
        <v>18383.719730000001</v>
      </c>
    </row>
    <row r="69" spans="1:28">
      <c r="A69" t="s">
        <v>2396</v>
      </c>
      <c r="B69">
        <v>5366</v>
      </c>
      <c r="C69" t="s">
        <v>2327</v>
      </c>
      <c r="D69">
        <v>385</v>
      </c>
      <c r="E69" t="s">
        <v>2328</v>
      </c>
      <c r="F69" t="s">
        <v>2038</v>
      </c>
      <c r="G69">
        <v>2022</v>
      </c>
      <c r="H69">
        <v>7</v>
      </c>
      <c r="I69" s="8">
        <v>44743</v>
      </c>
      <c r="J69">
        <v>368.92</v>
      </c>
      <c r="K69">
        <v>353.13</v>
      </c>
      <c r="L69">
        <v>130568</v>
      </c>
      <c r="M69">
        <v>16372</v>
      </c>
      <c r="N69">
        <v>130568</v>
      </c>
      <c r="O69">
        <v>16372</v>
      </c>
      <c r="P69">
        <v>0</v>
      </c>
      <c r="Q69">
        <v>12.63</v>
      </c>
      <c r="R69">
        <v>19.809999999999999</v>
      </c>
      <c r="S69">
        <v>14.98</v>
      </c>
      <c r="T69">
        <v>290.39</v>
      </c>
      <c r="U69">
        <v>2570.7199999999998</v>
      </c>
      <c r="V69">
        <v>0</v>
      </c>
      <c r="W69">
        <v>0</v>
      </c>
      <c r="X69">
        <v>59096.72</v>
      </c>
      <c r="AA69" s="232">
        <f t="shared" si="2"/>
        <v>13856.126099999999</v>
      </c>
      <c r="AB69" s="232">
        <f t="shared" si="3"/>
        <v>42669.906599999995</v>
      </c>
    </row>
    <row r="70" spans="1:28">
      <c r="A70" t="s">
        <v>2397</v>
      </c>
      <c r="B70">
        <v>5366</v>
      </c>
      <c r="C70" t="s">
        <v>2327</v>
      </c>
      <c r="D70">
        <v>385</v>
      </c>
      <c r="E70" t="s">
        <v>2328</v>
      </c>
      <c r="F70" t="s">
        <v>2038</v>
      </c>
      <c r="G70">
        <v>2022</v>
      </c>
      <c r="H70">
        <v>7</v>
      </c>
      <c r="I70" s="8">
        <v>44743</v>
      </c>
      <c r="J70">
        <v>838.32</v>
      </c>
      <c r="K70">
        <v>910.56</v>
      </c>
      <c r="L70">
        <v>262451</v>
      </c>
      <c r="M70">
        <v>40179</v>
      </c>
      <c r="N70">
        <v>262451</v>
      </c>
      <c r="O70">
        <v>40179</v>
      </c>
      <c r="P70">
        <v>0</v>
      </c>
      <c r="Q70">
        <v>12.63</v>
      </c>
      <c r="R70">
        <v>19.809999999999999</v>
      </c>
      <c r="S70">
        <v>14.98</v>
      </c>
      <c r="T70">
        <v>290.39</v>
      </c>
      <c r="U70">
        <v>5532.28</v>
      </c>
      <c r="V70">
        <v>0</v>
      </c>
      <c r="W70">
        <v>0</v>
      </c>
      <c r="X70">
        <v>127178.59</v>
      </c>
      <c r="AA70" s="232">
        <f t="shared" si="2"/>
        <v>33159.5726</v>
      </c>
      <c r="AB70" s="232">
        <f t="shared" si="3"/>
        <v>87880.725699999995</v>
      </c>
    </row>
    <row r="71" spans="1:28">
      <c r="A71" t="s">
        <v>2398</v>
      </c>
      <c r="B71">
        <v>5366</v>
      </c>
      <c r="C71" t="s">
        <v>2327</v>
      </c>
      <c r="D71">
        <v>385</v>
      </c>
      <c r="E71" t="s">
        <v>2328</v>
      </c>
      <c r="F71" t="s">
        <v>2038</v>
      </c>
      <c r="G71">
        <v>2022</v>
      </c>
      <c r="H71">
        <v>7</v>
      </c>
      <c r="I71" s="8">
        <v>44743</v>
      </c>
      <c r="J71">
        <v>2338.56</v>
      </c>
      <c r="K71">
        <v>2153.7600000000002</v>
      </c>
      <c r="L71">
        <v>1108716</v>
      </c>
      <c r="M71">
        <v>119149</v>
      </c>
      <c r="N71">
        <v>326162</v>
      </c>
      <c r="O71">
        <v>37124</v>
      </c>
      <c r="P71">
        <v>0</v>
      </c>
      <c r="Q71">
        <v>12.63</v>
      </c>
      <c r="R71">
        <v>19.809999999999999</v>
      </c>
      <c r="S71">
        <v>14.98</v>
      </c>
      <c r="T71">
        <v>290.39</v>
      </c>
      <c r="U71">
        <v>8917.84</v>
      </c>
      <c r="V71">
        <v>0</v>
      </c>
      <c r="W71">
        <v>0</v>
      </c>
      <c r="X71">
        <v>205007.85</v>
      </c>
      <c r="AA71" s="232">
        <f t="shared" si="2"/>
        <v>90595.416100000002</v>
      </c>
      <c r="AB71" s="232">
        <f t="shared" si="3"/>
        <v>105494.62153999999</v>
      </c>
    </row>
    <row r="72" spans="1:28">
      <c r="A72" t="s">
        <v>2431</v>
      </c>
      <c r="B72">
        <v>5366</v>
      </c>
      <c r="C72" t="s">
        <v>2327</v>
      </c>
      <c r="D72">
        <v>385</v>
      </c>
      <c r="E72" t="s">
        <v>2328</v>
      </c>
      <c r="F72" t="s">
        <v>2038</v>
      </c>
      <c r="G72">
        <v>2022</v>
      </c>
      <c r="H72">
        <v>8</v>
      </c>
      <c r="I72" s="8">
        <v>44774</v>
      </c>
      <c r="J72">
        <v>2142</v>
      </c>
      <c r="K72">
        <v>2321.7600000000002</v>
      </c>
      <c r="L72">
        <v>1289232</v>
      </c>
      <c r="M72">
        <v>119279</v>
      </c>
      <c r="N72">
        <v>391934</v>
      </c>
      <c r="O72">
        <v>29713</v>
      </c>
      <c r="P72">
        <v>0</v>
      </c>
      <c r="Q72">
        <v>12.63</v>
      </c>
      <c r="R72">
        <v>19.809999999999999</v>
      </c>
      <c r="S72">
        <v>14.98</v>
      </c>
      <c r="T72">
        <v>290.39</v>
      </c>
      <c r="U72">
        <v>11647.85</v>
      </c>
      <c r="V72">
        <v>0</v>
      </c>
      <c r="W72">
        <v>0</v>
      </c>
      <c r="X72">
        <v>229740.56</v>
      </c>
      <c r="AA72" s="232">
        <f t="shared" si="2"/>
        <v>94147.020380000002</v>
      </c>
      <c r="AB72" s="232">
        <f t="shared" si="3"/>
        <v>122442.07233</v>
      </c>
    </row>
    <row r="73" spans="1:28">
      <c r="A73" t="s">
        <v>2432</v>
      </c>
      <c r="B73">
        <v>5366</v>
      </c>
      <c r="C73" t="s">
        <v>2327</v>
      </c>
      <c r="D73">
        <v>385</v>
      </c>
      <c r="E73" t="s">
        <v>2328</v>
      </c>
      <c r="F73" t="s">
        <v>2038</v>
      </c>
      <c r="G73">
        <v>2022</v>
      </c>
      <c r="H73">
        <v>8</v>
      </c>
      <c r="I73" s="8">
        <v>44774</v>
      </c>
      <c r="J73">
        <v>605.29999999999995</v>
      </c>
      <c r="K73">
        <v>583.12</v>
      </c>
      <c r="L73">
        <v>197777</v>
      </c>
      <c r="M73">
        <v>29980</v>
      </c>
      <c r="N73">
        <v>163728</v>
      </c>
      <c r="O73">
        <v>29980</v>
      </c>
      <c r="P73">
        <v>34049</v>
      </c>
      <c r="Q73">
        <v>12.63</v>
      </c>
      <c r="R73">
        <v>19.809999999999999</v>
      </c>
      <c r="S73">
        <v>14.98</v>
      </c>
      <c r="T73">
        <v>290.39</v>
      </c>
      <c r="U73">
        <v>4211.7</v>
      </c>
      <c r="V73">
        <v>0</v>
      </c>
      <c r="W73">
        <v>0</v>
      </c>
      <c r="X73">
        <v>83070.880000000005</v>
      </c>
      <c r="AA73" s="232">
        <f t="shared" si="2"/>
        <v>22608.346059999996</v>
      </c>
      <c r="AB73" s="232">
        <f t="shared" si="3"/>
        <v>56250.866119999999</v>
      </c>
    </row>
    <row r="74" spans="1:28">
      <c r="A74" t="s">
        <v>2433</v>
      </c>
      <c r="B74">
        <v>5366</v>
      </c>
      <c r="C74" t="s">
        <v>2327</v>
      </c>
      <c r="D74">
        <v>385</v>
      </c>
      <c r="E74" t="s">
        <v>2328</v>
      </c>
      <c r="F74" t="s">
        <v>2038</v>
      </c>
      <c r="G74">
        <v>2022</v>
      </c>
      <c r="H74">
        <v>8</v>
      </c>
      <c r="I74" s="8">
        <v>44774</v>
      </c>
      <c r="J74">
        <v>330.28</v>
      </c>
      <c r="K74">
        <v>334.65</v>
      </c>
      <c r="L74">
        <v>128757</v>
      </c>
      <c r="M74">
        <v>15880</v>
      </c>
      <c r="N74">
        <v>128757</v>
      </c>
      <c r="O74">
        <v>15880</v>
      </c>
      <c r="P74">
        <v>0</v>
      </c>
      <c r="Q74">
        <v>12.63</v>
      </c>
      <c r="R74">
        <v>19.809999999999999</v>
      </c>
      <c r="S74">
        <v>14.98</v>
      </c>
      <c r="T74">
        <v>290.39</v>
      </c>
      <c r="U74">
        <v>2936.44</v>
      </c>
      <c r="V74">
        <v>0</v>
      </c>
      <c r="W74">
        <v>0</v>
      </c>
      <c r="X74">
        <v>57917.78</v>
      </c>
      <c r="AA74" s="232">
        <f t="shared" si="2"/>
        <v>12967.515159999999</v>
      </c>
      <c r="AB74" s="232">
        <f t="shared" si="3"/>
        <v>42001.138429999999</v>
      </c>
    </row>
    <row r="75" spans="1:28">
      <c r="A75" t="s">
        <v>2434</v>
      </c>
      <c r="B75">
        <v>5366</v>
      </c>
      <c r="C75" t="s">
        <v>2327</v>
      </c>
      <c r="D75">
        <v>385</v>
      </c>
      <c r="E75" t="s">
        <v>2328</v>
      </c>
      <c r="F75" t="s">
        <v>2038</v>
      </c>
      <c r="G75">
        <v>2022</v>
      </c>
      <c r="H75">
        <v>8</v>
      </c>
      <c r="I75" s="8">
        <v>44774</v>
      </c>
      <c r="J75">
        <v>848.4</v>
      </c>
      <c r="K75">
        <v>895.44</v>
      </c>
      <c r="L75">
        <v>280602</v>
      </c>
      <c r="M75">
        <v>45807</v>
      </c>
      <c r="N75">
        <v>280602</v>
      </c>
      <c r="O75">
        <v>45807</v>
      </c>
      <c r="P75">
        <v>0</v>
      </c>
      <c r="Q75">
        <v>12.63</v>
      </c>
      <c r="R75">
        <v>19.809999999999999</v>
      </c>
      <c r="S75">
        <v>14.98</v>
      </c>
      <c r="T75">
        <v>290.39</v>
      </c>
      <c r="U75">
        <v>6910.66</v>
      </c>
      <c r="V75">
        <v>0</v>
      </c>
      <c r="W75">
        <v>-167.92</v>
      </c>
      <c r="X75">
        <v>136137.14000000001</v>
      </c>
      <c r="AA75" s="232">
        <f t="shared" si="2"/>
        <v>33343.565219999997</v>
      </c>
      <c r="AB75" s="232">
        <f t="shared" si="3"/>
        <v>94785.909509999998</v>
      </c>
    </row>
    <row r="76" spans="1:28">
      <c r="A76" t="s">
        <v>2435</v>
      </c>
      <c r="B76">
        <v>5366</v>
      </c>
      <c r="C76" t="s">
        <v>2327</v>
      </c>
      <c r="D76">
        <v>385</v>
      </c>
      <c r="E76" t="s">
        <v>2328</v>
      </c>
      <c r="F76" t="s">
        <v>2038</v>
      </c>
      <c r="G76">
        <v>2022</v>
      </c>
      <c r="H76">
        <v>8</v>
      </c>
      <c r="I76" s="8">
        <v>44774</v>
      </c>
      <c r="J76">
        <v>304.92</v>
      </c>
      <c r="K76">
        <v>207.64</v>
      </c>
      <c r="L76">
        <v>65352</v>
      </c>
      <c r="M76">
        <v>5567</v>
      </c>
      <c r="N76">
        <v>65352</v>
      </c>
      <c r="O76">
        <v>5567</v>
      </c>
      <c r="P76">
        <v>0</v>
      </c>
      <c r="Q76">
        <v>12.63</v>
      </c>
      <c r="R76">
        <v>19.809999999999999</v>
      </c>
      <c r="S76">
        <v>14.98</v>
      </c>
      <c r="T76">
        <v>290.39</v>
      </c>
      <c r="U76">
        <v>1668.15</v>
      </c>
      <c r="V76">
        <v>0</v>
      </c>
      <c r="W76">
        <v>0</v>
      </c>
      <c r="X76">
        <v>32902.5</v>
      </c>
      <c r="AA76" s="232">
        <f t="shared" si="2"/>
        <v>9026.8546200000001</v>
      </c>
      <c r="AB76" s="232">
        <f t="shared" si="3"/>
        <v>20594.168409999998</v>
      </c>
    </row>
    <row r="77" spans="1:28">
      <c r="AA77" s="232">
        <f t="shared" si="2"/>
        <v>0</v>
      </c>
      <c r="AB77" s="232">
        <f t="shared" si="3"/>
        <v>0</v>
      </c>
    </row>
    <row r="78" spans="1:28">
      <c r="AA78" s="232">
        <f t="shared" si="2"/>
        <v>0</v>
      </c>
      <c r="AB78" s="232">
        <f t="shared" si="3"/>
        <v>0</v>
      </c>
    </row>
    <row r="79" spans="1:28">
      <c r="AA79" s="232">
        <f t="shared" si="2"/>
        <v>0</v>
      </c>
      <c r="AB79" s="232">
        <f t="shared" si="3"/>
        <v>0</v>
      </c>
    </row>
    <row r="80" spans="1:28">
      <c r="AA80" s="232">
        <f t="shared" si="2"/>
        <v>0</v>
      </c>
      <c r="AB80" s="232">
        <f t="shared" si="3"/>
        <v>0</v>
      </c>
    </row>
    <row r="81" spans="27:28">
      <c r="AA81" s="232">
        <f t="shared" si="2"/>
        <v>0</v>
      </c>
      <c r="AB81" s="232">
        <f t="shared" si="3"/>
        <v>0</v>
      </c>
    </row>
    <row r="82" spans="27:28">
      <c r="AA82" s="232">
        <f t="shared" si="2"/>
        <v>0</v>
      </c>
      <c r="AB82" s="232">
        <f t="shared" si="3"/>
        <v>0</v>
      </c>
    </row>
    <row r="83" spans="27:28">
      <c r="AA83" s="232">
        <f t="shared" si="2"/>
        <v>0</v>
      </c>
      <c r="AB83" s="232">
        <f t="shared" si="3"/>
        <v>0</v>
      </c>
    </row>
    <row r="84" spans="27:28">
      <c r="AA84" s="232">
        <f t="shared" si="2"/>
        <v>0</v>
      </c>
      <c r="AB84" s="232">
        <f t="shared" si="3"/>
        <v>0</v>
      </c>
    </row>
    <row r="85" spans="27:28">
      <c r="AA85" s="232">
        <f t="shared" si="2"/>
        <v>0</v>
      </c>
      <c r="AB85" s="232">
        <f t="shared" si="3"/>
        <v>0</v>
      </c>
    </row>
    <row r="86" spans="27:28">
      <c r="AA86" s="232">
        <f t="shared" si="2"/>
        <v>0</v>
      </c>
      <c r="AB86" s="232">
        <f t="shared" si="3"/>
        <v>0</v>
      </c>
    </row>
    <row r="87" spans="27:28">
      <c r="AA87" s="232">
        <f t="shared" si="2"/>
        <v>0</v>
      </c>
      <c r="AB87" s="232">
        <f t="shared" si="3"/>
        <v>0</v>
      </c>
    </row>
    <row r="88" spans="27:28">
      <c r="AA88" s="232">
        <f t="shared" si="2"/>
        <v>0</v>
      </c>
      <c r="AB88" s="232">
        <f t="shared" si="3"/>
        <v>0</v>
      </c>
    </row>
    <row r="89" spans="27:28">
      <c r="AA89" s="232">
        <f t="shared" si="2"/>
        <v>0</v>
      </c>
      <c r="AB89" s="232">
        <f t="shared" si="3"/>
        <v>0</v>
      </c>
    </row>
    <row r="90" spans="27:28">
      <c r="AA90" s="232">
        <f t="shared" si="2"/>
        <v>0</v>
      </c>
      <c r="AB90" s="232">
        <f t="shared" si="3"/>
        <v>0</v>
      </c>
    </row>
    <row r="91" spans="27:28">
      <c r="AA91" s="232">
        <f t="shared" si="2"/>
        <v>0</v>
      </c>
      <c r="AB91" s="232">
        <f t="shared" si="3"/>
        <v>0</v>
      </c>
    </row>
    <row r="92" spans="27:28">
      <c r="AA92" s="232">
        <f t="shared" si="2"/>
        <v>0</v>
      </c>
      <c r="AB92" s="232">
        <f t="shared" si="3"/>
        <v>0</v>
      </c>
    </row>
    <row r="93" spans="27:28">
      <c r="AA93" s="232">
        <f t="shared" si="2"/>
        <v>0</v>
      </c>
      <c r="AB93" s="232">
        <f t="shared" si="3"/>
        <v>0</v>
      </c>
    </row>
    <row r="94" spans="27:28">
      <c r="AA94" s="232">
        <f t="shared" si="2"/>
        <v>0</v>
      </c>
      <c r="AB94" s="232">
        <f t="shared" si="3"/>
        <v>0</v>
      </c>
    </row>
    <row r="95" spans="27:28">
      <c r="AA95" s="232">
        <f t="shared" si="2"/>
        <v>0</v>
      </c>
      <c r="AB95" s="232">
        <f t="shared" si="3"/>
        <v>0</v>
      </c>
    </row>
    <row r="96" spans="27:28">
      <c r="AA96" s="232">
        <f t="shared" si="2"/>
        <v>0</v>
      </c>
      <c r="AB96" s="232">
        <f t="shared" si="3"/>
        <v>0</v>
      </c>
    </row>
    <row r="97" spans="27:28">
      <c r="AA97" s="232">
        <f t="shared" si="2"/>
        <v>0</v>
      </c>
      <c r="AB97" s="232">
        <f t="shared" si="3"/>
        <v>0</v>
      </c>
    </row>
    <row r="98" spans="27:28">
      <c r="AA98" s="232">
        <f t="shared" si="2"/>
        <v>0</v>
      </c>
      <c r="AB98" s="232">
        <f t="shared" si="3"/>
        <v>0</v>
      </c>
    </row>
    <row r="99" spans="27:28">
      <c r="AA99" s="232">
        <f t="shared" si="2"/>
        <v>0</v>
      </c>
      <c r="AB99" s="232">
        <f t="shared" si="3"/>
        <v>0</v>
      </c>
    </row>
    <row r="100" spans="27:28">
      <c r="AA100" s="232">
        <f t="shared" si="2"/>
        <v>0</v>
      </c>
      <c r="AB100" s="232">
        <f t="shared" si="3"/>
        <v>0</v>
      </c>
    </row>
    <row r="101" spans="27:28">
      <c r="AA101" s="232">
        <f t="shared" si="2"/>
        <v>0</v>
      </c>
      <c r="AB101" s="232">
        <f t="shared" si="3"/>
        <v>0</v>
      </c>
    </row>
    <row r="102" spans="27:28">
      <c r="AA102" s="232">
        <f t="shared" si="2"/>
        <v>0</v>
      </c>
      <c r="AB102" s="232">
        <f t="shared" si="3"/>
        <v>0</v>
      </c>
    </row>
    <row r="103" spans="27:28">
      <c r="AA103" s="232">
        <f t="shared" si="2"/>
        <v>0</v>
      </c>
      <c r="AB103" s="232">
        <f t="shared" si="3"/>
        <v>0</v>
      </c>
    </row>
    <row r="104" spans="27:28">
      <c r="AA104" s="232">
        <f t="shared" si="2"/>
        <v>0</v>
      </c>
      <c r="AB104" s="232">
        <f t="shared" si="3"/>
        <v>0</v>
      </c>
    </row>
    <row r="105" spans="27:28">
      <c r="AA105" s="232">
        <f t="shared" si="2"/>
        <v>0</v>
      </c>
      <c r="AB105" s="232">
        <f t="shared" si="3"/>
        <v>0</v>
      </c>
    </row>
    <row r="106" spans="27:28">
      <c r="AA106" s="232">
        <f t="shared" si="2"/>
        <v>0</v>
      </c>
      <c r="AB106" s="232">
        <f t="shared" si="3"/>
        <v>0</v>
      </c>
    </row>
    <row r="107" spans="27:28">
      <c r="AA107" s="232">
        <f t="shared" si="2"/>
        <v>0</v>
      </c>
      <c r="AB107" s="232">
        <f t="shared" si="3"/>
        <v>0</v>
      </c>
    </row>
    <row r="108" spans="27:28">
      <c r="AA108" s="232">
        <f t="shared" si="2"/>
        <v>0</v>
      </c>
      <c r="AB108" s="232">
        <f t="shared" si="3"/>
        <v>0</v>
      </c>
    </row>
    <row r="109" spans="27:28">
      <c r="AA109" s="232">
        <f t="shared" si="2"/>
        <v>0</v>
      </c>
      <c r="AB109" s="232">
        <f t="shared" si="3"/>
        <v>0</v>
      </c>
    </row>
    <row r="110" spans="27:28">
      <c r="AA110" s="232">
        <f t="shared" si="2"/>
        <v>0</v>
      </c>
      <c r="AB110" s="232">
        <f t="shared" si="3"/>
        <v>0</v>
      </c>
    </row>
    <row r="111" spans="27:28">
      <c r="AA111" s="232">
        <f t="shared" si="2"/>
        <v>0</v>
      </c>
      <c r="AB111" s="232">
        <f t="shared" si="3"/>
        <v>0</v>
      </c>
    </row>
    <row r="112" spans="27:28">
      <c r="AA112" s="232">
        <f t="shared" si="2"/>
        <v>0</v>
      </c>
      <c r="AB112" s="232">
        <f t="shared" si="3"/>
        <v>0</v>
      </c>
    </row>
    <row r="113" spans="27:28">
      <c r="AA113" s="232">
        <f t="shared" si="2"/>
        <v>0</v>
      </c>
      <c r="AB113" s="232">
        <f t="shared" si="3"/>
        <v>0</v>
      </c>
    </row>
    <row r="114" spans="27:28">
      <c r="AA114" s="232">
        <f t="shared" si="2"/>
        <v>0</v>
      </c>
      <c r="AB114" s="232">
        <f t="shared" si="3"/>
        <v>0</v>
      </c>
    </row>
    <row r="115" spans="27:28">
      <c r="AA115" s="232">
        <f t="shared" si="2"/>
        <v>0</v>
      </c>
      <c r="AB115" s="232">
        <f t="shared" si="3"/>
        <v>0</v>
      </c>
    </row>
    <row r="116" spans="27:28">
      <c r="AA116" s="232">
        <f t="shared" si="2"/>
        <v>0</v>
      </c>
      <c r="AB116" s="232">
        <f t="shared" si="3"/>
        <v>0</v>
      </c>
    </row>
    <row r="117" spans="27:28">
      <c r="AA117" s="232">
        <f t="shared" si="2"/>
        <v>0</v>
      </c>
      <c r="AB117" s="232">
        <f t="shared" si="3"/>
        <v>0</v>
      </c>
    </row>
    <row r="118" spans="27:28">
      <c r="AA118" s="232">
        <f t="shared" si="2"/>
        <v>0</v>
      </c>
      <c r="AB118" s="232">
        <f t="shared" si="3"/>
        <v>0</v>
      </c>
    </row>
    <row r="119" spans="27:28">
      <c r="AA119" s="232">
        <f t="shared" si="2"/>
        <v>0</v>
      </c>
      <c r="AB119" s="232">
        <f t="shared" si="3"/>
        <v>0</v>
      </c>
    </row>
    <row r="120" spans="27:28">
      <c r="AA120" s="232">
        <f t="shared" si="2"/>
        <v>0</v>
      </c>
      <c r="AB120" s="232">
        <f t="shared" si="3"/>
        <v>0</v>
      </c>
    </row>
    <row r="121" spans="27:28">
      <c r="AA121" s="232">
        <f t="shared" si="2"/>
        <v>0</v>
      </c>
      <c r="AB121" s="232">
        <f t="shared" si="3"/>
        <v>0</v>
      </c>
    </row>
    <row r="122" spans="27:28">
      <c r="AA122" s="232">
        <f t="shared" si="2"/>
        <v>0</v>
      </c>
      <c r="AB122" s="232">
        <f t="shared" si="3"/>
        <v>0</v>
      </c>
    </row>
    <row r="123" spans="27:28">
      <c r="AA123" s="232">
        <f t="shared" si="2"/>
        <v>0</v>
      </c>
      <c r="AB123" s="232">
        <f t="shared" si="3"/>
        <v>0</v>
      </c>
    </row>
    <row r="124" spans="27:28">
      <c r="AA124" s="232">
        <f t="shared" si="2"/>
        <v>0</v>
      </c>
      <c r="AB124" s="232">
        <f t="shared" si="3"/>
        <v>0</v>
      </c>
    </row>
    <row r="125" spans="27:28">
      <c r="AA125" s="232">
        <f t="shared" si="2"/>
        <v>0</v>
      </c>
      <c r="AB125" s="232">
        <f t="shared" si="3"/>
        <v>0</v>
      </c>
    </row>
    <row r="126" spans="27:28">
      <c r="AA126" s="232">
        <f t="shared" si="2"/>
        <v>0</v>
      </c>
      <c r="AB126" s="232">
        <f t="shared" si="3"/>
        <v>0</v>
      </c>
    </row>
    <row r="127" spans="27:28">
      <c r="AA127" s="232">
        <f t="shared" si="2"/>
        <v>0</v>
      </c>
      <c r="AB127" s="232">
        <f t="shared" si="3"/>
        <v>0</v>
      </c>
    </row>
    <row r="128" spans="27:28">
      <c r="AA128" s="232">
        <f t="shared" si="2"/>
        <v>0</v>
      </c>
      <c r="AB128" s="232">
        <f t="shared" si="3"/>
        <v>0</v>
      </c>
    </row>
    <row r="129" spans="27:28">
      <c r="AA129" s="232">
        <f t="shared" si="2"/>
        <v>0</v>
      </c>
      <c r="AB129" s="232">
        <f t="shared" si="3"/>
        <v>0</v>
      </c>
    </row>
    <row r="130" spans="27:28">
      <c r="AA130" s="232">
        <f t="shared" si="2"/>
        <v>0</v>
      </c>
      <c r="AB130" s="232">
        <f t="shared" si="3"/>
        <v>0</v>
      </c>
    </row>
    <row r="131" spans="27:28">
      <c r="AA131" s="232">
        <f t="shared" ref="AA131:AA194" si="4">J131*Q131+K131*R131+((L131+M131)/1000)*S131</f>
        <v>0</v>
      </c>
      <c r="AB131" s="232">
        <f t="shared" ref="AB131:AB194" si="5">((N131+O131)/1000)*T131</f>
        <v>0</v>
      </c>
    </row>
    <row r="132" spans="27:28">
      <c r="AA132" s="232">
        <f t="shared" si="4"/>
        <v>0</v>
      </c>
      <c r="AB132" s="232">
        <f t="shared" si="5"/>
        <v>0</v>
      </c>
    </row>
    <row r="133" spans="27:28">
      <c r="AA133" s="232">
        <f t="shared" si="4"/>
        <v>0</v>
      </c>
      <c r="AB133" s="232">
        <f t="shared" si="5"/>
        <v>0</v>
      </c>
    </row>
    <row r="134" spans="27:28">
      <c r="AA134" s="232">
        <f t="shared" si="4"/>
        <v>0</v>
      </c>
      <c r="AB134" s="232">
        <f t="shared" si="5"/>
        <v>0</v>
      </c>
    </row>
    <row r="135" spans="27:28">
      <c r="AA135" s="232">
        <f t="shared" si="4"/>
        <v>0</v>
      </c>
      <c r="AB135" s="232">
        <f t="shared" si="5"/>
        <v>0</v>
      </c>
    </row>
    <row r="136" spans="27:28">
      <c r="AA136" s="232">
        <f t="shared" si="4"/>
        <v>0</v>
      </c>
      <c r="AB136" s="232">
        <f t="shared" si="5"/>
        <v>0</v>
      </c>
    </row>
    <row r="137" spans="27:28">
      <c r="AA137" s="232">
        <f t="shared" si="4"/>
        <v>0</v>
      </c>
      <c r="AB137" s="232">
        <f t="shared" si="5"/>
        <v>0</v>
      </c>
    </row>
    <row r="138" spans="27:28">
      <c r="AA138" s="232">
        <f t="shared" si="4"/>
        <v>0</v>
      </c>
      <c r="AB138" s="232">
        <f t="shared" si="5"/>
        <v>0</v>
      </c>
    </row>
    <row r="139" spans="27:28">
      <c r="AA139" s="232">
        <f t="shared" si="4"/>
        <v>0</v>
      </c>
      <c r="AB139" s="232">
        <f t="shared" si="5"/>
        <v>0</v>
      </c>
    </row>
    <row r="140" spans="27:28">
      <c r="AA140" s="232">
        <f t="shared" si="4"/>
        <v>0</v>
      </c>
      <c r="AB140" s="232">
        <f t="shared" si="5"/>
        <v>0</v>
      </c>
    </row>
    <row r="141" spans="27:28">
      <c r="AA141" s="232">
        <f t="shared" si="4"/>
        <v>0</v>
      </c>
      <c r="AB141" s="232">
        <f t="shared" si="5"/>
        <v>0</v>
      </c>
    </row>
    <row r="142" spans="27:28">
      <c r="AA142" s="232">
        <f t="shared" si="4"/>
        <v>0</v>
      </c>
      <c r="AB142" s="232">
        <f t="shared" si="5"/>
        <v>0</v>
      </c>
    </row>
    <row r="143" spans="27:28">
      <c r="AA143" s="232">
        <f t="shared" si="4"/>
        <v>0</v>
      </c>
      <c r="AB143" s="232">
        <f t="shared" si="5"/>
        <v>0</v>
      </c>
    </row>
    <row r="144" spans="27:28">
      <c r="AA144" s="232">
        <f t="shared" si="4"/>
        <v>0</v>
      </c>
      <c r="AB144" s="232">
        <f t="shared" si="5"/>
        <v>0</v>
      </c>
    </row>
    <row r="145" spans="27:28">
      <c r="AA145" s="232">
        <f t="shared" si="4"/>
        <v>0</v>
      </c>
      <c r="AB145" s="232">
        <f t="shared" si="5"/>
        <v>0</v>
      </c>
    </row>
    <row r="146" spans="27:28">
      <c r="AA146" s="232">
        <f t="shared" si="4"/>
        <v>0</v>
      </c>
      <c r="AB146" s="232">
        <f t="shared" si="5"/>
        <v>0</v>
      </c>
    </row>
    <row r="147" spans="27:28">
      <c r="AA147" s="232">
        <f t="shared" si="4"/>
        <v>0</v>
      </c>
      <c r="AB147" s="232">
        <f t="shared" si="5"/>
        <v>0</v>
      </c>
    </row>
    <row r="148" spans="27:28">
      <c r="AA148" s="232">
        <f t="shared" si="4"/>
        <v>0</v>
      </c>
      <c r="AB148" s="232">
        <f t="shared" si="5"/>
        <v>0</v>
      </c>
    </row>
    <row r="149" spans="27:28">
      <c r="AA149" s="232">
        <f t="shared" si="4"/>
        <v>0</v>
      </c>
      <c r="AB149" s="232">
        <f t="shared" si="5"/>
        <v>0</v>
      </c>
    </row>
    <row r="150" spans="27:28">
      <c r="AA150" s="232">
        <f t="shared" si="4"/>
        <v>0</v>
      </c>
      <c r="AB150" s="232">
        <f t="shared" si="5"/>
        <v>0</v>
      </c>
    </row>
    <row r="151" spans="27:28">
      <c r="AA151" s="232">
        <f t="shared" si="4"/>
        <v>0</v>
      </c>
      <c r="AB151" s="232">
        <f t="shared" si="5"/>
        <v>0</v>
      </c>
    </row>
    <row r="152" spans="27:28">
      <c r="AA152" s="232">
        <f t="shared" si="4"/>
        <v>0</v>
      </c>
      <c r="AB152" s="232">
        <f t="shared" si="5"/>
        <v>0</v>
      </c>
    </row>
    <row r="153" spans="27:28">
      <c r="AA153" s="232">
        <f t="shared" si="4"/>
        <v>0</v>
      </c>
      <c r="AB153" s="232">
        <f t="shared" si="5"/>
        <v>0</v>
      </c>
    </row>
    <row r="154" spans="27:28">
      <c r="AA154" s="232">
        <f t="shared" si="4"/>
        <v>0</v>
      </c>
      <c r="AB154" s="232">
        <f t="shared" si="5"/>
        <v>0</v>
      </c>
    </row>
    <row r="155" spans="27:28">
      <c r="AA155" s="232">
        <f t="shared" si="4"/>
        <v>0</v>
      </c>
      <c r="AB155" s="232">
        <f t="shared" si="5"/>
        <v>0</v>
      </c>
    </row>
    <row r="156" spans="27:28">
      <c r="AA156" s="232">
        <f t="shared" si="4"/>
        <v>0</v>
      </c>
      <c r="AB156" s="232">
        <f t="shared" si="5"/>
        <v>0</v>
      </c>
    </row>
    <row r="157" spans="27:28">
      <c r="AA157" s="232">
        <f t="shared" si="4"/>
        <v>0</v>
      </c>
      <c r="AB157" s="232">
        <f t="shared" si="5"/>
        <v>0</v>
      </c>
    </row>
    <row r="158" spans="27:28">
      <c r="AA158" s="232">
        <f t="shared" si="4"/>
        <v>0</v>
      </c>
      <c r="AB158" s="232">
        <f t="shared" si="5"/>
        <v>0</v>
      </c>
    </row>
    <row r="159" spans="27:28">
      <c r="AA159" s="232">
        <f t="shared" si="4"/>
        <v>0</v>
      </c>
      <c r="AB159" s="232">
        <f t="shared" si="5"/>
        <v>0</v>
      </c>
    </row>
    <row r="160" spans="27:28">
      <c r="AA160" s="232">
        <f t="shared" si="4"/>
        <v>0</v>
      </c>
      <c r="AB160" s="232">
        <f t="shared" si="5"/>
        <v>0</v>
      </c>
    </row>
    <row r="161" spans="27:28">
      <c r="AA161" s="232">
        <f t="shared" si="4"/>
        <v>0</v>
      </c>
      <c r="AB161" s="232">
        <f t="shared" si="5"/>
        <v>0</v>
      </c>
    </row>
    <row r="162" spans="27:28">
      <c r="AA162" s="232">
        <f t="shared" si="4"/>
        <v>0</v>
      </c>
      <c r="AB162" s="232">
        <f t="shared" si="5"/>
        <v>0</v>
      </c>
    </row>
    <row r="163" spans="27:28">
      <c r="AA163" s="232">
        <f t="shared" si="4"/>
        <v>0</v>
      </c>
      <c r="AB163" s="232">
        <f t="shared" si="5"/>
        <v>0</v>
      </c>
    </row>
    <row r="164" spans="27:28">
      <c r="AA164" s="232">
        <f t="shared" si="4"/>
        <v>0</v>
      </c>
      <c r="AB164" s="232">
        <f t="shared" si="5"/>
        <v>0</v>
      </c>
    </row>
    <row r="165" spans="27:28">
      <c r="AA165" s="232">
        <f t="shared" si="4"/>
        <v>0</v>
      </c>
      <c r="AB165" s="232">
        <f t="shared" si="5"/>
        <v>0</v>
      </c>
    </row>
    <row r="166" spans="27:28">
      <c r="AA166" s="232">
        <f t="shared" si="4"/>
        <v>0</v>
      </c>
      <c r="AB166" s="232">
        <f t="shared" si="5"/>
        <v>0</v>
      </c>
    </row>
    <row r="167" spans="27:28">
      <c r="AA167" s="232">
        <f t="shared" si="4"/>
        <v>0</v>
      </c>
      <c r="AB167" s="232">
        <f t="shared" si="5"/>
        <v>0</v>
      </c>
    </row>
    <row r="168" spans="27:28">
      <c r="AA168" s="232">
        <f t="shared" si="4"/>
        <v>0</v>
      </c>
      <c r="AB168" s="232">
        <f t="shared" si="5"/>
        <v>0</v>
      </c>
    </row>
    <row r="169" spans="27:28">
      <c r="AA169" s="232">
        <f t="shared" si="4"/>
        <v>0</v>
      </c>
      <c r="AB169" s="232">
        <f t="shared" si="5"/>
        <v>0</v>
      </c>
    </row>
    <row r="170" spans="27:28">
      <c r="AA170" s="232">
        <f t="shared" si="4"/>
        <v>0</v>
      </c>
      <c r="AB170" s="232">
        <f t="shared" si="5"/>
        <v>0</v>
      </c>
    </row>
    <row r="171" spans="27:28">
      <c r="AA171" s="232">
        <f t="shared" si="4"/>
        <v>0</v>
      </c>
      <c r="AB171" s="232">
        <f t="shared" si="5"/>
        <v>0</v>
      </c>
    </row>
    <row r="172" spans="27:28">
      <c r="AA172" s="232">
        <f t="shared" si="4"/>
        <v>0</v>
      </c>
      <c r="AB172" s="232">
        <f t="shared" si="5"/>
        <v>0</v>
      </c>
    </row>
    <row r="173" spans="27:28">
      <c r="AA173" s="232">
        <f t="shared" si="4"/>
        <v>0</v>
      </c>
      <c r="AB173" s="232">
        <f t="shared" si="5"/>
        <v>0</v>
      </c>
    </row>
    <row r="174" spans="27:28">
      <c r="AA174" s="232">
        <f t="shared" si="4"/>
        <v>0</v>
      </c>
      <c r="AB174" s="232">
        <f t="shared" si="5"/>
        <v>0</v>
      </c>
    </row>
    <row r="175" spans="27:28">
      <c r="AA175" s="232">
        <f t="shared" si="4"/>
        <v>0</v>
      </c>
      <c r="AB175" s="232">
        <f t="shared" si="5"/>
        <v>0</v>
      </c>
    </row>
    <row r="176" spans="27:28">
      <c r="AA176" s="232">
        <f t="shared" si="4"/>
        <v>0</v>
      </c>
      <c r="AB176" s="232">
        <f t="shared" si="5"/>
        <v>0</v>
      </c>
    </row>
    <row r="177" spans="27:28">
      <c r="AA177" s="232">
        <f t="shared" si="4"/>
        <v>0</v>
      </c>
      <c r="AB177" s="232">
        <f t="shared" si="5"/>
        <v>0</v>
      </c>
    </row>
    <row r="178" spans="27:28">
      <c r="AA178" s="232">
        <f t="shared" si="4"/>
        <v>0</v>
      </c>
      <c r="AB178" s="232">
        <f t="shared" si="5"/>
        <v>0</v>
      </c>
    </row>
    <row r="179" spans="27:28">
      <c r="AA179" s="232">
        <f t="shared" si="4"/>
        <v>0</v>
      </c>
      <c r="AB179" s="232">
        <f t="shared" si="5"/>
        <v>0</v>
      </c>
    </row>
    <row r="180" spans="27:28">
      <c r="AA180" s="232">
        <f t="shared" si="4"/>
        <v>0</v>
      </c>
      <c r="AB180" s="232">
        <f t="shared" si="5"/>
        <v>0</v>
      </c>
    </row>
    <row r="181" spans="27:28">
      <c r="AA181" s="232">
        <f t="shared" si="4"/>
        <v>0</v>
      </c>
      <c r="AB181" s="232">
        <f t="shared" si="5"/>
        <v>0</v>
      </c>
    </row>
    <row r="182" spans="27:28">
      <c r="AA182" s="232">
        <f t="shared" si="4"/>
        <v>0</v>
      </c>
      <c r="AB182" s="232">
        <f t="shared" si="5"/>
        <v>0</v>
      </c>
    </row>
    <row r="183" spans="27:28">
      <c r="AA183" s="232">
        <f t="shared" si="4"/>
        <v>0</v>
      </c>
      <c r="AB183" s="232">
        <f t="shared" si="5"/>
        <v>0</v>
      </c>
    </row>
    <row r="184" spans="27:28">
      <c r="AA184" s="232">
        <f t="shared" si="4"/>
        <v>0</v>
      </c>
      <c r="AB184" s="232">
        <f t="shared" si="5"/>
        <v>0</v>
      </c>
    </row>
    <row r="185" spans="27:28">
      <c r="AA185" s="232">
        <f t="shared" si="4"/>
        <v>0</v>
      </c>
      <c r="AB185" s="232">
        <f t="shared" si="5"/>
        <v>0</v>
      </c>
    </row>
    <row r="186" spans="27:28">
      <c r="AA186" s="232">
        <f t="shared" si="4"/>
        <v>0</v>
      </c>
      <c r="AB186" s="232">
        <f t="shared" si="5"/>
        <v>0</v>
      </c>
    </row>
    <row r="187" spans="27:28">
      <c r="AA187" s="232">
        <f t="shared" si="4"/>
        <v>0</v>
      </c>
      <c r="AB187" s="232">
        <f t="shared" si="5"/>
        <v>0</v>
      </c>
    </row>
    <row r="188" spans="27:28">
      <c r="AA188" s="232">
        <f t="shared" si="4"/>
        <v>0</v>
      </c>
      <c r="AB188" s="232">
        <f t="shared" si="5"/>
        <v>0</v>
      </c>
    </row>
    <row r="189" spans="27:28">
      <c r="AA189" s="232">
        <f t="shared" si="4"/>
        <v>0</v>
      </c>
      <c r="AB189" s="232">
        <f t="shared" si="5"/>
        <v>0</v>
      </c>
    </row>
    <row r="190" spans="27:28">
      <c r="AA190" s="232">
        <f t="shared" si="4"/>
        <v>0</v>
      </c>
      <c r="AB190" s="232">
        <f t="shared" si="5"/>
        <v>0</v>
      </c>
    </row>
    <row r="191" spans="27:28">
      <c r="AA191" s="232">
        <f t="shared" si="4"/>
        <v>0</v>
      </c>
      <c r="AB191" s="232">
        <f t="shared" si="5"/>
        <v>0</v>
      </c>
    </row>
    <row r="192" spans="27:28">
      <c r="AA192" s="232">
        <f t="shared" si="4"/>
        <v>0</v>
      </c>
      <c r="AB192" s="232">
        <f t="shared" si="5"/>
        <v>0</v>
      </c>
    </row>
    <row r="193" spans="27:28">
      <c r="AA193" s="232">
        <f t="shared" si="4"/>
        <v>0</v>
      </c>
      <c r="AB193" s="232">
        <f t="shared" si="5"/>
        <v>0</v>
      </c>
    </row>
    <row r="194" spans="27:28">
      <c r="AA194" s="232">
        <f t="shared" si="4"/>
        <v>0</v>
      </c>
      <c r="AB194" s="232">
        <f t="shared" si="5"/>
        <v>0</v>
      </c>
    </row>
    <row r="195" spans="27:28">
      <c r="AA195" s="232">
        <f t="shared" ref="AA195:AA258" si="6">J195*Q195+K195*R195+((L195+M195)/1000)*S195</f>
        <v>0</v>
      </c>
      <c r="AB195" s="232">
        <f t="shared" ref="AB195:AB258" si="7">((N195+O195)/1000)*T195</f>
        <v>0</v>
      </c>
    </row>
    <row r="196" spans="27:28">
      <c r="AA196" s="232">
        <f t="shared" si="6"/>
        <v>0</v>
      </c>
      <c r="AB196" s="232">
        <f t="shared" si="7"/>
        <v>0</v>
      </c>
    </row>
    <row r="197" spans="27:28">
      <c r="AA197" s="232">
        <f t="shared" si="6"/>
        <v>0</v>
      </c>
      <c r="AB197" s="232">
        <f t="shared" si="7"/>
        <v>0</v>
      </c>
    </row>
    <row r="198" spans="27:28">
      <c r="AA198" s="232">
        <f t="shared" si="6"/>
        <v>0</v>
      </c>
      <c r="AB198" s="232">
        <f t="shared" si="7"/>
        <v>0</v>
      </c>
    </row>
    <row r="199" spans="27:28">
      <c r="AA199" s="232">
        <f t="shared" si="6"/>
        <v>0</v>
      </c>
      <c r="AB199" s="232">
        <f t="shared" si="7"/>
        <v>0</v>
      </c>
    </row>
    <row r="200" spans="27:28">
      <c r="AA200" s="232">
        <f t="shared" si="6"/>
        <v>0</v>
      </c>
      <c r="AB200" s="232">
        <f t="shared" si="7"/>
        <v>0</v>
      </c>
    </row>
    <row r="201" spans="27:28">
      <c r="AA201" s="232">
        <f t="shared" si="6"/>
        <v>0</v>
      </c>
      <c r="AB201" s="232">
        <f t="shared" si="7"/>
        <v>0</v>
      </c>
    </row>
    <row r="202" spans="27:28">
      <c r="AA202" s="232">
        <f t="shared" si="6"/>
        <v>0</v>
      </c>
      <c r="AB202" s="232">
        <f t="shared" si="7"/>
        <v>0</v>
      </c>
    </row>
    <row r="203" spans="27:28">
      <c r="AA203" s="232">
        <f t="shared" si="6"/>
        <v>0</v>
      </c>
      <c r="AB203" s="232">
        <f t="shared" si="7"/>
        <v>0</v>
      </c>
    </row>
    <row r="204" spans="27:28">
      <c r="AA204" s="232">
        <f t="shared" si="6"/>
        <v>0</v>
      </c>
      <c r="AB204" s="232">
        <f t="shared" si="7"/>
        <v>0</v>
      </c>
    </row>
    <row r="205" spans="27:28">
      <c r="AA205" s="232">
        <f t="shared" si="6"/>
        <v>0</v>
      </c>
      <c r="AB205" s="232">
        <f t="shared" si="7"/>
        <v>0</v>
      </c>
    </row>
    <row r="206" spans="27:28">
      <c r="AA206" s="232">
        <f t="shared" si="6"/>
        <v>0</v>
      </c>
      <c r="AB206" s="232">
        <f t="shared" si="7"/>
        <v>0</v>
      </c>
    </row>
    <row r="207" spans="27:28">
      <c r="AA207" s="232">
        <f t="shared" si="6"/>
        <v>0</v>
      </c>
      <c r="AB207" s="232">
        <f t="shared" si="7"/>
        <v>0</v>
      </c>
    </row>
    <row r="208" spans="27:28">
      <c r="AA208" s="232">
        <f t="shared" si="6"/>
        <v>0</v>
      </c>
      <c r="AB208" s="232">
        <f t="shared" si="7"/>
        <v>0</v>
      </c>
    </row>
    <row r="209" spans="27:28">
      <c r="AA209" s="232">
        <f t="shared" si="6"/>
        <v>0</v>
      </c>
      <c r="AB209" s="232">
        <f t="shared" si="7"/>
        <v>0</v>
      </c>
    </row>
    <row r="210" spans="27:28">
      <c r="AA210" s="232">
        <f t="shared" si="6"/>
        <v>0</v>
      </c>
      <c r="AB210" s="232">
        <f t="shared" si="7"/>
        <v>0</v>
      </c>
    </row>
    <row r="211" spans="27:28">
      <c r="AA211" s="232">
        <f t="shared" si="6"/>
        <v>0</v>
      </c>
      <c r="AB211" s="232">
        <f t="shared" si="7"/>
        <v>0</v>
      </c>
    </row>
    <row r="212" spans="27:28">
      <c r="AA212" s="232">
        <f t="shared" si="6"/>
        <v>0</v>
      </c>
      <c r="AB212" s="232">
        <f t="shared" si="7"/>
        <v>0</v>
      </c>
    </row>
    <row r="213" spans="27:28">
      <c r="AA213" s="232">
        <f t="shared" si="6"/>
        <v>0</v>
      </c>
      <c r="AB213" s="232">
        <f t="shared" si="7"/>
        <v>0</v>
      </c>
    </row>
    <row r="214" spans="27:28">
      <c r="AA214" s="232">
        <f t="shared" si="6"/>
        <v>0</v>
      </c>
      <c r="AB214" s="232">
        <f t="shared" si="7"/>
        <v>0</v>
      </c>
    </row>
    <row r="215" spans="27:28">
      <c r="AA215" s="232">
        <f t="shared" si="6"/>
        <v>0</v>
      </c>
      <c r="AB215" s="232">
        <f t="shared" si="7"/>
        <v>0</v>
      </c>
    </row>
    <row r="216" spans="27:28">
      <c r="AA216" s="232">
        <f t="shared" si="6"/>
        <v>0</v>
      </c>
      <c r="AB216" s="232">
        <f t="shared" si="7"/>
        <v>0</v>
      </c>
    </row>
    <row r="217" spans="27:28">
      <c r="AA217" s="232">
        <f t="shared" si="6"/>
        <v>0</v>
      </c>
      <c r="AB217" s="232">
        <f t="shared" si="7"/>
        <v>0</v>
      </c>
    </row>
    <row r="218" spans="27:28">
      <c r="AA218" s="232">
        <f t="shared" si="6"/>
        <v>0</v>
      </c>
      <c r="AB218" s="232">
        <f t="shared" si="7"/>
        <v>0</v>
      </c>
    </row>
    <row r="219" spans="27:28">
      <c r="AA219" s="232">
        <f t="shared" si="6"/>
        <v>0</v>
      </c>
      <c r="AB219" s="232">
        <f t="shared" si="7"/>
        <v>0</v>
      </c>
    </row>
    <row r="220" spans="27:28">
      <c r="AA220" s="232">
        <f t="shared" si="6"/>
        <v>0</v>
      </c>
      <c r="AB220" s="232">
        <f t="shared" si="7"/>
        <v>0</v>
      </c>
    </row>
    <row r="221" spans="27:28">
      <c r="AA221" s="232">
        <f t="shared" si="6"/>
        <v>0</v>
      </c>
      <c r="AB221" s="232">
        <f t="shared" si="7"/>
        <v>0</v>
      </c>
    </row>
    <row r="222" spans="27:28">
      <c r="AA222" s="232">
        <f t="shared" si="6"/>
        <v>0</v>
      </c>
      <c r="AB222" s="232">
        <f t="shared" si="7"/>
        <v>0</v>
      </c>
    </row>
    <row r="223" spans="27:28">
      <c r="AA223" s="232">
        <f t="shared" si="6"/>
        <v>0</v>
      </c>
      <c r="AB223" s="232">
        <f t="shared" si="7"/>
        <v>0</v>
      </c>
    </row>
    <row r="224" spans="27:28">
      <c r="AA224" s="232">
        <f t="shared" si="6"/>
        <v>0</v>
      </c>
      <c r="AB224" s="232">
        <f t="shared" si="7"/>
        <v>0</v>
      </c>
    </row>
    <row r="225" spans="27:28">
      <c r="AA225" s="232">
        <f t="shared" si="6"/>
        <v>0</v>
      </c>
      <c r="AB225" s="232">
        <f t="shared" si="7"/>
        <v>0</v>
      </c>
    </row>
    <row r="226" spans="27:28">
      <c r="AA226" s="232">
        <f t="shared" si="6"/>
        <v>0</v>
      </c>
      <c r="AB226" s="232">
        <f t="shared" si="7"/>
        <v>0</v>
      </c>
    </row>
    <row r="227" spans="27:28">
      <c r="AA227" s="232">
        <f t="shared" si="6"/>
        <v>0</v>
      </c>
      <c r="AB227" s="232">
        <f t="shared" si="7"/>
        <v>0</v>
      </c>
    </row>
    <row r="228" spans="27:28">
      <c r="AA228" s="232">
        <f t="shared" si="6"/>
        <v>0</v>
      </c>
      <c r="AB228" s="232">
        <f t="shared" si="7"/>
        <v>0</v>
      </c>
    </row>
    <row r="229" spans="27:28">
      <c r="AA229" s="232">
        <f t="shared" si="6"/>
        <v>0</v>
      </c>
      <c r="AB229" s="232">
        <f t="shared" si="7"/>
        <v>0</v>
      </c>
    </row>
    <row r="230" spans="27:28">
      <c r="AA230" s="232">
        <f t="shared" si="6"/>
        <v>0</v>
      </c>
      <c r="AB230" s="232">
        <f t="shared" si="7"/>
        <v>0</v>
      </c>
    </row>
    <row r="231" spans="27:28">
      <c r="AA231" s="232">
        <f t="shared" si="6"/>
        <v>0</v>
      </c>
      <c r="AB231" s="232">
        <f t="shared" si="7"/>
        <v>0</v>
      </c>
    </row>
    <row r="232" spans="27:28">
      <c r="AA232" s="232">
        <f t="shared" si="6"/>
        <v>0</v>
      </c>
      <c r="AB232" s="232">
        <f t="shared" si="7"/>
        <v>0</v>
      </c>
    </row>
    <row r="233" spans="27:28">
      <c r="AA233" s="232">
        <f t="shared" si="6"/>
        <v>0</v>
      </c>
      <c r="AB233" s="232">
        <f t="shared" si="7"/>
        <v>0</v>
      </c>
    </row>
    <row r="234" spans="27:28">
      <c r="AA234" s="232">
        <f t="shared" si="6"/>
        <v>0</v>
      </c>
      <c r="AB234" s="232">
        <f t="shared" si="7"/>
        <v>0</v>
      </c>
    </row>
    <row r="235" spans="27:28">
      <c r="AA235" s="232">
        <f t="shared" si="6"/>
        <v>0</v>
      </c>
      <c r="AB235" s="232">
        <f t="shared" si="7"/>
        <v>0</v>
      </c>
    </row>
    <row r="236" spans="27:28">
      <c r="AA236" s="232">
        <f t="shared" si="6"/>
        <v>0</v>
      </c>
      <c r="AB236" s="232">
        <f t="shared" si="7"/>
        <v>0</v>
      </c>
    </row>
    <row r="237" spans="27:28">
      <c r="AA237" s="232">
        <f t="shared" si="6"/>
        <v>0</v>
      </c>
      <c r="AB237" s="232">
        <f t="shared" si="7"/>
        <v>0</v>
      </c>
    </row>
    <row r="238" spans="27:28">
      <c r="AA238" s="232">
        <f t="shared" si="6"/>
        <v>0</v>
      </c>
      <c r="AB238" s="232">
        <f t="shared" si="7"/>
        <v>0</v>
      </c>
    </row>
    <row r="239" spans="27:28">
      <c r="AA239" s="232">
        <f t="shared" si="6"/>
        <v>0</v>
      </c>
      <c r="AB239" s="232">
        <f t="shared" si="7"/>
        <v>0</v>
      </c>
    </row>
    <row r="240" spans="27:28">
      <c r="AA240" s="232">
        <f t="shared" si="6"/>
        <v>0</v>
      </c>
      <c r="AB240" s="232">
        <f t="shared" si="7"/>
        <v>0</v>
      </c>
    </row>
    <row r="241" spans="27:28">
      <c r="AA241" s="232">
        <f t="shared" si="6"/>
        <v>0</v>
      </c>
      <c r="AB241" s="232">
        <f t="shared" si="7"/>
        <v>0</v>
      </c>
    </row>
    <row r="242" spans="27:28">
      <c r="AA242" s="232">
        <f t="shared" si="6"/>
        <v>0</v>
      </c>
      <c r="AB242" s="232">
        <f t="shared" si="7"/>
        <v>0</v>
      </c>
    </row>
    <row r="243" spans="27:28">
      <c r="AA243" s="232">
        <f t="shared" si="6"/>
        <v>0</v>
      </c>
      <c r="AB243" s="232">
        <f t="shared" si="7"/>
        <v>0</v>
      </c>
    </row>
    <row r="244" spans="27:28">
      <c r="AA244" s="232">
        <f t="shared" si="6"/>
        <v>0</v>
      </c>
      <c r="AB244" s="232">
        <f t="shared" si="7"/>
        <v>0</v>
      </c>
    </row>
    <row r="245" spans="27:28">
      <c r="AA245" s="232">
        <f t="shared" si="6"/>
        <v>0</v>
      </c>
      <c r="AB245" s="232">
        <f t="shared" si="7"/>
        <v>0</v>
      </c>
    </row>
    <row r="246" spans="27:28">
      <c r="AA246" s="232">
        <f t="shared" si="6"/>
        <v>0</v>
      </c>
      <c r="AB246" s="232">
        <f t="shared" si="7"/>
        <v>0</v>
      </c>
    </row>
    <row r="247" spans="27:28">
      <c r="AA247" s="232">
        <f t="shared" si="6"/>
        <v>0</v>
      </c>
      <c r="AB247" s="232">
        <f t="shared" si="7"/>
        <v>0</v>
      </c>
    </row>
    <row r="248" spans="27:28">
      <c r="AA248" s="232">
        <f t="shared" si="6"/>
        <v>0</v>
      </c>
      <c r="AB248" s="232">
        <f t="shared" si="7"/>
        <v>0</v>
      </c>
    </row>
    <row r="249" spans="27:28">
      <c r="AA249" s="232">
        <f t="shared" si="6"/>
        <v>0</v>
      </c>
      <c r="AB249" s="232">
        <f t="shared" si="7"/>
        <v>0</v>
      </c>
    </row>
    <row r="250" spans="27:28">
      <c r="AA250" s="232">
        <f t="shared" si="6"/>
        <v>0</v>
      </c>
      <c r="AB250" s="232">
        <f t="shared" si="7"/>
        <v>0</v>
      </c>
    </row>
    <row r="251" spans="27:28">
      <c r="AA251" s="232">
        <f t="shared" si="6"/>
        <v>0</v>
      </c>
      <c r="AB251" s="232">
        <f t="shared" si="7"/>
        <v>0</v>
      </c>
    </row>
    <row r="252" spans="27:28">
      <c r="AA252" s="232">
        <f t="shared" si="6"/>
        <v>0</v>
      </c>
      <c r="AB252" s="232">
        <f t="shared" si="7"/>
        <v>0</v>
      </c>
    </row>
    <row r="253" spans="27:28">
      <c r="AA253" s="232">
        <f t="shared" si="6"/>
        <v>0</v>
      </c>
      <c r="AB253" s="232">
        <f t="shared" si="7"/>
        <v>0</v>
      </c>
    </row>
    <row r="254" spans="27:28">
      <c r="AA254" s="232">
        <f t="shared" si="6"/>
        <v>0</v>
      </c>
      <c r="AB254" s="232">
        <f t="shared" si="7"/>
        <v>0</v>
      </c>
    </row>
    <row r="255" spans="27:28">
      <c r="AA255" s="232">
        <f t="shared" si="6"/>
        <v>0</v>
      </c>
      <c r="AB255" s="232">
        <f t="shared" si="7"/>
        <v>0</v>
      </c>
    </row>
    <row r="256" spans="27:28">
      <c r="AA256" s="232">
        <f t="shared" si="6"/>
        <v>0</v>
      </c>
      <c r="AB256" s="232">
        <f t="shared" si="7"/>
        <v>0</v>
      </c>
    </row>
    <row r="257" spans="27:28">
      <c r="AA257" s="232">
        <f t="shared" si="6"/>
        <v>0</v>
      </c>
      <c r="AB257" s="232">
        <f t="shared" si="7"/>
        <v>0</v>
      </c>
    </row>
    <row r="258" spans="27:28">
      <c r="AA258" s="232">
        <f t="shared" si="6"/>
        <v>0</v>
      </c>
      <c r="AB258" s="232">
        <f t="shared" si="7"/>
        <v>0</v>
      </c>
    </row>
    <row r="259" spans="27:28">
      <c r="AA259" s="232">
        <f t="shared" ref="AA259:AA322" si="8">J259*Q259+K259*R259+((L259+M259)/1000)*S259</f>
        <v>0</v>
      </c>
      <c r="AB259" s="232">
        <f t="shared" ref="AB259:AB322" si="9">((N259+O259)/1000)*T259</f>
        <v>0</v>
      </c>
    </row>
    <row r="260" spans="27:28">
      <c r="AA260" s="232">
        <f t="shared" si="8"/>
        <v>0</v>
      </c>
      <c r="AB260" s="232">
        <f t="shared" si="9"/>
        <v>0</v>
      </c>
    </row>
    <row r="261" spans="27:28">
      <c r="AA261" s="232">
        <f t="shared" si="8"/>
        <v>0</v>
      </c>
      <c r="AB261" s="232">
        <f t="shared" si="9"/>
        <v>0</v>
      </c>
    </row>
    <row r="262" spans="27:28">
      <c r="AA262" s="232">
        <f t="shared" si="8"/>
        <v>0</v>
      </c>
      <c r="AB262" s="232">
        <f t="shared" si="9"/>
        <v>0</v>
      </c>
    </row>
    <row r="263" spans="27:28">
      <c r="AA263" s="232">
        <f t="shared" si="8"/>
        <v>0</v>
      </c>
      <c r="AB263" s="232">
        <f t="shared" si="9"/>
        <v>0</v>
      </c>
    </row>
    <row r="264" spans="27:28">
      <c r="AA264" s="232">
        <f t="shared" si="8"/>
        <v>0</v>
      </c>
      <c r="AB264" s="232">
        <f t="shared" si="9"/>
        <v>0</v>
      </c>
    </row>
    <row r="265" spans="27:28">
      <c r="AA265" s="232">
        <f t="shared" si="8"/>
        <v>0</v>
      </c>
      <c r="AB265" s="232">
        <f t="shared" si="9"/>
        <v>0</v>
      </c>
    </row>
    <row r="266" spans="27:28">
      <c r="AA266" s="232">
        <f t="shared" si="8"/>
        <v>0</v>
      </c>
      <c r="AB266" s="232">
        <f t="shared" si="9"/>
        <v>0</v>
      </c>
    </row>
    <row r="267" spans="27:28">
      <c r="AA267" s="232">
        <f t="shared" si="8"/>
        <v>0</v>
      </c>
      <c r="AB267" s="232">
        <f t="shared" si="9"/>
        <v>0</v>
      </c>
    </row>
    <row r="268" spans="27:28">
      <c r="AA268" s="232">
        <f t="shared" si="8"/>
        <v>0</v>
      </c>
      <c r="AB268" s="232">
        <f t="shared" si="9"/>
        <v>0</v>
      </c>
    </row>
    <row r="269" spans="27:28">
      <c r="AA269" s="232">
        <f t="shared" si="8"/>
        <v>0</v>
      </c>
      <c r="AB269" s="232">
        <f t="shared" si="9"/>
        <v>0</v>
      </c>
    </row>
    <row r="270" spans="27:28">
      <c r="AA270" s="232">
        <f t="shared" si="8"/>
        <v>0</v>
      </c>
      <c r="AB270" s="232">
        <f t="shared" si="9"/>
        <v>0</v>
      </c>
    </row>
    <row r="271" spans="27:28">
      <c r="AA271" s="232">
        <f t="shared" si="8"/>
        <v>0</v>
      </c>
      <c r="AB271" s="232">
        <f t="shared" si="9"/>
        <v>0</v>
      </c>
    </row>
    <row r="272" spans="27:28">
      <c r="AA272" s="232">
        <f t="shared" si="8"/>
        <v>0</v>
      </c>
      <c r="AB272" s="232">
        <f t="shared" si="9"/>
        <v>0</v>
      </c>
    </row>
    <row r="273" spans="27:28">
      <c r="AA273" s="232">
        <f t="shared" si="8"/>
        <v>0</v>
      </c>
      <c r="AB273" s="232">
        <f t="shared" si="9"/>
        <v>0</v>
      </c>
    </row>
    <row r="274" spans="27:28">
      <c r="AA274" s="232">
        <f t="shared" si="8"/>
        <v>0</v>
      </c>
      <c r="AB274" s="232">
        <f t="shared" si="9"/>
        <v>0</v>
      </c>
    </row>
    <row r="275" spans="27:28">
      <c r="AA275" s="232">
        <f t="shared" si="8"/>
        <v>0</v>
      </c>
      <c r="AB275" s="232">
        <f t="shared" si="9"/>
        <v>0</v>
      </c>
    </row>
    <row r="276" spans="27:28">
      <c r="AA276" s="232">
        <f t="shared" si="8"/>
        <v>0</v>
      </c>
      <c r="AB276" s="232">
        <f t="shared" si="9"/>
        <v>0</v>
      </c>
    </row>
    <row r="277" spans="27:28">
      <c r="AA277" s="232">
        <f t="shared" si="8"/>
        <v>0</v>
      </c>
      <c r="AB277" s="232">
        <f t="shared" si="9"/>
        <v>0</v>
      </c>
    </row>
    <row r="278" spans="27:28">
      <c r="AA278" s="232">
        <f t="shared" si="8"/>
        <v>0</v>
      </c>
      <c r="AB278" s="232">
        <f t="shared" si="9"/>
        <v>0</v>
      </c>
    </row>
    <row r="279" spans="27:28">
      <c r="AA279" s="232">
        <f t="shared" si="8"/>
        <v>0</v>
      </c>
      <c r="AB279" s="232">
        <f t="shared" si="9"/>
        <v>0</v>
      </c>
    </row>
    <row r="280" spans="27:28">
      <c r="AA280" s="232">
        <f t="shared" si="8"/>
        <v>0</v>
      </c>
      <c r="AB280" s="232">
        <f t="shared" si="9"/>
        <v>0</v>
      </c>
    </row>
    <row r="281" spans="27:28">
      <c r="AA281" s="232">
        <f t="shared" si="8"/>
        <v>0</v>
      </c>
      <c r="AB281" s="232">
        <f t="shared" si="9"/>
        <v>0</v>
      </c>
    </row>
    <row r="282" spans="27:28">
      <c r="AA282" s="232">
        <f t="shared" si="8"/>
        <v>0</v>
      </c>
      <c r="AB282" s="232">
        <f t="shared" si="9"/>
        <v>0</v>
      </c>
    </row>
    <row r="283" spans="27:28">
      <c r="AA283" s="232">
        <f t="shared" si="8"/>
        <v>0</v>
      </c>
      <c r="AB283" s="232">
        <f t="shared" si="9"/>
        <v>0</v>
      </c>
    </row>
    <row r="284" spans="27:28">
      <c r="AA284" s="232">
        <f t="shared" si="8"/>
        <v>0</v>
      </c>
      <c r="AB284" s="232">
        <f t="shared" si="9"/>
        <v>0</v>
      </c>
    </row>
    <row r="285" spans="27:28">
      <c r="AA285" s="232">
        <f t="shared" si="8"/>
        <v>0</v>
      </c>
      <c r="AB285" s="232">
        <f t="shared" si="9"/>
        <v>0</v>
      </c>
    </row>
    <row r="286" spans="27:28">
      <c r="AA286" s="232">
        <f t="shared" si="8"/>
        <v>0</v>
      </c>
      <c r="AB286" s="232">
        <f t="shared" si="9"/>
        <v>0</v>
      </c>
    </row>
    <row r="287" spans="27:28">
      <c r="AA287" s="232">
        <f t="shared" si="8"/>
        <v>0</v>
      </c>
      <c r="AB287" s="232">
        <f t="shared" si="9"/>
        <v>0</v>
      </c>
    </row>
    <row r="288" spans="27:28">
      <c r="AA288" s="232">
        <f t="shared" si="8"/>
        <v>0</v>
      </c>
      <c r="AB288" s="232">
        <f t="shared" si="9"/>
        <v>0</v>
      </c>
    </row>
    <row r="289" spans="27:28">
      <c r="AA289" s="232">
        <f t="shared" si="8"/>
        <v>0</v>
      </c>
      <c r="AB289" s="232">
        <f t="shared" si="9"/>
        <v>0</v>
      </c>
    </row>
    <row r="290" spans="27:28">
      <c r="AA290" s="232">
        <f t="shared" si="8"/>
        <v>0</v>
      </c>
      <c r="AB290" s="232">
        <f t="shared" si="9"/>
        <v>0</v>
      </c>
    </row>
    <row r="291" spans="27:28">
      <c r="AA291" s="232">
        <f t="shared" si="8"/>
        <v>0</v>
      </c>
      <c r="AB291" s="232">
        <f t="shared" si="9"/>
        <v>0</v>
      </c>
    </row>
    <row r="292" spans="27:28">
      <c r="AA292" s="232">
        <f t="shared" si="8"/>
        <v>0</v>
      </c>
      <c r="AB292" s="232">
        <f t="shared" si="9"/>
        <v>0</v>
      </c>
    </row>
    <row r="293" spans="27:28">
      <c r="AA293" s="232">
        <f t="shared" si="8"/>
        <v>0</v>
      </c>
      <c r="AB293" s="232">
        <f t="shared" si="9"/>
        <v>0</v>
      </c>
    </row>
    <row r="294" spans="27:28">
      <c r="AA294" s="232">
        <f t="shared" si="8"/>
        <v>0</v>
      </c>
      <c r="AB294" s="232">
        <f t="shared" si="9"/>
        <v>0</v>
      </c>
    </row>
    <row r="295" spans="27:28">
      <c r="AA295" s="232">
        <f t="shared" si="8"/>
        <v>0</v>
      </c>
      <c r="AB295" s="232">
        <f t="shared" si="9"/>
        <v>0</v>
      </c>
    </row>
    <row r="296" spans="27:28">
      <c r="AA296" s="232">
        <f t="shared" si="8"/>
        <v>0</v>
      </c>
      <c r="AB296" s="232">
        <f t="shared" si="9"/>
        <v>0</v>
      </c>
    </row>
    <row r="297" spans="27:28">
      <c r="AA297" s="232">
        <f t="shared" si="8"/>
        <v>0</v>
      </c>
      <c r="AB297" s="232">
        <f t="shared" si="9"/>
        <v>0</v>
      </c>
    </row>
    <row r="298" spans="27:28">
      <c r="AA298" s="232">
        <f t="shared" si="8"/>
        <v>0</v>
      </c>
      <c r="AB298" s="232">
        <f t="shared" si="9"/>
        <v>0</v>
      </c>
    </row>
    <row r="299" spans="27:28">
      <c r="AA299" s="232">
        <f t="shared" si="8"/>
        <v>0</v>
      </c>
      <c r="AB299" s="232">
        <f t="shared" si="9"/>
        <v>0</v>
      </c>
    </row>
    <row r="300" spans="27:28">
      <c r="AA300" s="232">
        <f t="shared" si="8"/>
        <v>0</v>
      </c>
      <c r="AB300" s="232">
        <f t="shared" si="9"/>
        <v>0</v>
      </c>
    </row>
    <row r="301" spans="27:28">
      <c r="AA301" s="232">
        <f t="shared" si="8"/>
        <v>0</v>
      </c>
      <c r="AB301" s="232">
        <f t="shared" si="9"/>
        <v>0</v>
      </c>
    </row>
    <row r="302" spans="27:28">
      <c r="AA302" s="232">
        <f t="shared" si="8"/>
        <v>0</v>
      </c>
      <c r="AB302" s="232">
        <f t="shared" si="9"/>
        <v>0</v>
      </c>
    </row>
    <row r="303" spans="27:28">
      <c r="AA303" s="232">
        <f t="shared" si="8"/>
        <v>0</v>
      </c>
      <c r="AB303" s="232">
        <f t="shared" si="9"/>
        <v>0</v>
      </c>
    </row>
    <row r="304" spans="27:28">
      <c r="AA304" s="232">
        <f t="shared" si="8"/>
        <v>0</v>
      </c>
      <c r="AB304" s="232">
        <f t="shared" si="9"/>
        <v>0</v>
      </c>
    </row>
    <row r="305" spans="27:28">
      <c r="AA305" s="232">
        <f t="shared" si="8"/>
        <v>0</v>
      </c>
      <c r="AB305" s="232">
        <f t="shared" si="9"/>
        <v>0</v>
      </c>
    </row>
    <row r="306" spans="27:28">
      <c r="AA306" s="232">
        <f t="shared" si="8"/>
        <v>0</v>
      </c>
      <c r="AB306" s="232">
        <f t="shared" si="9"/>
        <v>0</v>
      </c>
    </row>
    <row r="307" spans="27:28">
      <c r="AA307" s="232">
        <f t="shared" si="8"/>
        <v>0</v>
      </c>
      <c r="AB307" s="232">
        <f t="shared" si="9"/>
        <v>0</v>
      </c>
    </row>
    <row r="308" spans="27:28">
      <c r="AA308" s="232">
        <f t="shared" si="8"/>
        <v>0</v>
      </c>
      <c r="AB308" s="232">
        <f t="shared" si="9"/>
        <v>0</v>
      </c>
    </row>
    <row r="309" spans="27:28">
      <c r="AA309" s="232">
        <f t="shared" si="8"/>
        <v>0</v>
      </c>
      <c r="AB309" s="232">
        <f t="shared" si="9"/>
        <v>0</v>
      </c>
    </row>
    <row r="310" spans="27:28">
      <c r="AA310" s="232">
        <f t="shared" si="8"/>
        <v>0</v>
      </c>
      <c r="AB310" s="232">
        <f t="shared" si="9"/>
        <v>0</v>
      </c>
    </row>
    <row r="311" spans="27:28">
      <c r="AA311" s="232">
        <f t="shared" si="8"/>
        <v>0</v>
      </c>
      <c r="AB311" s="232">
        <f t="shared" si="9"/>
        <v>0</v>
      </c>
    </row>
    <row r="312" spans="27:28">
      <c r="AA312" s="232">
        <f t="shared" si="8"/>
        <v>0</v>
      </c>
      <c r="AB312" s="232">
        <f t="shared" si="9"/>
        <v>0</v>
      </c>
    </row>
    <row r="313" spans="27:28">
      <c r="AA313" s="232">
        <f t="shared" si="8"/>
        <v>0</v>
      </c>
      <c r="AB313" s="232">
        <f t="shared" si="9"/>
        <v>0</v>
      </c>
    </row>
    <row r="314" spans="27:28">
      <c r="AA314" s="232">
        <f t="shared" si="8"/>
        <v>0</v>
      </c>
      <c r="AB314" s="232">
        <f t="shared" si="9"/>
        <v>0</v>
      </c>
    </row>
    <row r="315" spans="27:28">
      <c r="AA315" s="232">
        <f t="shared" si="8"/>
        <v>0</v>
      </c>
      <c r="AB315" s="232">
        <f t="shared" si="9"/>
        <v>0</v>
      </c>
    </row>
    <row r="316" spans="27:28">
      <c r="AA316" s="232">
        <f t="shared" si="8"/>
        <v>0</v>
      </c>
      <c r="AB316" s="232">
        <f t="shared" si="9"/>
        <v>0</v>
      </c>
    </row>
    <row r="317" spans="27:28">
      <c r="AA317" s="232">
        <f t="shared" si="8"/>
        <v>0</v>
      </c>
      <c r="AB317" s="232">
        <f t="shared" si="9"/>
        <v>0</v>
      </c>
    </row>
    <row r="318" spans="27:28">
      <c r="AA318" s="232">
        <f t="shared" si="8"/>
        <v>0</v>
      </c>
      <c r="AB318" s="232">
        <f t="shared" si="9"/>
        <v>0</v>
      </c>
    </row>
    <row r="319" spans="27:28">
      <c r="AA319" s="232">
        <f t="shared" si="8"/>
        <v>0</v>
      </c>
      <c r="AB319" s="232">
        <f t="shared" si="9"/>
        <v>0</v>
      </c>
    </row>
    <row r="320" spans="27:28">
      <c r="AA320" s="232">
        <f t="shared" si="8"/>
        <v>0</v>
      </c>
      <c r="AB320" s="232">
        <f t="shared" si="9"/>
        <v>0</v>
      </c>
    </row>
    <row r="321" spans="27:28">
      <c r="AA321" s="232">
        <f t="shared" si="8"/>
        <v>0</v>
      </c>
      <c r="AB321" s="232">
        <f t="shared" si="9"/>
        <v>0</v>
      </c>
    </row>
    <row r="322" spans="27:28">
      <c r="AA322" s="232">
        <f t="shared" si="8"/>
        <v>0</v>
      </c>
      <c r="AB322" s="232">
        <f t="shared" si="9"/>
        <v>0</v>
      </c>
    </row>
    <row r="323" spans="27:28">
      <c r="AA323" s="232">
        <f t="shared" ref="AA323:AA386" si="10">J323*Q323+K323*R323+((L323+M323)/1000)*S323</f>
        <v>0</v>
      </c>
      <c r="AB323" s="232">
        <f t="shared" ref="AB323:AB386" si="11">((N323+O323)/1000)*T323</f>
        <v>0</v>
      </c>
    </row>
    <row r="324" spans="27:28">
      <c r="AA324" s="232">
        <f t="shared" si="10"/>
        <v>0</v>
      </c>
      <c r="AB324" s="232">
        <f t="shared" si="11"/>
        <v>0</v>
      </c>
    </row>
    <row r="325" spans="27:28">
      <c r="AA325" s="232">
        <f t="shared" si="10"/>
        <v>0</v>
      </c>
      <c r="AB325" s="232">
        <f t="shared" si="11"/>
        <v>0</v>
      </c>
    </row>
    <row r="326" spans="27:28">
      <c r="AA326" s="232">
        <f t="shared" si="10"/>
        <v>0</v>
      </c>
      <c r="AB326" s="232">
        <f t="shared" si="11"/>
        <v>0</v>
      </c>
    </row>
    <row r="327" spans="27:28">
      <c r="AA327" s="232">
        <f t="shared" si="10"/>
        <v>0</v>
      </c>
      <c r="AB327" s="232">
        <f t="shared" si="11"/>
        <v>0</v>
      </c>
    </row>
    <row r="328" spans="27:28">
      <c r="AA328" s="232">
        <f t="shared" si="10"/>
        <v>0</v>
      </c>
      <c r="AB328" s="232">
        <f t="shared" si="11"/>
        <v>0</v>
      </c>
    </row>
    <row r="329" spans="27:28">
      <c r="AA329" s="232">
        <f t="shared" si="10"/>
        <v>0</v>
      </c>
      <c r="AB329" s="232">
        <f t="shared" si="11"/>
        <v>0</v>
      </c>
    </row>
    <row r="330" spans="27:28">
      <c r="AA330" s="232">
        <f t="shared" si="10"/>
        <v>0</v>
      </c>
      <c r="AB330" s="232">
        <f t="shared" si="11"/>
        <v>0</v>
      </c>
    </row>
    <row r="331" spans="27:28">
      <c r="AA331" s="232">
        <f t="shared" si="10"/>
        <v>0</v>
      </c>
      <c r="AB331" s="232">
        <f t="shared" si="11"/>
        <v>0</v>
      </c>
    </row>
    <row r="332" spans="27:28">
      <c r="AA332" s="232">
        <f t="shared" si="10"/>
        <v>0</v>
      </c>
      <c r="AB332" s="232">
        <f t="shared" si="11"/>
        <v>0</v>
      </c>
    </row>
    <row r="333" spans="27:28">
      <c r="AA333" s="232">
        <f t="shared" si="10"/>
        <v>0</v>
      </c>
      <c r="AB333" s="232">
        <f t="shared" si="11"/>
        <v>0</v>
      </c>
    </row>
    <row r="334" spans="27:28">
      <c r="AA334" s="232">
        <f t="shared" si="10"/>
        <v>0</v>
      </c>
      <c r="AB334" s="232">
        <f t="shared" si="11"/>
        <v>0</v>
      </c>
    </row>
    <row r="335" spans="27:28">
      <c r="AA335" s="232">
        <f t="shared" si="10"/>
        <v>0</v>
      </c>
      <c r="AB335" s="232">
        <f t="shared" si="11"/>
        <v>0</v>
      </c>
    </row>
    <row r="336" spans="27:28">
      <c r="AA336" s="232">
        <f t="shared" si="10"/>
        <v>0</v>
      </c>
      <c r="AB336" s="232">
        <f t="shared" si="11"/>
        <v>0</v>
      </c>
    </row>
    <row r="337" spans="27:28">
      <c r="AA337" s="232">
        <f t="shared" si="10"/>
        <v>0</v>
      </c>
      <c r="AB337" s="232">
        <f t="shared" si="11"/>
        <v>0</v>
      </c>
    </row>
    <row r="338" spans="27:28">
      <c r="AA338" s="232">
        <f t="shared" si="10"/>
        <v>0</v>
      </c>
      <c r="AB338" s="232">
        <f t="shared" si="11"/>
        <v>0</v>
      </c>
    </row>
    <row r="339" spans="27:28">
      <c r="AA339" s="232">
        <f t="shared" si="10"/>
        <v>0</v>
      </c>
      <c r="AB339" s="232">
        <f t="shared" si="11"/>
        <v>0</v>
      </c>
    </row>
    <row r="340" spans="27:28">
      <c r="AA340" s="232">
        <f t="shared" si="10"/>
        <v>0</v>
      </c>
      <c r="AB340" s="232">
        <f t="shared" si="11"/>
        <v>0</v>
      </c>
    </row>
    <row r="341" spans="27:28">
      <c r="AA341" s="232">
        <f t="shared" si="10"/>
        <v>0</v>
      </c>
      <c r="AB341" s="232">
        <f t="shared" si="11"/>
        <v>0</v>
      </c>
    </row>
    <row r="342" spans="27:28">
      <c r="AA342" s="232">
        <f t="shared" si="10"/>
        <v>0</v>
      </c>
      <c r="AB342" s="232">
        <f t="shared" si="11"/>
        <v>0</v>
      </c>
    </row>
    <row r="343" spans="27:28">
      <c r="AA343" s="232">
        <f t="shared" si="10"/>
        <v>0</v>
      </c>
      <c r="AB343" s="232">
        <f t="shared" si="11"/>
        <v>0</v>
      </c>
    </row>
    <row r="344" spans="27:28">
      <c r="AA344" s="232">
        <f t="shared" si="10"/>
        <v>0</v>
      </c>
      <c r="AB344" s="232">
        <f t="shared" si="11"/>
        <v>0</v>
      </c>
    </row>
    <row r="345" spans="27:28">
      <c r="AA345" s="232">
        <f t="shared" si="10"/>
        <v>0</v>
      </c>
      <c r="AB345" s="232">
        <f t="shared" si="11"/>
        <v>0</v>
      </c>
    </row>
    <row r="346" spans="27:28">
      <c r="AA346" s="232">
        <f t="shared" si="10"/>
        <v>0</v>
      </c>
      <c r="AB346" s="232">
        <f t="shared" si="11"/>
        <v>0</v>
      </c>
    </row>
    <row r="347" spans="27:28">
      <c r="AA347" s="232">
        <f t="shared" si="10"/>
        <v>0</v>
      </c>
      <c r="AB347" s="232">
        <f t="shared" si="11"/>
        <v>0</v>
      </c>
    </row>
    <row r="348" spans="27:28">
      <c r="AA348" s="232">
        <f t="shared" si="10"/>
        <v>0</v>
      </c>
      <c r="AB348" s="232">
        <f t="shared" si="11"/>
        <v>0</v>
      </c>
    </row>
    <row r="349" spans="27:28">
      <c r="AA349" s="232">
        <f t="shared" si="10"/>
        <v>0</v>
      </c>
      <c r="AB349" s="232">
        <f t="shared" si="11"/>
        <v>0</v>
      </c>
    </row>
    <row r="350" spans="27:28">
      <c r="AA350" s="232">
        <f t="shared" si="10"/>
        <v>0</v>
      </c>
      <c r="AB350" s="232">
        <f t="shared" si="11"/>
        <v>0</v>
      </c>
    </row>
    <row r="351" spans="27:28">
      <c r="AA351" s="232">
        <f t="shared" si="10"/>
        <v>0</v>
      </c>
      <c r="AB351" s="232">
        <f t="shared" si="11"/>
        <v>0</v>
      </c>
    </row>
    <row r="352" spans="27:28">
      <c r="AA352" s="232">
        <f t="shared" si="10"/>
        <v>0</v>
      </c>
      <c r="AB352" s="232">
        <f t="shared" si="11"/>
        <v>0</v>
      </c>
    </row>
    <row r="353" spans="27:28">
      <c r="AA353" s="232">
        <f t="shared" si="10"/>
        <v>0</v>
      </c>
      <c r="AB353" s="232">
        <f t="shared" si="11"/>
        <v>0</v>
      </c>
    </row>
    <row r="354" spans="27:28">
      <c r="AA354" s="232">
        <f t="shared" si="10"/>
        <v>0</v>
      </c>
      <c r="AB354" s="232">
        <f t="shared" si="11"/>
        <v>0</v>
      </c>
    </row>
    <row r="355" spans="27:28">
      <c r="AA355" s="232">
        <f t="shared" si="10"/>
        <v>0</v>
      </c>
      <c r="AB355" s="232">
        <f t="shared" si="11"/>
        <v>0</v>
      </c>
    </row>
    <row r="356" spans="27:28">
      <c r="AA356" s="232">
        <f t="shared" si="10"/>
        <v>0</v>
      </c>
      <c r="AB356" s="232">
        <f t="shared" si="11"/>
        <v>0</v>
      </c>
    </row>
    <row r="357" spans="27:28">
      <c r="AA357" s="232">
        <f t="shared" si="10"/>
        <v>0</v>
      </c>
      <c r="AB357" s="232">
        <f t="shared" si="11"/>
        <v>0</v>
      </c>
    </row>
    <row r="358" spans="27:28">
      <c r="AA358" s="232">
        <f t="shared" si="10"/>
        <v>0</v>
      </c>
      <c r="AB358" s="232">
        <f t="shared" si="11"/>
        <v>0</v>
      </c>
    </row>
    <row r="359" spans="27:28">
      <c r="AA359" s="232">
        <f t="shared" si="10"/>
        <v>0</v>
      </c>
      <c r="AB359" s="232">
        <f t="shared" si="11"/>
        <v>0</v>
      </c>
    </row>
    <row r="360" spans="27:28">
      <c r="AA360" s="232">
        <f t="shared" si="10"/>
        <v>0</v>
      </c>
      <c r="AB360" s="232">
        <f t="shared" si="11"/>
        <v>0</v>
      </c>
    </row>
    <row r="361" spans="27:28">
      <c r="AA361" s="232">
        <f t="shared" si="10"/>
        <v>0</v>
      </c>
      <c r="AB361" s="232">
        <f t="shared" si="11"/>
        <v>0</v>
      </c>
    </row>
    <row r="362" spans="27:28">
      <c r="AA362" s="232">
        <f t="shared" si="10"/>
        <v>0</v>
      </c>
      <c r="AB362" s="232">
        <f t="shared" si="11"/>
        <v>0</v>
      </c>
    </row>
    <row r="363" spans="27:28">
      <c r="AA363" s="232">
        <f t="shared" si="10"/>
        <v>0</v>
      </c>
      <c r="AB363" s="232">
        <f t="shared" si="11"/>
        <v>0</v>
      </c>
    </row>
    <row r="364" spans="27:28">
      <c r="AA364" s="232">
        <f t="shared" si="10"/>
        <v>0</v>
      </c>
      <c r="AB364" s="232">
        <f t="shared" si="11"/>
        <v>0</v>
      </c>
    </row>
    <row r="365" spans="27:28">
      <c r="AA365" s="232">
        <f t="shared" si="10"/>
        <v>0</v>
      </c>
      <c r="AB365" s="232">
        <f t="shared" si="11"/>
        <v>0</v>
      </c>
    </row>
    <row r="366" spans="27:28">
      <c r="AA366" s="232">
        <f t="shared" si="10"/>
        <v>0</v>
      </c>
      <c r="AB366" s="232">
        <f t="shared" si="11"/>
        <v>0</v>
      </c>
    </row>
    <row r="367" spans="27:28">
      <c r="AA367" s="232">
        <f t="shared" si="10"/>
        <v>0</v>
      </c>
      <c r="AB367" s="232">
        <f t="shared" si="11"/>
        <v>0</v>
      </c>
    </row>
    <row r="368" spans="27:28">
      <c r="AA368" s="232">
        <f t="shared" si="10"/>
        <v>0</v>
      </c>
      <c r="AB368" s="232">
        <f t="shared" si="11"/>
        <v>0</v>
      </c>
    </row>
    <row r="369" spans="27:28">
      <c r="AA369" s="232">
        <f t="shared" si="10"/>
        <v>0</v>
      </c>
      <c r="AB369" s="232">
        <f t="shared" si="11"/>
        <v>0</v>
      </c>
    </row>
    <row r="370" spans="27:28">
      <c r="AA370" s="232">
        <f t="shared" si="10"/>
        <v>0</v>
      </c>
      <c r="AB370" s="232">
        <f t="shared" si="11"/>
        <v>0</v>
      </c>
    </row>
    <row r="371" spans="27:28">
      <c r="AA371" s="232">
        <f t="shared" si="10"/>
        <v>0</v>
      </c>
      <c r="AB371" s="232">
        <f t="shared" si="11"/>
        <v>0</v>
      </c>
    </row>
    <row r="372" spans="27:28">
      <c r="AA372" s="232">
        <f t="shared" si="10"/>
        <v>0</v>
      </c>
      <c r="AB372" s="232">
        <f t="shared" si="11"/>
        <v>0</v>
      </c>
    </row>
    <row r="373" spans="27:28">
      <c r="AA373" s="232">
        <f t="shared" si="10"/>
        <v>0</v>
      </c>
      <c r="AB373" s="232">
        <f t="shared" si="11"/>
        <v>0</v>
      </c>
    </row>
    <row r="374" spans="27:28">
      <c r="AA374" s="232">
        <f t="shared" si="10"/>
        <v>0</v>
      </c>
      <c r="AB374" s="232">
        <f t="shared" si="11"/>
        <v>0</v>
      </c>
    </row>
    <row r="375" spans="27:28">
      <c r="AA375" s="232">
        <f t="shared" si="10"/>
        <v>0</v>
      </c>
      <c r="AB375" s="232">
        <f t="shared" si="11"/>
        <v>0</v>
      </c>
    </row>
    <row r="376" spans="27:28">
      <c r="AA376" s="232">
        <f t="shared" si="10"/>
        <v>0</v>
      </c>
      <c r="AB376" s="232">
        <f t="shared" si="11"/>
        <v>0</v>
      </c>
    </row>
    <row r="377" spans="27:28">
      <c r="AA377" s="232">
        <f t="shared" si="10"/>
        <v>0</v>
      </c>
      <c r="AB377" s="232">
        <f t="shared" si="11"/>
        <v>0</v>
      </c>
    </row>
    <row r="378" spans="27:28">
      <c r="AA378" s="232">
        <f t="shared" si="10"/>
        <v>0</v>
      </c>
      <c r="AB378" s="232">
        <f t="shared" si="11"/>
        <v>0</v>
      </c>
    </row>
    <row r="379" spans="27:28">
      <c r="AA379" s="232">
        <f t="shared" si="10"/>
        <v>0</v>
      </c>
      <c r="AB379" s="232">
        <f t="shared" si="11"/>
        <v>0</v>
      </c>
    </row>
    <row r="380" spans="27:28">
      <c r="AA380" s="232">
        <f t="shared" si="10"/>
        <v>0</v>
      </c>
      <c r="AB380" s="232">
        <f t="shared" si="11"/>
        <v>0</v>
      </c>
    </row>
    <row r="381" spans="27:28">
      <c r="AA381" s="232">
        <f t="shared" si="10"/>
        <v>0</v>
      </c>
      <c r="AB381" s="232">
        <f t="shared" si="11"/>
        <v>0</v>
      </c>
    </row>
    <row r="382" spans="27:28">
      <c r="AA382" s="232">
        <f t="shared" si="10"/>
        <v>0</v>
      </c>
      <c r="AB382" s="232">
        <f t="shared" si="11"/>
        <v>0</v>
      </c>
    </row>
    <row r="383" spans="27:28">
      <c r="AA383" s="232">
        <f t="shared" si="10"/>
        <v>0</v>
      </c>
      <c r="AB383" s="232">
        <f t="shared" si="11"/>
        <v>0</v>
      </c>
    </row>
    <row r="384" spans="27:28">
      <c r="AA384" s="232">
        <f t="shared" si="10"/>
        <v>0</v>
      </c>
      <c r="AB384" s="232">
        <f t="shared" si="11"/>
        <v>0</v>
      </c>
    </row>
    <row r="385" spans="27:28">
      <c r="AA385" s="232">
        <f t="shared" si="10"/>
        <v>0</v>
      </c>
      <c r="AB385" s="232">
        <f t="shared" si="11"/>
        <v>0</v>
      </c>
    </row>
    <row r="386" spans="27:28">
      <c r="AA386" s="232">
        <f t="shared" si="10"/>
        <v>0</v>
      </c>
      <c r="AB386" s="232">
        <f t="shared" si="11"/>
        <v>0</v>
      </c>
    </row>
    <row r="387" spans="27:28">
      <c r="AA387" s="232">
        <f t="shared" ref="AA387:AA441" si="12">J387*Q387+K387*R387+((L387+M387)/1000)*S387</f>
        <v>0</v>
      </c>
      <c r="AB387" s="232">
        <f t="shared" ref="AB387:AB441" si="13">((N387+O387)/1000)*T387</f>
        <v>0</v>
      </c>
    </row>
    <row r="388" spans="27:28">
      <c r="AA388" s="232">
        <f t="shared" si="12"/>
        <v>0</v>
      </c>
      <c r="AB388" s="232">
        <f t="shared" si="13"/>
        <v>0</v>
      </c>
    </row>
    <row r="389" spans="27:28">
      <c r="AA389" s="232">
        <f t="shared" si="12"/>
        <v>0</v>
      </c>
      <c r="AB389" s="232">
        <f t="shared" si="13"/>
        <v>0</v>
      </c>
    </row>
    <row r="390" spans="27:28">
      <c r="AA390" s="232">
        <f t="shared" si="12"/>
        <v>0</v>
      </c>
      <c r="AB390" s="232">
        <f t="shared" si="13"/>
        <v>0</v>
      </c>
    </row>
    <row r="391" spans="27:28">
      <c r="AA391" s="232">
        <f t="shared" si="12"/>
        <v>0</v>
      </c>
      <c r="AB391" s="232">
        <f t="shared" si="13"/>
        <v>0</v>
      </c>
    </row>
    <row r="392" spans="27:28">
      <c r="AA392" s="232">
        <f t="shared" si="12"/>
        <v>0</v>
      </c>
      <c r="AB392" s="232">
        <f t="shared" si="13"/>
        <v>0</v>
      </c>
    </row>
    <row r="393" spans="27:28">
      <c r="AA393" s="232">
        <f t="shared" si="12"/>
        <v>0</v>
      </c>
      <c r="AB393" s="232">
        <f t="shared" si="13"/>
        <v>0</v>
      </c>
    </row>
    <row r="394" spans="27:28">
      <c r="AA394" s="232">
        <f t="shared" si="12"/>
        <v>0</v>
      </c>
      <c r="AB394" s="232">
        <f t="shared" si="13"/>
        <v>0</v>
      </c>
    </row>
    <row r="395" spans="27:28">
      <c r="AA395" s="232">
        <f t="shared" si="12"/>
        <v>0</v>
      </c>
      <c r="AB395" s="232">
        <f t="shared" si="13"/>
        <v>0</v>
      </c>
    </row>
    <row r="396" spans="27:28">
      <c r="AA396" s="232">
        <f t="shared" si="12"/>
        <v>0</v>
      </c>
      <c r="AB396" s="232">
        <f t="shared" si="13"/>
        <v>0</v>
      </c>
    </row>
    <row r="397" spans="27:28">
      <c r="AA397" s="232">
        <f t="shared" si="12"/>
        <v>0</v>
      </c>
      <c r="AB397" s="232">
        <f t="shared" si="13"/>
        <v>0</v>
      </c>
    </row>
    <row r="398" spans="27:28">
      <c r="AA398" s="232">
        <f t="shared" si="12"/>
        <v>0</v>
      </c>
      <c r="AB398" s="232">
        <f t="shared" si="13"/>
        <v>0</v>
      </c>
    </row>
    <row r="399" spans="27:28">
      <c r="AA399" s="232">
        <f t="shared" si="12"/>
        <v>0</v>
      </c>
      <c r="AB399" s="232">
        <f t="shared" si="13"/>
        <v>0</v>
      </c>
    </row>
    <row r="400" spans="27:28">
      <c r="AA400" s="232">
        <f t="shared" si="12"/>
        <v>0</v>
      </c>
      <c r="AB400" s="232">
        <f t="shared" si="13"/>
        <v>0</v>
      </c>
    </row>
    <row r="401" spans="27:28">
      <c r="AA401" s="232">
        <f t="shared" si="12"/>
        <v>0</v>
      </c>
      <c r="AB401" s="232">
        <f t="shared" si="13"/>
        <v>0</v>
      </c>
    </row>
    <row r="402" spans="27:28">
      <c r="AA402" s="232">
        <f t="shared" si="12"/>
        <v>0</v>
      </c>
      <c r="AB402" s="232">
        <f t="shared" si="13"/>
        <v>0</v>
      </c>
    </row>
    <row r="403" spans="27:28">
      <c r="AA403" s="232">
        <f t="shared" si="12"/>
        <v>0</v>
      </c>
      <c r="AB403" s="232">
        <f t="shared" si="13"/>
        <v>0</v>
      </c>
    </row>
    <row r="404" spans="27:28">
      <c r="AA404" s="232">
        <f t="shared" si="12"/>
        <v>0</v>
      </c>
      <c r="AB404" s="232">
        <f t="shared" si="13"/>
        <v>0</v>
      </c>
    </row>
    <row r="405" spans="27:28">
      <c r="AA405" s="232">
        <f t="shared" si="12"/>
        <v>0</v>
      </c>
      <c r="AB405" s="232">
        <f t="shared" si="13"/>
        <v>0</v>
      </c>
    </row>
    <row r="406" spans="27:28">
      <c r="AA406" s="232">
        <f t="shared" si="12"/>
        <v>0</v>
      </c>
      <c r="AB406" s="232">
        <f t="shared" si="13"/>
        <v>0</v>
      </c>
    </row>
    <row r="407" spans="27:28">
      <c r="AA407" s="232">
        <f t="shared" si="12"/>
        <v>0</v>
      </c>
      <c r="AB407" s="232">
        <f t="shared" si="13"/>
        <v>0</v>
      </c>
    </row>
    <row r="408" spans="27:28">
      <c r="AA408" s="232">
        <f t="shared" si="12"/>
        <v>0</v>
      </c>
      <c r="AB408" s="232">
        <f t="shared" si="13"/>
        <v>0</v>
      </c>
    </row>
    <row r="409" spans="27:28">
      <c r="AA409" s="232">
        <f t="shared" si="12"/>
        <v>0</v>
      </c>
      <c r="AB409" s="232">
        <f t="shared" si="13"/>
        <v>0</v>
      </c>
    </row>
    <row r="410" spans="27:28">
      <c r="AA410" s="232">
        <f t="shared" si="12"/>
        <v>0</v>
      </c>
      <c r="AB410" s="232">
        <f t="shared" si="13"/>
        <v>0</v>
      </c>
    </row>
    <row r="411" spans="27:28">
      <c r="AA411" s="232">
        <f t="shared" si="12"/>
        <v>0</v>
      </c>
      <c r="AB411" s="232">
        <f t="shared" si="13"/>
        <v>0</v>
      </c>
    </row>
    <row r="412" spans="27:28">
      <c r="AA412" s="232">
        <f t="shared" si="12"/>
        <v>0</v>
      </c>
      <c r="AB412" s="232">
        <f t="shared" si="13"/>
        <v>0</v>
      </c>
    </row>
    <row r="413" spans="27:28">
      <c r="AA413" s="232">
        <f t="shared" si="12"/>
        <v>0</v>
      </c>
      <c r="AB413" s="232">
        <f t="shared" si="13"/>
        <v>0</v>
      </c>
    </row>
    <row r="414" spans="27:28">
      <c r="AA414" s="232">
        <f t="shared" si="12"/>
        <v>0</v>
      </c>
      <c r="AB414" s="232">
        <f t="shared" si="13"/>
        <v>0</v>
      </c>
    </row>
    <row r="415" spans="27:28">
      <c r="AA415" s="232">
        <f t="shared" si="12"/>
        <v>0</v>
      </c>
      <c r="AB415" s="232">
        <f t="shared" si="13"/>
        <v>0</v>
      </c>
    </row>
    <row r="416" spans="27:28">
      <c r="AA416" s="232">
        <f t="shared" si="12"/>
        <v>0</v>
      </c>
      <c r="AB416" s="232">
        <f t="shared" si="13"/>
        <v>0</v>
      </c>
    </row>
    <row r="417" spans="27:28">
      <c r="AA417" s="232">
        <f t="shared" si="12"/>
        <v>0</v>
      </c>
      <c r="AB417" s="232">
        <f t="shared" si="13"/>
        <v>0</v>
      </c>
    </row>
    <row r="418" spans="27:28">
      <c r="AA418" s="232">
        <f t="shared" si="12"/>
        <v>0</v>
      </c>
      <c r="AB418" s="232">
        <f t="shared" si="13"/>
        <v>0</v>
      </c>
    </row>
    <row r="419" spans="27:28">
      <c r="AA419" s="232">
        <f t="shared" si="12"/>
        <v>0</v>
      </c>
      <c r="AB419" s="232">
        <f t="shared" si="13"/>
        <v>0</v>
      </c>
    </row>
    <row r="420" spans="27:28">
      <c r="AA420" s="232">
        <f t="shared" si="12"/>
        <v>0</v>
      </c>
      <c r="AB420" s="232">
        <f t="shared" si="13"/>
        <v>0</v>
      </c>
    </row>
    <row r="421" spans="27:28">
      <c r="AA421" s="232">
        <f t="shared" si="12"/>
        <v>0</v>
      </c>
      <c r="AB421" s="232">
        <f t="shared" si="13"/>
        <v>0</v>
      </c>
    </row>
    <row r="422" spans="27:28">
      <c r="AA422" s="232">
        <f t="shared" si="12"/>
        <v>0</v>
      </c>
      <c r="AB422" s="232">
        <f t="shared" si="13"/>
        <v>0</v>
      </c>
    </row>
    <row r="423" spans="27:28">
      <c r="AA423" s="232">
        <f t="shared" si="12"/>
        <v>0</v>
      </c>
      <c r="AB423" s="232">
        <f t="shared" si="13"/>
        <v>0</v>
      </c>
    </row>
    <row r="424" spans="27:28">
      <c r="AA424" s="232">
        <f t="shared" si="12"/>
        <v>0</v>
      </c>
      <c r="AB424" s="232">
        <f t="shared" si="13"/>
        <v>0</v>
      </c>
    </row>
    <row r="425" spans="27:28">
      <c r="AA425" s="232">
        <f t="shared" si="12"/>
        <v>0</v>
      </c>
      <c r="AB425" s="232">
        <f t="shared" si="13"/>
        <v>0</v>
      </c>
    </row>
    <row r="426" spans="27:28">
      <c r="AA426" s="232">
        <f t="shared" si="12"/>
        <v>0</v>
      </c>
      <c r="AB426" s="232">
        <f t="shared" si="13"/>
        <v>0</v>
      </c>
    </row>
    <row r="427" spans="27:28">
      <c r="AA427" s="232">
        <f t="shared" si="12"/>
        <v>0</v>
      </c>
      <c r="AB427" s="232">
        <f t="shared" si="13"/>
        <v>0</v>
      </c>
    </row>
    <row r="428" spans="27:28">
      <c r="AA428" s="232">
        <f t="shared" si="12"/>
        <v>0</v>
      </c>
      <c r="AB428" s="232">
        <f t="shared" si="13"/>
        <v>0</v>
      </c>
    </row>
    <row r="429" spans="27:28">
      <c r="AA429" s="232">
        <f t="shared" si="12"/>
        <v>0</v>
      </c>
      <c r="AB429" s="232">
        <f t="shared" si="13"/>
        <v>0</v>
      </c>
    </row>
    <row r="430" spans="27:28">
      <c r="AA430" s="232">
        <f t="shared" si="12"/>
        <v>0</v>
      </c>
      <c r="AB430" s="232">
        <f t="shared" si="13"/>
        <v>0</v>
      </c>
    </row>
    <row r="431" spans="27:28">
      <c r="AA431" s="232">
        <f t="shared" si="12"/>
        <v>0</v>
      </c>
      <c r="AB431" s="232">
        <f t="shared" si="13"/>
        <v>0</v>
      </c>
    </row>
    <row r="432" spans="27:28">
      <c r="AA432" s="232">
        <f t="shared" si="12"/>
        <v>0</v>
      </c>
      <c r="AB432" s="232">
        <f t="shared" si="13"/>
        <v>0</v>
      </c>
    </row>
    <row r="433" spans="27:28">
      <c r="AA433" s="232">
        <f t="shared" si="12"/>
        <v>0</v>
      </c>
      <c r="AB433" s="232">
        <f t="shared" si="13"/>
        <v>0</v>
      </c>
    </row>
    <row r="434" spans="27:28">
      <c r="AA434" s="232">
        <f t="shared" si="12"/>
        <v>0</v>
      </c>
      <c r="AB434" s="232">
        <f t="shared" si="13"/>
        <v>0</v>
      </c>
    </row>
    <row r="435" spans="27:28">
      <c r="AA435" s="232">
        <f t="shared" si="12"/>
        <v>0</v>
      </c>
      <c r="AB435" s="232">
        <f t="shared" si="13"/>
        <v>0</v>
      </c>
    </row>
    <row r="436" spans="27:28">
      <c r="AA436" s="232">
        <f t="shared" si="12"/>
        <v>0</v>
      </c>
      <c r="AB436" s="232">
        <f t="shared" si="13"/>
        <v>0</v>
      </c>
    </row>
    <row r="437" spans="27:28">
      <c r="AA437" s="232">
        <f t="shared" si="12"/>
        <v>0</v>
      </c>
      <c r="AB437" s="232">
        <f t="shared" si="13"/>
        <v>0</v>
      </c>
    </row>
    <row r="438" spans="27:28">
      <c r="AA438" s="232">
        <f t="shared" si="12"/>
        <v>0</v>
      </c>
      <c r="AB438" s="232">
        <f t="shared" si="13"/>
        <v>0</v>
      </c>
    </row>
    <row r="439" spans="27:28">
      <c r="AA439" s="232">
        <f t="shared" si="12"/>
        <v>0</v>
      </c>
      <c r="AB439" s="232">
        <f t="shared" si="13"/>
        <v>0</v>
      </c>
    </row>
    <row r="440" spans="27:28">
      <c r="AA440" s="232">
        <f t="shared" si="12"/>
        <v>0</v>
      </c>
      <c r="AB440" s="232">
        <f t="shared" si="13"/>
        <v>0</v>
      </c>
    </row>
    <row r="441" spans="27:28">
      <c r="AA441" s="232">
        <f t="shared" si="12"/>
        <v>0</v>
      </c>
      <c r="AB441" s="232">
        <f t="shared" si="13"/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1124"/>
  <sheetViews>
    <sheetView topLeftCell="O1" zoomScale="70" zoomScaleNormal="70" workbookViewId="0">
      <selection activeCell="AB1" sqref="AB1:AE1048576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169</v>
      </c>
      <c r="B1" t="s">
        <v>170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37</v>
      </c>
      <c r="J1" s="722" t="s">
        <v>169</v>
      </c>
      <c r="K1" s="722" t="s">
        <v>175</v>
      </c>
      <c r="L1" s="722" t="s">
        <v>174</v>
      </c>
      <c r="M1" s="722" t="s">
        <v>174</v>
      </c>
      <c r="O1" t="s">
        <v>169</v>
      </c>
      <c r="P1" t="s">
        <v>170</v>
      </c>
      <c r="Q1" t="s">
        <v>171</v>
      </c>
      <c r="R1" t="s">
        <v>172</v>
      </c>
      <c r="S1" t="s">
        <v>173</v>
      </c>
      <c r="T1" t="s">
        <v>174</v>
      </c>
      <c r="U1" t="s">
        <v>175</v>
      </c>
      <c r="V1" t="s">
        <v>37</v>
      </c>
      <c r="X1" t="s">
        <v>171</v>
      </c>
      <c r="Y1" t="s">
        <v>172</v>
      </c>
      <c r="Z1" t="s">
        <v>173</v>
      </c>
      <c r="AB1" t="s">
        <v>171</v>
      </c>
      <c r="AC1" t="s">
        <v>172</v>
      </c>
      <c r="AD1" t="s">
        <v>173</v>
      </c>
      <c r="AE1" t="s">
        <v>175</v>
      </c>
      <c r="AH1" t="s">
        <v>171</v>
      </c>
      <c r="AI1" t="s">
        <v>188</v>
      </c>
      <c r="AJ1" t="s">
        <v>189</v>
      </c>
    </row>
    <row r="2" spans="1:36">
      <c r="A2">
        <v>5366</v>
      </c>
      <c r="B2" t="s">
        <v>2327</v>
      </c>
      <c r="C2">
        <v>385</v>
      </c>
      <c r="D2" t="s">
        <v>2328</v>
      </c>
      <c r="E2" t="s">
        <v>2038</v>
      </c>
      <c r="F2">
        <v>202106</v>
      </c>
      <c r="G2" t="s">
        <v>190</v>
      </c>
      <c r="H2">
        <v>161901</v>
      </c>
      <c r="J2" s="723">
        <f>CAPA!K12</f>
        <v>5366</v>
      </c>
      <c r="K2" s="723" t="s">
        <v>177</v>
      </c>
      <c r="L2" s="723" t="str">
        <f>"&gt;="&amp;K6</f>
        <v>&gt;=202109</v>
      </c>
      <c r="M2" s="723" t="str">
        <f>"&lt;="&amp;K7</f>
        <v>&lt;=202208</v>
      </c>
      <c r="O2">
        <v>5366</v>
      </c>
      <c r="P2" t="s">
        <v>2327</v>
      </c>
      <c r="Q2">
        <v>385</v>
      </c>
      <c r="R2" t="s">
        <v>2328</v>
      </c>
      <c r="S2" t="s">
        <v>2038</v>
      </c>
      <c r="T2">
        <v>202109</v>
      </c>
      <c r="U2" t="s">
        <v>190</v>
      </c>
      <c r="V2">
        <v>264091</v>
      </c>
      <c r="X2">
        <v>385</v>
      </c>
      <c r="Y2" t="s">
        <v>2328</v>
      </c>
      <c r="Z2" t="s">
        <v>2038</v>
      </c>
      <c r="AB2">
        <v>385</v>
      </c>
      <c r="AC2" t="s">
        <v>2328</v>
      </c>
      <c r="AD2" t="s">
        <v>2038</v>
      </c>
      <c r="AE2" t="s">
        <v>178</v>
      </c>
      <c r="AH2">
        <v>385</v>
      </c>
      <c r="AI2">
        <f>_xlfn.MAXIFS(F:F,C:C,AH2)</f>
        <v>202208</v>
      </c>
      <c r="AJ2">
        <f>IFERROR(ROUND((DATE(ROUND($K$7/100,0),$K$7-ROUND($K$7/100,0)*100,1)-DATE(ROUND(AI2/100,0),AI2-ROUND(AI2/100,0)*100,1))/30,0),"Nada")</f>
        <v>0</v>
      </c>
    </row>
    <row r="3" spans="1:36">
      <c r="A3">
        <v>5366</v>
      </c>
      <c r="B3" t="s">
        <v>2327</v>
      </c>
      <c r="C3">
        <v>385</v>
      </c>
      <c r="D3" t="s">
        <v>2328</v>
      </c>
      <c r="E3" t="s">
        <v>2038</v>
      </c>
      <c r="F3">
        <v>202106</v>
      </c>
      <c r="G3" t="s">
        <v>191</v>
      </c>
      <c r="H3">
        <v>28708</v>
      </c>
      <c r="J3" s="723">
        <f>J2</f>
        <v>5366</v>
      </c>
      <c r="K3" s="723" t="s">
        <v>179</v>
      </c>
      <c r="L3" s="723" t="str">
        <f>L2</f>
        <v>&gt;=202109</v>
      </c>
      <c r="M3" s="723" t="str">
        <f>M2</f>
        <v>&lt;=202208</v>
      </c>
      <c r="O3">
        <v>5366</v>
      </c>
      <c r="P3" t="s">
        <v>2327</v>
      </c>
      <c r="Q3">
        <v>385</v>
      </c>
      <c r="R3" t="s">
        <v>2328</v>
      </c>
      <c r="S3" t="s">
        <v>2038</v>
      </c>
      <c r="T3">
        <v>202109</v>
      </c>
      <c r="U3" t="s">
        <v>191</v>
      </c>
      <c r="V3">
        <v>42325</v>
      </c>
      <c r="AB3">
        <v>385</v>
      </c>
      <c r="AC3" t="s">
        <v>2328</v>
      </c>
      <c r="AD3" t="s">
        <v>2038</v>
      </c>
      <c r="AE3" t="s">
        <v>180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>
        <v>5366</v>
      </c>
      <c r="B4" t="s">
        <v>2327</v>
      </c>
      <c r="C4">
        <v>385</v>
      </c>
      <c r="D4" t="s">
        <v>2328</v>
      </c>
      <c r="E4" t="s">
        <v>2038</v>
      </c>
      <c r="F4">
        <v>202106</v>
      </c>
      <c r="G4" t="s">
        <v>176</v>
      </c>
      <c r="H4">
        <v>0</v>
      </c>
      <c r="J4" s="725">
        <f>J3</f>
        <v>5366</v>
      </c>
      <c r="K4" s="723" t="s">
        <v>181</v>
      </c>
      <c r="L4" s="724" t="str">
        <f>L2</f>
        <v>&gt;=202109</v>
      </c>
      <c r="M4" s="724" t="str">
        <f>M2</f>
        <v>&lt;=202208</v>
      </c>
      <c r="O4">
        <v>5366</v>
      </c>
      <c r="P4" t="s">
        <v>2327</v>
      </c>
      <c r="Q4">
        <v>385</v>
      </c>
      <c r="R4" t="s">
        <v>2328</v>
      </c>
      <c r="S4" t="s">
        <v>2038</v>
      </c>
      <c r="T4">
        <v>202109</v>
      </c>
      <c r="U4" t="s">
        <v>178</v>
      </c>
      <c r="V4">
        <v>889.56</v>
      </c>
      <c r="AB4">
        <v>385</v>
      </c>
      <c r="AC4" t="s">
        <v>2328</v>
      </c>
      <c r="AD4" t="s">
        <v>2038</v>
      </c>
      <c r="AE4" t="s">
        <v>182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>
        <v>5366</v>
      </c>
      <c r="B5" t="s">
        <v>2327</v>
      </c>
      <c r="C5">
        <v>385</v>
      </c>
      <c r="D5" t="s">
        <v>2328</v>
      </c>
      <c r="E5" t="s">
        <v>2038</v>
      </c>
      <c r="F5">
        <v>202106</v>
      </c>
      <c r="G5" t="s">
        <v>178</v>
      </c>
      <c r="H5">
        <v>548.35</v>
      </c>
      <c r="J5" s="725">
        <f>J4</f>
        <v>5366</v>
      </c>
      <c r="K5" s="901" t="s">
        <v>183</v>
      </c>
      <c r="L5" s="724" t="str">
        <f>L3</f>
        <v>&gt;=202109</v>
      </c>
      <c r="M5" s="724" t="str">
        <f>M3</f>
        <v>&lt;=202208</v>
      </c>
      <c r="O5">
        <v>5366</v>
      </c>
      <c r="P5" t="s">
        <v>2327</v>
      </c>
      <c r="Q5">
        <v>385</v>
      </c>
      <c r="R5" t="s">
        <v>2328</v>
      </c>
      <c r="S5" t="s">
        <v>2038</v>
      </c>
      <c r="T5">
        <v>202109</v>
      </c>
      <c r="U5" t="s">
        <v>180</v>
      </c>
      <c r="V5">
        <v>781.2</v>
      </c>
      <c r="AB5">
        <v>385</v>
      </c>
      <c r="AC5" t="s">
        <v>2328</v>
      </c>
      <c r="AD5" t="s">
        <v>2038</v>
      </c>
      <c r="AE5" t="s">
        <v>184</v>
      </c>
      <c r="AI5">
        <f t="shared" si="0"/>
        <v>0</v>
      </c>
      <c r="AJ5" t="str">
        <f t="shared" si="1"/>
        <v>Nada</v>
      </c>
    </row>
    <row r="6" spans="1:36">
      <c r="A6">
        <v>5366</v>
      </c>
      <c r="B6" t="s">
        <v>2327</v>
      </c>
      <c r="C6">
        <v>385</v>
      </c>
      <c r="D6" t="s">
        <v>2328</v>
      </c>
      <c r="E6" t="s">
        <v>2038</v>
      </c>
      <c r="F6">
        <v>202106</v>
      </c>
      <c r="G6" t="s">
        <v>180</v>
      </c>
      <c r="H6">
        <v>546.33000000000004</v>
      </c>
      <c r="J6" t="s">
        <v>185</v>
      </c>
      <c r="K6">
        <f>(YEAR(SAS_RA0_DataInicio)*100+MONTH(SAS_RA0_DataInicio))</f>
        <v>202109</v>
      </c>
      <c r="O6">
        <v>5366</v>
      </c>
      <c r="P6" t="s">
        <v>2327</v>
      </c>
      <c r="Q6">
        <v>385</v>
      </c>
      <c r="R6" t="s">
        <v>2328</v>
      </c>
      <c r="S6" t="s">
        <v>2038</v>
      </c>
      <c r="T6">
        <v>202109</v>
      </c>
      <c r="U6" t="s">
        <v>182</v>
      </c>
      <c r="V6">
        <v>264091</v>
      </c>
      <c r="AB6">
        <v>385</v>
      </c>
      <c r="AC6" t="s">
        <v>2328</v>
      </c>
      <c r="AD6" t="s">
        <v>2038</v>
      </c>
      <c r="AE6" t="s">
        <v>186</v>
      </c>
      <c r="AI6">
        <f t="shared" si="0"/>
        <v>0</v>
      </c>
      <c r="AJ6" t="str">
        <f t="shared" si="1"/>
        <v>Nada</v>
      </c>
    </row>
    <row r="7" spans="1:36">
      <c r="A7">
        <v>5366</v>
      </c>
      <c r="B7" t="s">
        <v>2327</v>
      </c>
      <c r="C7">
        <v>385</v>
      </c>
      <c r="D7" t="s">
        <v>2328</v>
      </c>
      <c r="E7" t="s">
        <v>2038</v>
      </c>
      <c r="F7">
        <v>202106</v>
      </c>
      <c r="G7" t="s">
        <v>182</v>
      </c>
      <c r="H7">
        <v>194933</v>
      </c>
      <c r="J7" t="s">
        <v>187</v>
      </c>
      <c r="K7">
        <f>YEAR(SAS_RA0_DataFim)*100+MONTH(SAS_RA0_DataFim)</f>
        <v>202208</v>
      </c>
      <c r="O7">
        <v>5366</v>
      </c>
      <c r="P7" t="s">
        <v>2327</v>
      </c>
      <c r="Q7">
        <v>385</v>
      </c>
      <c r="R7" t="s">
        <v>2328</v>
      </c>
      <c r="S7" t="s">
        <v>2038</v>
      </c>
      <c r="T7">
        <v>202109</v>
      </c>
      <c r="U7" t="s">
        <v>184</v>
      </c>
      <c r="V7">
        <v>42325</v>
      </c>
      <c r="AI7">
        <f t="shared" si="0"/>
        <v>0</v>
      </c>
      <c r="AJ7" t="str">
        <f t="shared" si="1"/>
        <v>Nada</v>
      </c>
    </row>
    <row r="8" spans="1:36">
      <c r="A8">
        <v>5366</v>
      </c>
      <c r="B8" t="s">
        <v>2327</v>
      </c>
      <c r="C8">
        <v>385</v>
      </c>
      <c r="D8" t="s">
        <v>2328</v>
      </c>
      <c r="E8" t="s">
        <v>2038</v>
      </c>
      <c r="F8">
        <v>202106</v>
      </c>
      <c r="G8" t="s">
        <v>184</v>
      </c>
      <c r="H8">
        <v>28708</v>
      </c>
      <c r="J8" t="s">
        <v>188</v>
      </c>
      <c r="K8" s="631">
        <f>MAX(AI:AI)</f>
        <v>202208</v>
      </c>
      <c r="O8">
        <v>5366</v>
      </c>
      <c r="P8" t="s">
        <v>2327</v>
      </c>
      <c r="Q8">
        <v>385</v>
      </c>
      <c r="R8" t="s">
        <v>2328</v>
      </c>
      <c r="S8" t="s">
        <v>2038</v>
      </c>
      <c r="T8">
        <v>202109</v>
      </c>
      <c r="U8" t="s">
        <v>186</v>
      </c>
      <c r="V8">
        <v>0</v>
      </c>
      <c r="AI8">
        <f t="shared" si="0"/>
        <v>0</v>
      </c>
      <c r="AJ8" t="str">
        <f t="shared" si="1"/>
        <v>Nada</v>
      </c>
    </row>
    <row r="9" spans="1:36">
      <c r="A9">
        <v>5366</v>
      </c>
      <c r="B9" t="s">
        <v>2327</v>
      </c>
      <c r="C9">
        <v>385</v>
      </c>
      <c r="D9" t="s">
        <v>2328</v>
      </c>
      <c r="E9" t="s">
        <v>2038</v>
      </c>
      <c r="F9">
        <v>202106</v>
      </c>
      <c r="G9" t="s">
        <v>192</v>
      </c>
      <c r="H9">
        <v>0</v>
      </c>
      <c r="J9" t="s">
        <v>189</v>
      </c>
      <c r="K9" s="631">
        <f>MAX(AJ:AJ)</f>
        <v>0</v>
      </c>
      <c r="O9">
        <v>5366</v>
      </c>
      <c r="P9" t="s">
        <v>2327</v>
      </c>
      <c r="Q9">
        <v>385</v>
      </c>
      <c r="R9" t="s">
        <v>2328</v>
      </c>
      <c r="S9" t="s">
        <v>2038</v>
      </c>
      <c r="T9">
        <v>202109</v>
      </c>
      <c r="U9" t="s">
        <v>190</v>
      </c>
      <c r="V9">
        <v>56705</v>
      </c>
    </row>
    <row r="10" spans="1:36">
      <c r="A10">
        <v>5366</v>
      </c>
      <c r="B10" t="s">
        <v>2327</v>
      </c>
      <c r="C10">
        <v>385</v>
      </c>
      <c r="D10" t="s">
        <v>2328</v>
      </c>
      <c r="E10" t="s">
        <v>2038</v>
      </c>
      <c r="F10">
        <v>202106</v>
      </c>
      <c r="G10" t="s">
        <v>2172</v>
      </c>
      <c r="H10">
        <v>3441.43</v>
      </c>
      <c r="O10">
        <v>5366</v>
      </c>
      <c r="P10" t="s">
        <v>2327</v>
      </c>
      <c r="Q10">
        <v>385</v>
      </c>
      <c r="R10" t="s">
        <v>2328</v>
      </c>
      <c r="S10" t="s">
        <v>2038</v>
      </c>
      <c r="T10">
        <v>202109</v>
      </c>
      <c r="U10" t="s">
        <v>191</v>
      </c>
      <c r="V10">
        <v>6143</v>
      </c>
    </row>
    <row r="11" spans="1:36">
      <c r="A11">
        <v>5366</v>
      </c>
      <c r="B11" t="s">
        <v>2327</v>
      </c>
      <c r="C11">
        <v>385</v>
      </c>
      <c r="D11" t="s">
        <v>2328</v>
      </c>
      <c r="E11" t="s">
        <v>2038</v>
      </c>
      <c r="F11">
        <v>202106</v>
      </c>
      <c r="G11" t="s">
        <v>186</v>
      </c>
      <c r="H11">
        <v>33032</v>
      </c>
      <c r="J11" s="779">
        <f>VALUE(A2)</f>
        <v>5366</v>
      </c>
      <c r="O11">
        <v>5366</v>
      </c>
      <c r="P11" t="s">
        <v>2327</v>
      </c>
      <c r="Q11">
        <v>385</v>
      </c>
      <c r="R11" t="s">
        <v>2328</v>
      </c>
      <c r="S11" t="s">
        <v>2038</v>
      </c>
      <c r="T11">
        <v>202109</v>
      </c>
      <c r="U11" t="s">
        <v>178</v>
      </c>
      <c r="V11">
        <v>189</v>
      </c>
    </row>
    <row r="12" spans="1:36">
      <c r="A12">
        <v>5366</v>
      </c>
      <c r="B12" t="s">
        <v>2327</v>
      </c>
      <c r="C12">
        <v>385</v>
      </c>
      <c r="D12" t="s">
        <v>2328</v>
      </c>
      <c r="E12" t="s">
        <v>2038</v>
      </c>
      <c r="F12">
        <v>202106</v>
      </c>
      <c r="G12" t="s">
        <v>2171</v>
      </c>
      <c r="H12">
        <v>252.06</v>
      </c>
      <c r="K12" s="8"/>
      <c r="O12">
        <v>5366</v>
      </c>
      <c r="P12" t="s">
        <v>2327</v>
      </c>
      <c r="Q12">
        <v>385</v>
      </c>
      <c r="R12" t="s">
        <v>2328</v>
      </c>
      <c r="S12" t="s">
        <v>2038</v>
      </c>
      <c r="T12">
        <v>202109</v>
      </c>
      <c r="U12" t="s">
        <v>180</v>
      </c>
      <c r="V12">
        <v>158.76</v>
      </c>
    </row>
    <row r="13" spans="1:36">
      <c r="A13">
        <v>5366</v>
      </c>
      <c r="B13" t="s">
        <v>2327</v>
      </c>
      <c r="C13">
        <v>385</v>
      </c>
      <c r="D13" t="s">
        <v>2328</v>
      </c>
      <c r="E13" t="s">
        <v>2038</v>
      </c>
      <c r="F13">
        <v>202106</v>
      </c>
      <c r="G13" t="s">
        <v>2168</v>
      </c>
      <c r="H13">
        <v>13.66</v>
      </c>
      <c r="O13">
        <v>5366</v>
      </c>
      <c r="P13" t="s">
        <v>2327</v>
      </c>
      <c r="Q13">
        <v>385</v>
      </c>
      <c r="R13" t="s">
        <v>2328</v>
      </c>
      <c r="S13" t="s">
        <v>2038</v>
      </c>
      <c r="T13">
        <v>202109</v>
      </c>
      <c r="U13" t="s">
        <v>182</v>
      </c>
      <c r="V13">
        <v>56705</v>
      </c>
    </row>
    <row r="14" spans="1:36">
      <c r="A14">
        <v>5366</v>
      </c>
      <c r="B14" t="s">
        <v>2327</v>
      </c>
      <c r="C14">
        <v>385</v>
      </c>
      <c r="D14" t="s">
        <v>2328</v>
      </c>
      <c r="E14" t="s">
        <v>2038</v>
      </c>
      <c r="F14">
        <v>202106</v>
      </c>
      <c r="G14" t="s">
        <v>2169</v>
      </c>
      <c r="H14">
        <v>19.399999999999999</v>
      </c>
      <c r="O14">
        <v>5366</v>
      </c>
      <c r="P14" t="s">
        <v>2327</v>
      </c>
      <c r="Q14">
        <v>385</v>
      </c>
      <c r="R14" t="s">
        <v>2328</v>
      </c>
      <c r="S14" t="s">
        <v>2038</v>
      </c>
      <c r="T14">
        <v>202109</v>
      </c>
      <c r="U14" t="s">
        <v>184</v>
      </c>
      <c r="V14">
        <v>6143</v>
      </c>
    </row>
    <row r="15" spans="1:36">
      <c r="A15">
        <v>5366</v>
      </c>
      <c r="B15" t="s">
        <v>2327</v>
      </c>
      <c r="C15">
        <v>385</v>
      </c>
      <c r="D15" t="s">
        <v>2328</v>
      </c>
      <c r="E15" t="s">
        <v>2038</v>
      </c>
      <c r="F15">
        <v>202106</v>
      </c>
      <c r="G15" t="s">
        <v>2170</v>
      </c>
      <c r="H15">
        <v>11.5</v>
      </c>
      <c r="O15">
        <v>5366</v>
      </c>
      <c r="P15" t="s">
        <v>2327</v>
      </c>
      <c r="Q15">
        <v>385</v>
      </c>
      <c r="R15" t="s">
        <v>2328</v>
      </c>
      <c r="S15" t="s">
        <v>2038</v>
      </c>
      <c r="T15">
        <v>202109</v>
      </c>
      <c r="U15" t="s">
        <v>186</v>
      </c>
      <c r="V15">
        <v>0</v>
      </c>
    </row>
    <row r="16" spans="1:36">
      <c r="A16">
        <v>5366</v>
      </c>
      <c r="B16" t="s">
        <v>2327</v>
      </c>
      <c r="C16">
        <v>385</v>
      </c>
      <c r="D16" t="s">
        <v>2328</v>
      </c>
      <c r="E16" t="s">
        <v>2038</v>
      </c>
      <c r="F16">
        <v>202106</v>
      </c>
      <c r="G16" t="s">
        <v>2173</v>
      </c>
      <c r="H16">
        <v>72147.44</v>
      </c>
      <c r="O16">
        <v>5366</v>
      </c>
      <c r="P16" t="s">
        <v>2327</v>
      </c>
      <c r="Q16">
        <v>385</v>
      </c>
      <c r="R16" t="s">
        <v>2328</v>
      </c>
      <c r="S16" t="s">
        <v>2038</v>
      </c>
      <c r="T16">
        <v>202109</v>
      </c>
      <c r="U16" t="s">
        <v>190</v>
      </c>
      <c r="V16">
        <v>140509</v>
      </c>
    </row>
    <row r="17" spans="1:22">
      <c r="A17">
        <v>5366</v>
      </c>
      <c r="B17" t="s">
        <v>2327</v>
      </c>
      <c r="C17">
        <v>385</v>
      </c>
      <c r="D17" t="s">
        <v>2328</v>
      </c>
      <c r="E17" t="s">
        <v>2038</v>
      </c>
      <c r="F17">
        <v>202106</v>
      </c>
      <c r="G17" t="s">
        <v>190</v>
      </c>
      <c r="H17">
        <v>276271</v>
      </c>
      <c r="O17">
        <v>5366</v>
      </c>
      <c r="P17" t="s">
        <v>2327</v>
      </c>
      <c r="Q17">
        <v>385</v>
      </c>
      <c r="R17" t="s">
        <v>2328</v>
      </c>
      <c r="S17" t="s">
        <v>2038</v>
      </c>
      <c r="T17">
        <v>202109</v>
      </c>
      <c r="U17" t="s">
        <v>191</v>
      </c>
      <c r="V17">
        <v>17713</v>
      </c>
    </row>
    <row r="18" spans="1:22">
      <c r="A18">
        <v>5366</v>
      </c>
      <c r="B18" t="s">
        <v>2327</v>
      </c>
      <c r="C18">
        <v>385</v>
      </c>
      <c r="D18" t="s">
        <v>2328</v>
      </c>
      <c r="E18" t="s">
        <v>2038</v>
      </c>
      <c r="F18">
        <v>202106</v>
      </c>
      <c r="G18" t="s">
        <v>191</v>
      </c>
      <c r="H18">
        <v>40703</v>
      </c>
      <c r="O18">
        <v>5366</v>
      </c>
      <c r="P18" t="s">
        <v>2327</v>
      </c>
      <c r="Q18">
        <v>385</v>
      </c>
      <c r="R18" t="s">
        <v>2328</v>
      </c>
      <c r="S18" t="s">
        <v>2038</v>
      </c>
      <c r="T18">
        <v>202109</v>
      </c>
      <c r="U18" t="s">
        <v>178</v>
      </c>
      <c r="V18">
        <v>360.86</v>
      </c>
    </row>
    <row r="19" spans="1:22">
      <c r="A19">
        <v>5366</v>
      </c>
      <c r="B19" t="s">
        <v>2327</v>
      </c>
      <c r="C19">
        <v>385</v>
      </c>
      <c r="D19" t="s">
        <v>2328</v>
      </c>
      <c r="E19" t="s">
        <v>2038</v>
      </c>
      <c r="F19">
        <v>202106</v>
      </c>
      <c r="G19" t="s">
        <v>176</v>
      </c>
      <c r="H19">
        <v>0</v>
      </c>
      <c r="O19">
        <v>5366</v>
      </c>
      <c r="P19" t="s">
        <v>2327</v>
      </c>
      <c r="Q19">
        <v>385</v>
      </c>
      <c r="R19" t="s">
        <v>2328</v>
      </c>
      <c r="S19" t="s">
        <v>2038</v>
      </c>
      <c r="T19">
        <v>202109</v>
      </c>
      <c r="U19" t="s">
        <v>180</v>
      </c>
      <c r="V19">
        <v>350.44</v>
      </c>
    </row>
    <row r="20" spans="1:22">
      <c r="A20">
        <v>5366</v>
      </c>
      <c r="B20" t="s">
        <v>2327</v>
      </c>
      <c r="C20">
        <v>385</v>
      </c>
      <c r="D20" t="s">
        <v>2328</v>
      </c>
      <c r="E20" t="s">
        <v>2038</v>
      </c>
      <c r="F20">
        <v>202106</v>
      </c>
      <c r="G20" t="s">
        <v>178</v>
      </c>
      <c r="H20">
        <v>840</v>
      </c>
      <c r="O20">
        <v>5366</v>
      </c>
      <c r="P20" t="s">
        <v>2327</v>
      </c>
      <c r="Q20">
        <v>385</v>
      </c>
      <c r="R20" t="s">
        <v>2328</v>
      </c>
      <c r="S20" t="s">
        <v>2038</v>
      </c>
      <c r="T20">
        <v>202109</v>
      </c>
      <c r="U20" t="s">
        <v>182</v>
      </c>
      <c r="V20">
        <v>140509</v>
      </c>
    </row>
    <row r="21" spans="1:22">
      <c r="A21">
        <v>5366</v>
      </c>
      <c r="B21" t="s">
        <v>2327</v>
      </c>
      <c r="C21">
        <v>385</v>
      </c>
      <c r="D21" t="s">
        <v>2328</v>
      </c>
      <c r="E21" t="s">
        <v>2038</v>
      </c>
      <c r="F21">
        <v>202106</v>
      </c>
      <c r="G21" t="s">
        <v>180</v>
      </c>
      <c r="H21">
        <v>758</v>
      </c>
      <c r="O21">
        <v>5366</v>
      </c>
      <c r="P21" t="s">
        <v>2327</v>
      </c>
      <c r="Q21">
        <v>385</v>
      </c>
      <c r="R21" t="s">
        <v>2328</v>
      </c>
      <c r="S21" t="s">
        <v>2038</v>
      </c>
      <c r="T21">
        <v>202109</v>
      </c>
      <c r="U21" t="s">
        <v>184</v>
      </c>
      <c r="V21">
        <v>17713</v>
      </c>
    </row>
    <row r="22" spans="1:22">
      <c r="A22">
        <v>5366</v>
      </c>
      <c r="B22" t="s">
        <v>2327</v>
      </c>
      <c r="C22">
        <v>385</v>
      </c>
      <c r="D22" t="s">
        <v>2328</v>
      </c>
      <c r="E22" t="s">
        <v>2038</v>
      </c>
      <c r="F22">
        <v>202106</v>
      </c>
      <c r="G22" t="s">
        <v>182</v>
      </c>
      <c r="H22">
        <v>276271</v>
      </c>
      <c r="O22">
        <v>5366</v>
      </c>
      <c r="P22" t="s">
        <v>2327</v>
      </c>
      <c r="Q22">
        <v>385</v>
      </c>
      <c r="R22" t="s">
        <v>2328</v>
      </c>
      <c r="S22" t="s">
        <v>2038</v>
      </c>
      <c r="T22">
        <v>202109</v>
      </c>
      <c r="U22" t="s">
        <v>186</v>
      </c>
      <c r="V22">
        <v>0</v>
      </c>
    </row>
    <row r="23" spans="1:22">
      <c r="A23">
        <v>5366</v>
      </c>
      <c r="B23" t="s">
        <v>2327</v>
      </c>
      <c r="C23">
        <v>385</v>
      </c>
      <c r="D23" t="s">
        <v>2328</v>
      </c>
      <c r="E23" t="s">
        <v>2038</v>
      </c>
      <c r="F23">
        <v>202106</v>
      </c>
      <c r="G23" t="s">
        <v>184</v>
      </c>
      <c r="H23">
        <v>40703</v>
      </c>
      <c r="O23">
        <v>5366</v>
      </c>
      <c r="P23" t="s">
        <v>2327</v>
      </c>
      <c r="Q23">
        <v>385</v>
      </c>
      <c r="R23" t="s">
        <v>2328</v>
      </c>
      <c r="S23" t="s">
        <v>2038</v>
      </c>
      <c r="T23">
        <v>202109</v>
      </c>
      <c r="U23" t="s">
        <v>190</v>
      </c>
      <c r="V23">
        <v>154644</v>
      </c>
    </row>
    <row r="24" spans="1:22">
      <c r="A24">
        <v>5366</v>
      </c>
      <c r="B24" t="s">
        <v>2327</v>
      </c>
      <c r="C24">
        <v>385</v>
      </c>
      <c r="D24" t="s">
        <v>2328</v>
      </c>
      <c r="E24" t="s">
        <v>2038</v>
      </c>
      <c r="F24">
        <v>202106</v>
      </c>
      <c r="G24" t="s">
        <v>192</v>
      </c>
      <c r="H24">
        <v>0</v>
      </c>
      <c r="O24">
        <v>5366</v>
      </c>
      <c r="P24" t="s">
        <v>2327</v>
      </c>
      <c r="Q24">
        <v>385</v>
      </c>
      <c r="R24" t="s">
        <v>2328</v>
      </c>
      <c r="S24" t="s">
        <v>2038</v>
      </c>
      <c r="T24">
        <v>202109</v>
      </c>
      <c r="U24" t="s">
        <v>191</v>
      </c>
      <c r="V24">
        <v>29507</v>
      </c>
    </row>
    <row r="25" spans="1:22">
      <c r="A25">
        <v>5366</v>
      </c>
      <c r="B25" t="s">
        <v>2327</v>
      </c>
      <c r="C25">
        <v>385</v>
      </c>
      <c r="D25" t="s">
        <v>2328</v>
      </c>
      <c r="E25" t="s">
        <v>2038</v>
      </c>
      <c r="F25">
        <v>202106</v>
      </c>
      <c r="G25" t="s">
        <v>2172</v>
      </c>
      <c r="H25">
        <v>5554.75</v>
      </c>
      <c r="O25">
        <v>5366</v>
      </c>
      <c r="P25" t="s">
        <v>2327</v>
      </c>
      <c r="Q25">
        <v>385</v>
      </c>
      <c r="R25" t="s">
        <v>2328</v>
      </c>
      <c r="S25" t="s">
        <v>2038</v>
      </c>
      <c r="T25">
        <v>202109</v>
      </c>
      <c r="U25" t="s">
        <v>178</v>
      </c>
      <c r="V25">
        <v>584.64</v>
      </c>
    </row>
    <row r="26" spans="1:22">
      <c r="A26">
        <v>5366</v>
      </c>
      <c r="B26" t="s">
        <v>2327</v>
      </c>
      <c r="C26">
        <v>385</v>
      </c>
      <c r="D26" t="s">
        <v>2328</v>
      </c>
      <c r="E26" t="s">
        <v>2038</v>
      </c>
      <c r="F26">
        <v>202106</v>
      </c>
      <c r="G26" t="s">
        <v>186</v>
      </c>
      <c r="H26">
        <v>0</v>
      </c>
      <c r="O26">
        <v>5366</v>
      </c>
      <c r="P26" t="s">
        <v>2327</v>
      </c>
      <c r="Q26">
        <v>385</v>
      </c>
      <c r="R26" t="s">
        <v>2328</v>
      </c>
      <c r="S26" t="s">
        <v>2038</v>
      </c>
      <c r="T26">
        <v>202109</v>
      </c>
      <c r="U26" t="s">
        <v>180</v>
      </c>
      <c r="V26">
        <v>538.77</v>
      </c>
    </row>
    <row r="27" spans="1:22">
      <c r="A27">
        <v>5366</v>
      </c>
      <c r="B27" t="s">
        <v>2327</v>
      </c>
      <c r="C27">
        <v>385</v>
      </c>
      <c r="D27" t="s">
        <v>2328</v>
      </c>
      <c r="E27" t="s">
        <v>2038</v>
      </c>
      <c r="F27">
        <v>202106</v>
      </c>
      <c r="G27" t="s">
        <v>2171</v>
      </c>
      <c r="H27">
        <v>252.06</v>
      </c>
      <c r="O27">
        <v>5366</v>
      </c>
      <c r="P27" t="s">
        <v>2327</v>
      </c>
      <c r="Q27">
        <v>385</v>
      </c>
      <c r="R27" t="s">
        <v>2328</v>
      </c>
      <c r="S27" t="s">
        <v>2038</v>
      </c>
      <c r="T27">
        <v>202109</v>
      </c>
      <c r="U27" t="s">
        <v>182</v>
      </c>
      <c r="V27">
        <v>189982</v>
      </c>
    </row>
    <row r="28" spans="1:22">
      <c r="A28">
        <v>5366</v>
      </c>
      <c r="B28" t="s">
        <v>2327</v>
      </c>
      <c r="C28">
        <v>385</v>
      </c>
      <c r="D28" t="s">
        <v>2328</v>
      </c>
      <c r="E28" t="s">
        <v>2038</v>
      </c>
      <c r="F28">
        <v>202106</v>
      </c>
      <c r="G28" t="s">
        <v>2168</v>
      </c>
      <c r="H28">
        <v>13.66</v>
      </c>
      <c r="O28">
        <v>5366</v>
      </c>
      <c r="P28" t="s">
        <v>2327</v>
      </c>
      <c r="Q28">
        <v>385</v>
      </c>
      <c r="R28" t="s">
        <v>2328</v>
      </c>
      <c r="S28" t="s">
        <v>2038</v>
      </c>
      <c r="T28">
        <v>202109</v>
      </c>
      <c r="U28" t="s">
        <v>184</v>
      </c>
      <c r="V28">
        <v>29507</v>
      </c>
    </row>
    <row r="29" spans="1:22">
      <c r="A29">
        <v>5366</v>
      </c>
      <c r="B29" t="s">
        <v>2327</v>
      </c>
      <c r="C29">
        <v>385</v>
      </c>
      <c r="D29" t="s">
        <v>2328</v>
      </c>
      <c r="E29" t="s">
        <v>2038</v>
      </c>
      <c r="F29">
        <v>202106</v>
      </c>
      <c r="G29" t="s">
        <v>2169</v>
      </c>
      <c r="H29">
        <v>19.399999999999999</v>
      </c>
      <c r="O29">
        <v>5366</v>
      </c>
      <c r="P29" t="s">
        <v>2327</v>
      </c>
      <c r="Q29">
        <v>385</v>
      </c>
      <c r="R29" t="s">
        <v>2328</v>
      </c>
      <c r="S29" t="s">
        <v>2038</v>
      </c>
      <c r="T29">
        <v>202109</v>
      </c>
      <c r="U29" t="s">
        <v>186</v>
      </c>
      <c r="V29">
        <v>35338</v>
      </c>
    </row>
    <row r="30" spans="1:22">
      <c r="A30">
        <v>5366</v>
      </c>
      <c r="B30" t="s">
        <v>2327</v>
      </c>
      <c r="C30">
        <v>385</v>
      </c>
      <c r="D30" t="s">
        <v>2328</v>
      </c>
      <c r="E30" t="s">
        <v>2038</v>
      </c>
      <c r="F30">
        <v>202106</v>
      </c>
      <c r="G30" t="s">
        <v>2170</v>
      </c>
      <c r="H30">
        <v>11.5</v>
      </c>
      <c r="O30">
        <v>5366</v>
      </c>
      <c r="P30" t="s">
        <v>2327</v>
      </c>
      <c r="Q30">
        <v>385</v>
      </c>
      <c r="R30" t="s">
        <v>2328</v>
      </c>
      <c r="S30" t="s">
        <v>2038</v>
      </c>
      <c r="T30">
        <v>202109</v>
      </c>
      <c r="U30" t="s">
        <v>190</v>
      </c>
      <c r="V30">
        <v>371791</v>
      </c>
    </row>
    <row r="31" spans="1:22">
      <c r="A31">
        <v>5366</v>
      </c>
      <c r="B31" t="s">
        <v>2327</v>
      </c>
      <c r="C31">
        <v>385</v>
      </c>
      <c r="D31" t="s">
        <v>2328</v>
      </c>
      <c r="E31" t="s">
        <v>2038</v>
      </c>
      <c r="F31">
        <v>202106</v>
      </c>
      <c r="G31" t="s">
        <v>2173</v>
      </c>
      <c r="H31">
        <v>116451.62</v>
      </c>
      <c r="O31">
        <v>5366</v>
      </c>
      <c r="P31" t="s">
        <v>2327</v>
      </c>
      <c r="Q31">
        <v>385</v>
      </c>
      <c r="R31" t="s">
        <v>2328</v>
      </c>
      <c r="S31" t="s">
        <v>2038</v>
      </c>
      <c r="T31">
        <v>202109</v>
      </c>
      <c r="U31" t="s">
        <v>191</v>
      </c>
      <c r="V31">
        <v>37249</v>
      </c>
    </row>
    <row r="32" spans="1:22">
      <c r="A32">
        <v>5366</v>
      </c>
      <c r="B32" t="s">
        <v>2327</v>
      </c>
      <c r="C32">
        <v>385</v>
      </c>
      <c r="D32" t="s">
        <v>2328</v>
      </c>
      <c r="E32" t="s">
        <v>2038</v>
      </c>
      <c r="F32">
        <v>202106</v>
      </c>
      <c r="G32" t="s">
        <v>190</v>
      </c>
      <c r="H32">
        <v>57031</v>
      </c>
      <c r="O32">
        <v>5366</v>
      </c>
      <c r="P32" t="s">
        <v>2327</v>
      </c>
      <c r="Q32">
        <v>385</v>
      </c>
      <c r="R32" t="s">
        <v>2328</v>
      </c>
      <c r="S32" t="s">
        <v>2038</v>
      </c>
      <c r="T32">
        <v>202109</v>
      </c>
      <c r="U32" t="s">
        <v>178</v>
      </c>
      <c r="V32">
        <v>2321.7600000000002</v>
      </c>
    </row>
    <row r="33" spans="1:22">
      <c r="A33">
        <v>5366</v>
      </c>
      <c r="B33" t="s">
        <v>2327</v>
      </c>
      <c r="C33">
        <v>385</v>
      </c>
      <c r="D33" t="s">
        <v>2328</v>
      </c>
      <c r="E33" t="s">
        <v>2038</v>
      </c>
      <c r="F33">
        <v>202106</v>
      </c>
      <c r="G33" t="s">
        <v>191</v>
      </c>
      <c r="H33">
        <v>8167</v>
      </c>
      <c r="O33">
        <v>5366</v>
      </c>
      <c r="P33" t="s">
        <v>2327</v>
      </c>
      <c r="Q33">
        <v>385</v>
      </c>
      <c r="R33" t="s">
        <v>2328</v>
      </c>
      <c r="S33" t="s">
        <v>2038</v>
      </c>
      <c r="T33">
        <v>202109</v>
      </c>
      <c r="U33" t="s">
        <v>180</v>
      </c>
      <c r="V33">
        <v>2184</v>
      </c>
    </row>
    <row r="34" spans="1:22">
      <c r="A34">
        <v>5366</v>
      </c>
      <c r="B34" t="s">
        <v>2327</v>
      </c>
      <c r="C34">
        <v>385</v>
      </c>
      <c r="D34" t="s">
        <v>2328</v>
      </c>
      <c r="E34" t="s">
        <v>2038</v>
      </c>
      <c r="F34">
        <v>202106</v>
      </c>
      <c r="G34" t="s">
        <v>176</v>
      </c>
      <c r="H34">
        <v>0</v>
      </c>
      <c r="O34">
        <v>5366</v>
      </c>
      <c r="P34" t="s">
        <v>2327</v>
      </c>
      <c r="Q34">
        <v>385</v>
      </c>
      <c r="R34" t="s">
        <v>2328</v>
      </c>
      <c r="S34" t="s">
        <v>2038</v>
      </c>
      <c r="T34">
        <v>202109</v>
      </c>
      <c r="U34" t="s">
        <v>182</v>
      </c>
      <c r="V34">
        <v>1230463</v>
      </c>
    </row>
    <row r="35" spans="1:22">
      <c r="A35">
        <v>5366</v>
      </c>
      <c r="B35" t="s">
        <v>2327</v>
      </c>
      <c r="C35">
        <v>385</v>
      </c>
      <c r="D35" t="s">
        <v>2328</v>
      </c>
      <c r="E35" t="s">
        <v>2038</v>
      </c>
      <c r="F35">
        <v>202106</v>
      </c>
      <c r="G35" t="s">
        <v>178</v>
      </c>
      <c r="H35">
        <v>181.94</v>
      </c>
      <c r="O35">
        <v>5366</v>
      </c>
      <c r="P35" t="s">
        <v>2327</v>
      </c>
      <c r="Q35">
        <v>385</v>
      </c>
      <c r="R35" t="s">
        <v>2328</v>
      </c>
      <c r="S35" t="s">
        <v>2038</v>
      </c>
      <c r="T35">
        <v>202109</v>
      </c>
      <c r="U35" t="s">
        <v>184</v>
      </c>
      <c r="V35">
        <v>124055</v>
      </c>
    </row>
    <row r="36" spans="1:22">
      <c r="A36">
        <v>5366</v>
      </c>
      <c r="B36" t="s">
        <v>2327</v>
      </c>
      <c r="C36">
        <v>385</v>
      </c>
      <c r="D36" t="s">
        <v>2328</v>
      </c>
      <c r="E36" t="s">
        <v>2038</v>
      </c>
      <c r="F36">
        <v>202106</v>
      </c>
      <c r="G36" t="s">
        <v>180</v>
      </c>
      <c r="H36">
        <v>162.79</v>
      </c>
      <c r="O36">
        <v>5366</v>
      </c>
      <c r="P36" t="s">
        <v>2327</v>
      </c>
      <c r="Q36">
        <v>385</v>
      </c>
      <c r="R36" t="s">
        <v>2328</v>
      </c>
      <c r="S36" t="s">
        <v>2038</v>
      </c>
      <c r="T36">
        <v>202109</v>
      </c>
      <c r="U36" t="s">
        <v>186</v>
      </c>
      <c r="V36">
        <v>0</v>
      </c>
    </row>
    <row r="37" spans="1:22">
      <c r="A37">
        <v>5366</v>
      </c>
      <c r="B37" t="s">
        <v>2327</v>
      </c>
      <c r="C37">
        <v>385</v>
      </c>
      <c r="D37" t="s">
        <v>2328</v>
      </c>
      <c r="E37" t="s">
        <v>2038</v>
      </c>
      <c r="F37">
        <v>202106</v>
      </c>
      <c r="G37" t="s">
        <v>182</v>
      </c>
      <c r="H37">
        <v>57031</v>
      </c>
      <c r="O37">
        <v>5366</v>
      </c>
      <c r="P37" t="s">
        <v>2327</v>
      </c>
      <c r="Q37">
        <v>385</v>
      </c>
      <c r="R37" t="s">
        <v>2328</v>
      </c>
      <c r="S37" t="s">
        <v>2038</v>
      </c>
      <c r="T37">
        <v>202110</v>
      </c>
      <c r="U37" t="s">
        <v>190</v>
      </c>
      <c r="V37">
        <v>270007</v>
      </c>
    </row>
    <row r="38" spans="1:22">
      <c r="A38">
        <v>5366</v>
      </c>
      <c r="B38" t="s">
        <v>2327</v>
      </c>
      <c r="C38">
        <v>385</v>
      </c>
      <c r="D38" t="s">
        <v>2328</v>
      </c>
      <c r="E38" t="s">
        <v>2038</v>
      </c>
      <c r="F38">
        <v>202106</v>
      </c>
      <c r="G38" t="s">
        <v>184</v>
      </c>
      <c r="H38">
        <v>8167</v>
      </c>
      <c r="O38">
        <v>5366</v>
      </c>
      <c r="P38" t="s">
        <v>2327</v>
      </c>
      <c r="Q38">
        <v>385</v>
      </c>
      <c r="R38" t="s">
        <v>2328</v>
      </c>
      <c r="S38" t="s">
        <v>2038</v>
      </c>
      <c r="T38">
        <v>202110</v>
      </c>
      <c r="U38" t="s">
        <v>191</v>
      </c>
      <c r="V38">
        <v>40364</v>
      </c>
    </row>
    <row r="39" spans="1:22">
      <c r="A39">
        <v>5366</v>
      </c>
      <c r="B39" t="s">
        <v>2327</v>
      </c>
      <c r="C39">
        <v>385</v>
      </c>
      <c r="D39" t="s">
        <v>2328</v>
      </c>
      <c r="E39" t="s">
        <v>2038</v>
      </c>
      <c r="F39">
        <v>202106</v>
      </c>
      <c r="G39" t="s">
        <v>192</v>
      </c>
      <c r="H39">
        <v>0</v>
      </c>
      <c r="O39">
        <v>5366</v>
      </c>
      <c r="P39" t="s">
        <v>2327</v>
      </c>
      <c r="Q39">
        <v>385</v>
      </c>
      <c r="R39" t="s">
        <v>2328</v>
      </c>
      <c r="S39" t="s">
        <v>2038</v>
      </c>
      <c r="T39">
        <v>202110</v>
      </c>
      <c r="U39" t="s">
        <v>178</v>
      </c>
      <c r="V39">
        <v>926.52</v>
      </c>
    </row>
    <row r="40" spans="1:22">
      <c r="A40">
        <v>5366</v>
      </c>
      <c r="B40" t="s">
        <v>2327</v>
      </c>
      <c r="C40">
        <v>385</v>
      </c>
      <c r="D40" t="s">
        <v>2328</v>
      </c>
      <c r="E40" t="s">
        <v>2038</v>
      </c>
      <c r="F40">
        <v>202106</v>
      </c>
      <c r="G40" t="s">
        <v>2172</v>
      </c>
      <c r="H40">
        <v>1200.8800000000001</v>
      </c>
      <c r="O40">
        <v>5366</v>
      </c>
      <c r="P40" t="s">
        <v>2327</v>
      </c>
      <c r="Q40">
        <v>385</v>
      </c>
      <c r="R40" t="s">
        <v>2328</v>
      </c>
      <c r="S40" t="s">
        <v>2038</v>
      </c>
      <c r="T40">
        <v>202110</v>
      </c>
      <c r="U40" t="s">
        <v>180</v>
      </c>
      <c r="V40">
        <v>855.96</v>
      </c>
    </row>
    <row r="41" spans="1:22">
      <c r="A41">
        <v>5366</v>
      </c>
      <c r="B41" t="s">
        <v>2327</v>
      </c>
      <c r="C41">
        <v>385</v>
      </c>
      <c r="D41" t="s">
        <v>2328</v>
      </c>
      <c r="E41" t="s">
        <v>2038</v>
      </c>
      <c r="F41">
        <v>202106</v>
      </c>
      <c r="G41" t="s">
        <v>2171</v>
      </c>
      <c r="H41">
        <v>252.06</v>
      </c>
      <c r="O41">
        <v>5366</v>
      </c>
      <c r="P41" t="s">
        <v>2327</v>
      </c>
      <c r="Q41">
        <v>385</v>
      </c>
      <c r="R41" t="s">
        <v>2328</v>
      </c>
      <c r="S41" t="s">
        <v>2038</v>
      </c>
      <c r="T41">
        <v>202110</v>
      </c>
      <c r="U41" t="s">
        <v>182</v>
      </c>
      <c r="V41">
        <v>270007</v>
      </c>
    </row>
    <row r="42" spans="1:22">
      <c r="A42">
        <v>5366</v>
      </c>
      <c r="B42" t="s">
        <v>2327</v>
      </c>
      <c r="C42">
        <v>385</v>
      </c>
      <c r="D42" t="s">
        <v>2328</v>
      </c>
      <c r="E42" t="s">
        <v>2038</v>
      </c>
      <c r="F42">
        <v>202106</v>
      </c>
      <c r="G42" t="s">
        <v>2168</v>
      </c>
      <c r="H42">
        <v>13.66</v>
      </c>
      <c r="O42">
        <v>5366</v>
      </c>
      <c r="P42" t="s">
        <v>2327</v>
      </c>
      <c r="Q42">
        <v>385</v>
      </c>
      <c r="R42" t="s">
        <v>2328</v>
      </c>
      <c r="S42" t="s">
        <v>2038</v>
      </c>
      <c r="T42">
        <v>202110</v>
      </c>
      <c r="U42" t="s">
        <v>184</v>
      </c>
      <c r="V42">
        <v>40364</v>
      </c>
    </row>
    <row r="43" spans="1:22">
      <c r="A43">
        <v>5366</v>
      </c>
      <c r="B43" t="s">
        <v>2327</v>
      </c>
      <c r="C43">
        <v>385</v>
      </c>
      <c r="D43" t="s">
        <v>2328</v>
      </c>
      <c r="E43" t="s">
        <v>2038</v>
      </c>
      <c r="F43">
        <v>202106</v>
      </c>
      <c r="G43" t="s">
        <v>2169</v>
      </c>
      <c r="H43">
        <v>19.399999999999999</v>
      </c>
      <c r="O43">
        <v>5366</v>
      </c>
      <c r="P43" t="s">
        <v>2327</v>
      </c>
      <c r="Q43">
        <v>385</v>
      </c>
      <c r="R43" t="s">
        <v>2328</v>
      </c>
      <c r="S43" t="s">
        <v>2038</v>
      </c>
      <c r="T43">
        <v>202110</v>
      </c>
      <c r="U43" t="s">
        <v>186</v>
      </c>
      <c r="V43">
        <v>0</v>
      </c>
    </row>
    <row r="44" spans="1:22">
      <c r="A44">
        <v>5366</v>
      </c>
      <c r="B44" t="s">
        <v>2327</v>
      </c>
      <c r="C44">
        <v>385</v>
      </c>
      <c r="D44" t="s">
        <v>2328</v>
      </c>
      <c r="E44" t="s">
        <v>2038</v>
      </c>
      <c r="F44">
        <v>202106</v>
      </c>
      <c r="G44" t="s">
        <v>2170</v>
      </c>
      <c r="H44">
        <v>11.5</v>
      </c>
      <c r="O44">
        <v>5366</v>
      </c>
      <c r="P44" t="s">
        <v>2327</v>
      </c>
      <c r="Q44">
        <v>385</v>
      </c>
      <c r="R44" t="s">
        <v>2328</v>
      </c>
      <c r="S44" t="s">
        <v>2038</v>
      </c>
      <c r="T44">
        <v>202110</v>
      </c>
      <c r="U44" t="s">
        <v>190</v>
      </c>
      <c r="V44">
        <v>57102</v>
      </c>
    </row>
    <row r="45" spans="1:22">
      <c r="A45">
        <v>5366</v>
      </c>
      <c r="B45" t="s">
        <v>2327</v>
      </c>
      <c r="C45">
        <v>385</v>
      </c>
      <c r="D45" t="s">
        <v>2328</v>
      </c>
      <c r="E45" t="s">
        <v>2038</v>
      </c>
      <c r="F45">
        <v>202106</v>
      </c>
      <c r="G45" t="s">
        <v>2173</v>
      </c>
      <c r="H45">
        <v>25175.69</v>
      </c>
      <c r="O45">
        <v>5366</v>
      </c>
      <c r="P45" t="s">
        <v>2327</v>
      </c>
      <c r="Q45">
        <v>385</v>
      </c>
      <c r="R45" t="s">
        <v>2328</v>
      </c>
      <c r="S45" t="s">
        <v>2038</v>
      </c>
      <c r="T45">
        <v>202110</v>
      </c>
      <c r="U45" t="s">
        <v>191</v>
      </c>
      <c r="V45">
        <v>8083</v>
      </c>
    </row>
    <row r="46" spans="1:22">
      <c r="A46">
        <v>5366</v>
      </c>
      <c r="B46" t="s">
        <v>2327</v>
      </c>
      <c r="C46">
        <v>385</v>
      </c>
      <c r="D46" t="s">
        <v>2328</v>
      </c>
      <c r="E46" t="s">
        <v>2038</v>
      </c>
      <c r="F46">
        <v>202106</v>
      </c>
      <c r="G46" t="s">
        <v>190</v>
      </c>
      <c r="H46">
        <v>142332</v>
      </c>
      <c r="O46">
        <v>5366</v>
      </c>
      <c r="P46" t="s">
        <v>2327</v>
      </c>
      <c r="Q46">
        <v>385</v>
      </c>
      <c r="R46" t="s">
        <v>2328</v>
      </c>
      <c r="S46" t="s">
        <v>2038</v>
      </c>
      <c r="T46">
        <v>202110</v>
      </c>
      <c r="U46" t="s">
        <v>178</v>
      </c>
      <c r="V46">
        <v>241.92</v>
      </c>
    </row>
    <row r="47" spans="1:22">
      <c r="A47">
        <v>5366</v>
      </c>
      <c r="B47" t="s">
        <v>2327</v>
      </c>
      <c r="C47">
        <v>385</v>
      </c>
      <c r="D47" t="s">
        <v>2328</v>
      </c>
      <c r="E47" t="s">
        <v>2038</v>
      </c>
      <c r="F47">
        <v>202106</v>
      </c>
      <c r="G47" t="s">
        <v>191</v>
      </c>
      <c r="H47">
        <v>17755</v>
      </c>
      <c r="O47">
        <v>5366</v>
      </c>
      <c r="P47" t="s">
        <v>2327</v>
      </c>
      <c r="Q47">
        <v>385</v>
      </c>
      <c r="R47" t="s">
        <v>2328</v>
      </c>
      <c r="S47" t="s">
        <v>2038</v>
      </c>
      <c r="T47">
        <v>202110</v>
      </c>
      <c r="U47" t="s">
        <v>180</v>
      </c>
      <c r="V47">
        <v>195.55</v>
      </c>
    </row>
    <row r="48" spans="1:22">
      <c r="A48">
        <v>5366</v>
      </c>
      <c r="B48" t="s">
        <v>2327</v>
      </c>
      <c r="C48">
        <v>385</v>
      </c>
      <c r="D48" t="s">
        <v>2328</v>
      </c>
      <c r="E48" t="s">
        <v>2038</v>
      </c>
      <c r="F48">
        <v>202106</v>
      </c>
      <c r="G48" t="s">
        <v>176</v>
      </c>
      <c r="H48">
        <v>0</v>
      </c>
      <c r="O48">
        <v>5366</v>
      </c>
      <c r="P48" t="s">
        <v>2327</v>
      </c>
      <c r="Q48">
        <v>385</v>
      </c>
      <c r="R48" t="s">
        <v>2328</v>
      </c>
      <c r="S48" t="s">
        <v>2038</v>
      </c>
      <c r="T48">
        <v>202110</v>
      </c>
      <c r="U48" t="s">
        <v>182</v>
      </c>
      <c r="V48">
        <v>57102</v>
      </c>
    </row>
    <row r="49" spans="1:22">
      <c r="A49">
        <v>5366</v>
      </c>
      <c r="B49" t="s">
        <v>2327</v>
      </c>
      <c r="C49">
        <v>385</v>
      </c>
      <c r="D49" t="s">
        <v>2328</v>
      </c>
      <c r="E49" t="s">
        <v>2038</v>
      </c>
      <c r="F49">
        <v>202106</v>
      </c>
      <c r="G49" t="s">
        <v>178</v>
      </c>
      <c r="H49">
        <v>330.62</v>
      </c>
      <c r="O49">
        <v>5366</v>
      </c>
      <c r="P49" t="s">
        <v>2327</v>
      </c>
      <c r="Q49">
        <v>385</v>
      </c>
      <c r="R49" t="s">
        <v>2328</v>
      </c>
      <c r="S49" t="s">
        <v>2038</v>
      </c>
      <c r="T49">
        <v>202110</v>
      </c>
      <c r="U49" t="s">
        <v>184</v>
      </c>
      <c r="V49">
        <v>8083</v>
      </c>
    </row>
    <row r="50" spans="1:22">
      <c r="A50">
        <v>5366</v>
      </c>
      <c r="B50" t="s">
        <v>2327</v>
      </c>
      <c r="C50">
        <v>385</v>
      </c>
      <c r="D50" t="s">
        <v>2328</v>
      </c>
      <c r="E50" t="s">
        <v>2038</v>
      </c>
      <c r="F50">
        <v>202106</v>
      </c>
      <c r="G50" t="s">
        <v>180</v>
      </c>
      <c r="H50">
        <v>360.52</v>
      </c>
      <c r="O50">
        <v>5366</v>
      </c>
      <c r="P50" t="s">
        <v>2327</v>
      </c>
      <c r="Q50">
        <v>385</v>
      </c>
      <c r="R50" t="s">
        <v>2328</v>
      </c>
      <c r="S50" t="s">
        <v>2038</v>
      </c>
      <c r="T50">
        <v>202110</v>
      </c>
      <c r="U50" t="s">
        <v>186</v>
      </c>
      <c r="V50">
        <v>0</v>
      </c>
    </row>
    <row r="51" spans="1:22">
      <c r="A51">
        <v>5366</v>
      </c>
      <c r="B51" t="s">
        <v>2327</v>
      </c>
      <c r="C51">
        <v>385</v>
      </c>
      <c r="D51" t="s">
        <v>2328</v>
      </c>
      <c r="E51" t="s">
        <v>2038</v>
      </c>
      <c r="F51">
        <v>202106</v>
      </c>
      <c r="G51" t="s">
        <v>182</v>
      </c>
      <c r="H51">
        <v>142332</v>
      </c>
      <c r="O51">
        <v>5366</v>
      </c>
      <c r="P51" t="s">
        <v>2327</v>
      </c>
      <c r="Q51">
        <v>385</v>
      </c>
      <c r="R51" t="s">
        <v>2328</v>
      </c>
      <c r="S51" t="s">
        <v>2038</v>
      </c>
      <c r="T51">
        <v>202110</v>
      </c>
      <c r="U51" t="s">
        <v>190</v>
      </c>
      <c r="V51">
        <v>132147</v>
      </c>
    </row>
    <row r="52" spans="1:22">
      <c r="A52">
        <v>5366</v>
      </c>
      <c r="B52" t="s">
        <v>2327</v>
      </c>
      <c r="C52">
        <v>385</v>
      </c>
      <c r="D52" t="s">
        <v>2328</v>
      </c>
      <c r="E52" t="s">
        <v>2038</v>
      </c>
      <c r="F52">
        <v>202106</v>
      </c>
      <c r="G52" t="s">
        <v>184</v>
      </c>
      <c r="H52">
        <v>17755</v>
      </c>
      <c r="O52">
        <v>5366</v>
      </c>
      <c r="P52" t="s">
        <v>2327</v>
      </c>
      <c r="Q52">
        <v>385</v>
      </c>
      <c r="R52" t="s">
        <v>2328</v>
      </c>
      <c r="S52" t="s">
        <v>2038</v>
      </c>
      <c r="T52">
        <v>202110</v>
      </c>
      <c r="U52" t="s">
        <v>191</v>
      </c>
      <c r="V52">
        <v>16150</v>
      </c>
    </row>
    <row r="53" spans="1:22">
      <c r="A53">
        <v>5366</v>
      </c>
      <c r="B53" t="s">
        <v>2327</v>
      </c>
      <c r="C53">
        <v>385</v>
      </c>
      <c r="D53" t="s">
        <v>2328</v>
      </c>
      <c r="E53" t="s">
        <v>2038</v>
      </c>
      <c r="F53">
        <v>202106</v>
      </c>
      <c r="G53" t="s">
        <v>192</v>
      </c>
      <c r="H53">
        <v>0</v>
      </c>
      <c r="O53">
        <v>5366</v>
      </c>
      <c r="P53" t="s">
        <v>2327</v>
      </c>
      <c r="Q53">
        <v>385</v>
      </c>
      <c r="R53" t="s">
        <v>2328</v>
      </c>
      <c r="S53" t="s">
        <v>2038</v>
      </c>
      <c r="T53">
        <v>202110</v>
      </c>
      <c r="U53" t="s">
        <v>178</v>
      </c>
      <c r="V53">
        <v>339.36</v>
      </c>
    </row>
    <row r="54" spans="1:22">
      <c r="A54">
        <v>5366</v>
      </c>
      <c r="B54" t="s">
        <v>2327</v>
      </c>
      <c r="C54">
        <v>385</v>
      </c>
      <c r="D54" t="s">
        <v>2328</v>
      </c>
      <c r="E54" t="s">
        <v>2038</v>
      </c>
      <c r="F54">
        <v>202106</v>
      </c>
      <c r="G54" t="s">
        <v>2172</v>
      </c>
      <c r="H54">
        <v>2689.93</v>
      </c>
      <c r="O54">
        <v>5366</v>
      </c>
      <c r="P54" t="s">
        <v>2327</v>
      </c>
      <c r="Q54">
        <v>385</v>
      </c>
      <c r="R54" t="s">
        <v>2328</v>
      </c>
      <c r="S54" t="s">
        <v>2038</v>
      </c>
      <c r="T54">
        <v>202110</v>
      </c>
      <c r="U54" t="s">
        <v>180</v>
      </c>
      <c r="V54">
        <v>337.34</v>
      </c>
    </row>
    <row r="55" spans="1:22">
      <c r="A55">
        <v>5366</v>
      </c>
      <c r="B55" t="s">
        <v>2327</v>
      </c>
      <c r="C55">
        <v>385</v>
      </c>
      <c r="D55" t="s">
        <v>2328</v>
      </c>
      <c r="E55" t="s">
        <v>2038</v>
      </c>
      <c r="F55">
        <v>202106</v>
      </c>
      <c r="G55" t="s">
        <v>186</v>
      </c>
      <c r="H55">
        <v>0</v>
      </c>
      <c r="O55">
        <v>5366</v>
      </c>
      <c r="P55" t="s">
        <v>2327</v>
      </c>
      <c r="Q55">
        <v>385</v>
      </c>
      <c r="R55" t="s">
        <v>2328</v>
      </c>
      <c r="S55" t="s">
        <v>2038</v>
      </c>
      <c r="T55">
        <v>202110</v>
      </c>
      <c r="U55" t="s">
        <v>182</v>
      </c>
      <c r="V55">
        <v>132147</v>
      </c>
    </row>
    <row r="56" spans="1:22">
      <c r="A56">
        <v>5366</v>
      </c>
      <c r="B56" t="s">
        <v>2327</v>
      </c>
      <c r="C56">
        <v>385</v>
      </c>
      <c r="D56" t="s">
        <v>2328</v>
      </c>
      <c r="E56" t="s">
        <v>2038</v>
      </c>
      <c r="F56">
        <v>202106</v>
      </c>
      <c r="G56" t="s">
        <v>2171</v>
      </c>
      <c r="H56">
        <v>252.06</v>
      </c>
      <c r="O56">
        <v>5366</v>
      </c>
      <c r="P56" t="s">
        <v>2327</v>
      </c>
      <c r="Q56">
        <v>385</v>
      </c>
      <c r="R56" t="s">
        <v>2328</v>
      </c>
      <c r="S56" t="s">
        <v>2038</v>
      </c>
      <c r="T56">
        <v>202110</v>
      </c>
      <c r="U56" t="s">
        <v>184</v>
      </c>
      <c r="V56">
        <v>16150</v>
      </c>
    </row>
    <row r="57" spans="1:22">
      <c r="A57">
        <v>5366</v>
      </c>
      <c r="B57" t="s">
        <v>2327</v>
      </c>
      <c r="C57">
        <v>385</v>
      </c>
      <c r="D57" t="s">
        <v>2328</v>
      </c>
      <c r="E57" t="s">
        <v>2038</v>
      </c>
      <c r="F57">
        <v>202106</v>
      </c>
      <c r="G57" t="s">
        <v>2168</v>
      </c>
      <c r="H57">
        <v>13.66</v>
      </c>
      <c r="O57">
        <v>5366</v>
      </c>
      <c r="P57" t="s">
        <v>2327</v>
      </c>
      <c r="Q57">
        <v>385</v>
      </c>
      <c r="R57" t="s">
        <v>2328</v>
      </c>
      <c r="S57" t="s">
        <v>2038</v>
      </c>
      <c r="T57">
        <v>202110</v>
      </c>
      <c r="U57" t="s">
        <v>186</v>
      </c>
      <c r="V57">
        <v>0</v>
      </c>
    </row>
    <row r="58" spans="1:22">
      <c r="A58">
        <v>5366</v>
      </c>
      <c r="B58" t="s">
        <v>2327</v>
      </c>
      <c r="C58">
        <v>385</v>
      </c>
      <c r="D58" t="s">
        <v>2328</v>
      </c>
      <c r="E58" t="s">
        <v>2038</v>
      </c>
      <c r="F58">
        <v>202106</v>
      </c>
      <c r="G58" t="s">
        <v>2169</v>
      </c>
      <c r="H58">
        <v>19.399999999999999</v>
      </c>
      <c r="O58">
        <v>5366</v>
      </c>
      <c r="P58" t="s">
        <v>2327</v>
      </c>
      <c r="Q58">
        <v>385</v>
      </c>
      <c r="R58" t="s">
        <v>2328</v>
      </c>
      <c r="S58" t="s">
        <v>2038</v>
      </c>
      <c r="T58">
        <v>202110</v>
      </c>
      <c r="U58" t="s">
        <v>190</v>
      </c>
      <c r="V58">
        <v>154318</v>
      </c>
    </row>
    <row r="59" spans="1:22">
      <c r="A59">
        <v>5366</v>
      </c>
      <c r="B59" t="s">
        <v>2327</v>
      </c>
      <c r="C59">
        <v>385</v>
      </c>
      <c r="D59" t="s">
        <v>2328</v>
      </c>
      <c r="E59" t="s">
        <v>2038</v>
      </c>
      <c r="F59">
        <v>202106</v>
      </c>
      <c r="G59" t="s">
        <v>2170</v>
      </c>
      <c r="H59">
        <v>11.5</v>
      </c>
      <c r="O59">
        <v>5366</v>
      </c>
      <c r="P59" t="s">
        <v>2327</v>
      </c>
      <c r="Q59">
        <v>385</v>
      </c>
      <c r="R59" t="s">
        <v>2328</v>
      </c>
      <c r="S59" t="s">
        <v>2038</v>
      </c>
      <c r="T59">
        <v>202110</v>
      </c>
      <c r="U59" t="s">
        <v>191</v>
      </c>
      <c r="V59">
        <v>28310</v>
      </c>
    </row>
    <row r="60" spans="1:22">
      <c r="A60">
        <v>5366</v>
      </c>
      <c r="B60" t="s">
        <v>2327</v>
      </c>
      <c r="C60">
        <v>385</v>
      </c>
      <c r="D60" t="s">
        <v>2328</v>
      </c>
      <c r="E60" t="s">
        <v>2038</v>
      </c>
      <c r="F60">
        <v>202106</v>
      </c>
      <c r="G60" t="s">
        <v>2173</v>
      </c>
      <c r="H60">
        <v>56392.78</v>
      </c>
      <c r="O60">
        <v>5366</v>
      </c>
      <c r="P60" t="s">
        <v>2327</v>
      </c>
      <c r="Q60">
        <v>385</v>
      </c>
      <c r="R60" t="s">
        <v>2328</v>
      </c>
      <c r="S60" t="s">
        <v>2038</v>
      </c>
      <c r="T60">
        <v>202110</v>
      </c>
      <c r="U60" t="s">
        <v>178</v>
      </c>
      <c r="V60">
        <v>580.6</v>
      </c>
    </row>
    <row r="61" spans="1:22">
      <c r="A61">
        <v>5366</v>
      </c>
      <c r="B61" t="s">
        <v>2327</v>
      </c>
      <c r="C61">
        <v>385</v>
      </c>
      <c r="D61" t="s">
        <v>2328</v>
      </c>
      <c r="E61" t="s">
        <v>2038</v>
      </c>
      <c r="F61">
        <v>202106</v>
      </c>
      <c r="G61" t="s">
        <v>190</v>
      </c>
      <c r="H61">
        <v>350654</v>
      </c>
      <c r="O61">
        <v>5366</v>
      </c>
      <c r="P61" t="s">
        <v>2327</v>
      </c>
      <c r="Q61">
        <v>385</v>
      </c>
      <c r="R61" t="s">
        <v>2328</v>
      </c>
      <c r="S61" t="s">
        <v>2038</v>
      </c>
      <c r="T61">
        <v>202110</v>
      </c>
      <c r="U61" t="s">
        <v>180</v>
      </c>
      <c r="V61">
        <v>551.88</v>
      </c>
    </row>
    <row r="62" spans="1:22">
      <c r="A62">
        <v>5366</v>
      </c>
      <c r="B62" t="s">
        <v>2327</v>
      </c>
      <c r="C62">
        <v>385</v>
      </c>
      <c r="D62" t="s">
        <v>2328</v>
      </c>
      <c r="E62" t="s">
        <v>2038</v>
      </c>
      <c r="F62">
        <v>202106</v>
      </c>
      <c r="G62" t="s">
        <v>191</v>
      </c>
      <c r="H62">
        <v>33609</v>
      </c>
      <c r="O62">
        <v>5366</v>
      </c>
      <c r="P62" t="s">
        <v>2327</v>
      </c>
      <c r="Q62">
        <v>385</v>
      </c>
      <c r="R62" t="s">
        <v>2328</v>
      </c>
      <c r="S62" t="s">
        <v>2038</v>
      </c>
      <c r="T62">
        <v>202110</v>
      </c>
      <c r="U62" t="s">
        <v>182</v>
      </c>
      <c r="V62">
        <v>191945</v>
      </c>
    </row>
    <row r="63" spans="1:22">
      <c r="A63">
        <v>5366</v>
      </c>
      <c r="B63" t="s">
        <v>2327</v>
      </c>
      <c r="C63">
        <v>385</v>
      </c>
      <c r="D63" t="s">
        <v>2328</v>
      </c>
      <c r="E63" t="s">
        <v>2038</v>
      </c>
      <c r="F63">
        <v>202106</v>
      </c>
      <c r="G63" t="s">
        <v>176</v>
      </c>
      <c r="H63">
        <v>0</v>
      </c>
      <c r="O63">
        <v>5366</v>
      </c>
      <c r="P63" t="s">
        <v>2327</v>
      </c>
      <c r="Q63">
        <v>385</v>
      </c>
      <c r="R63" t="s">
        <v>2328</v>
      </c>
      <c r="S63" t="s">
        <v>2038</v>
      </c>
      <c r="T63">
        <v>202110</v>
      </c>
      <c r="U63" t="s">
        <v>184</v>
      </c>
      <c r="V63">
        <v>28310</v>
      </c>
    </row>
    <row r="64" spans="1:22">
      <c r="A64">
        <v>5366</v>
      </c>
      <c r="B64" t="s">
        <v>2327</v>
      </c>
      <c r="C64">
        <v>385</v>
      </c>
      <c r="D64" t="s">
        <v>2328</v>
      </c>
      <c r="E64" t="s">
        <v>2038</v>
      </c>
      <c r="F64">
        <v>202106</v>
      </c>
      <c r="G64" t="s">
        <v>178</v>
      </c>
      <c r="H64">
        <v>2261.2800000000002</v>
      </c>
      <c r="O64">
        <v>5366</v>
      </c>
      <c r="P64" t="s">
        <v>2327</v>
      </c>
      <c r="Q64">
        <v>385</v>
      </c>
      <c r="R64" t="s">
        <v>2328</v>
      </c>
      <c r="S64" t="s">
        <v>2038</v>
      </c>
      <c r="T64">
        <v>202110</v>
      </c>
      <c r="U64" t="s">
        <v>186</v>
      </c>
      <c r="V64">
        <v>37627</v>
      </c>
    </row>
    <row r="65" spans="1:22">
      <c r="A65">
        <v>5366</v>
      </c>
      <c r="B65" t="s">
        <v>2327</v>
      </c>
      <c r="C65">
        <v>385</v>
      </c>
      <c r="D65" t="s">
        <v>2328</v>
      </c>
      <c r="E65" t="s">
        <v>2038</v>
      </c>
      <c r="F65">
        <v>202106</v>
      </c>
      <c r="G65" t="s">
        <v>180</v>
      </c>
      <c r="H65">
        <v>2200.8000000000002</v>
      </c>
      <c r="O65">
        <v>5366</v>
      </c>
      <c r="P65" t="s">
        <v>2327</v>
      </c>
      <c r="Q65">
        <v>385</v>
      </c>
      <c r="R65" t="s">
        <v>2328</v>
      </c>
      <c r="S65" t="s">
        <v>2038</v>
      </c>
      <c r="T65">
        <v>202110</v>
      </c>
      <c r="U65" t="s">
        <v>190</v>
      </c>
      <c r="V65">
        <v>360836</v>
      </c>
    </row>
    <row r="66" spans="1:22">
      <c r="A66">
        <v>5366</v>
      </c>
      <c r="B66" t="s">
        <v>2327</v>
      </c>
      <c r="C66">
        <v>385</v>
      </c>
      <c r="D66" t="s">
        <v>2328</v>
      </c>
      <c r="E66" t="s">
        <v>2038</v>
      </c>
      <c r="F66">
        <v>202106</v>
      </c>
      <c r="G66" t="s">
        <v>182</v>
      </c>
      <c r="H66">
        <v>1101152</v>
      </c>
      <c r="O66">
        <v>5366</v>
      </c>
      <c r="P66" t="s">
        <v>2327</v>
      </c>
      <c r="Q66">
        <v>385</v>
      </c>
      <c r="R66" t="s">
        <v>2328</v>
      </c>
      <c r="S66" t="s">
        <v>2038</v>
      </c>
      <c r="T66">
        <v>202110</v>
      </c>
      <c r="U66" t="s">
        <v>191</v>
      </c>
      <c r="V66">
        <v>35775</v>
      </c>
    </row>
    <row r="67" spans="1:22">
      <c r="A67">
        <v>5366</v>
      </c>
      <c r="B67" t="s">
        <v>2327</v>
      </c>
      <c r="C67">
        <v>385</v>
      </c>
      <c r="D67" t="s">
        <v>2328</v>
      </c>
      <c r="E67" t="s">
        <v>2038</v>
      </c>
      <c r="F67">
        <v>202106</v>
      </c>
      <c r="G67" t="s">
        <v>184</v>
      </c>
      <c r="H67">
        <v>104465</v>
      </c>
      <c r="O67">
        <v>5366</v>
      </c>
      <c r="P67" t="s">
        <v>2327</v>
      </c>
      <c r="Q67">
        <v>385</v>
      </c>
      <c r="R67" t="s">
        <v>2328</v>
      </c>
      <c r="S67" t="s">
        <v>2038</v>
      </c>
      <c r="T67">
        <v>202110</v>
      </c>
      <c r="U67" t="s">
        <v>178</v>
      </c>
      <c r="V67">
        <v>2355.36</v>
      </c>
    </row>
    <row r="68" spans="1:22">
      <c r="A68">
        <v>5366</v>
      </c>
      <c r="B68" t="s">
        <v>2327</v>
      </c>
      <c r="C68">
        <v>385</v>
      </c>
      <c r="D68" t="s">
        <v>2328</v>
      </c>
      <c r="E68" t="s">
        <v>2038</v>
      </c>
      <c r="F68">
        <v>202106</v>
      </c>
      <c r="G68" t="s">
        <v>192</v>
      </c>
      <c r="H68">
        <v>0</v>
      </c>
      <c r="O68">
        <v>5366</v>
      </c>
      <c r="P68" t="s">
        <v>2327</v>
      </c>
      <c r="Q68">
        <v>385</v>
      </c>
      <c r="R68" t="s">
        <v>2328</v>
      </c>
      <c r="S68" t="s">
        <v>2038</v>
      </c>
      <c r="T68">
        <v>202110</v>
      </c>
      <c r="U68" t="s">
        <v>180</v>
      </c>
      <c r="V68">
        <v>2194.08</v>
      </c>
    </row>
    <row r="69" spans="1:22">
      <c r="A69">
        <v>5366</v>
      </c>
      <c r="B69" t="s">
        <v>2327</v>
      </c>
      <c r="C69">
        <v>385</v>
      </c>
      <c r="D69" t="s">
        <v>2328</v>
      </c>
      <c r="E69" t="s">
        <v>2038</v>
      </c>
      <c r="F69">
        <v>202106</v>
      </c>
      <c r="G69" t="s">
        <v>2172</v>
      </c>
      <c r="H69">
        <v>9232.99</v>
      </c>
      <c r="O69">
        <v>5366</v>
      </c>
      <c r="P69" t="s">
        <v>2327</v>
      </c>
      <c r="Q69">
        <v>385</v>
      </c>
      <c r="R69" t="s">
        <v>2328</v>
      </c>
      <c r="S69" t="s">
        <v>2038</v>
      </c>
      <c r="T69">
        <v>202110</v>
      </c>
      <c r="U69" t="s">
        <v>182</v>
      </c>
      <c r="V69">
        <v>1159305</v>
      </c>
    </row>
    <row r="70" spans="1:22">
      <c r="A70">
        <v>5366</v>
      </c>
      <c r="B70" t="s">
        <v>2327</v>
      </c>
      <c r="C70">
        <v>385</v>
      </c>
      <c r="D70" t="s">
        <v>2328</v>
      </c>
      <c r="E70" t="s">
        <v>2038</v>
      </c>
      <c r="F70">
        <v>202106</v>
      </c>
      <c r="G70" t="s">
        <v>186</v>
      </c>
      <c r="H70">
        <v>0</v>
      </c>
      <c r="O70">
        <v>5366</v>
      </c>
      <c r="P70" t="s">
        <v>2327</v>
      </c>
      <c r="Q70">
        <v>385</v>
      </c>
      <c r="R70" t="s">
        <v>2328</v>
      </c>
      <c r="S70" t="s">
        <v>2038</v>
      </c>
      <c r="T70">
        <v>202110</v>
      </c>
      <c r="U70" t="s">
        <v>184</v>
      </c>
      <c r="V70">
        <v>117316</v>
      </c>
    </row>
    <row r="71" spans="1:22">
      <c r="A71">
        <v>5366</v>
      </c>
      <c r="B71" t="s">
        <v>2327</v>
      </c>
      <c r="C71">
        <v>385</v>
      </c>
      <c r="D71" t="s">
        <v>2328</v>
      </c>
      <c r="E71" t="s">
        <v>2038</v>
      </c>
      <c r="F71">
        <v>202106</v>
      </c>
      <c r="G71" t="s">
        <v>2171</v>
      </c>
      <c r="H71">
        <v>252.06</v>
      </c>
      <c r="O71">
        <v>5366</v>
      </c>
      <c r="P71" t="s">
        <v>2327</v>
      </c>
      <c r="Q71">
        <v>385</v>
      </c>
      <c r="R71" t="s">
        <v>2328</v>
      </c>
      <c r="S71" t="s">
        <v>2038</v>
      </c>
      <c r="T71">
        <v>202110</v>
      </c>
      <c r="U71" t="s">
        <v>186</v>
      </c>
      <c r="V71">
        <v>0</v>
      </c>
    </row>
    <row r="72" spans="1:22">
      <c r="A72">
        <v>5366</v>
      </c>
      <c r="B72" t="s">
        <v>2327</v>
      </c>
      <c r="C72">
        <v>385</v>
      </c>
      <c r="D72" t="s">
        <v>2328</v>
      </c>
      <c r="E72" t="s">
        <v>2038</v>
      </c>
      <c r="F72">
        <v>202106</v>
      </c>
      <c r="G72" t="s">
        <v>2168</v>
      </c>
      <c r="H72">
        <v>13.66</v>
      </c>
      <c r="O72">
        <v>5366</v>
      </c>
      <c r="P72" t="s">
        <v>2327</v>
      </c>
      <c r="Q72">
        <v>385</v>
      </c>
      <c r="R72" t="s">
        <v>2328</v>
      </c>
      <c r="S72" t="s">
        <v>2038</v>
      </c>
      <c r="T72">
        <v>202111</v>
      </c>
      <c r="U72" t="s">
        <v>190</v>
      </c>
      <c r="V72">
        <v>159320</v>
      </c>
    </row>
    <row r="73" spans="1:22">
      <c r="A73">
        <v>5366</v>
      </c>
      <c r="B73" t="s">
        <v>2327</v>
      </c>
      <c r="C73">
        <v>385</v>
      </c>
      <c r="D73" t="s">
        <v>2328</v>
      </c>
      <c r="E73" t="s">
        <v>2038</v>
      </c>
      <c r="F73">
        <v>202106</v>
      </c>
      <c r="G73" t="s">
        <v>2169</v>
      </c>
      <c r="H73">
        <v>19.399999999999999</v>
      </c>
      <c r="O73">
        <v>5366</v>
      </c>
      <c r="P73" t="s">
        <v>2327</v>
      </c>
      <c r="Q73">
        <v>385</v>
      </c>
      <c r="R73" t="s">
        <v>2328</v>
      </c>
      <c r="S73" t="s">
        <v>2038</v>
      </c>
      <c r="T73">
        <v>202111</v>
      </c>
      <c r="U73" t="s">
        <v>191</v>
      </c>
      <c r="V73">
        <v>25713</v>
      </c>
    </row>
    <row r="74" spans="1:22">
      <c r="A74">
        <v>5366</v>
      </c>
      <c r="B74" t="s">
        <v>2327</v>
      </c>
      <c r="C74">
        <v>385</v>
      </c>
      <c r="D74" t="s">
        <v>2328</v>
      </c>
      <c r="E74" t="s">
        <v>2038</v>
      </c>
      <c r="F74">
        <v>202106</v>
      </c>
      <c r="G74" t="s">
        <v>2170</v>
      </c>
      <c r="H74">
        <v>11.5</v>
      </c>
      <c r="O74">
        <v>5366</v>
      </c>
      <c r="P74" t="s">
        <v>2327</v>
      </c>
      <c r="Q74">
        <v>385</v>
      </c>
      <c r="R74" t="s">
        <v>2328</v>
      </c>
      <c r="S74" t="s">
        <v>2038</v>
      </c>
      <c r="T74">
        <v>202111</v>
      </c>
      <c r="U74" t="s">
        <v>178</v>
      </c>
      <c r="V74">
        <v>546.84</v>
      </c>
    </row>
    <row r="75" spans="1:22">
      <c r="A75">
        <v>5366</v>
      </c>
      <c r="B75" t="s">
        <v>2327</v>
      </c>
      <c r="C75">
        <v>385</v>
      </c>
      <c r="D75" t="s">
        <v>2328</v>
      </c>
      <c r="E75" t="s">
        <v>2038</v>
      </c>
      <c r="F75">
        <v>202106</v>
      </c>
      <c r="G75" t="s">
        <v>2173</v>
      </c>
      <c r="H75">
        <v>193563.76</v>
      </c>
      <c r="O75">
        <v>5366</v>
      </c>
      <c r="P75" t="s">
        <v>2327</v>
      </c>
      <c r="Q75">
        <v>385</v>
      </c>
      <c r="R75" t="s">
        <v>2328</v>
      </c>
      <c r="S75" t="s">
        <v>2038</v>
      </c>
      <c r="T75">
        <v>202111</v>
      </c>
      <c r="U75" t="s">
        <v>180</v>
      </c>
      <c r="V75">
        <v>528.19000000000005</v>
      </c>
    </row>
    <row r="76" spans="1:22">
      <c r="A76">
        <v>5366</v>
      </c>
      <c r="B76" t="s">
        <v>2327</v>
      </c>
      <c r="C76">
        <v>385</v>
      </c>
      <c r="D76" t="s">
        <v>2328</v>
      </c>
      <c r="E76" t="s">
        <v>2038</v>
      </c>
      <c r="F76">
        <v>202107</v>
      </c>
      <c r="G76" t="s">
        <v>190</v>
      </c>
      <c r="H76">
        <v>133385</v>
      </c>
      <c r="O76">
        <v>5366</v>
      </c>
      <c r="P76" t="s">
        <v>2327</v>
      </c>
      <c r="Q76">
        <v>385</v>
      </c>
      <c r="R76" t="s">
        <v>2328</v>
      </c>
      <c r="S76" t="s">
        <v>2038</v>
      </c>
      <c r="T76">
        <v>202111</v>
      </c>
      <c r="U76" t="s">
        <v>182</v>
      </c>
      <c r="V76">
        <v>196886</v>
      </c>
    </row>
    <row r="77" spans="1:22">
      <c r="A77">
        <v>5366</v>
      </c>
      <c r="B77" t="s">
        <v>2327</v>
      </c>
      <c r="C77">
        <v>385</v>
      </c>
      <c r="D77" t="s">
        <v>2328</v>
      </c>
      <c r="E77" t="s">
        <v>2038</v>
      </c>
      <c r="F77">
        <v>202107</v>
      </c>
      <c r="G77" t="s">
        <v>191</v>
      </c>
      <c r="H77">
        <v>16574</v>
      </c>
      <c r="O77">
        <v>5366</v>
      </c>
      <c r="P77" t="s">
        <v>2327</v>
      </c>
      <c r="Q77">
        <v>385</v>
      </c>
      <c r="R77" t="s">
        <v>2328</v>
      </c>
      <c r="S77" t="s">
        <v>2038</v>
      </c>
      <c r="T77">
        <v>202111</v>
      </c>
      <c r="U77" t="s">
        <v>184</v>
      </c>
      <c r="V77">
        <v>25713</v>
      </c>
    </row>
    <row r="78" spans="1:22">
      <c r="A78">
        <v>5366</v>
      </c>
      <c r="B78" t="s">
        <v>2327</v>
      </c>
      <c r="C78">
        <v>385</v>
      </c>
      <c r="D78" t="s">
        <v>2328</v>
      </c>
      <c r="E78" t="s">
        <v>2038</v>
      </c>
      <c r="F78">
        <v>202107</v>
      </c>
      <c r="G78" t="s">
        <v>176</v>
      </c>
      <c r="H78">
        <v>0</v>
      </c>
      <c r="O78">
        <v>5366</v>
      </c>
      <c r="P78" t="s">
        <v>2327</v>
      </c>
      <c r="Q78">
        <v>385</v>
      </c>
      <c r="R78" t="s">
        <v>2328</v>
      </c>
      <c r="S78" t="s">
        <v>2038</v>
      </c>
      <c r="T78">
        <v>202111</v>
      </c>
      <c r="U78" t="s">
        <v>186</v>
      </c>
      <c r="V78">
        <v>37566</v>
      </c>
    </row>
    <row r="79" spans="1:22">
      <c r="A79">
        <v>5366</v>
      </c>
      <c r="B79" t="s">
        <v>2327</v>
      </c>
      <c r="C79">
        <v>385</v>
      </c>
      <c r="D79" t="s">
        <v>2328</v>
      </c>
      <c r="E79" t="s">
        <v>2038</v>
      </c>
      <c r="F79">
        <v>202107</v>
      </c>
      <c r="G79" t="s">
        <v>178</v>
      </c>
      <c r="H79">
        <v>326.92</v>
      </c>
      <c r="O79">
        <v>5366</v>
      </c>
      <c r="P79" t="s">
        <v>2327</v>
      </c>
      <c r="Q79">
        <v>385</v>
      </c>
      <c r="R79" t="s">
        <v>2328</v>
      </c>
      <c r="S79" t="s">
        <v>2038</v>
      </c>
      <c r="T79">
        <v>202111</v>
      </c>
      <c r="U79" t="s">
        <v>190</v>
      </c>
      <c r="V79">
        <v>276444</v>
      </c>
    </row>
    <row r="80" spans="1:22">
      <c r="A80">
        <v>5366</v>
      </c>
      <c r="B80" t="s">
        <v>2327</v>
      </c>
      <c r="C80">
        <v>385</v>
      </c>
      <c r="D80" t="s">
        <v>2328</v>
      </c>
      <c r="E80" t="s">
        <v>2038</v>
      </c>
      <c r="F80">
        <v>202107</v>
      </c>
      <c r="G80" t="s">
        <v>180</v>
      </c>
      <c r="H80">
        <v>311.8</v>
      </c>
      <c r="O80">
        <v>5366</v>
      </c>
      <c r="P80" t="s">
        <v>2327</v>
      </c>
      <c r="Q80">
        <v>385</v>
      </c>
      <c r="R80" t="s">
        <v>2328</v>
      </c>
      <c r="S80" t="s">
        <v>2038</v>
      </c>
      <c r="T80">
        <v>202111</v>
      </c>
      <c r="U80" t="s">
        <v>191</v>
      </c>
      <c r="V80">
        <v>41798</v>
      </c>
    </row>
    <row r="81" spans="1:22">
      <c r="A81">
        <v>5366</v>
      </c>
      <c r="B81" t="s">
        <v>2327</v>
      </c>
      <c r="C81">
        <v>385</v>
      </c>
      <c r="D81" t="s">
        <v>2328</v>
      </c>
      <c r="E81" t="s">
        <v>2038</v>
      </c>
      <c r="F81">
        <v>202107</v>
      </c>
      <c r="G81" t="s">
        <v>182</v>
      </c>
      <c r="H81">
        <v>133385</v>
      </c>
      <c r="O81">
        <v>5366</v>
      </c>
      <c r="P81" t="s">
        <v>2327</v>
      </c>
      <c r="Q81">
        <v>385</v>
      </c>
      <c r="R81" t="s">
        <v>2328</v>
      </c>
      <c r="S81" t="s">
        <v>2038</v>
      </c>
      <c r="T81">
        <v>202111</v>
      </c>
      <c r="U81" t="s">
        <v>178</v>
      </c>
      <c r="V81">
        <v>786.24</v>
      </c>
    </row>
    <row r="82" spans="1:22">
      <c r="A82">
        <v>5366</v>
      </c>
      <c r="B82" t="s">
        <v>2327</v>
      </c>
      <c r="C82">
        <v>385</v>
      </c>
      <c r="D82" t="s">
        <v>2328</v>
      </c>
      <c r="E82" t="s">
        <v>2038</v>
      </c>
      <c r="F82">
        <v>202107</v>
      </c>
      <c r="G82" t="s">
        <v>184</v>
      </c>
      <c r="H82">
        <v>16574</v>
      </c>
      <c r="O82">
        <v>5366</v>
      </c>
      <c r="P82" t="s">
        <v>2327</v>
      </c>
      <c r="Q82">
        <v>385</v>
      </c>
      <c r="R82" t="s">
        <v>2328</v>
      </c>
      <c r="S82" t="s">
        <v>2038</v>
      </c>
      <c r="T82">
        <v>202111</v>
      </c>
      <c r="U82" t="s">
        <v>180</v>
      </c>
      <c r="V82">
        <v>815.64</v>
      </c>
    </row>
    <row r="83" spans="1:22">
      <c r="A83">
        <v>5366</v>
      </c>
      <c r="B83" t="s">
        <v>2327</v>
      </c>
      <c r="C83">
        <v>385</v>
      </c>
      <c r="D83" t="s">
        <v>2328</v>
      </c>
      <c r="E83" t="s">
        <v>2038</v>
      </c>
      <c r="F83">
        <v>202107</v>
      </c>
      <c r="G83" t="s">
        <v>192</v>
      </c>
      <c r="H83">
        <v>0</v>
      </c>
      <c r="O83">
        <v>5366</v>
      </c>
      <c r="P83" t="s">
        <v>2327</v>
      </c>
      <c r="Q83">
        <v>385</v>
      </c>
      <c r="R83" t="s">
        <v>2328</v>
      </c>
      <c r="S83" t="s">
        <v>2038</v>
      </c>
      <c r="T83">
        <v>202111</v>
      </c>
      <c r="U83" t="s">
        <v>182</v>
      </c>
      <c r="V83">
        <v>276444</v>
      </c>
    </row>
    <row r="84" spans="1:22">
      <c r="A84">
        <v>5366</v>
      </c>
      <c r="B84" t="s">
        <v>2327</v>
      </c>
      <c r="C84">
        <v>385</v>
      </c>
      <c r="D84" t="s">
        <v>2328</v>
      </c>
      <c r="E84" t="s">
        <v>2038</v>
      </c>
      <c r="F84">
        <v>202107</v>
      </c>
      <c r="G84" t="s">
        <v>2172</v>
      </c>
      <c r="H84">
        <v>2489.81</v>
      </c>
      <c r="O84">
        <v>5366</v>
      </c>
      <c r="P84" t="s">
        <v>2327</v>
      </c>
      <c r="Q84">
        <v>385</v>
      </c>
      <c r="R84" t="s">
        <v>2328</v>
      </c>
      <c r="S84" t="s">
        <v>2038</v>
      </c>
      <c r="T84">
        <v>202111</v>
      </c>
      <c r="U84" t="s">
        <v>184</v>
      </c>
      <c r="V84">
        <v>41798</v>
      </c>
    </row>
    <row r="85" spans="1:22">
      <c r="A85">
        <v>5366</v>
      </c>
      <c r="B85" t="s">
        <v>2327</v>
      </c>
      <c r="C85">
        <v>385</v>
      </c>
      <c r="D85" t="s">
        <v>2328</v>
      </c>
      <c r="E85" t="s">
        <v>2038</v>
      </c>
      <c r="F85">
        <v>202107</v>
      </c>
      <c r="G85" t="s">
        <v>186</v>
      </c>
      <c r="H85">
        <v>0</v>
      </c>
      <c r="O85">
        <v>5366</v>
      </c>
      <c r="P85" t="s">
        <v>2327</v>
      </c>
      <c r="Q85">
        <v>385</v>
      </c>
      <c r="R85" t="s">
        <v>2328</v>
      </c>
      <c r="S85" t="s">
        <v>2038</v>
      </c>
      <c r="T85">
        <v>202111</v>
      </c>
      <c r="U85" t="s">
        <v>186</v>
      </c>
      <c r="V85">
        <v>0</v>
      </c>
    </row>
    <row r="86" spans="1:22">
      <c r="A86">
        <v>5366</v>
      </c>
      <c r="B86" t="s">
        <v>2327</v>
      </c>
      <c r="C86">
        <v>385</v>
      </c>
      <c r="D86" t="s">
        <v>2328</v>
      </c>
      <c r="E86" t="s">
        <v>2038</v>
      </c>
      <c r="F86">
        <v>202107</v>
      </c>
      <c r="G86" t="s">
        <v>2171</v>
      </c>
      <c r="H86">
        <v>252.06</v>
      </c>
      <c r="O86">
        <v>5366</v>
      </c>
      <c r="P86" t="s">
        <v>2327</v>
      </c>
      <c r="Q86">
        <v>385</v>
      </c>
      <c r="R86" t="s">
        <v>2328</v>
      </c>
      <c r="S86" t="s">
        <v>2038</v>
      </c>
      <c r="T86">
        <v>202111</v>
      </c>
      <c r="U86" t="s">
        <v>190</v>
      </c>
      <c r="V86">
        <v>59509</v>
      </c>
    </row>
    <row r="87" spans="1:22">
      <c r="A87">
        <v>5366</v>
      </c>
      <c r="B87" t="s">
        <v>2327</v>
      </c>
      <c r="C87">
        <v>385</v>
      </c>
      <c r="D87" t="s">
        <v>2328</v>
      </c>
      <c r="E87" t="s">
        <v>2038</v>
      </c>
      <c r="F87">
        <v>202107</v>
      </c>
      <c r="G87" t="s">
        <v>2168</v>
      </c>
      <c r="H87">
        <v>13.66</v>
      </c>
      <c r="O87">
        <v>5366</v>
      </c>
      <c r="P87" t="s">
        <v>2327</v>
      </c>
      <c r="Q87">
        <v>385</v>
      </c>
      <c r="R87" t="s">
        <v>2328</v>
      </c>
      <c r="S87" t="s">
        <v>2038</v>
      </c>
      <c r="T87">
        <v>202111</v>
      </c>
      <c r="U87" t="s">
        <v>191</v>
      </c>
      <c r="V87">
        <v>8818</v>
      </c>
    </row>
    <row r="88" spans="1:22">
      <c r="A88">
        <v>5366</v>
      </c>
      <c r="B88" t="s">
        <v>2327</v>
      </c>
      <c r="C88">
        <v>385</v>
      </c>
      <c r="D88" t="s">
        <v>2328</v>
      </c>
      <c r="E88" t="s">
        <v>2038</v>
      </c>
      <c r="F88">
        <v>202107</v>
      </c>
      <c r="G88" t="s">
        <v>2169</v>
      </c>
      <c r="H88">
        <v>19.399999999999999</v>
      </c>
      <c r="O88">
        <v>5366</v>
      </c>
      <c r="P88" t="s">
        <v>2327</v>
      </c>
      <c r="Q88">
        <v>385</v>
      </c>
      <c r="R88" t="s">
        <v>2328</v>
      </c>
      <c r="S88" t="s">
        <v>2038</v>
      </c>
      <c r="T88">
        <v>202111</v>
      </c>
      <c r="U88" t="s">
        <v>178</v>
      </c>
      <c r="V88">
        <v>297.36</v>
      </c>
    </row>
    <row r="89" spans="1:22">
      <c r="A89">
        <v>5366</v>
      </c>
      <c r="B89" t="s">
        <v>2327</v>
      </c>
      <c r="C89">
        <v>385</v>
      </c>
      <c r="D89" t="s">
        <v>2328</v>
      </c>
      <c r="E89" t="s">
        <v>2038</v>
      </c>
      <c r="F89">
        <v>202107</v>
      </c>
      <c r="G89" t="s">
        <v>2170</v>
      </c>
      <c r="H89">
        <v>11.5</v>
      </c>
      <c r="O89">
        <v>5366</v>
      </c>
      <c r="P89" t="s">
        <v>2327</v>
      </c>
      <c r="Q89">
        <v>385</v>
      </c>
      <c r="R89" t="s">
        <v>2328</v>
      </c>
      <c r="S89" t="s">
        <v>2038</v>
      </c>
      <c r="T89">
        <v>202111</v>
      </c>
      <c r="U89" t="s">
        <v>180</v>
      </c>
      <c r="V89">
        <v>202.1</v>
      </c>
    </row>
    <row r="90" spans="1:22">
      <c r="A90">
        <v>5366</v>
      </c>
      <c r="B90" t="s">
        <v>2327</v>
      </c>
      <c r="C90">
        <v>385</v>
      </c>
      <c r="D90" t="s">
        <v>2328</v>
      </c>
      <c r="E90" t="s">
        <v>2038</v>
      </c>
      <c r="F90">
        <v>202107</v>
      </c>
      <c r="G90" t="s">
        <v>2173</v>
      </c>
      <c r="H90">
        <v>52527.63</v>
      </c>
      <c r="O90">
        <v>5366</v>
      </c>
      <c r="P90" t="s">
        <v>2327</v>
      </c>
      <c r="Q90">
        <v>385</v>
      </c>
      <c r="R90" t="s">
        <v>2328</v>
      </c>
      <c r="S90" t="s">
        <v>2038</v>
      </c>
      <c r="T90">
        <v>202111</v>
      </c>
      <c r="U90" t="s">
        <v>182</v>
      </c>
      <c r="V90">
        <v>59509</v>
      </c>
    </row>
    <row r="91" spans="1:22">
      <c r="A91">
        <v>5366</v>
      </c>
      <c r="B91" t="s">
        <v>2327</v>
      </c>
      <c r="C91">
        <v>385</v>
      </c>
      <c r="D91" t="s">
        <v>2328</v>
      </c>
      <c r="E91" t="s">
        <v>2038</v>
      </c>
      <c r="F91">
        <v>202107</v>
      </c>
      <c r="G91" t="s">
        <v>190</v>
      </c>
      <c r="H91">
        <v>55743</v>
      </c>
      <c r="O91">
        <v>5366</v>
      </c>
      <c r="P91" t="s">
        <v>2327</v>
      </c>
      <c r="Q91">
        <v>385</v>
      </c>
      <c r="R91" t="s">
        <v>2328</v>
      </c>
      <c r="S91" t="s">
        <v>2038</v>
      </c>
      <c r="T91">
        <v>202111</v>
      </c>
      <c r="U91" t="s">
        <v>184</v>
      </c>
      <c r="V91">
        <v>8818</v>
      </c>
    </row>
    <row r="92" spans="1:22">
      <c r="A92">
        <v>5366</v>
      </c>
      <c r="B92" t="s">
        <v>2327</v>
      </c>
      <c r="C92">
        <v>385</v>
      </c>
      <c r="D92" t="s">
        <v>2328</v>
      </c>
      <c r="E92" t="s">
        <v>2038</v>
      </c>
      <c r="F92">
        <v>202107</v>
      </c>
      <c r="G92" t="s">
        <v>191</v>
      </c>
      <c r="H92">
        <v>8191</v>
      </c>
      <c r="O92">
        <v>5366</v>
      </c>
      <c r="P92" t="s">
        <v>2327</v>
      </c>
      <c r="Q92">
        <v>385</v>
      </c>
      <c r="R92" t="s">
        <v>2328</v>
      </c>
      <c r="S92" t="s">
        <v>2038</v>
      </c>
      <c r="T92">
        <v>202111</v>
      </c>
      <c r="U92" t="s">
        <v>186</v>
      </c>
      <c r="V92">
        <v>0</v>
      </c>
    </row>
    <row r="93" spans="1:22">
      <c r="A93">
        <v>5366</v>
      </c>
      <c r="B93" t="s">
        <v>2327</v>
      </c>
      <c r="C93">
        <v>385</v>
      </c>
      <c r="D93" t="s">
        <v>2328</v>
      </c>
      <c r="E93" t="s">
        <v>2038</v>
      </c>
      <c r="F93">
        <v>202107</v>
      </c>
      <c r="G93" t="s">
        <v>176</v>
      </c>
      <c r="H93">
        <v>0</v>
      </c>
      <c r="O93">
        <v>5366</v>
      </c>
      <c r="P93" t="s">
        <v>2327</v>
      </c>
      <c r="Q93">
        <v>385</v>
      </c>
      <c r="R93" t="s">
        <v>2328</v>
      </c>
      <c r="S93" t="s">
        <v>2038</v>
      </c>
      <c r="T93">
        <v>202111</v>
      </c>
      <c r="U93" t="s">
        <v>190</v>
      </c>
      <c r="V93">
        <v>142877</v>
      </c>
    </row>
    <row r="94" spans="1:22">
      <c r="A94">
        <v>5366</v>
      </c>
      <c r="B94" t="s">
        <v>2327</v>
      </c>
      <c r="C94">
        <v>385</v>
      </c>
      <c r="D94" t="s">
        <v>2328</v>
      </c>
      <c r="E94" t="s">
        <v>2038</v>
      </c>
      <c r="F94">
        <v>202107</v>
      </c>
      <c r="G94" t="s">
        <v>178</v>
      </c>
      <c r="H94">
        <v>207.14</v>
      </c>
      <c r="O94">
        <v>5366</v>
      </c>
      <c r="P94" t="s">
        <v>2327</v>
      </c>
      <c r="Q94">
        <v>385</v>
      </c>
      <c r="R94" t="s">
        <v>2328</v>
      </c>
      <c r="S94" t="s">
        <v>2038</v>
      </c>
      <c r="T94">
        <v>202111</v>
      </c>
      <c r="U94" t="s">
        <v>191</v>
      </c>
      <c r="V94">
        <v>15413</v>
      </c>
    </row>
    <row r="95" spans="1:22">
      <c r="A95">
        <v>5366</v>
      </c>
      <c r="B95" t="s">
        <v>2327</v>
      </c>
      <c r="C95">
        <v>385</v>
      </c>
      <c r="D95" t="s">
        <v>2328</v>
      </c>
      <c r="E95" t="s">
        <v>2038</v>
      </c>
      <c r="F95">
        <v>202107</v>
      </c>
      <c r="G95" t="s">
        <v>180</v>
      </c>
      <c r="H95">
        <v>174.88</v>
      </c>
      <c r="O95">
        <v>5366</v>
      </c>
      <c r="P95" t="s">
        <v>2327</v>
      </c>
      <c r="Q95">
        <v>385</v>
      </c>
      <c r="R95" t="s">
        <v>2328</v>
      </c>
      <c r="S95" t="s">
        <v>2038</v>
      </c>
      <c r="T95">
        <v>202111</v>
      </c>
      <c r="U95" t="s">
        <v>178</v>
      </c>
      <c r="V95">
        <v>327.60000000000002</v>
      </c>
    </row>
    <row r="96" spans="1:22">
      <c r="A96">
        <v>5366</v>
      </c>
      <c r="B96" t="s">
        <v>2327</v>
      </c>
      <c r="C96">
        <v>385</v>
      </c>
      <c r="D96" t="s">
        <v>2328</v>
      </c>
      <c r="E96" t="s">
        <v>2038</v>
      </c>
      <c r="F96">
        <v>202107</v>
      </c>
      <c r="G96" t="s">
        <v>182</v>
      </c>
      <c r="H96">
        <v>55743</v>
      </c>
      <c r="O96">
        <v>5366</v>
      </c>
      <c r="P96" t="s">
        <v>2327</v>
      </c>
      <c r="Q96">
        <v>385</v>
      </c>
      <c r="R96" t="s">
        <v>2328</v>
      </c>
      <c r="S96" t="s">
        <v>2038</v>
      </c>
      <c r="T96">
        <v>202111</v>
      </c>
      <c r="U96" t="s">
        <v>180</v>
      </c>
      <c r="V96">
        <v>318.19</v>
      </c>
    </row>
    <row r="97" spans="1:22">
      <c r="A97">
        <v>5366</v>
      </c>
      <c r="B97" t="s">
        <v>2327</v>
      </c>
      <c r="C97">
        <v>385</v>
      </c>
      <c r="D97" t="s">
        <v>2328</v>
      </c>
      <c r="E97" t="s">
        <v>2038</v>
      </c>
      <c r="F97">
        <v>202107</v>
      </c>
      <c r="G97" t="s">
        <v>184</v>
      </c>
      <c r="H97">
        <v>8191</v>
      </c>
      <c r="O97">
        <v>5366</v>
      </c>
      <c r="P97" t="s">
        <v>2327</v>
      </c>
      <c r="Q97">
        <v>385</v>
      </c>
      <c r="R97" t="s">
        <v>2328</v>
      </c>
      <c r="S97" t="s">
        <v>2038</v>
      </c>
      <c r="T97">
        <v>202111</v>
      </c>
      <c r="U97" t="s">
        <v>182</v>
      </c>
      <c r="V97">
        <v>142877</v>
      </c>
    </row>
    <row r="98" spans="1:22">
      <c r="A98">
        <v>5366</v>
      </c>
      <c r="B98" t="s">
        <v>2327</v>
      </c>
      <c r="C98">
        <v>385</v>
      </c>
      <c r="D98" t="s">
        <v>2328</v>
      </c>
      <c r="E98" t="s">
        <v>2038</v>
      </c>
      <c r="F98">
        <v>202107</v>
      </c>
      <c r="G98" t="s">
        <v>192</v>
      </c>
      <c r="H98">
        <v>0</v>
      </c>
      <c r="O98">
        <v>5366</v>
      </c>
      <c r="P98" t="s">
        <v>2327</v>
      </c>
      <c r="Q98">
        <v>385</v>
      </c>
      <c r="R98" t="s">
        <v>2328</v>
      </c>
      <c r="S98" t="s">
        <v>2038</v>
      </c>
      <c r="T98">
        <v>202111</v>
      </c>
      <c r="U98" t="s">
        <v>184</v>
      </c>
      <c r="V98">
        <v>15413</v>
      </c>
    </row>
    <row r="99" spans="1:22">
      <c r="A99">
        <v>5366</v>
      </c>
      <c r="B99" t="s">
        <v>2327</v>
      </c>
      <c r="C99">
        <v>385</v>
      </c>
      <c r="D99" t="s">
        <v>2328</v>
      </c>
      <c r="E99" t="s">
        <v>2038</v>
      </c>
      <c r="F99">
        <v>202107</v>
      </c>
      <c r="G99" t="s">
        <v>2172</v>
      </c>
      <c r="H99">
        <v>1209.6600000000001</v>
      </c>
      <c r="O99">
        <v>5366</v>
      </c>
      <c r="P99" t="s">
        <v>2327</v>
      </c>
      <c r="Q99">
        <v>385</v>
      </c>
      <c r="R99" t="s">
        <v>2328</v>
      </c>
      <c r="S99" t="s">
        <v>2038</v>
      </c>
      <c r="T99">
        <v>202111</v>
      </c>
      <c r="U99" t="s">
        <v>186</v>
      </c>
      <c r="V99">
        <v>0</v>
      </c>
    </row>
    <row r="100" spans="1:22">
      <c r="A100">
        <v>5366</v>
      </c>
      <c r="B100" t="s">
        <v>2327</v>
      </c>
      <c r="C100">
        <v>385</v>
      </c>
      <c r="D100" t="s">
        <v>2328</v>
      </c>
      <c r="E100" t="s">
        <v>2038</v>
      </c>
      <c r="F100">
        <v>202107</v>
      </c>
      <c r="G100" t="s">
        <v>186</v>
      </c>
      <c r="H100">
        <v>0</v>
      </c>
      <c r="O100">
        <v>5366</v>
      </c>
      <c r="P100" t="s">
        <v>2327</v>
      </c>
      <c r="Q100">
        <v>385</v>
      </c>
      <c r="R100" t="s">
        <v>2328</v>
      </c>
      <c r="S100" t="s">
        <v>2038</v>
      </c>
      <c r="T100">
        <v>202111</v>
      </c>
      <c r="U100" t="s">
        <v>190</v>
      </c>
      <c r="V100">
        <v>364305</v>
      </c>
    </row>
    <row r="101" spans="1:22">
      <c r="A101">
        <v>5366</v>
      </c>
      <c r="B101" t="s">
        <v>2327</v>
      </c>
      <c r="C101">
        <v>385</v>
      </c>
      <c r="D101" t="s">
        <v>2328</v>
      </c>
      <c r="E101" t="s">
        <v>2038</v>
      </c>
      <c r="F101">
        <v>202107</v>
      </c>
      <c r="G101" t="s">
        <v>2171</v>
      </c>
      <c r="H101">
        <v>252.06</v>
      </c>
      <c r="O101">
        <v>5366</v>
      </c>
      <c r="P101" t="s">
        <v>2327</v>
      </c>
      <c r="Q101">
        <v>385</v>
      </c>
      <c r="R101" t="s">
        <v>2328</v>
      </c>
      <c r="S101" t="s">
        <v>2038</v>
      </c>
      <c r="T101">
        <v>202111</v>
      </c>
      <c r="U101" t="s">
        <v>191</v>
      </c>
      <c r="V101">
        <v>42043</v>
      </c>
    </row>
    <row r="102" spans="1:22">
      <c r="A102">
        <v>5366</v>
      </c>
      <c r="B102" t="s">
        <v>2327</v>
      </c>
      <c r="C102">
        <v>385</v>
      </c>
      <c r="D102" t="s">
        <v>2328</v>
      </c>
      <c r="E102" t="s">
        <v>2038</v>
      </c>
      <c r="F102">
        <v>202107</v>
      </c>
      <c r="G102" t="s">
        <v>2168</v>
      </c>
      <c r="H102">
        <v>13.66</v>
      </c>
      <c r="O102">
        <v>5366</v>
      </c>
      <c r="P102" t="s">
        <v>2327</v>
      </c>
      <c r="Q102">
        <v>385</v>
      </c>
      <c r="R102" t="s">
        <v>2328</v>
      </c>
      <c r="S102" t="s">
        <v>2038</v>
      </c>
      <c r="T102">
        <v>202111</v>
      </c>
      <c r="U102" t="s">
        <v>178</v>
      </c>
      <c r="V102">
        <v>2331.56</v>
      </c>
    </row>
    <row r="103" spans="1:22">
      <c r="A103">
        <v>5366</v>
      </c>
      <c r="B103" t="s">
        <v>2327</v>
      </c>
      <c r="C103">
        <v>385</v>
      </c>
      <c r="D103" t="s">
        <v>2328</v>
      </c>
      <c r="E103" t="s">
        <v>2038</v>
      </c>
      <c r="F103">
        <v>202107</v>
      </c>
      <c r="G103" t="s">
        <v>2169</v>
      </c>
      <c r="H103">
        <v>19.399999999999999</v>
      </c>
      <c r="O103">
        <v>5366</v>
      </c>
      <c r="P103" t="s">
        <v>2327</v>
      </c>
      <c r="Q103">
        <v>385</v>
      </c>
      <c r="R103" t="s">
        <v>2328</v>
      </c>
      <c r="S103" t="s">
        <v>2038</v>
      </c>
      <c r="T103">
        <v>202111</v>
      </c>
      <c r="U103" t="s">
        <v>180</v>
      </c>
      <c r="V103">
        <v>2143.6799999999998</v>
      </c>
    </row>
    <row r="104" spans="1:22">
      <c r="A104">
        <v>5366</v>
      </c>
      <c r="B104" t="s">
        <v>2327</v>
      </c>
      <c r="C104">
        <v>385</v>
      </c>
      <c r="D104" t="s">
        <v>2328</v>
      </c>
      <c r="E104" t="s">
        <v>2038</v>
      </c>
      <c r="F104">
        <v>202107</v>
      </c>
      <c r="G104" t="s">
        <v>2170</v>
      </c>
      <c r="H104">
        <v>11.5</v>
      </c>
      <c r="O104">
        <v>5366</v>
      </c>
      <c r="P104" t="s">
        <v>2327</v>
      </c>
      <c r="Q104">
        <v>385</v>
      </c>
      <c r="R104" t="s">
        <v>2328</v>
      </c>
      <c r="S104" t="s">
        <v>2038</v>
      </c>
      <c r="T104">
        <v>202111</v>
      </c>
      <c r="U104" t="s">
        <v>182</v>
      </c>
      <c r="V104">
        <v>1123248</v>
      </c>
    </row>
    <row r="105" spans="1:22">
      <c r="A105">
        <v>5366</v>
      </c>
      <c r="B105" t="s">
        <v>2327</v>
      </c>
      <c r="C105">
        <v>385</v>
      </c>
      <c r="D105" t="s">
        <v>2328</v>
      </c>
      <c r="E105" t="s">
        <v>2038</v>
      </c>
      <c r="F105">
        <v>202107</v>
      </c>
      <c r="G105" t="s">
        <v>2173</v>
      </c>
      <c r="H105">
        <v>25520.13</v>
      </c>
      <c r="O105">
        <v>5366</v>
      </c>
      <c r="P105" t="s">
        <v>2327</v>
      </c>
      <c r="Q105">
        <v>385</v>
      </c>
      <c r="R105" t="s">
        <v>2328</v>
      </c>
      <c r="S105" t="s">
        <v>2038</v>
      </c>
      <c r="T105">
        <v>202111</v>
      </c>
      <c r="U105" t="s">
        <v>184</v>
      </c>
      <c r="V105">
        <v>110474</v>
      </c>
    </row>
    <row r="106" spans="1:22">
      <c r="A106">
        <v>5366</v>
      </c>
      <c r="B106" t="s">
        <v>2327</v>
      </c>
      <c r="C106">
        <v>385</v>
      </c>
      <c r="D106" t="s">
        <v>2328</v>
      </c>
      <c r="E106" t="s">
        <v>2038</v>
      </c>
      <c r="F106">
        <v>202107</v>
      </c>
      <c r="G106" t="s">
        <v>190</v>
      </c>
      <c r="H106">
        <v>255948</v>
      </c>
      <c r="O106">
        <v>5366</v>
      </c>
      <c r="P106" t="s">
        <v>2327</v>
      </c>
      <c r="Q106">
        <v>385</v>
      </c>
      <c r="R106" t="s">
        <v>2328</v>
      </c>
      <c r="S106" t="s">
        <v>2038</v>
      </c>
      <c r="T106">
        <v>202111</v>
      </c>
      <c r="U106" t="s">
        <v>186</v>
      </c>
      <c r="V106">
        <v>0</v>
      </c>
    </row>
    <row r="107" spans="1:22">
      <c r="A107">
        <v>5366</v>
      </c>
      <c r="B107" t="s">
        <v>2327</v>
      </c>
      <c r="C107">
        <v>385</v>
      </c>
      <c r="D107" t="s">
        <v>2328</v>
      </c>
      <c r="E107" t="s">
        <v>2038</v>
      </c>
      <c r="F107">
        <v>202107</v>
      </c>
      <c r="G107" t="s">
        <v>191</v>
      </c>
      <c r="H107">
        <v>43606</v>
      </c>
      <c r="O107">
        <v>5366</v>
      </c>
      <c r="P107" t="s">
        <v>2327</v>
      </c>
      <c r="Q107">
        <v>385</v>
      </c>
      <c r="R107" t="s">
        <v>2328</v>
      </c>
      <c r="S107" t="s">
        <v>2038</v>
      </c>
      <c r="T107">
        <v>202112</v>
      </c>
      <c r="U107" t="s">
        <v>190</v>
      </c>
      <c r="V107">
        <v>164388</v>
      </c>
    </row>
    <row r="108" spans="1:22">
      <c r="A108">
        <v>5366</v>
      </c>
      <c r="B108" t="s">
        <v>2327</v>
      </c>
      <c r="C108">
        <v>385</v>
      </c>
      <c r="D108" t="s">
        <v>2328</v>
      </c>
      <c r="E108" t="s">
        <v>2038</v>
      </c>
      <c r="F108">
        <v>202107</v>
      </c>
      <c r="G108" t="s">
        <v>176</v>
      </c>
      <c r="H108">
        <v>0</v>
      </c>
      <c r="O108">
        <v>5366</v>
      </c>
      <c r="P108" t="s">
        <v>2327</v>
      </c>
      <c r="Q108">
        <v>385</v>
      </c>
      <c r="R108" t="s">
        <v>2328</v>
      </c>
      <c r="S108" t="s">
        <v>2038</v>
      </c>
      <c r="T108">
        <v>202112</v>
      </c>
      <c r="U108" t="s">
        <v>191</v>
      </c>
      <c r="V108">
        <v>26148</v>
      </c>
    </row>
    <row r="109" spans="1:22">
      <c r="A109">
        <v>5366</v>
      </c>
      <c r="B109" t="s">
        <v>2327</v>
      </c>
      <c r="C109">
        <v>385</v>
      </c>
      <c r="D109" t="s">
        <v>2328</v>
      </c>
      <c r="E109" t="s">
        <v>2038</v>
      </c>
      <c r="F109">
        <v>202107</v>
      </c>
      <c r="G109" t="s">
        <v>178</v>
      </c>
      <c r="H109">
        <v>787.92</v>
      </c>
      <c r="O109">
        <v>5366</v>
      </c>
      <c r="P109" t="s">
        <v>2327</v>
      </c>
      <c r="Q109">
        <v>385</v>
      </c>
      <c r="R109" t="s">
        <v>2328</v>
      </c>
      <c r="S109" t="s">
        <v>2038</v>
      </c>
      <c r="T109">
        <v>202112</v>
      </c>
      <c r="U109" t="s">
        <v>178</v>
      </c>
      <c r="V109">
        <v>570.52</v>
      </c>
    </row>
    <row r="110" spans="1:22">
      <c r="A110">
        <v>5366</v>
      </c>
      <c r="B110" t="s">
        <v>2327</v>
      </c>
      <c r="C110">
        <v>385</v>
      </c>
      <c r="D110" t="s">
        <v>2328</v>
      </c>
      <c r="E110" t="s">
        <v>2038</v>
      </c>
      <c r="F110">
        <v>202107</v>
      </c>
      <c r="G110" t="s">
        <v>180</v>
      </c>
      <c r="H110">
        <v>840.84</v>
      </c>
      <c r="O110">
        <v>5366</v>
      </c>
      <c r="P110" t="s">
        <v>2327</v>
      </c>
      <c r="Q110">
        <v>385</v>
      </c>
      <c r="R110" t="s">
        <v>2328</v>
      </c>
      <c r="S110" t="s">
        <v>2038</v>
      </c>
      <c r="T110">
        <v>202112</v>
      </c>
      <c r="U110" t="s">
        <v>180</v>
      </c>
      <c r="V110">
        <v>554.4</v>
      </c>
    </row>
    <row r="111" spans="1:22">
      <c r="A111">
        <v>5366</v>
      </c>
      <c r="B111" t="s">
        <v>2327</v>
      </c>
      <c r="C111">
        <v>385</v>
      </c>
      <c r="D111" t="s">
        <v>2328</v>
      </c>
      <c r="E111" t="s">
        <v>2038</v>
      </c>
      <c r="F111">
        <v>202107</v>
      </c>
      <c r="G111" t="s">
        <v>182</v>
      </c>
      <c r="H111">
        <v>255948</v>
      </c>
      <c r="O111">
        <v>5366</v>
      </c>
      <c r="P111" t="s">
        <v>2327</v>
      </c>
      <c r="Q111">
        <v>385</v>
      </c>
      <c r="R111" t="s">
        <v>2328</v>
      </c>
      <c r="S111" t="s">
        <v>2038</v>
      </c>
      <c r="T111">
        <v>202112</v>
      </c>
      <c r="U111" t="s">
        <v>182</v>
      </c>
      <c r="V111">
        <v>198643</v>
      </c>
    </row>
    <row r="112" spans="1:22">
      <c r="A112">
        <v>5366</v>
      </c>
      <c r="B112" t="s">
        <v>2327</v>
      </c>
      <c r="C112">
        <v>385</v>
      </c>
      <c r="D112" t="s">
        <v>2328</v>
      </c>
      <c r="E112" t="s">
        <v>2038</v>
      </c>
      <c r="F112">
        <v>202107</v>
      </c>
      <c r="G112" t="s">
        <v>184</v>
      </c>
      <c r="H112">
        <v>43606</v>
      </c>
      <c r="O112">
        <v>5366</v>
      </c>
      <c r="P112" t="s">
        <v>2327</v>
      </c>
      <c r="Q112">
        <v>385</v>
      </c>
      <c r="R112" t="s">
        <v>2328</v>
      </c>
      <c r="S112" t="s">
        <v>2038</v>
      </c>
      <c r="T112">
        <v>202112</v>
      </c>
      <c r="U112" t="s">
        <v>184</v>
      </c>
      <c r="V112">
        <v>26148</v>
      </c>
    </row>
    <row r="113" spans="1:22">
      <c r="A113">
        <v>5366</v>
      </c>
      <c r="B113" t="s">
        <v>2327</v>
      </c>
      <c r="C113">
        <v>385</v>
      </c>
      <c r="D113" t="s">
        <v>2328</v>
      </c>
      <c r="E113" t="s">
        <v>2038</v>
      </c>
      <c r="F113">
        <v>202107</v>
      </c>
      <c r="G113" t="s">
        <v>192</v>
      </c>
      <c r="H113">
        <v>0</v>
      </c>
      <c r="O113">
        <v>5366</v>
      </c>
      <c r="P113" t="s">
        <v>2327</v>
      </c>
      <c r="Q113">
        <v>385</v>
      </c>
      <c r="R113" t="s">
        <v>2328</v>
      </c>
      <c r="S113" t="s">
        <v>2038</v>
      </c>
      <c r="T113">
        <v>202112</v>
      </c>
      <c r="U113" t="s">
        <v>186</v>
      </c>
      <c r="V113">
        <v>34255</v>
      </c>
    </row>
    <row r="114" spans="1:22">
      <c r="A114">
        <v>5366</v>
      </c>
      <c r="B114" t="s">
        <v>2327</v>
      </c>
      <c r="C114">
        <v>385</v>
      </c>
      <c r="D114" t="s">
        <v>2328</v>
      </c>
      <c r="E114" t="s">
        <v>2038</v>
      </c>
      <c r="F114">
        <v>202107</v>
      </c>
      <c r="G114" t="s">
        <v>2172</v>
      </c>
      <c r="H114">
        <v>5338.57</v>
      </c>
      <c r="O114">
        <v>5366</v>
      </c>
      <c r="P114" t="s">
        <v>2327</v>
      </c>
      <c r="Q114">
        <v>385</v>
      </c>
      <c r="R114" t="s">
        <v>2328</v>
      </c>
      <c r="S114" t="s">
        <v>2038</v>
      </c>
      <c r="T114">
        <v>202112</v>
      </c>
      <c r="U114" t="s">
        <v>190</v>
      </c>
      <c r="V114">
        <v>144706</v>
      </c>
    </row>
    <row r="115" spans="1:22">
      <c r="A115">
        <v>5366</v>
      </c>
      <c r="B115" t="s">
        <v>2327</v>
      </c>
      <c r="C115">
        <v>385</v>
      </c>
      <c r="D115" t="s">
        <v>2328</v>
      </c>
      <c r="E115" t="s">
        <v>2038</v>
      </c>
      <c r="F115">
        <v>202107</v>
      </c>
      <c r="G115" t="s">
        <v>186</v>
      </c>
      <c r="H115">
        <v>0</v>
      </c>
      <c r="O115">
        <v>5366</v>
      </c>
      <c r="P115" t="s">
        <v>2327</v>
      </c>
      <c r="Q115">
        <v>385</v>
      </c>
      <c r="R115" t="s">
        <v>2328</v>
      </c>
      <c r="S115" t="s">
        <v>2038</v>
      </c>
      <c r="T115">
        <v>202112</v>
      </c>
      <c r="U115" t="s">
        <v>191</v>
      </c>
      <c r="V115">
        <v>16141</v>
      </c>
    </row>
    <row r="116" spans="1:22">
      <c r="A116">
        <v>5366</v>
      </c>
      <c r="B116" t="s">
        <v>2327</v>
      </c>
      <c r="C116">
        <v>385</v>
      </c>
      <c r="D116" t="s">
        <v>2328</v>
      </c>
      <c r="E116" t="s">
        <v>2038</v>
      </c>
      <c r="F116">
        <v>202107</v>
      </c>
      <c r="G116" t="s">
        <v>2171</v>
      </c>
      <c r="H116">
        <v>252.06</v>
      </c>
      <c r="O116">
        <v>5366</v>
      </c>
      <c r="P116" t="s">
        <v>2327</v>
      </c>
      <c r="Q116">
        <v>385</v>
      </c>
      <c r="R116" t="s">
        <v>2328</v>
      </c>
      <c r="S116" t="s">
        <v>2038</v>
      </c>
      <c r="T116">
        <v>202112</v>
      </c>
      <c r="U116" t="s">
        <v>178</v>
      </c>
      <c r="V116">
        <v>366.24</v>
      </c>
    </row>
    <row r="117" spans="1:22">
      <c r="A117">
        <v>5366</v>
      </c>
      <c r="B117" t="s">
        <v>2327</v>
      </c>
      <c r="C117">
        <v>385</v>
      </c>
      <c r="D117" t="s">
        <v>2328</v>
      </c>
      <c r="E117" t="s">
        <v>2038</v>
      </c>
      <c r="F117">
        <v>202107</v>
      </c>
      <c r="G117" t="s">
        <v>2168</v>
      </c>
      <c r="H117">
        <v>13.66</v>
      </c>
      <c r="O117">
        <v>5366</v>
      </c>
      <c r="P117" t="s">
        <v>2327</v>
      </c>
      <c r="Q117">
        <v>385</v>
      </c>
      <c r="R117" t="s">
        <v>2328</v>
      </c>
      <c r="S117" t="s">
        <v>2038</v>
      </c>
      <c r="T117">
        <v>202112</v>
      </c>
      <c r="U117" t="s">
        <v>180</v>
      </c>
      <c r="V117">
        <v>334.32</v>
      </c>
    </row>
    <row r="118" spans="1:22">
      <c r="A118">
        <v>5366</v>
      </c>
      <c r="B118" t="s">
        <v>2327</v>
      </c>
      <c r="C118">
        <v>385</v>
      </c>
      <c r="D118" t="s">
        <v>2328</v>
      </c>
      <c r="E118" t="s">
        <v>2038</v>
      </c>
      <c r="F118">
        <v>202107</v>
      </c>
      <c r="G118" t="s">
        <v>2169</v>
      </c>
      <c r="H118">
        <v>19.399999999999999</v>
      </c>
      <c r="O118">
        <v>5366</v>
      </c>
      <c r="P118" t="s">
        <v>2327</v>
      </c>
      <c r="Q118">
        <v>385</v>
      </c>
      <c r="R118" t="s">
        <v>2328</v>
      </c>
      <c r="S118" t="s">
        <v>2038</v>
      </c>
      <c r="T118">
        <v>202112</v>
      </c>
      <c r="U118" t="s">
        <v>182</v>
      </c>
      <c r="V118">
        <v>144706</v>
      </c>
    </row>
    <row r="119" spans="1:22">
      <c r="A119">
        <v>5366</v>
      </c>
      <c r="B119" t="s">
        <v>2327</v>
      </c>
      <c r="C119">
        <v>385</v>
      </c>
      <c r="D119" t="s">
        <v>2328</v>
      </c>
      <c r="E119" t="s">
        <v>2038</v>
      </c>
      <c r="F119">
        <v>202107</v>
      </c>
      <c r="G119" t="s">
        <v>2170</v>
      </c>
      <c r="H119">
        <v>11.5</v>
      </c>
      <c r="O119">
        <v>5366</v>
      </c>
      <c r="P119" t="s">
        <v>2327</v>
      </c>
      <c r="Q119">
        <v>385</v>
      </c>
      <c r="R119" t="s">
        <v>2328</v>
      </c>
      <c r="S119" t="s">
        <v>2038</v>
      </c>
      <c r="T119">
        <v>202112</v>
      </c>
      <c r="U119" t="s">
        <v>184</v>
      </c>
      <c r="V119">
        <v>16141</v>
      </c>
    </row>
    <row r="120" spans="1:22">
      <c r="A120">
        <v>5366</v>
      </c>
      <c r="B120" t="s">
        <v>2327</v>
      </c>
      <c r="C120">
        <v>385</v>
      </c>
      <c r="D120" t="s">
        <v>2328</v>
      </c>
      <c r="E120" t="s">
        <v>2038</v>
      </c>
      <c r="F120">
        <v>202107</v>
      </c>
      <c r="G120" t="s">
        <v>2173</v>
      </c>
      <c r="H120">
        <v>112628.16</v>
      </c>
      <c r="O120">
        <v>5366</v>
      </c>
      <c r="P120" t="s">
        <v>2327</v>
      </c>
      <c r="Q120">
        <v>385</v>
      </c>
      <c r="R120" t="s">
        <v>2328</v>
      </c>
      <c r="S120" t="s">
        <v>2038</v>
      </c>
      <c r="T120">
        <v>202112</v>
      </c>
      <c r="U120" t="s">
        <v>186</v>
      </c>
      <c r="V120">
        <v>0</v>
      </c>
    </row>
    <row r="121" spans="1:22">
      <c r="A121">
        <v>5366</v>
      </c>
      <c r="B121" t="s">
        <v>2327</v>
      </c>
      <c r="C121">
        <v>385</v>
      </c>
      <c r="D121" t="s">
        <v>2328</v>
      </c>
      <c r="E121" t="s">
        <v>2038</v>
      </c>
      <c r="F121">
        <v>202107</v>
      </c>
      <c r="G121" t="s">
        <v>190</v>
      </c>
      <c r="H121">
        <v>151442</v>
      </c>
      <c r="O121">
        <v>5366</v>
      </c>
      <c r="P121" t="s">
        <v>2327</v>
      </c>
      <c r="Q121">
        <v>385</v>
      </c>
      <c r="R121" t="s">
        <v>2328</v>
      </c>
      <c r="S121" t="s">
        <v>2038</v>
      </c>
      <c r="T121">
        <v>202112</v>
      </c>
      <c r="U121" t="s">
        <v>190</v>
      </c>
      <c r="V121">
        <v>59304</v>
      </c>
    </row>
    <row r="122" spans="1:22">
      <c r="A122">
        <v>5366</v>
      </c>
      <c r="B122" t="s">
        <v>2327</v>
      </c>
      <c r="C122">
        <v>385</v>
      </c>
      <c r="D122" t="s">
        <v>2328</v>
      </c>
      <c r="E122" t="s">
        <v>2038</v>
      </c>
      <c r="F122">
        <v>202107</v>
      </c>
      <c r="G122" t="s">
        <v>191</v>
      </c>
      <c r="H122">
        <v>28271</v>
      </c>
      <c r="O122">
        <v>5366</v>
      </c>
      <c r="P122" t="s">
        <v>2327</v>
      </c>
      <c r="Q122">
        <v>385</v>
      </c>
      <c r="R122" t="s">
        <v>2328</v>
      </c>
      <c r="S122" t="s">
        <v>2038</v>
      </c>
      <c r="T122">
        <v>202112</v>
      </c>
      <c r="U122" t="s">
        <v>191</v>
      </c>
      <c r="V122">
        <v>7470</v>
      </c>
    </row>
    <row r="123" spans="1:22">
      <c r="A123">
        <v>5366</v>
      </c>
      <c r="B123" t="s">
        <v>2327</v>
      </c>
      <c r="C123">
        <v>385</v>
      </c>
      <c r="D123" t="s">
        <v>2328</v>
      </c>
      <c r="E123" t="s">
        <v>2038</v>
      </c>
      <c r="F123">
        <v>202107</v>
      </c>
      <c r="G123" t="s">
        <v>176</v>
      </c>
      <c r="H123">
        <v>0</v>
      </c>
      <c r="O123">
        <v>5366</v>
      </c>
      <c r="P123" t="s">
        <v>2327</v>
      </c>
      <c r="Q123">
        <v>385</v>
      </c>
      <c r="R123" t="s">
        <v>2328</v>
      </c>
      <c r="S123" t="s">
        <v>2038</v>
      </c>
      <c r="T123">
        <v>202112</v>
      </c>
      <c r="U123" t="s">
        <v>178</v>
      </c>
      <c r="V123">
        <v>228.31</v>
      </c>
    </row>
    <row r="124" spans="1:22">
      <c r="A124">
        <v>5366</v>
      </c>
      <c r="B124" t="s">
        <v>2327</v>
      </c>
      <c r="C124">
        <v>385</v>
      </c>
      <c r="D124" t="s">
        <v>2328</v>
      </c>
      <c r="E124" t="s">
        <v>2038</v>
      </c>
      <c r="F124">
        <v>202107</v>
      </c>
      <c r="G124" t="s">
        <v>178</v>
      </c>
      <c r="H124">
        <v>558.92999999999995</v>
      </c>
      <c r="O124">
        <v>5366</v>
      </c>
      <c r="P124" t="s">
        <v>2327</v>
      </c>
      <c r="Q124">
        <v>385</v>
      </c>
      <c r="R124" t="s">
        <v>2328</v>
      </c>
      <c r="S124" t="s">
        <v>2038</v>
      </c>
      <c r="T124">
        <v>202112</v>
      </c>
      <c r="U124" t="s">
        <v>180</v>
      </c>
      <c r="V124">
        <v>170.35</v>
      </c>
    </row>
    <row r="125" spans="1:22">
      <c r="A125">
        <v>5366</v>
      </c>
      <c r="B125" t="s">
        <v>2327</v>
      </c>
      <c r="C125">
        <v>385</v>
      </c>
      <c r="D125" t="s">
        <v>2328</v>
      </c>
      <c r="E125" t="s">
        <v>2038</v>
      </c>
      <c r="F125">
        <v>202107</v>
      </c>
      <c r="G125" t="s">
        <v>180</v>
      </c>
      <c r="H125">
        <v>565.48</v>
      </c>
      <c r="O125">
        <v>5366</v>
      </c>
      <c r="P125" t="s">
        <v>2327</v>
      </c>
      <c r="Q125">
        <v>385</v>
      </c>
      <c r="R125" t="s">
        <v>2328</v>
      </c>
      <c r="S125" t="s">
        <v>2038</v>
      </c>
      <c r="T125">
        <v>202112</v>
      </c>
      <c r="U125" t="s">
        <v>182</v>
      </c>
      <c r="V125">
        <v>59304</v>
      </c>
    </row>
    <row r="126" spans="1:22">
      <c r="A126">
        <v>5366</v>
      </c>
      <c r="B126" t="s">
        <v>2327</v>
      </c>
      <c r="C126">
        <v>385</v>
      </c>
      <c r="D126" t="s">
        <v>2328</v>
      </c>
      <c r="E126" t="s">
        <v>2038</v>
      </c>
      <c r="F126">
        <v>202107</v>
      </c>
      <c r="G126" t="s">
        <v>182</v>
      </c>
      <c r="H126">
        <v>185405</v>
      </c>
      <c r="O126">
        <v>5366</v>
      </c>
      <c r="P126" t="s">
        <v>2327</v>
      </c>
      <c r="Q126">
        <v>385</v>
      </c>
      <c r="R126" t="s">
        <v>2328</v>
      </c>
      <c r="S126" t="s">
        <v>2038</v>
      </c>
      <c r="T126">
        <v>202112</v>
      </c>
      <c r="U126" t="s">
        <v>184</v>
      </c>
      <c r="V126">
        <v>7470</v>
      </c>
    </row>
    <row r="127" spans="1:22">
      <c r="A127">
        <v>5366</v>
      </c>
      <c r="B127" t="s">
        <v>2327</v>
      </c>
      <c r="C127">
        <v>385</v>
      </c>
      <c r="D127" t="s">
        <v>2328</v>
      </c>
      <c r="E127" t="s">
        <v>2038</v>
      </c>
      <c r="F127">
        <v>202107</v>
      </c>
      <c r="G127" t="s">
        <v>184</v>
      </c>
      <c r="H127">
        <v>28271</v>
      </c>
      <c r="O127">
        <v>5366</v>
      </c>
      <c r="P127" t="s">
        <v>2327</v>
      </c>
      <c r="Q127">
        <v>385</v>
      </c>
      <c r="R127" t="s">
        <v>2328</v>
      </c>
      <c r="S127" t="s">
        <v>2038</v>
      </c>
      <c r="T127">
        <v>202112</v>
      </c>
      <c r="U127" t="s">
        <v>186</v>
      </c>
      <c r="V127">
        <v>0</v>
      </c>
    </row>
    <row r="128" spans="1:22">
      <c r="A128">
        <v>5366</v>
      </c>
      <c r="B128" t="s">
        <v>2327</v>
      </c>
      <c r="C128">
        <v>385</v>
      </c>
      <c r="D128" t="s">
        <v>2328</v>
      </c>
      <c r="E128" t="s">
        <v>2038</v>
      </c>
      <c r="F128">
        <v>202107</v>
      </c>
      <c r="G128" t="s">
        <v>192</v>
      </c>
      <c r="H128">
        <v>0</v>
      </c>
      <c r="O128">
        <v>5366</v>
      </c>
      <c r="P128" t="s">
        <v>2327</v>
      </c>
      <c r="Q128">
        <v>385</v>
      </c>
      <c r="R128" t="s">
        <v>2328</v>
      </c>
      <c r="S128" t="s">
        <v>2038</v>
      </c>
      <c r="T128">
        <v>202112</v>
      </c>
      <c r="U128" t="s">
        <v>190</v>
      </c>
      <c r="V128">
        <v>283624</v>
      </c>
    </row>
    <row r="129" spans="1:22">
      <c r="A129">
        <v>5366</v>
      </c>
      <c r="B129" t="s">
        <v>2327</v>
      </c>
      <c r="C129">
        <v>385</v>
      </c>
      <c r="D129" t="s">
        <v>2328</v>
      </c>
      <c r="E129" t="s">
        <v>2038</v>
      </c>
      <c r="F129">
        <v>202107</v>
      </c>
      <c r="G129" t="s">
        <v>2172</v>
      </c>
      <c r="H129">
        <v>3302.04</v>
      </c>
      <c r="O129">
        <v>5366</v>
      </c>
      <c r="P129" t="s">
        <v>2327</v>
      </c>
      <c r="Q129">
        <v>385</v>
      </c>
      <c r="R129" t="s">
        <v>2328</v>
      </c>
      <c r="S129" t="s">
        <v>2038</v>
      </c>
      <c r="T129">
        <v>202112</v>
      </c>
      <c r="U129" t="s">
        <v>191</v>
      </c>
      <c r="V129">
        <v>36612</v>
      </c>
    </row>
    <row r="130" spans="1:22">
      <c r="A130">
        <v>5366</v>
      </c>
      <c r="B130" t="s">
        <v>2327</v>
      </c>
      <c r="C130">
        <v>385</v>
      </c>
      <c r="D130" t="s">
        <v>2328</v>
      </c>
      <c r="E130" t="s">
        <v>2038</v>
      </c>
      <c r="F130">
        <v>202107</v>
      </c>
      <c r="G130" t="s">
        <v>186</v>
      </c>
      <c r="H130">
        <v>33963</v>
      </c>
      <c r="O130">
        <v>5366</v>
      </c>
      <c r="P130" t="s">
        <v>2327</v>
      </c>
      <c r="Q130">
        <v>385</v>
      </c>
      <c r="R130" t="s">
        <v>2328</v>
      </c>
      <c r="S130" t="s">
        <v>2038</v>
      </c>
      <c r="T130">
        <v>202112</v>
      </c>
      <c r="U130" t="s">
        <v>178</v>
      </c>
      <c r="V130">
        <v>840</v>
      </c>
    </row>
    <row r="131" spans="1:22">
      <c r="A131">
        <v>5366</v>
      </c>
      <c r="B131" t="s">
        <v>2327</v>
      </c>
      <c r="C131">
        <v>385</v>
      </c>
      <c r="D131" t="s">
        <v>2328</v>
      </c>
      <c r="E131" t="s">
        <v>2038</v>
      </c>
      <c r="F131">
        <v>202107</v>
      </c>
      <c r="G131" t="s">
        <v>2171</v>
      </c>
      <c r="H131">
        <v>252.06</v>
      </c>
      <c r="O131">
        <v>5366</v>
      </c>
      <c r="P131" t="s">
        <v>2327</v>
      </c>
      <c r="Q131">
        <v>385</v>
      </c>
      <c r="R131" t="s">
        <v>2328</v>
      </c>
      <c r="S131" t="s">
        <v>2038</v>
      </c>
      <c r="T131">
        <v>202112</v>
      </c>
      <c r="U131" t="s">
        <v>180</v>
      </c>
      <c r="V131">
        <v>772.8</v>
      </c>
    </row>
    <row r="132" spans="1:22">
      <c r="A132">
        <v>5366</v>
      </c>
      <c r="B132" t="s">
        <v>2327</v>
      </c>
      <c r="C132">
        <v>385</v>
      </c>
      <c r="D132" t="s">
        <v>2328</v>
      </c>
      <c r="E132" t="s">
        <v>2038</v>
      </c>
      <c r="F132">
        <v>202107</v>
      </c>
      <c r="G132" t="s">
        <v>2168</v>
      </c>
      <c r="H132">
        <v>13.66</v>
      </c>
      <c r="O132">
        <v>5366</v>
      </c>
      <c r="P132" t="s">
        <v>2327</v>
      </c>
      <c r="Q132">
        <v>385</v>
      </c>
      <c r="R132" t="s">
        <v>2328</v>
      </c>
      <c r="S132" t="s">
        <v>2038</v>
      </c>
      <c r="T132">
        <v>202112</v>
      </c>
      <c r="U132" t="s">
        <v>182</v>
      </c>
      <c r="V132">
        <v>283624</v>
      </c>
    </row>
    <row r="133" spans="1:22">
      <c r="A133">
        <v>5366</v>
      </c>
      <c r="B133" t="s">
        <v>2327</v>
      </c>
      <c r="C133">
        <v>385</v>
      </c>
      <c r="D133" t="s">
        <v>2328</v>
      </c>
      <c r="E133" t="s">
        <v>2038</v>
      </c>
      <c r="F133">
        <v>202107</v>
      </c>
      <c r="G133" t="s">
        <v>2169</v>
      </c>
      <c r="H133">
        <v>19.399999999999999</v>
      </c>
      <c r="O133">
        <v>5366</v>
      </c>
      <c r="P133" t="s">
        <v>2327</v>
      </c>
      <c r="Q133">
        <v>385</v>
      </c>
      <c r="R133" t="s">
        <v>2328</v>
      </c>
      <c r="S133" t="s">
        <v>2038</v>
      </c>
      <c r="T133">
        <v>202112</v>
      </c>
      <c r="U133" t="s">
        <v>184</v>
      </c>
      <c r="V133">
        <v>36612</v>
      </c>
    </row>
    <row r="134" spans="1:22">
      <c r="A134">
        <v>5366</v>
      </c>
      <c r="B134" t="s">
        <v>2327</v>
      </c>
      <c r="C134">
        <v>385</v>
      </c>
      <c r="D134" t="s">
        <v>2328</v>
      </c>
      <c r="E134" t="s">
        <v>2038</v>
      </c>
      <c r="F134">
        <v>202107</v>
      </c>
      <c r="G134" t="s">
        <v>2170</v>
      </c>
      <c r="H134">
        <v>11.5</v>
      </c>
      <c r="O134">
        <v>5366</v>
      </c>
      <c r="P134" t="s">
        <v>2327</v>
      </c>
      <c r="Q134">
        <v>385</v>
      </c>
      <c r="R134" t="s">
        <v>2328</v>
      </c>
      <c r="S134" t="s">
        <v>2038</v>
      </c>
      <c r="T134">
        <v>202112</v>
      </c>
      <c r="U134" t="s">
        <v>186</v>
      </c>
      <c r="V134">
        <v>0</v>
      </c>
    </row>
    <row r="135" spans="1:22">
      <c r="A135">
        <v>5366</v>
      </c>
      <c r="B135" t="s">
        <v>2327</v>
      </c>
      <c r="C135">
        <v>385</v>
      </c>
      <c r="D135" t="s">
        <v>2328</v>
      </c>
      <c r="E135" t="s">
        <v>2038</v>
      </c>
      <c r="F135">
        <v>202107</v>
      </c>
      <c r="G135" t="s">
        <v>2173</v>
      </c>
      <c r="H135">
        <v>69663.039999999994</v>
      </c>
      <c r="O135">
        <v>5366</v>
      </c>
      <c r="P135" t="s">
        <v>2327</v>
      </c>
      <c r="Q135">
        <v>385</v>
      </c>
      <c r="R135" t="s">
        <v>2328</v>
      </c>
      <c r="S135" t="s">
        <v>2038</v>
      </c>
      <c r="T135">
        <v>202112</v>
      </c>
      <c r="U135" t="s">
        <v>190</v>
      </c>
      <c r="V135">
        <v>355718</v>
      </c>
    </row>
    <row r="136" spans="1:22">
      <c r="A136">
        <v>5366</v>
      </c>
      <c r="B136" t="s">
        <v>2327</v>
      </c>
      <c r="C136">
        <v>385</v>
      </c>
      <c r="D136" t="s">
        <v>2328</v>
      </c>
      <c r="E136" t="s">
        <v>2038</v>
      </c>
      <c r="F136">
        <v>202107</v>
      </c>
      <c r="G136" t="s">
        <v>190</v>
      </c>
      <c r="H136">
        <v>332057</v>
      </c>
      <c r="O136">
        <v>5366</v>
      </c>
      <c r="P136" t="s">
        <v>2327</v>
      </c>
      <c r="Q136">
        <v>385</v>
      </c>
      <c r="R136" t="s">
        <v>2328</v>
      </c>
      <c r="S136" t="s">
        <v>2038</v>
      </c>
      <c r="T136">
        <v>202112</v>
      </c>
      <c r="U136" t="s">
        <v>191</v>
      </c>
      <c r="V136">
        <v>32733</v>
      </c>
    </row>
    <row r="137" spans="1:22">
      <c r="A137">
        <v>5366</v>
      </c>
      <c r="B137" t="s">
        <v>2327</v>
      </c>
      <c r="C137">
        <v>385</v>
      </c>
      <c r="D137" t="s">
        <v>2328</v>
      </c>
      <c r="E137" t="s">
        <v>2038</v>
      </c>
      <c r="F137">
        <v>202107</v>
      </c>
      <c r="G137" t="s">
        <v>191</v>
      </c>
      <c r="H137">
        <v>33649</v>
      </c>
      <c r="O137">
        <v>5366</v>
      </c>
      <c r="P137" t="s">
        <v>2327</v>
      </c>
      <c r="Q137">
        <v>385</v>
      </c>
      <c r="R137" t="s">
        <v>2328</v>
      </c>
      <c r="S137" t="s">
        <v>2038</v>
      </c>
      <c r="T137">
        <v>202112</v>
      </c>
      <c r="U137" t="s">
        <v>178</v>
      </c>
      <c r="V137">
        <v>2437.6799999999998</v>
      </c>
    </row>
    <row r="138" spans="1:22">
      <c r="A138">
        <v>5366</v>
      </c>
      <c r="B138" t="s">
        <v>2327</v>
      </c>
      <c r="C138">
        <v>385</v>
      </c>
      <c r="D138" t="s">
        <v>2328</v>
      </c>
      <c r="E138" t="s">
        <v>2038</v>
      </c>
      <c r="F138">
        <v>202107</v>
      </c>
      <c r="G138" t="s">
        <v>176</v>
      </c>
      <c r="H138">
        <v>0</v>
      </c>
      <c r="O138">
        <v>5366</v>
      </c>
      <c r="P138" t="s">
        <v>2327</v>
      </c>
      <c r="Q138">
        <v>385</v>
      </c>
      <c r="R138" t="s">
        <v>2328</v>
      </c>
      <c r="S138" t="s">
        <v>2038</v>
      </c>
      <c r="T138">
        <v>202112</v>
      </c>
      <c r="U138" t="s">
        <v>180</v>
      </c>
      <c r="V138">
        <v>2271.36</v>
      </c>
    </row>
    <row r="139" spans="1:22">
      <c r="A139">
        <v>5366</v>
      </c>
      <c r="B139" t="s">
        <v>2327</v>
      </c>
      <c r="C139">
        <v>385</v>
      </c>
      <c r="D139" t="s">
        <v>2328</v>
      </c>
      <c r="E139" t="s">
        <v>2038</v>
      </c>
      <c r="F139">
        <v>202107</v>
      </c>
      <c r="G139" t="s">
        <v>178</v>
      </c>
      <c r="H139">
        <v>2237.7600000000002</v>
      </c>
      <c r="O139">
        <v>5366</v>
      </c>
      <c r="P139" t="s">
        <v>2327</v>
      </c>
      <c r="Q139">
        <v>385</v>
      </c>
      <c r="R139" t="s">
        <v>2328</v>
      </c>
      <c r="S139" t="s">
        <v>2038</v>
      </c>
      <c r="T139">
        <v>202112</v>
      </c>
      <c r="U139" t="s">
        <v>182</v>
      </c>
      <c r="V139">
        <v>1143912</v>
      </c>
    </row>
    <row r="140" spans="1:22">
      <c r="A140">
        <v>5366</v>
      </c>
      <c r="B140" t="s">
        <v>2327</v>
      </c>
      <c r="C140">
        <v>385</v>
      </c>
      <c r="D140" t="s">
        <v>2328</v>
      </c>
      <c r="E140" t="s">
        <v>2038</v>
      </c>
      <c r="F140">
        <v>202107</v>
      </c>
      <c r="G140" t="s">
        <v>180</v>
      </c>
      <c r="H140">
        <v>2224.3200000000002</v>
      </c>
      <c r="O140">
        <v>5366</v>
      </c>
      <c r="P140" t="s">
        <v>2327</v>
      </c>
      <c r="Q140">
        <v>385</v>
      </c>
      <c r="R140" t="s">
        <v>2328</v>
      </c>
      <c r="S140" t="s">
        <v>2038</v>
      </c>
      <c r="T140">
        <v>202112</v>
      </c>
      <c r="U140" t="s">
        <v>184</v>
      </c>
      <c r="V140">
        <v>104682</v>
      </c>
    </row>
    <row r="141" spans="1:22">
      <c r="A141">
        <v>5366</v>
      </c>
      <c r="B141" t="s">
        <v>2327</v>
      </c>
      <c r="C141">
        <v>385</v>
      </c>
      <c r="D141" t="s">
        <v>2328</v>
      </c>
      <c r="E141" t="s">
        <v>2038</v>
      </c>
      <c r="F141">
        <v>202107</v>
      </c>
      <c r="G141" t="s">
        <v>182</v>
      </c>
      <c r="H141">
        <v>1036092</v>
      </c>
      <c r="O141">
        <v>5366</v>
      </c>
      <c r="P141" t="s">
        <v>2327</v>
      </c>
      <c r="Q141">
        <v>385</v>
      </c>
      <c r="R141" t="s">
        <v>2328</v>
      </c>
      <c r="S141" t="s">
        <v>2038</v>
      </c>
      <c r="T141">
        <v>202112</v>
      </c>
      <c r="U141" t="s">
        <v>186</v>
      </c>
      <c r="V141">
        <v>0</v>
      </c>
    </row>
    <row r="142" spans="1:22">
      <c r="A142">
        <v>5366</v>
      </c>
      <c r="B142" t="s">
        <v>2327</v>
      </c>
      <c r="C142">
        <v>385</v>
      </c>
      <c r="D142" t="s">
        <v>2328</v>
      </c>
      <c r="E142" t="s">
        <v>2038</v>
      </c>
      <c r="F142">
        <v>202107</v>
      </c>
      <c r="G142" t="s">
        <v>184</v>
      </c>
      <c r="H142">
        <v>107412</v>
      </c>
      <c r="O142">
        <v>5366</v>
      </c>
      <c r="P142" t="s">
        <v>2327</v>
      </c>
      <c r="Q142">
        <v>385</v>
      </c>
      <c r="R142" t="s">
        <v>2328</v>
      </c>
      <c r="S142" t="s">
        <v>2038</v>
      </c>
      <c r="T142">
        <v>202201</v>
      </c>
      <c r="U142" t="s">
        <v>190</v>
      </c>
      <c r="V142">
        <v>159855</v>
      </c>
    </row>
    <row r="143" spans="1:22">
      <c r="A143">
        <v>5366</v>
      </c>
      <c r="B143" t="s">
        <v>2327</v>
      </c>
      <c r="C143">
        <v>385</v>
      </c>
      <c r="D143" t="s">
        <v>2328</v>
      </c>
      <c r="E143" t="s">
        <v>2038</v>
      </c>
      <c r="F143">
        <v>202107</v>
      </c>
      <c r="G143" t="s">
        <v>192</v>
      </c>
      <c r="H143">
        <v>0</v>
      </c>
      <c r="O143">
        <v>5366</v>
      </c>
      <c r="P143" t="s">
        <v>2327</v>
      </c>
      <c r="Q143">
        <v>385</v>
      </c>
      <c r="R143" t="s">
        <v>2328</v>
      </c>
      <c r="S143" t="s">
        <v>2038</v>
      </c>
      <c r="T143">
        <v>202201</v>
      </c>
      <c r="U143" t="s">
        <v>191</v>
      </c>
      <c r="V143">
        <v>19766</v>
      </c>
    </row>
    <row r="144" spans="1:22">
      <c r="A144">
        <v>5366</v>
      </c>
      <c r="B144" t="s">
        <v>2327</v>
      </c>
      <c r="C144">
        <v>385</v>
      </c>
      <c r="D144" t="s">
        <v>2328</v>
      </c>
      <c r="E144" t="s">
        <v>2038</v>
      </c>
      <c r="F144">
        <v>202107</v>
      </c>
      <c r="G144" t="s">
        <v>2172</v>
      </c>
      <c r="H144">
        <v>8910.15</v>
      </c>
      <c r="O144">
        <v>5366</v>
      </c>
      <c r="P144" t="s">
        <v>2327</v>
      </c>
      <c r="Q144">
        <v>385</v>
      </c>
      <c r="R144" t="s">
        <v>2328</v>
      </c>
      <c r="S144" t="s">
        <v>2038</v>
      </c>
      <c r="T144">
        <v>202201</v>
      </c>
      <c r="U144" t="s">
        <v>178</v>
      </c>
      <c r="V144">
        <v>466.36</v>
      </c>
    </row>
    <row r="145" spans="1:22">
      <c r="A145">
        <v>5366</v>
      </c>
      <c r="B145" t="s">
        <v>2327</v>
      </c>
      <c r="C145">
        <v>385</v>
      </c>
      <c r="D145" t="s">
        <v>2328</v>
      </c>
      <c r="E145" t="s">
        <v>2038</v>
      </c>
      <c r="F145">
        <v>202107</v>
      </c>
      <c r="G145" t="s">
        <v>186</v>
      </c>
      <c r="H145">
        <v>0</v>
      </c>
      <c r="O145">
        <v>5366</v>
      </c>
      <c r="P145" t="s">
        <v>2327</v>
      </c>
      <c r="Q145">
        <v>385</v>
      </c>
      <c r="R145" t="s">
        <v>2328</v>
      </c>
      <c r="S145" t="s">
        <v>2038</v>
      </c>
      <c r="T145">
        <v>202201</v>
      </c>
      <c r="U145" t="s">
        <v>180</v>
      </c>
      <c r="V145">
        <v>461.32</v>
      </c>
    </row>
    <row r="146" spans="1:22">
      <c r="A146">
        <v>5366</v>
      </c>
      <c r="B146" t="s">
        <v>2327</v>
      </c>
      <c r="C146">
        <v>385</v>
      </c>
      <c r="D146" t="s">
        <v>2328</v>
      </c>
      <c r="E146" t="s">
        <v>2038</v>
      </c>
      <c r="F146">
        <v>202107</v>
      </c>
      <c r="G146" t="s">
        <v>2171</v>
      </c>
      <c r="H146">
        <v>252.06</v>
      </c>
      <c r="O146">
        <v>5366</v>
      </c>
      <c r="P146" t="s">
        <v>2327</v>
      </c>
      <c r="Q146">
        <v>385</v>
      </c>
      <c r="R146" t="s">
        <v>2328</v>
      </c>
      <c r="S146" t="s">
        <v>2038</v>
      </c>
      <c r="T146">
        <v>202201</v>
      </c>
      <c r="U146" t="s">
        <v>182</v>
      </c>
      <c r="V146">
        <v>159855</v>
      </c>
    </row>
    <row r="147" spans="1:22">
      <c r="A147">
        <v>5366</v>
      </c>
      <c r="B147" t="s">
        <v>2327</v>
      </c>
      <c r="C147">
        <v>385</v>
      </c>
      <c r="D147" t="s">
        <v>2328</v>
      </c>
      <c r="E147" t="s">
        <v>2038</v>
      </c>
      <c r="F147">
        <v>202107</v>
      </c>
      <c r="G147" t="s">
        <v>2168</v>
      </c>
      <c r="H147">
        <v>13.66</v>
      </c>
      <c r="O147">
        <v>5366</v>
      </c>
      <c r="P147" t="s">
        <v>2327</v>
      </c>
      <c r="Q147">
        <v>385</v>
      </c>
      <c r="R147" t="s">
        <v>2328</v>
      </c>
      <c r="S147" t="s">
        <v>2038</v>
      </c>
      <c r="T147">
        <v>202201</v>
      </c>
      <c r="U147" t="s">
        <v>184</v>
      </c>
      <c r="V147">
        <v>19766</v>
      </c>
    </row>
    <row r="148" spans="1:22">
      <c r="A148">
        <v>5366</v>
      </c>
      <c r="B148" t="s">
        <v>2327</v>
      </c>
      <c r="C148">
        <v>385</v>
      </c>
      <c r="D148" t="s">
        <v>2328</v>
      </c>
      <c r="E148" t="s">
        <v>2038</v>
      </c>
      <c r="F148">
        <v>202107</v>
      </c>
      <c r="G148" t="s">
        <v>2169</v>
      </c>
      <c r="H148">
        <v>19.399999999999999</v>
      </c>
      <c r="O148">
        <v>5366</v>
      </c>
      <c r="P148" t="s">
        <v>2327</v>
      </c>
      <c r="Q148">
        <v>385</v>
      </c>
      <c r="R148" t="s">
        <v>2328</v>
      </c>
      <c r="S148" t="s">
        <v>2038</v>
      </c>
      <c r="T148">
        <v>202201</v>
      </c>
      <c r="U148" t="s">
        <v>186</v>
      </c>
      <c r="V148">
        <v>0</v>
      </c>
    </row>
    <row r="149" spans="1:22">
      <c r="A149">
        <v>5366</v>
      </c>
      <c r="B149" t="s">
        <v>2327</v>
      </c>
      <c r="C149">
        <v>385</v>
      </c>
      <c r="D149" t="s">
        <v>2328</v>
      </c>
      <c r="E149" t="s">
        <v>2038</v>
      </c>
      <c r="F149">
        <v>202107</v>
      </c>
      <c r="G149" t="s">
        <v>2170</v>
      </c>
      <c r="H149">
        <v>11.5</v>
      </c>
      <c r="O149">
        <v>5366</v>
      </c>
      <c r="P149" t="s">
        <v>2327</v>
      </c>
      <c r="Q149">
        <v>385</v>
      </c>
      <c r="R149" t="s">
        <v>2328</v>
      </c>
      <c r="S149" t="s">
        <v>2038</v>
      </c>
      <c r="T149">
        <v>202201</v>
      </c>
      <c r="U149" t="s">
        <v>190</v>
      </c>
      <c r="V149">
        <v>72822</v>
      </c>
    </row>
    <row r="150" spans="1:22">
      <c r="A150">
        <v>5366</v>
      </c>
      <c r="B150" t="s">
        <v>2327</v>
      </c>
      <c r="C150">
        <v>385</v>
      </c>
      <c r="D150" t="s">
        <v>2328</v>
      </c>
      <c r="E150" t="s">
        <v>2038</v>
      </c>
      <c r="F150">
        <v>202107</v>
      </c>
      <c r="G150" t="s">
        <v>2173</v>
      </c>
      <c r="H150">
        <v>187978.07</v>
      </c>
      <c r="O150">
        <v>5366</v>
      </c>
      <c r="P150" t="s">
        <v>2327</v>
      </c>
      <c r="Q150">
        <v>385</v>
      </c>
      <c r="R150" t="s">
        <v>2328</v>
      </c>
      <c r="S150" t="s">
        <v>2038</v>
      </c>
      <c r="T150">
        <v>202201</v>
      </c>
      <c r="U150" t="s">
        <v>191</v>
      </c>
      <c r="V150">
        <v>10767</v>
      </c>
    </row>
    <row r="151" spans="1:22">
      <c r="A151">
        <v>5366</v>
      </c>
      <c r="B151" t="s">
        <v>2327</v>
      </c>
      <c r="C151">
        <v>385</v>
      </c>
      <c r="D151" t="s">
        <v>2328</v>
      </c>
      <c r="E151" t="s">
        <v>2038</v>
      </c>
      <c r="F151">
        <v>202108</v>
      </c>
      <c r="G151" t="s">
        <v>190</v>
      </c>
      <c r="H151">
        <v>264280</v>
      </c>
      <c r="O151">
        <v>5366</v>
      </c>
      <c r="P151" t="s">
        <v>2327</v>
      </c>
      <c r="Q151">
        <v>385</v>
      </c>
      <c r="R151" t="s">
        <v>2328</v>
      </c>
      <c r="S151" t="s">
        <v>2038</v>
      </c>
      <c r="T151">
        <v>202201</v>
      </c>
      <c r="U151" t="s">
        <v>178</v>
      </c>
      <c r="V151">
        <v>316</v>
      </c>
    </row>
    <row r="152" spans="1:22">
      <c r="A152">
        <v>5366</v>
      </c>
      <c r="B152" t="s">
        <v>2327</v>
      </c>
      <c r="C152">
        <v>385</v>
      </c>
      <c r="D152" t="s">
        <v>2328</v>
      </c>
      <c r="E152" t="s">
        <v>2038</v>
      </c>
      <c r="F152">
        <v>202108</v>
      </c>
      <c r="G152" t="s">
        <v>191</v>
      </c>
      <c r="H152">
        <v>42892</v>
      </c>
      <c r="O152">
        <v>5366</v>
      </c>
      <c r="P152" t="s">
        <v>2327</v>
      </c>
      <c r="Q152">
        <v>385</v>
      </c>
      <c r="R152" t="s">
        <v>2328</v>
      </c>
      <c r="S152" t="s">
        <v>2038</v>
      </c>
      <c r="T152">
        <v>202201</v>
      </c>
      <c r="U152" t="s">
        <v>180</v>
      </c>
      <c r="V152">
        <v>321.04000000000002</v>
      </c>
    </row>
    <row r="153" spans="1:22">
      <c r="A153">
        <v>5366</v>
      </c>
      <c r="B153" t="s">
        <v>2327</v>
      </c>
      <c r="C153">
        <v>385</v>
      </c>
      <c r="D153" t="s">
        <v>2328</v>
      </c>
      <c r="E153" t="s">
        <v>2038</v>
      </c>
      <c r="F153">
        <v>202108</v>
      </c>
      <c r="G153" t="s">
        <v>176</v>
      </c>
      <c r="H153">
        <v>0</v>
      </c>
      <c r="O153">
        <v>5366</v>
      </c>
      <c r="P153" t="s">
        <v>2327</v>
      </c>
      <c r="Q153">
        <v>385</v>
      </c>
      <c r="R153" t="s">
        <v>2328</v>
      </c>
      <c r="S153" t="s">
        <v>2038</v>
      </c>
      <c r="T153">
        <v>202201</v>
      </c>
      <c r="U153" t="s">
        <v>182</v>
      </c>
      <c r="V153">
        <v>72822</v>
      </c>
    </row>
    <row r="154" spans="1:22">
      <c r="A154">
        <v>5366</v>
      </c>
      <c r="B154" t="s">
        <v>2327</v>
      </c>
      <c r="C154">
        <v>385</v>
      </c>
      <c r="D154" t="s">
        <v>2328</v>
      </c>
      <c r="E154" t="s">
        <v>2038</v>
      </c>
      <c r="F154">
        <v>202108</v>
      </c>
      <c r="G154" t="s">
        <v>178</v>
      </c>
      <c r="H154">
        <v>977.76</v>
      </c>
      <c r="O154">
        <v>5366</v>
      </c>
      <c r="P154" t="s">
        <v>2327</v>
      </c>
      <c r="Q154">
        <v>385</v>
      </c>
      <c r="R154" t="s">
        <v>2328</v>
      </c>
      <c r="S154" t="s">
        <v>2038</v>
      </c>
      <c r="T154">
        <v>202201</v>
      </c>
      <c r="U154" t="s">
        <v>184</v>
      </c>
      <c r="V154">
        <v>10767</v>
      </c>
    </row>
    <row r="155" spans="1:22">
      <c r="A155">
        <v>5366</v>
      </c>
      <c r="B155" t="s">
        <v>2327</v>
      </c>
      <c r="C155">
        <v>385</v>
      </c>
      <c r="D155" t="s">
        <v>2328</v>
      </c>
      <c r="E155" t="s">
        <v>2038</v>
      </c>
      <c r="F155">
        <v>202108</v>
      </c>
      <c r="G155" t="s">
        <v>180</v>
      </c>
      <c r="H155">
        <v>852.6</v>
      </c>
      <c r="O155">
        <v>5366</v>
      </c>
      <c r="P155" t="s">
        <v>2327</v>
      </c>
      <c r="Q155">
        <v>385</v>
      </c>
      <c r="R155" t="s">
        <v>2328</v>
      </c>
      <c r="S155" t="s">
        <v>2038</v>
      </c>
      <c r="T155">
        <v>202201</v>
      </c>
      <c r="U155" t="s">
        <v>186</v>
      </c>
      <c r="V155">
        <v>0</v>
      </c>
    </row>
    <row r="156" spans="1:22">
      <c r="A156">
        <v>5366</v>
      </c>
      <c r="B156" t="s">
        <v>2327</v>
      </c>
      <c r="C156">
        <v>385</v>
      </c>
      <c r="D156" t="s">
        <v>2328</v>
      </c>
      <c r="E156" t="s">
        <v>2038</v>
      </c>
      <c r="F156">
        <v>202108</v>
      </c>
      <c r="G156" t="s">
        <v>182</v>
      </c>
      <c r="H156">
        <v>264280</v>
      </c>
      <c r="O156">
        <v>5366</v>
      </c>
      <c r="P156" t="s">
        <v>2327</v>
      </c>
      <c r="Q156">
        <v>385</v>
      </c>
      <c r="R156" t="s">
        <v>2328</v>
      </c>
      <c r="S156" t="s">
        <v>2038</v>
      </c>
      <c r="T156">
        <v>202201</v>
      </c>
      <c r="U156" t="s">
        <v>190</v>
      </c>
      <c r="V156">
        <v>315374</v>
      </c>
    </row>
    <row r="157" spans="1:22">
      <c r="A157">
        <v>5366</v>
      </c>
      <c r="B157" t="s">
        <v>2327</v>
      </c>
      <c r="C157">
        <v>385</v>
      </c>
      <c r="D157" t="s">
        <v>2328</v>
      </c>
      <c r="E157" t="s">
        <v>2038</v>
      </c>
      <c r="F157">
        <v>202108</v>
      </c>
      <c r="G157" t="s">
        <v>184</v>
      </c>
      <c r="H157">
        <v>42892</v>
      </c>
      <c r="O157">
        <v>5366</v>
      </c>
      <c r="P157" t="s">
        <v>2327</v>
      </c>
      <c r="Q157">
        <v>385</v>
      </c>
      <c r="R157" t="s">
        <v>2328</v>
      </c>
      <c r="S157" t="s">
        <v>2038</v>
      </c>
      <c r="T157">
        <v>202201</v>
      </c>
      <c r="U157" t="s">
        <v>191</v>
      </c>
      <c r="V157">
        <v>44430</v>
      </c>
    </row>
    <row r="158" spans="1:22">
      <c r="A158">
        <v>5366</v>
      </c>
      <c r="B158" t="s">
        <v>2327</v>
      </c>
      <c r="C158">
        <v>385</v>
      </c>
      <c r="D158" t="s">
        <v>2328</v>
      </c>
      <c r="E158" t="s">
        <v>2038</v>
      </c>
      <c r="F158">
        <v>202108</v>
      </c>
      <c r="G158" t="s">
        <v>192</v>
      </c>
      <c r="H158">
        <v>0</v>
      </c>
      <c r="O158">
        <v>5366</v>
      </c>
      <c r="P158" t="s">
        <v>2327</v>
      </c>
      <c r="Q158">
        <v>385</v>
      </c>
      <c r="R158" t="s">
        <v>2328</v>
      </c>
      <c r="S158" t="s">
        <v>2038</v>
      </c>
      <c r="T158">
        <v>202201</v>
      </c>
      <c r="U158" t="s">
        <v>178</v>
      </c>
      <c r="V158">
        <v>1102.08</v>
      </c>
    </row>
    <row r="159" spans="1:22">
      <c r="A159">
        <v>5366</v>
      </c>
      <c r="B159" t="s">
        <v>2327</v>
      </c>
      <c r="C159">
        <v>385</v>
      </c>
      <c r="D159" t="s">
        <v>2328</v>
      </c>
      <c r="E159" t="s">
        <v>2038</v>
      </c>
      <c r="F159">
        <v>202108</v>
      </c>
      <c r="G159" t="s">
        <v>2172</v>
      </c>
      <c r="H159">
        <v>4668.72</v>
      </c>
      <c r="O159">
        <v>5366</v>
      </c>
      <c r="P159" t="s">
        <v>2327</v>
      </c>
      <c r="Q159">
        <v>385</v>
      </c>
      <c r="R159" t="s">
        <v>2328</v>
      </c>
      <c r="S159" t="s">
        <v>2038</v>
      </c>
      <c r="T159">
        <v>202201</v>
      </c>
      <c r="U159" t="s">
        <v>180</v>
      </c>
      <c r="V159">
        <v>1131.48</v>
      </c>
    </row>
    <row r="160" spans="1:22">
      <c r="A160">
        <v>5366</v>
      </c>
      <c r="B160" t="s">
        <v>2327</v>
      </c>
      <c r="C160">
        <v>385</v>
      </c>
      <c r="D160" t="s">
        <v>2328</v>
      </c>
      <c r="E160" t="s">
        <v>2038</v>
      </c>
      <c r="F160">
        <v>202108</v>
      </c>
      <c r="G160" t="s">
        <v>186</v>
      </c>
      <c r="H160">
        <v>0</v>
      </c>
      <c r="O160">
        <v>5366</v>
      </c>
      <c r="P160" t="s">
        <v>2327</v>
      </c>
      <c r="Q160">
        <v>385</v>
      </c>
      <c r="R160" t="s">
        <v>2328</v>
      </c>
      <c r="S160" t="s">
        <v>2038</v>
      </c>
      <c r="T160">
        <v>202201</v>
      </c>
      <c r="U160" t="s">
        <v>182</v>
      </c>
      <c r="V160">
        <v>315374</v>
      </c>
    </row>
    <row r="161" spans="1:22">
      <c r="A161">
        <v>5366</v>
      </c>
      <c r="B161" t="s">
        <v>2327</v>
      </c>
      <c r="C161">
        <v>385</v>
      </c>
      <c r="D161" t="s">
        <v>2328</v>
      </c>
      <c r="E161" t="s">
        <v>2038</v>
      </c>
      <c r="F161">
        <v>202108</v>
      </c>
      <c r="G161" t="s">
        <v>2171</v>
      </c>
      <c r="H161">
        <v>252.06</v>
      </c>
      <c r="O161">
        <v>5366</v>
      </c>
      <c r="P161" t="s">
        <v>2327</v>
      </c>
      <c r="Q161">
        <v>385</v>
      </c>
      <c r="R161" t="s">
        <v>2328</v>
      </c>
      <c r="S161" t="s">
        <v>2038</v>
      </c>
      <c r="T161">
        <v>202201</v>
      </c>
      <c r="U161" t="s">
        <v>184</v>
      </c>
      <c r="V161">
        <v>44430</v>
      </c>
    </row>
    <row r="162" spans="1:22">
      <c r="A162">
        <v>5366</v>
      </c>
      <c r="B162" t="s">
        <v>2327</v>
      </c>
      <c r="C162">
        <v>385</v>
      </c>
      <c r="D162" t="s">
        <v>2328</v>
      </c>
      <c r="E162" t="s">
        <v>2038</v>
      </c>
      <c r="F162">
        <v>202108</v>
      </c>
      <c r="G162" t="s">
        <v>2168</v>
      </c>
      <c r="H162">
        <v>13.66</v>
      </c>
      <c r="O162">
        <v>5366</v>
      </c>
      <c r="P162" t="s">
        <v>2327</v>
      </c>
      <c r="Q162">
        <v>385</v>
      </c>
      <c r="R162" t="s">
        <v>2328</v>
      </c>
      <c r="S162" t="s">
        <v>2038</v>
      </c>
      <c r="T162">
        <v>202201</v>
      </c>
      <c r="U162" t="s">
        <v>186</v>
      </c>
      <c r="V162">
        <v>0</v>
      </c>
    </row>
    <row r="163" spans="1:22">
      <c r="A163">
        <v>5366</v>
      </c>
      <c r="B163" t="s">
        <v>2327</v>
      </c>
      <c r="C163">
        <v>385</v>
      </c>
      <c r="D163" t="s">
        <v>2328</v>
      </c>
      <c r="E163" t="s">
        <v>2038</v>
      </c>
      <c r="F163">
        <v>202108</v>
      </c>
      <c r="G163" t="s">
        <v>2169</v>
      </c>
      <c r="H163">
        <v>19.399999999999999</v>
      </c>
      <c r="O163">
        <v>5366</v>
      </c>
      <c r="P163" t="s">
        <v>2327</v>
      </c>
      <c r="Q163">
        <v>385</v>
      </c>
      <c r="R163" t="s">
        <v>2328</v>
      </c>
      <c r="S163" t="s">
        <v>2038</v>
      </c>
      <c r="T163">
        <v>202201</v>
      </c>
      <c r="U163" t="s">
        <v>190</v>
      </c>
      <c r="V163">
        <v>194372</v>
      </c>
    </row>
    <row r="164" spans="1:22">
      <c r="A164">
        <v>5366</v>
      </c>
      <c r="B164" t="s">
        <v>2327</v>
      </c>
      <c r="C164">
        <v>385</v>
      </c>
      <c r="D164" t="s">
        <v>2328</v>
      </c>
      <c r="E164" t="s">
        <v>2038</v>
      </c>
      <c r="F164">
        <v>202108</v>
      </c>
      <c r="G164" t="s">
        <v>2170</v>
      </c>
      <c r="H164">
        <v>11.5</v>
      </c>
      <c r="O164">
        <v>5366</v>
      </c>
      <c r="P164" t="s">
        <v>2327</v>
      </c>
      <c r="Q164">
        <v>385</v>
      </c>
      <c r="R164" t="s">
        <v>2328</v>
      </c>
      <c r="S164" t="s">
        <v>2038</v>
      </c>
      <c r="T164">
        <v>202201</v>
      </c>
      <c r="U164" t="s">
        <v>191</v>
      </c>
      <c r="V164">
        <v>31700</v>
      </c>
    </row>
    <row r="165" spans="1:22">
      <c r="A165">
        <v>5366</v>
      </c>
      <c r="B165" t="s">
        <v>2327</v>
      </c>
      <c r="C165">
        <v>385</v>
      </c>
      <c r="D165" t="s">
        <v>2328</v>
      </c>
      <c r="E165" t="s">
        <v>2038</v>
      </c>
      <c r="F165">
        <v>202108</v>
      </c>
      <c r="G165" t="s">
        <v>2173</v>
      </c>
      <c r="H165">
        <v>117304.85</v>
      </c>
      <c r="O165">
        <v>5366</v>
      </c>
      <c r="P165" t="s">
        <v>2327</v>
      </c>
      <c r="Q165">
        <v>385</v>
      </c>
      <c r="R165" t="s">
        <v>2328</v>
      </c>
      <c r="S165" t="s">
        <v>2038</v>
      </c>
      <c r="T165">
        <v>202201</v>
      </c>
      <c r="U165" t="s">
        <v>178</v>
      </c>
      <c r="V165">
        <v>778.17</v>
      </c>
    </row>
    <row r="166" spans="1:22">
      <c r="A166">
        <v>5366</v>
      </c>
      <c r="B166" t="s">
        <v>2327</v>
      </c>
      <c r="C166">
        <v>385</v>
      </c>
      <c r="D166" t="s">
        <v>2328</v>
      </c>
      <c r="E166" t="s">
        <v>2038</v>
      </c>
      <c r="F166">
        <v>202108</v>
      </c>
      <c r="G166" t="s">
        <v>190</v>
      </c>
      <c r="H166">
        <v>58045</v>
      </c>
      <c r="O166">
        <v>5366</v>
      </c>
      <c r="P166" t="s">
        <v>2327</v>
      </c>
      <c r="Q166">
        <v>385</v>
      </c>
      <c r="R166" t="s">
        <v>2328</v>
      </c>
      <c r="S166" t="s">
        <v>2038</v>
      </c>
      <c r="T166">
        <v>202201</v>
      </c>
      <c r="U166" t="s">
        <v>180</v>
      </c>
      <c r="V166">
        <v>772.63</v>
      </c>
    </row>
    <row r="167" spans="1:22">
      <c r="A167">
        <v>5366</v>
      </c>
      <c r="B167" t="s">
        <v>2327</v>
      </c>
      <c r="C167">
        <v>385</v>
      </c>
      <c r="D167" t="s">
        <v>2328</v>
      </c>
      <c r="E167" t="s">
        <v>2038</v>
      </c>
      <c r="F167">
        <v>202108</v>
      </c>
      <c r="G167" t="s">
        <v>191</v>
      </c>
      <c r="H167">
        <v>8928</v>
      </c>
      <c r="O167">
        <v>5366</v>
      </c>
      <c r="P167" t="s">
        <v>2327</v>
      </c>
      <c r="Q167">
        <v>385</v>
      </c>
      <c r="R167" t="s">
        <v>2328</v>
      </c>
      <c r="S167" t="s">
        <v>2038</v>
      </c>
      <c r="T167">
        <v>202201</v>
      </c>
      <c r="U167" t="s">
        <v>182</v>
      </c>
      <c r="V167">
        <v>223458</v>
      </c>
    </row>
    <row r="168" spans="1:22">
      <c r="A168">
        <v>5366</v>
      </c>
      <c r="B168" t="s">
        <v>2327</v>
      </c>
      <c r="C168">
        <v>385</v>
      </c>
      <c r="D168" t="s">
        <v>2328</v>
      </c>
      <c r="E168" t="s">
        <v>2038</v>
      </c>
      <c r="F168">
        <v>202108</v>
      </c>
      <c r="G168" t="s">
        <v>176</v>
      </c>
      <c r="H168">
        <v>0</v>
      </c>
      <c r="O168">
        <v>5366</v>
      </c>
      <c r="P168" t="s">
        <v>2327</v>
      </c>
      <c r="Q168">
        <v>385</v>
      </c>
      <c r="R168" t="s">
        <v>2328</v>
      </c>
      <c r="S168" t="s">
        <v>2038</v>
      </c>
      <c r="T168">
        <v>202201</v>
      </c>
      <c r="U168" t="s">
        <v>184</v>
      </c>
      <c r="V168">
        <v>31700</v>
      </c>
    </row>
    <row r="169" spans="1:22">
      <c r="A169">
        <v>5366</v>
      </c>
      <c r="B169" t="s">
        <v>2327</v>
      </c>
      <c r="C169">
        <v>385</v>
      </c>
      <c r="D169" t="s">
        <v>2328</v>
      </c>
      <c r="E169" t="s">
        <v>2038</v>
      </c>
      <c r="F169">
        <v>202108</v>
      </c>
      <c r="G169" t="s">
        <v>178</v>
      </c>
      <c r="H169">
        <v>213.19</v>
      </c>
      <c r="O169">
        <v>5366</v>
      </c>
      <c r="P169" t="s">
        <v>2327</v>
      </c>
      <c r="Q169">
        <v>385</v>
      </c>
      <c r="R169" t="s">
        <v>2328</v>
      </c>
      <c r="S169" t="s">
        <v>2038</v>
      </c>
      <c r="T169">
        <v>202201</v>
      </c>
      <c r="U169" t="s">
        <v>186</v>
      </c>
      <c r="V169">
        <v>29086</v>
      </c>
    </row>
    <row r="170" spans="1:22">
      <c r="A170">
        <v>5366</v>
      </c>
      <c r="B170" t="s">
        <v>2327</v>
      </c>
      <c r="C170">
        <v>385</v>
      </c>
      <c r="D170" t="s">
        <v>2328</v>
      </c>
      <c r="E170" t="s">
        <v>2038</v>
      </c>
      <c r="F170">
        <v>202108</v>
      </c>
      <c r="G170" t="s">
        <v>180</v>
      </c>
      <c r="H170">
        <v>225.79</v>
      </c>
      <c r="O170">
        <v>5366</v>
      </c>
      <c r="P170" t="s">
        <v>2327</v>
      </c>
      <c r="Q170">
        <v>385</v>
      </c>
      <c r="R170" t="s">
        <v>2328</v>
      </c>
      <c r="S170" t="s">
        <v>2038</v>
      </c>
      <c r="T170">
        <v>202201</v>
      </c>
      <c r="U170" t="s">
        <v>190</v>
      </c>
      <c r="V170">
        <v>356333</v>
      </c>
    </row>
    <row r="171" spans="1:22">
      <c r="A171">
        <v>5366</v>
      </c>
      <c r="B171" t="s">
        <v>2327</v>
      </c>
      <c r="C171">
        <v>385</v>
      </c>
      <c r="D171" t="s">
        <v>2328</v>
      </c>
      <c r="E171" t="s">
        <v>2038</v>
      </c>
      <c r="F171">
        <v>202108</v>
      </c>
      <c r="G171" t="s">
        <v>182</v>
      </c>
      <c r="H171">
        <v>58045</v>
      </c>
      <c r="O171">
        <v>5366</v>
      </c>
      <c r="P171" t="s">
        <v>2327</v>
      </c>
      <c r="Q171">
        <v>385</v>
      </c>
      <c r="R171" t="s">
        <v>2328</v>
      </c>
      <c r="S171" t="s">
        <v>2038</v>
      </c>
      <c r="T171">
        <v>202201</v>
      </c>
      <c r="U171" t="s">
        <v>191</v>
      </c>
      <c r="V171">
        <v>36920</v>
      </c>
    </row>
    <row r="172" spans="1:22">
      <c r="A172">
        <v>5366</v>
      </c>
      <c r="B172" t="s">
        <v>2327</v>
      </c>
      <c r="C172">
        <v>385</v>
      </c>
      <c r="D172" t="s">
        <v>2328</v>
      </c>
      <c r="E172" t="s">
        <v>2038</v>
      </c>
      <c r="F172">
        <v>202108</v>
      </c>
      <c r="G172" t="s">
        <v>184</v>
      </c>
      <c r="H172">
        <v>8928</v>
      </c>
      <c r="O172">
        <v>5366</v>
      </c>
      <c r="P172" t="s">
        <v>2327</v>
      </c>
      <c r="Q172">
        <v>385</v>
      </c>
      <c r="R172" t="s">
        <v>2328</v>
      </c>
      <c r="S172" t="s">
        <v>2038</v>
      </c>
      <c r="T172">
        <v>202201</v>
      </c>
      <c r="U172" t="s">
        <v>178</v>
      </c>
      <c r="V172">
        <v>2486.4</v>
      </c>
    </row>
    <row r="173" spans="1:22">
      <c r="A173">
        <v>5366</v>
      </c>
      <c r="B173" t="s">
        <v>2327</v>
      </c>
      <c r="C173">
        <v>385</v>
      </c>
      <c r="D173" t="s">
        <v>2328</v>
      </c>
      <c r="E173" t="s">
        <v>2038</v>
      </c>
      <c r="F173">
        <v>202108</v>
      </c>
      <c r="G173" t="s">
        <v>192</v>
      </c>
      <c r="H173">
        <v>0</v>
      </c>
      <c r="O173">
        <v>5366</v>
      </c>
      <c r="P173" t="s">
        <v>2327</v>
      </c>
      <c r="Q173">
        <v>385</v>
      </c>
      <c r="R173" t="s">
        <v>2328</v>
      </c>
      <c r="S173" t="s">
        <v>2038</v>
      </c>
      <c r="T173">
        <v>202201</v>
      </c>
      <c r="U173" t="s">
        <v>180</v>
      </c>
      <c r="V173">
        <v>2348.64</v>
      </c>
    </row>
    <row r="174" spans="1:22">
      <c r="A174">
        <v>5366</v>
      </c>
      <c r="B174" t="s">
        <v>2327</v>
      </c>
      <c r="C174">
        <v>385</v>
      </c>
      <c r="D174" t="s">
        <v>2328</v>
      </c>
      <c r="E174" t="s">
        <v>2038</v>
      </c>
      <c r="F174">
        <v>202108</v>
      </c>
      <c r="G174" t="s">
        <v>2172</v>
      </c>
      <c r="H174">
        <v>1095.06</v>
      </c>
      <c r="O174">
        <v>5366</v>
      </c>
      <c r="P174" t="s">
        <v>2327</v>
      </c>
      <c r="Q174">
        <v>385</v>
      </c>
      <c r="R174" t="s">
        <v>2328</v>
      </c>
      <c r="S174" t="s">
        <v>2038</v>
      </c>
      <c r="T174">
        <v>202201</v>
      </c>
      <c r="U174" t="s">
        <v>182</v>
      </c>
      <c r="V174">
        <v>1224792</v>
      </c>
    </row>
    <row r="175" spans="1:22">
      <c r="A175">
        <v>5366</v>
      </c>
      <c r="B175" t="s">
        <v>2327</v>
      </c>
      <c r="C175">
        <v>385</v>
      </c>
      <c r="D175" t="s">
        <v>2328</v>
      </c>
      <c r="E175" t="s">
        <v>2038</v>
      </c>
      <c r="F175">
        <v>202108</v>
      </c>
      <c r="G175" t="s">
        <v>186</v>
      </c>
      <c r="H175">
        <v>0</v>
      </c>
      <c r="O175">
        <v>5366</v>
      </c>
      <c r="P175" t="s">
        <v>2327</v>
      </c>
      <c r="Q175">
        <v>385</v>
      </c>
      <c r="R175" t="s">
        <v>2328</v>
      </c>
      <c r="S175" t="s">
        <v>2038</v>
      </c>
      <c r="T175">
        <v>202201</v>
      </c>
      <c r="U175" t="s">
        <v>184</v>
      </c>
      <c r="V175">
        <v>129764</v>
      </c>
    </row>
    <row r="176" spans="1:22">
      <c r="A176">
        <v>5366</v>
      </c>
      <c r="B176" t="s">
        <v>2327</v>
      </c>
      <c r="C176">
        <v>385</v>
      </c>
      <c r="D176" t="s">
        <v>2328</v>
      </c>
      <c r="E176" t="s">
        <v>2038</v>
      </c>
      <c r="F176">
        <v>202108</v>
      </c>
      <c r="G176" t="s">
        <v>2171</v>
      </c>
      <c r="H176">
        <v>252.06</v>
      </c>
      <c r="O176">
        <v>5366</v>
      </c>
      <c r="P176" t="s">
        <v>2327</v>
      </c>
      <c r="Q176">
        <v>385</v>
      </c>
      <c r="R176" t="s">
        <v>2328</v>
      </c>
      <c r="S176" t="s">
        <v>2038</v>
      </c>
      <c r="T176">
        <v>202201</v>
      </c>
      <c r="U176" t="s">
        <v>186</v>
      </c>
      <c r="V176">
        <v>0</v>
      </c>
    </row>
    <row r="177" spans="1:22">
      <c r="A177">
        <v>5366</v>
      </c>
      <c r="B177" t="s">
        <v>2327</v>
      </c>
      <c r="C177">
        <v>385</v>
      </c>
      <c r="D177" t="s">
        <v>2328</v>
      </c>
      <c r="E177" t="s">
        <v>2038</v>
      </c>
      <c r="F177">
        <v>202108</v>
      </c>
      <c r="G177" t="s">
        <v>2168</v>
      </c>
      <c r="H177">
        <v>13.66</v>
      </c>
      <c r="O177">
        <v>5366</v>
      </c>
      <c r="P177" t="s">
        <v>2327</v>
      </c>
      <c r="Q177">
        <v>385</v>
      </c>
      <c r="R177" t="s">
        <v>2328</v>
      </c>
      <c r="S177" t="s">
        <v>2038</v>
      </c>
      <c r="T177">
        <v>202202</v>
      </c>
      <c r="U177" t="s">
        <v>190</v>
      </c>
      <c r="V177">
        <v>221579</v>
      </c>
    </row>
    <row r="178" spans="1:22">
      <c r="A178">
        <v>5366</v>
      </c>
      <c r="B178" t="s">
        <v>2327</v>
      </c>
      <c r="C178">
        <v>385</v>
      </c>
      <c r="D178" t="s">
        <v>2328</v>
      </c>
      <c r="E178" t="s">
        <v>2038</v>
      </c>
      <c r="F178">
        <v>202108</v>
      </c>
      <c r="G178" t="s">
        <v>2169</v>
      </c>
      <c r="H178">
        <v>19.399999999999999</v>
      </c>
      <c r="O178">
        <v>5366</v>
      </c>
      <c r="P178" t="s">
        <v>2327</v>
      </c>
      <c r="Q178">
        <v>385</v>
      </c>
      <c r="R178" t="s">
        <v>2328</v>
      </c>
      <c r="S178" t="s">
        <v>2038</v>
      </c>
      <c r="T178">
        <v>202202</v>
      </c>
      <c r="U178" t="s">
        <v>191</v>
      </c>
      <c r="V178">
        <v>29046</v>
      </c>
    </row>
    <row r="179" spans="1:22">
      <c r="A179">
        <v>5366</v>
      </c>
      <c r="B179" t="s">
        <v>2327</v>
      </c>
      <c r="C179">
        <v>385</v>
      </c>
      <c r="D179" t="s">
        <v>2328</v>
      </c>
      <c r="E179" t="s">
        <v>2038</v>
      </c>
      <c r="F179">
        <v>202108</v>
      </c>
      <c r="G179" t="s">
        <v>2170</v>
      </c>
      <c r="H179">
        <v>11.5</v>
      </c>
      <c r="O179">
        <v>5366</v>
      </c>
      <c r="P179" t="s">
        <v>2327</v>
      </c>
      <c r="Q179">
        <v>385</v>
      </c>
      <c r="R179" t="s">
        <v>2328</v>
      </c>
      <c r="S179" t="s">
        <v>2038</v>
      </c>
      <c r="T179">
        <v>202202</v>
      </c>
      <c r="U179" t="s">
        <v>178</v>
      </c>
      <c r="V179">
        <v>717.19</v>
      </c>
    </row>
    <row r="180" spans="1:22">
      <c r="A180">
        <v>5366</v>
      </c>
      <c r="B180" t="s">
        <v>2327</v>
      </c>
      <c r="C180">
        <v>385</v>
      </c>
      <c r="D180" t="s">
        <v>2328</v>
      </c>
      <c r="E180" t="s">
        <v>2038</v>
      </c>
      <c r="F180">
        <v>202108</v>
      </c>
      <c r="G180" t="s">
        <v>2173</v>
      </c>
      <c r="H180">
        <v>27514.240000000002</v>
      </c>
      <c r="O180">
        <v>5366</v>
      </c>
      <c r="P180" t="s">
        <v>2327</v>
      </c>
      <c r="Q180">
        <v>385</v>
      </c>
      <c r="R180" t="s">
        <v>2328</v>
      </c>
      <c r="S180" t="s">
        <v>2038</v>
      </c>
      <c r="T180">
        <v>202202</v>
      </c>
      <c r="U180" t="s">
        <v>180</v>
      </c>
      <c r="V180">
        <v>610.34</v>
      </c>
    </row>
    <row r="181" spans="1:22">
      <c r="A181">
        <v>5366</v>
      </c>
      <c r="B181" t="s">
        <v>2327</v>
      </c>
      <c r="C181">
        <v>385</v>
      </c>
      <c r="D181" t="s">
        <v>2328</v>
      </c>
      <c r="E181" t="s">
        <v>2038</v>
      </c>
      <c r="F181">
        <v>202108</v>
      </c>
      <c r="G181" t="s">
        <v>190</v>
      </c>
      <c r="H181">
        <v>132276</v>
      </c>
      <c r="O181">
        <v>5366</v>
      </c>
      <c r="P181" t="s">
        <v>2327</v>
      </c>
      <c r="Q181">
        <v>385</v>
      </c>
      <c r="R181" t="s">
        <v>2328</v>
      </c>
      <c r="S181" t="s">
        <v>2038</v>
      </c>
      <c r="T181">
        <v>202202</v>
      </c>
      <c r="U181" t="s">
        <v>182</v>
      </c>
      <c r="V181">
        <v>247628</v>
      </c>
    </row>
    <row r="182" spans="1:22">
      <c r="A182">
        <v>5366</v>
      </c>
      <c r="B182" t="s">
        <v>2327</v>
      </c>
      <c r="C182">
        <v>385</v>
      </c>
      <c r="D182" t="s">
        <v>2328</v>
      </c>
      <c r="E182" t="s">
        <v>2038</v>
      </c>
      <c r="F182">
        <v>202108</v>
      </c>
      <c r="G182" t="s">
        <v>191</v>
      </c>
      <c r="H182">
        <v>17799</v>
      </c>
      <c r="O182">
        <v>5366</v>
      </c>
      <c r="P182" t="s">
        <v>2327</v>
      </c>
      <c r="Q182">
        <v>385</v>
      </c>
      <c r="R182" t="s">
        <v>2328</v>
      </c>
      <c r="S182" t="s">
        <v>2038</v>
      </c>
      <c r="T182">
        <v>202202</v>
      </c>
      <c r="U182" t="s">
        <v>184</v>
      </c>
      <c r="V182">
        <v>29046</v>
      </c>
    </row>
    <row r="183" spans="1:22">
      <c r="A183">
        <v>5366</v>
      </c>
      <c r="B183" t="s">
        <v>2327</v>
      </c>
      <c r="C183">
        <v>385</v>
      </c>
      <c r="D183" t="s">
        <v>2328</v>
      </c>
      <c r="E183" t="s">
        <v>2038</v>
      </c>
      <c r="F183">
        <v>202108</v>
      </c>
      <c r="G183" t="s">
        <v>176</v>
      </c>
      <c r="H183">
        <v>0</v>
      </c>
      <c r="O183">
        <v>5366</v>
      </c>
      <c r="P183" t="s">
        <v>2327</v>
      </c>
      <c r="Q183">
        <v>385</v>
      </c>
      <c r="R183" t="s">
        <v>2328</v>
      </c>
      <c r="S183" t="s">
        <v>2038</v>
      </c>
      <c r="T183">
        <v>202202</v>
      </c>
      <c r="U183" t="s">
        <v>186</v>
      </c>
      <c r="V183">
        <v>26049</v>
      </c>
    </row>
    <row r="184" spans="1:22">
      <c r="A184">
        <v>5366</v>
      </c>
      <c r="B184" t="s">
        <v>2327</v>
      </c>
      <c r="C184">
        <v>385</v>
      </c>
      <c r="D184" t="s">
        <v>2328</v>
      </c>
      <c r="E184" t="s">
        <v>2038</v>
      </c>
      <c r="F184">
        <v>202108</v>
      </c>
      <c r="G184" t="s">
        <v>178</v>
      </c>
      <c r="H184">
        <v>338.01</v>
      </c>
      <c r="O184">
        <v>5366</v>
      </c>
      <c r="P184" t="s">
        <v>2327</v>
      </c>
      <c r="Q184">
        <v>385</v>
      </c>
      <c r="R184" t="s">
        <v>2328</v>
      </c>
      <c r="S184" t="s">
        <v>2038</v>
      </c>
      <c r="T184">
        <v>202202</v>
      </c>
      <c r="U184" t="s">
        <v>190</v>
      </c>
      <c r="V184">
        <v>345498</v>
      </c>
    </row>
    <row r="185" spans="1:22">
      <c r="A185">
        <v>5366</v>
      </c>
      <c r="B185" t="s">
        <v>2327</v>
      </c>
      <c r="C185">
        <v>385</v>
      </c>
      <c r="D185" t="s">
        <v>2328</v>
      </c>
      <c r="E185" t="s">
        <v>2038</v>
      </c>
      <c r="F185">
        <v>202108</v>
      </c>
      <c r="G185" t="s">
        <v>180</v>
      </c>
      <c r="H185">
        <v>323.23</v>
      </c>
      <c r="O185">
        <v>5366</v>
      </c>
      <c r="P185" t="s">
        <v>2327</v>
      </c>
      <c r="Q185">
        <v>385</v>
      </c>
      <c r="R185" t="s">
        <v>2328</v>
      </c>
      <c r="S185" t="s">
        <v>2038</v>
      </c>
      <c r="T185">
        <v>202202</v>
      </c>
      <c r="U185" t="s">
        <v>191</v>
      </c>
      <c r="V185">
        <v>40341</v>
      </c>
    </row>
    <row r="186" spans="1:22">
      <c r="A186">
        <v>5366</v>
      </c>
      <c r="B186" t="s">
        <v>2327</v>
      </c>
      <c r="C186">
        <v>385</v>
      </c>
      <c r="D186" t="s">
        <v>2328</v>
      </c>
      <c r="E186" t="s">
        <v>2038</v>
      </c>
      <c r="F186">
        <v>202108</v>
      </c>
      <c r="G186" t="s">
        <v>182</v>
      </c>
      <c r="H186">
        <v>132276</v>
      </c>
      <c r="O186">
        <v>5366</v>
      </c>
      <c r="P186" t="s">
        <v>2327</v>
      </c>
      <c r="Q186">
        <v>385</v>
      </c>
      <c r="R186" t="s">
        <v>2328</v>
      </c>
      <c r="S186" t="s">
        <v>2038</v>
      </c>
      <c r="T186">
        <v>202202</v>
      </c>
      <c r="U186" t="s">
        <v>178</v>
      </c>
      <c r="V186">
        <v>993.72</v>
      </c>
    </row>
    <row r="187" spans="1:22">
      <c r="A187">
        <v>5366</v>
      </c>
      <c r="B187" t="s">
        <v>2327</v>
      </c>
      <c r="C187">
        <v>385</v>
      </c>
      <c r="D187" t="s">
        <v>2328</v>
      </c>
      <c r="E187" t="s">
        <v>2038</v>
      </c>
      <c r="F187">
        <v>202108</v>
      </c>
      <c r="G187" t="s">
        <v>184</v>
      </c>
      <c r="H187">
        <v>17799</v>
      </c>
      <c r="O187">
        <v>5366</v>
      </c>
      <c r="P187" t="s">
        <v>2327</v>
      </c>
      <c r="Q187">
        <v>385</v>
      </c>
      <c r="R187" t="s">
        <v>2328</v>
      </c>
      <c r="S187" t="s">
        <v>2038</v>
      </c>
      <c r="T187">
        <v>202202</v>
      </c>
      <c r="U187" t="s">
        <v>180</v>
      </c>
      <c r="V187">
        <v>812.28</v>
      </c>
    </row>
    <row r="188" spans="1:22">
      <c r="A188">
        <v>5366</v>
      </c>
      <c r="B188" t="s">
        <v>2327</v>
      </c>
      <c r="C188">
        <v>385</v>
      </c>
      <c r="D188" t="s">
        <v>2328</v>
      </c>
      <c r="E188" t="s">
        <v>2038</v>
      </c>
      <c r="F188">
        <v>202108</v>
      </c>
      <c r="G188" t="s">
        <v>192</v>
      </c>
      <c r="H188">
        <v>0</v>
      </c>
      <c r="O188">
        <v>5366</v>
      </c>
      <c r="P188" t="s">
        <v>2327</v>
      </c>
      <c r="Q188">
        <v>385</v>
      </c>
      <c r="R188" t="s">
        <v>2328</v>
      </c>
      <c r="S188" t="s">
        <v>2038</v>
      </c>
      <c r="T188">
        <v>202202</v>
      </c>
      <c r="U188" t="s">
        <v>182</v>
      </c>
      <c r="V188">
        <v>345498</v>
      </c>
    </row>
    <row r="189" spans="1:22">
      <c r="A189">
        <v>5366</v>
      </c>
      <c r="B189" t="s">
        <v>2327</v>
      </c>
      <c r="C189">
        <v>385</v>
      </c>
      <c r="D189" t="s">
        <v>2328</v>
      </c>
      <c r="E189" t="s">
        <v>2038</v>
      </c>
      <c r="F189">
        <v>202108</v>
      </c>
      <c r="G189" t="s">
        <v>2172</v>
      </c>
      <c r="H189">
        <v>2090.79</v>
      </c>
      <c r="O189">
        <v>5366</v>
      </c>
      <c r="P189" t="s">
        <v>2327</v>
      </c>
      <c r="Q189">
        <v>385</v>
      </c>
      <c r="R189" t="s">
        <v>2328</v>
      </c>
      <c r="S189" t="s">
        <v>2038</v>
      </c>
      <c r="T189">
        <v>202202</v>
      </c>
      <c r="U189" t="s">
        <v>184</v>
      </c>
      <c r="V189">
        <v>40341</v>
      </c>
    </row>
    <row r="190" spans="1:22">
      <c r="A190">
        <v>5366</v>
      </c>
      <c r="B190" t="s">
        <v>2327</v>
      </c>
      <c r="C190">
        <v>385</v>
      </c>
      <c r="D190" t="s">
        <v>2328</v>
      </c>
      <c r="E190" t="s">
        <v>2038</v>
      </c>
      <c r="F190">
        <v>202108</v>
      </c>
      <c r="G190" t="s">
        <v>186</v>
      </c>
      <c r="H190">
        <v>0</v>
      </c>
      <c r="O190">
        <v>5366</v>
      </c>
      <c r="P190" t="s">
        <v>2327</v>
      </c>
      <c r="Q190">
        <v>385</v>
      </c>
      <c r="R190" t="s">
        <v>2328</v>
      </c>
      <c r="S190" t="s">
        <v>2038</v>
      </c>
      <c r="T190">
        <v>202202</v>
      </c>
      <c r="U190" t="s">
        <v>186</v>
      </c>
      <c r="V190">
        <v>0</v>
      </c>
    </row>
    <row r="191" spans="1:22">
      <c r="A191">
        <v>5366</v>
      </c>
      <c r="B191" t="s">
        <v>2327</v>
      </c>
      <c r="C191">
        <v>385</v>
      </c>
      <c r="D191" t="s">
        <v>2328</v>
      </c>
      <c r="E191" t="s">
        <v>2038</v>
      </c>
      <c r="F191">
        <v>202108</v>
      </c>
      <c r="G191" t="s">
        <v>2171</v>
      </c>
      <c r="H191">
        <v>252.06</v>
      </c>
      <c r="O191">
        <v>5366</v>
      </c>
      <c r="P191" t="s">
        <v>2327</v>
      </c>
      <c r="Q191">
        <v>385</v>
      </c>
      <c r="R191" t="s">
        <v>2328</v>
      </c>
      <c r="S191" t="s">
        <v>2038</v>
      </c>
      <c r="T191">
        <v>202202</v>
      </c>
      <c r="U191" t="s">
        <v>190</v>
      </c>
      <c r="V191">
        <v>86784</v>
      </c>
    </row>
    <row r="192" spans="1:22">
      <c r="A192">
        <v>5366</v>
      </c>
      <c r="B192" t="s">
        <v>2327</v>
      </c>
      <c r="C192">
        <v>385</v>
      </c>
      <c r="D192" t="s">
        <v>2328</v>
      </c>
      <c r="E192" t="s">
        <v>2038</v>
      </c>
      <c r="F192">
        <v>202108</v>
      </c>
      <c r="G192" t="s">
        <v>2168</v>
      </c>
      <c r="H192">
        <v>13.66</v>
      </c>
      <c r="O192">
        <v>5366</v>
      </c>
      <c r="P192" t="s">
        <v>2327</v>
      </c>
      <c r="Q192">
        <v>385</v>
      </c>
      <c r="R192" t="s">
        <v>2328</v>
      </c>
      <c r="S192" t="s">
        <v>2038</v>
      </c>
      <c r="T192">
        <v>202202</v>
      </c>
      <c r="U192" t="s">
        <v>191</v>
      </c>
      <c r="V192">
        <v>10350</v>
      </c>
    </row>
    <row r="193" spans="1:22">
      <c r="A193">
        <v>5366</v>
      </c>
      <c r="B193" t="s">
        <v>2327</v>
      </c>
      <c r="C193">
        <v>385</v>
      </c>
      <c r="D193" t="s">
        <v>2328</v>
      </c>
      <c r="E193" t="s">
        <v>2038</v>
      </c>
      <c r="F193">
        <v>202108</v>
      </c>
      <c r="G193" t="s">
        <v>2169</v>
      </c>
      <c r="H193">
        <v>19.399999999999999</v>
      </c>
      <c r="O193">
        <v>5366</v>
      </c>
      <c r="P193" t="s">
        <v>2327</v>
      </c>
      <c r="Q193">
        <v>385</v>
      </c>
      <c r="R193" t="s">
        <v>2328</v>
      </c>
      <c r="S193" t="s">
        <v>2038</v>
      </c>
      <c r="T193">
        <v>202202</v>
      </c>
      <c r="U193" t="s">
        <v>178</v>
      </c>
      <c r="V193">
        <v>329.11</v>
      </c>
    </row>
    <row r="194" spans="1:22">
      <c r="A194">
        <v>5366</v>
      </c>
      <c r="B194" t="s">
        <v>2327</v>
      </c>
      <c r="C194">
        <v>385</v>
      </c>
      <c r="D194" t="s">
        <v>2328</v>
      </c>
      <c r="E194" t="s">
        <v>2038</v>
      </c>
      <c r="F194">
        <v>202108</v>
      </c>
      <c r="G194" t="s">
        <v>2170</v>
      </c>
      <c r="H194">
        <v>11.5</v>
      </c>
      <c r="O194">
        <v>5366</v>
      </c>
      <c r="P194" t="s">
        <v>2327</v>
      </c>
      <c r="Q194">
        <v>385</v>
      </c>
      <c r="R194" t="s">
        <v>2328</v>
      </c>
      <c r="S194" t="s">
        <v>2038</v>
      </c>
      <c r="T194">
        <v>202202</v>
      </c>
      <c r="U194" t="s">
        <v>180</v>
      </c>
      <c r="V194">
        <v>254.01</v>
      </c>
    </row>
    <row r="195" spans="1:22">
      <c r="A195">
        <v>5366</v>
      </c>
      <c r="B195" t="s">
        <v>2327</v>
      </c>
      <c r="C195">
        <v>385</v>
      </c>
      <c r="D195" t="s">
        <v>2328</v>
      </c>
      <c r="E195" t="s">
        <v>2038</v>
      </c>
      <c r="F195">
        <v>202108</v>
      </c>
      <c r="G195" t="s">
        <v>2173</v>
      </c>
      <c r="H195">
        <v>52532.4</v>
      </c>
      <c r="O195">
        <v>5366</v>
      </c>
      <c r="P195" t="s">
        <v>2327</v>
      </c>
      <c r="Q195">
        <v>385</v>
      </c>
      <c r="R195" t="s">
        <v>2328</v>
      </c>
      <c r="S195" t="s">
        <v>2038</v>
      </c>
      <c r="T195">
        <v>202202</v>
      </c>
      <c r="U195" t="s">
        <v>182</v>
      </c>
      <c r="V195">
        <v>86784</v>
      </c>
    </row>
    <row r="196" spans="1:22">
      <c r="A196">
        <v>5366</v>
      </c>
      <c r="B196" t="s">
        <v>2327</v>
      </c>
      <c r="C196">
        <v>385</v>
      </c>
      <c r="D196" t="s">
        <v>2328</v>
      </c>
      <c r="E196" t="s">
        <v>2038</v>
      </c>
      <c r="F196">
        <v>202108</v>
      </c>
      <c r="G196" t="s">
        <v>190</v>
      </c>
      <c r="H196">
        <v>148370</v>
      </c>
      <c r="O196">
        <v>5366</v>
      </c>
      <c r="P196" t="s">
        <v>2327</v>
      </c>
      <c r="Q196">
        <v>385</v>
      </c>
      <c r="R196" t="s">
        <v>2328</v>
      </c>
      <c r="S196" t="s">
        <v>2038</v>
      </c>
      <c r="T196">
        <v>202202</v>
      </c>
      <c r="U196" t="s">
        <v>184</v>
      </c>
      <c r="V196">
        <v>10350</v>
      </c>
    </row>
    <row r="197" spans="1:22">
      <c r="A197">
        <v>5366</v>
      </c>
      <c r="B197" t="s">
        <v>2327</v>
      </c>
      <c r="C197">
        <v>385</v>
      </c>
      <c r="D197" t="s">
        <v>2328</v>
      </c>
      <c r="E197" t="s">
        <v>2038</v>
      </c>
      <c r="F197">
        <v>202108</v>
      </c>
      <c r="G197" t="s">
        <v>191</v>
      </c>
      <c r="H197">
        <v>29747</v>
      </c>
      <c r="O197">
        <v>5366</v>
      </c>
      <c r="P197" t="s">
        <v>2327</v>
      </c>
      <c r="Q197">
        <v>385</v>
      </c>
      <c r="R197" t="s">
        <v>2328</v>
      </c>
      <c r="S197" t="s">
        <v>2038</v>
      </c>
      <c r="T197">
        <v>202202</v>
      </c>
      <c r="U197" t="s">
        <v>190</v>
      </c>
      <c r="V197">
        <v>160875</v>
      </c>
    </row>
    <row r="198" spans="1:22">
      <c r="A198">
        <v>5366</v>
      </c>
      <c r="B198" t="s">
        <v>2327</v>
      </c>
      <c r="C198">
        <v>385</v>
      </c>
      <c r="D198" t="s">
        <v>2328</v>
      </c>
      <c r="E198" t="s">
        <v>2038</v>
      </c>
      <c r="F198">
        <v>202108</v>
      </c>
      <c r="G198" t="s">
        <v>176</v>
      </c>
      <c r="H198">
        <v>0</v>
      </c>
      <c r="O198">
        <v>5366</v>
      </c>
      <c r="P198" t="s">
        <v>2327</v>
      </c>
      <c r="Q198">
        <v>385</v>
      </c>
      <c r="R198" t="s">
        <v>2328</v>
      </c>
      <c r="S198" t="s">
        <v>2038</v>
      </c>
      <c r="T198">
        <v>202202</v>
      </c>
      <c r="U198" t="s">
        <v>191</v>
      </c>
      <c r="V198">
        <v>17536</v>
      </c>
    </row>
    <row r="199" spans="1:22">
      <c r="A199">
        <v>5366</v>
      </c>
      <c r="B199" t="s">
        <v>2327</v>
      </c>
      <c r="C199">
        <v>385</v>
      </c>
      <c r="D199" t="s">
        <v>2328</v>
      </c>
      <c r="E199" t="s">
        <v>2038</v>
      </c>
      <c r="F199">
        <v>202108</v>
      </c>
      <c r="G199" t="s">
        <v>178</v>
      </c>
      <c r="H199">
        <v>559.94000000000005</v>
      </c>
      <c r="O199">
        <v>5366</v>
      </c>
      <c r="P199" t="s">
        <v>2327</v>
      </c>
      <c r="Q199">
        <v>385</v>
      </c>
      <c r="R199" t="s">
        <v>2328</v>
      </c>
      <c r="S199" t="s">
        <v>2038</v>
      </c>
      <c r="T199">
        <v>202202</v>
      </c>
      <c r="U199" t="s">
        <v>178</v>
      </c>
      <c r="V199">
        <v>449.23</v>
      </c>
    </row>
    <row r="200" spans="1:22">
      <c r="A200">
        <v>5366</v>
      </c>
      <c r="B200" t="s">
        <v>2327</v>
      </c>
      <c r="C200">
        <v>385</v>
      </c>
      <c r="D200" t="s">
        <v>2328</v>
      </c>
      <c r="E200" t="s">
        <v>2038</v>
      </c>
      <c r="F200">
        <v>202108</v>
      </c>
      <c r="G200" t="s">
        <v>180</v>
      </c>
      <c r="H200">
        <v>543.80999999999995</v>
      </c>
      <c r="O200">
        <v>5366</v>
      </c>
      <c r="P200" t="s">
        <v>2327</v>
      </c>
      <c r="Q200">
        <v>385</v>
      </c>
      <c r="R200" t="s">
        <v>2328</v>
      </c>
      <c r="S200" t="s">
        <v>2038</v>
      </c>
      <c r="T200">
        <v>202202</v>
      </c>
      <c r="U200" t="s">
        <v>180</v>
      </c>
      <c r="V200">
        <v>362.88</v>
      </c>
    </row>
    <row r="201" spans="1:22">
      <c r="A201">
        <v>5366</v>
      </c>
      <c r="B201" t="s">
        <v>2327</v>
      </c>
      <c r="C201">
        <v>385</v>
      </c>
      <c r="D201" t="s">
        <v>2328</v>
      </c>
      <c r="E201" t="s">
        <v>2038</v>
      </c>
      <c r="F201">
        <v>202108</v>
      </c>
      <c r="G201" t="s">
        <v>182</v>
      </c>
      <c r="H201">
        <v>183716</v>
      </c>
      <c r="O201">
        <v>5366</v>
      </c>
      <c r="P201" t="s">
        <v>2327</v>
      </c>
      <c r="Q201">
        <v>385</v>
      </c>
      <c r="R201" t="s">
        <v>2328</v>
      </c>
      <c r="S201" t="s">
        <v>2038</v>
      </c>
      <c r="T201">
        <v>202202</v>
      </c>
      <c r="U201" t="s">
        <v>182</v>
      </c>
      <c r="V201">
        <v>160875</v>
      </c>
    </row>
    <row r="202" spans="1:22">
      <c r="A202">
        <v>5366</v>
      </c>
      <c r="B202" t="s">
        <v>2327</v>
      </c>
      <c r="C202">
        <v>385</v>
      </c>
      <c r="D202" t="s">
        <v>2328</v>
      </c>
      <c r="E202" t="s">
        <v>2038</v>
      </c>
      <c r="F202">
        <v>202108</v>
      </c>
      <c r="G202" t="s">
        <v>184</v>
      </c>
      <c r="H202">
        <v>29747</v>
      </c>
      <c r="O202">
        <v>5366</v>
      </c>
      <c r="P202" t="s">
        <v>2327</v>
      </c>
      <c r="Q202">
        <v>385</v>
      </c>
      <c r="R202" t="s">
        <v>2328</v>
      </c>
      <c r="S202" t="s">
        <v>2038</v>
      </c>
      <c r="T202">
        <v>202202</v>
      </c>
      <c r="U202" t="s">
        <v>184</v>
      </c>
      <c r="V202">
        <v>17536</v>
      </c>
    </row>
    <row r="203" spans="1:22">
      <c r="A203">
        <v>5366</v>
      </c>
      <c r="B203" t="s">
        <v>2327</v>
      </c>
      <c r="C203">
        <v>385</v>
      </c>
      <c r="D203" t="s">
        <v>2328</v>
      </c>
      <c r="E203" t="s">
        <v>2038</v>
      </c>
      <c r="F203">
        <v>202108</v>
      </c>
      <c r="G203" t="s">
        <v>192</v>
      </c>
      <c r="H203">
        <v>0</v>
      </c>
      <c r="O203">
        <v>5366</v>
      </c>
      <c r="P203" t="s">
        <v>2327</v>
      </c>
      <c r="Q203">
        <v>385</v>
      </c>
      <c r="R203" t="s">
        <v>2328</v>
      </c>
      <c r="S203" t="s">
        <v>2038</v>
      </c>
      <c r="T203">
        <v>202202</v>
      </c>
      <c r="U203" t="s">
        <v>186</v>
      </c>
      <c r="V203">
        <v>0</v>
      </c>
    </row>
    <row r="204" spans="1:22">
      <c r="A204">
        <v>5366</v>
      </c>
      <c r="B204" t="s">
        <v>2327</v>
      </c>
      <c r="C204">
        <v>385</v>
      </c>
      <c r="D204" t="s">
        <v>2328</v>
      </c>
      <c r="E204" t="s">
        <v>2038</v>
      </c>
      <c r="F204">
        <v>202108</v>
      </c>
      <c r="G204" t="s">
        <v>2172</v>
      </c>
      <c r="H204">
        <v>2717.01</v>
      </c>
      <c r="O204">
        <v>5366</v>
      </c>
      <c r="P204" t="s">
        <v>2327</v>
      </c>
      <c r="Q204">
        <v>385</v>
      </c>
      <c r="R204" t="s">
        <v>2328</v>
      </c>
      <c r="S204" t="s">
        <v>2038</v>
      </c>
      <c r="T204">
        <v>202202</v>
      </c>
      <c r="U204" t="s">
        <v>190</v>
      </c>
      <c r="V204">
        <v>403582</v>
      </c>
    </row>
    <row r="205" spans="1:22">
      <c r="A205">
        <v>5366</v>
      </c>
      <c r="B205" t="s">
        <v>2327</v>
      </c>
      <c r="C205">
        <v>385</v>
      </c>
      <c r="D205" t="s">
        <v>2328</v>
      </c>
      <c r="E205" t="s">
        <v>2038</v>
      </c>
      <c r="F205">
        <v>202108</v>
      </c>
      <c r="G205" t="s">
        <v>186</v>
      </c>
      <c r="H205">
        <v>35346</v>
      </c>
      <c r="O205">
        <v>5366</v>
      </c>
      <c r="P205" t="s">
        <v>2327</v>
      </c>
      <c r="Q205">
        <v>385</v>
      </c>
      <c r="R205" t="s">
        <v>2328</v>
      </c>
      <c r="S205" t="s">
        <v>2038</v>
      </c>
      <c r="T205">
        <v>202202</v>
      </c>
      <c r="U205" t="s">
        <v>191</v>
      </c>
      <c r="V205">
        <v>18427</v>
      </c>
    </row>
    <row r="206" spans="1:22">
      <c r="A206">
        <v>5366</v>
      </c>
      <c r="B206" t="s">
        <v>2327</v>
      </c>
      <c r="C206">
        <v>385</v>
      </c>
      <c r="D206" t="s">
        <v>2328</v>
      </c>
      <c r="E206" t="s">
        <v>2038</v>
      </c>
      <c r="F206">
        <v>202108</v>
      </c>
      <c r="G206" t="s">
        <v>2171</v>
      </c>
      <c r="H206">
        <v>252.06</v>
      </c>
      <c r="O206">
        <v>5366</v>
      </c>
      <c r="P206" t="s">
        <v>2327</v>
      </c>
      <c r="Q206">
        <v>385</v>
      </c>
      <c r="R206" t="s">
        <v>2328</v>
      </c>
      <c r="S206" t="s">
        <v>2038</v>
      </c>
      <c r="T206">
        <v>202202</v>
      </c>
      <c r="U206" t="s">
        <v>178</v>
      </c>
      <c r="V206">
        <v>2399.04</v>
      </c>
    </row>
    <row r="207" spans="1:22">
      <c r="A207">
        <v>5366</v>
      </c>
      <c r="B207" t="s">
        <v>2327</v>
      </c>
      <c r="C207">
        <v>385</v>
      </c>
      <c r="D207" t="s">
        <v>2328</v>
      </c>
      <c r="E207" t="s">
        <v>2038</v>
      </c>
      <c r="F207">
        <v>202108</v>
      </c>
      <c r="G207" t="s">
        <v>2168</v>
      </c>
      <c r="H207">
        <v>13.66</v>
      </c>
      <c r="O207">
        <v>5366</v>
      </c>
      <c r="P207" t="s">
        <v>2327</v>
      </c>
      <c r="Q207">
        <v>385</v>
      </c>
      <c r="R207" t="s">
        <v>2328</v>
      </c>
      <c r="S207" t="s">
        <v>2038</v>
      </c>
      <c r="T207">
        <v>202202</v>
      </c>
      <c r="U207" t="s">
        <v>180</v>
      </c>
      <c r="V207">
        <v>2207.7600000000002</v>
      </c>
    </row>
    <row r="208" spans="1:22">
      <c r="A208">
        <v>5366</v>
      </c>
      <c r="B208" t="s">
        <v>2327</v>
      </c>
      <c r="C208">
        <v>385</v>
      </c>
      <c r="D208" t="s">
        <v>2328</v>
      </c>
      <c r="E208" t="s">
        <v>2038</v>
      </c>
      <c r="F208">
        <v>202108</v>
      </c>
      <c r="G208" t="s">
        <v>2169</v>
      </c>
      <c r="H208">
        <v>19.399999999999999</v>
      </c>
      <c r="O208">
        <v>5366</v>
      </c>
      <c r="P208" t="s">
        <v>2327</v>
      </c>
      <c r="Q208">
        <v>385</v>
      </c>
      <c r="R208" t="s">
        <v>2328</v>
      </c>
      <c r="S208" t="s">
        <v>2038</v>
      </c>
      <c r="T208">
        <v>202202</v>
      </c>
      <c r="U208" t="s">
        <v>182</v>
      </c>
      <c r="V208">
        <v>1271939</v>
      </c>
    </row>
    <row r="209" spans="1:22">
      <c r="A209">
        <v>5366</v>
      </c>
      <c r="B209" t="s">
        <v>2327</v>
      </c>
      <c r="C209">
        <v>385</v>
      </c>
      <c r="D209" t="s">
        <v>2328</v>
      </c>
      <c r="E209" t="s">
        <v>2038</v>
      </c>
      <c r="F209">
        <v>202108</v>
      </c>
      <c r="G209" t="s">
        <v>2170</v>
      </c>
      <c r="H209">
        <v>11.5</v>
      </c>
      <c r="O209">
        <v>5366</v>
      </c>
      <c r="P209" t="s">
        <v>2327</v>
      </c>
      <c r="Q209">
        <v>385</v>
      </c>
      <c r="R209" t="s">
        <v>2328</v>
      </c>
      <c r="S209" t="s">
        <v>2038</v>
      </c>
      <c r="T209">
        <v>202202</v>
      </c>
      <c r="U209" t="s">
        <v>184</v>
      </c>
      <c r="V209">
        <v>102047</v>
      </c>
    </row>
    <row r="210" spans="1:22">
      <c r="A210">
        <v>5366</v>
      </c>
      <c r="B210" t="s">
        <v>2327</v>
      </c>
      <c r="C210">
        <v>385</v>
      </c>
      <c r="D210" t="s">
        <v>2328</v>
      </c>
      <c r="E210" t="s">
        <v>2038</v>
      </c>
      <c r="F210">
        <v>202108</v>
      </c>
      <c r="G210" t="s">
        <v>2173</v>
      </c>
      <c r="H210">
        <v>68266.679999999993</v>
      </c>
      <c r="O210">
        <v>5366</v>
      </c>
      <c r="P210" t="s">
        <v>2327</v>
      </c>
      <c r="Q210">
        <v>385</v>
      </c>
      <c r="R210" t="s">
        <v>2328</v>
      </c>
      <c r="S210" t="s">
        <v>2038</v>
      </c>
      <c r="T210">
        <v>202202</v>
      </c>
      <c r="U210" t="s">
        <v>186</v>
      </c>
      <c r="V210">
        <v>0</v>
      </c>
    </row>
    <row r="211" spans="1:22">
      <c r="A211">
        <v>5366</v>
      </c>
      <c r="B211" t="s">
        <v>2327</v>
      </c>
      <c r="C211">
        <v>385</v>
      </c>
      <c r="D211" t="s">
        <v>2328</v>
      </c>
      <c r="E211" t="s">
        <v>2038</v>
      </c>
      <c r="F211">
        <v>202108</v>
      </c>
      <c r="G211" t="s">
        <v>190</v>
      </c>
      <c r="H211">
        <v>357542</v>
      </c>
      <c r="O211">
        <v>5366</v>
      </c>
      <c r="P211" t="s">
        <v>2327</v>
      </c>
      <c r="Q211">
        <v>385</v>
      </c>
      <c r="R211" t="s">
        <v>2328</v>
      </c>
      <c r="S211" t="s">
        <v>2038</v>
      </c>
      <c r="T211">
        <v>202203</v>
      </c>
      <c r="U211" t="s">
        <v>190</v>
      </c>
      <c r="V211">
        <v>142583</v>
      </c>
    </row>
    <row r="212" spans="1:22">
      <c r="A212">
        <v>5366</v>
      </c>
      <c r="B212" t="s">
        <v>2327</v>
      </c>
      <c r="C212">
        <v>385</v>
      </c>
      <c r="D212" t="s">
        <v>2328</v>
      </c>
      <c r="E212" t="s">
        <v>2038</v>
      </c>
      <c r="F212">
        <v>202108</v>
      </c>
      <c r="G212" t="s">
        <v>191</v>
      </c>
      <c r="H212">
        <v>36568</v>
      </c>
      <c r="O212">
        <v>5366</v>
      </c>
      <c r="P212" t="s">
        <v>2327</v>
      </c>
      <c r="Q212">
        <v>385</v>
      </c>
      <c r="R212" t="s">
        <v>2328</v>
      </c>
      <c r="S212" t="s">
        <v>2038</v>
      </c>
      <c r="T212">
        <v>202203</v>
      </c>
      <c r="U212" t="s">
        <v>191</v>
      </c>
      <c r="V212">
        <v>16313</v>
      </c>
    </row>
    <row r="213" spans="1:22">
      <c r="A213">
        <v>5366</v>
      </c>
      <c r="B213" t="s">
        <v>2327</v>
      </c>
      <c r="C213">
        <v>385</v>
      </c>
      <c r="D213" t="s">
        <v>2328</v>
      </c>
      <c r="E213" t="s">
        <v>2038</v>
      </c>
      <c r="F213">
        <v>202108</v>
      </c>
      <c r="G213" t="s">
        <v>176</v>
      </c>
      <c r="H213">
        <v>0</v>
      </c>
      <c r="O213">
        <v>5366</v>
      </c>
      <c r="P213" t="s">
        <v>2327</v>
      </c>
      <c r="Q213">
        <v>385</v>
      </c>
      <c r="R213" t="s">
        <v>2328</v>
      </c>
      <c r="S213" t="s">
        <v>2038</v>
      </c>
      <c r="T213">
        <v>202203</v>
      </c>
      <c r="U213" t="s">
        <v>178</v>
      </c>
      <c r="V213">
        <v>402.86</v>
      </c>
    </row>
    <row r="214" spans="1:22">
      <c r="A214">
        <v>5366</v>
      </c>
      <c r="B214" t="s">
        <v>2327</v>
      </c>
      <c r="C214">
        <v>385</v>
      </c>
      <c r="D214" t="s">
        <v>2328</v>
      </c>
      <c r="E214" t="s">
        <v>2038</v>
      </c>
      <c r="F214">
        <v>202108</v>
      </c>
      <c r="G214" t="s">
        <v>178</v>
      </c>
      <c r="H214">
        <v>2298.2399999999998</v>
      </c>
      <c r="O214">
        <v>5366</v>
      </c>
      <c r="P214" t="s">
        <v>2327</v>
      </c>
      <c r="Q214">
        <v>385</v>
      </c>
      <c r="R214" t="s">
        <v>2328</v>
      </c>
      <c r="S214" t="s">
        <v>2038</v>
      </c>
      <c r="T214">
        <v>202203</v>
      </c>
      <c r="U214" t="s">
        <v>180</v>
      </c>
      <c r="V214">
        <v>405.55</v>
      </c>
    </row>
    <row r="215" spans="1:22">
      <c r="A215">
        <v>5366</v>
      </c>
      <c r="B215" t="s">
        <v>2327</v>
      </c>
      <c r="C215">
        <v>385</v>
      </c>
      <c r="D215" t="s">
        <v>2328</v>
      </c>
      <c r="E215" t="s">
        <v>2038</v>
      </c>
      <c r="F215">
        <v>202108</v>
      </c>
      <c r="G215" t="s">
        <v>180</v>
      </c>
      <c r="H215">
        <v>2247.84</v>
      </c>
      <c r="O215">
        <v>5366</v>
      </c>
      <c r="P215" t="s">
        <v>2327</v>
      </c>
      <c r="Q215">
        <v>385</v>
      </c>
      <c r="R215" t="s">
        <v>2328</v>
      </c>
      <c r="S215" t="s">
        <v>2038</v>
      </c>
      <c r="T215">
        <v>202203</v>
      </c>
      <c r="U215" t="s">
        <v>182</v>
      </c>
      <c r="V215">
        <v>142583</v>
      </c>
    </row>
    <row r="216" spans="1:22">
      <c r="A216">
        <v>5366</v>
      </c>
      <c r="B216" t="s">
        <v>2327</v>
      </c>
      <c r="C216">
        <v>385</v>
      </c>
      <c r="D216" t="s">
        <v>2328</v>
      </c>
      <c r="E216" t="s">
        <v>2038</v>
      </c>
      <c r="F216">
        <v>202108</v>
      </c>
      <c r="G216" t="s">
        <v>182</v>
      </c>
      <c r="H216">
        <v>1169740</v>
      </c>
      <c r="O216">
        <v>5366</v>
      </c>
      <c r="P216" t="s">
        <v>2327</v>
      </c>
      <c r="Q216">
        <v>385</v>
      </c>
      <c r="R216" t="s">
        <v>2328</v>
      </c>
      <c r="S216" t="s">
        <v>2038</v>
      </c>
      <c r="T216">
        <v>202203</v>
      </c>
      <c r="U216" t="s">
        <v>184</v>
      </c>
      <c r="V216">
        <v>16313</v>
      </c>
    </row>
    <row r="217" spans="1:22">
      <c r="A217">
        <v>5366</v>
      </c>
      <c r="B217" t="s">
        <v>2327</v>
      </c>
      <c r="C217">
        <v>385</v>
      </c>
      <c r="D217" t="s">
        <v>2328</v>
      </c>
      <c r="E217" t="s">
        <v>2038</v>
      </c>
      <c r="F217">
        <v>202108</v>
      </c>
      <c r="G217" t="s">
        <v>184</v>
      </c>
      <c r="H217">
        <v>120295</v>
      </c>
      <c r="O217">
        <v>5366</v>
      </c>
      <c r="P217" t="s">
        <v>2327</v>
      </c>
      <c r="Q217">
        <v>385</v>
      </c>
      <c r="R217" t="s">
        <v>2328</v>
      </c>
      <c r="S217" t="s">
        <v>2038</v>
      </c>
      <c r="T217">
        <v>202203</v>
      </c>
      <c r="U217" t="s">
        <v>186</v>
      </c>
      <c r="V217">
        <v>0</v>
      </c>
    </row>
    <row r="218" spans="1:22">
      <c r="A218">
        <v>5366</v>
      </c>
      <c r="B218" t="s">
        <v>2327</v>
      </c>
      <c r="C218">
        <v>385</v>
      </c>
      <c r="D218" t="s">
        <v>2328</v>
      </c>
      <c r="E218" t="s">
        <v>2038</v>
      </c>
      <c r="F218">
        <v>202108</v>
      </c>
      <c r="G218" t="s">
        <v>192</v>
      </c>
      <c r="H218">
        <v>0</v>
      </c>
      <c r="O218">
        <v>5366</v>
      </c>
      <c r="P218" t="s">
        <v>2327</v>
      </c>
      <c r="Q218">
        <v>385</v>
      </c>
      <c r="R218" t="s">
        <v>2328</v>
      </c>
      <c r="S218" t="s">
        <v>2038</v>
      </c>
      <c r="T218">
        <v>202203</v>
      </c>
      <c r="U218" t="s">
        <v>190</v>
      </c>
      <c r="V218">
        <v>314751</v>
      </c>
    </row>
    <row r="219" spans="1:22">
      <c r="A219">
        <v>5366</v>
      </c>
      <c r="B219" t="s">
        <v>2327</v>
      </c>
      <c r="C219">
        <v>385</v>
      </c>
      <c r="D219" t="s">
        <v>2328</v>
      </c>
      <c r="E219" t="s">
        <v>2038</v>
      </c>
      <c r="F219">
        <v>202108</v>
      </c>
      <c r="G219" t="s">
        <v>2172</v>
      </c>
      <c r="H219">
        <v>7841.39</v>
      </c>
      <c r="O219">
        <v>5366</v>
      </c>
      <c r="P219" t="s">
        <v>2327</v>
      </c>
      <c r="Q219">
        <v>385</v>
      </c>
      <c r="R219" t="s">
        <v>2328</v>
      </c>
      <c r="S219" t="s">
        <v>2038</v>
      </c>
      <c r="T219">
        <v>202203</v>
      </c>
      <c r="U219" t="s">
        <v>191</v>
      </c>
      <c r="V219">
        <v>38619</v>
      </c>
    </row>
    <row r="220" spans="1:22">
      <c r="A220">
        <v>5366</v>
      </c>
      <c r="B220" t="s">
        <v>2327</v>
      </c>
      <c r="C220">
        <v>385</v>
      </c>
      <c r="D220" t="s">
        <v>2328</v>
      </c>
      <c r="E220" t="s">
        <v>2038</v>
      </c>
      <c r="F220">
        <v>202108</v>
      </c>
      <c r="G220" t="s">
        <v>186</v>
      </c>
      <c r="H220">
        <v>0</v>
      </c>
      <c r="O220">
        <v>5366</v>
      </c>
      <c r="P220" t="s">
        <v>2327</v>
      </c>
      <c r="Q220">
        <v>385</v>
      </c>
      <c r="R220" t="s">
        <v>2328</v>
      </c>
      <c r="S220" t="s">
        <v>2038</v>
      </c>
      <c r="T220">
        <v>202203</v>
      </c>
      <c r="U220" t="s">
        <v>178</v>
      </c>
      <c r="V220">
        <v>1042.44</v>
      </c>
    </row>
    <row r="221" spans="1:22">
      <c r="A221">
        <v>5366</v>
      </c>
      <c r="B221" t="s">
        <v>2327</v>
      </c>
      <c r="C221">
        <v>385</v>
      </c>
      <c r="D221" t="s">
        <v>2328</v>
      </c>
      <c r="E221" t="s">
        <v>2038</v>
      </c>
      <c r="F221">
        <v>202108</v>
      </c>
      <c r="G221" t="s">
        <v>2171</v>
      </c>
      <c r="H221">
        <v>252.06</v>
      </c>
      <c r="O221">
        <v>5366</v>
      </c>
      <c r="P221" t="s">
        <v>2327</v>
      </c>
      <c r="Q221">
        <v>385</v>
      </c>
      <c r="R221" t="s">
        <v>2328</v>
      </c>
      <c r="S221" t="s">
        <v>2038</v>
      </c>
      <c r="T221">
        <v>202203</v>
      </c>
      <c r="U221" t="s">
        <v>180</v>
      </c>
      <c r="V221">
        <v>1044.96</v>
      </c>
    </row>
    <row r="222" spans="1:22">
      <c r="A222">
        <v>5366</v>
      </c>
      <c r="B222" t="s">
        <v>2327</v>
      </c>
      <c r="C222">
        <v>385</v>
      </c>
      <c r="D222" t="s">
        <v>2328</v>
      </c>
      <c r="E222" t="s">
        <v>2038</v>
      </c>
      <c r="F222">
        <v>202108</v>
      </c>
      <c r="G222" t="s">
        <v>2168</v>
      </c>
      <c r="H222">
        <v>13.66</v>
      </c>
      <c r="O222">
        <v>5366</v>
      </c>
      <c r="P222" t="s">
        <v>2327</v>
      </c>
      <c r="Q222">
        <v>385</v>
      </c>
      <c r="R222" t="s">
        <v>2328</v>
      </c>
      <c r="S222" t="s">
        <v>2038</v>
      </c>
      <c r="T222">
        <v>202203</v>
      </c>
      <c r="U222" t="s">
        <v>182</v>
      </c>
      <c r="V222">
        <v>314751</v>
      </c>
    </row>
    <row r="223" spans="1:22">
      <c r="A223">
        <v>5366</v>
      </c>
      <c r="B223" t="s">
        <v>2327</v>
      </c>
      <c r="C223">
        <v>385</v>
      </c>
      <c r="D223" t="s">
        <v>2328</v>
      </c>
      <c r="E223" t="s">
        <v>2038</v>
      </c>
      <c r="F223">
        <v>202108</v>
      </c>
      <c r="G223" t="s">
        <v>2169</v>
      </c>
      <c r="H223">
        <v>19.399999999999999</v>
      </c>
      <c r="O223">
        <v>5366</v>
      </c>
      <c r="P223" t="s">
        <v>2327</v>
      </c>
      <c r="Q223">
        <v>385</v>
      </c>
      <c r="R223" t="s">
        <v>2328</v>
      </c>
      <c r="S223" t="s">
        <v>2038</v>
      </c>
      <c r="T223">
        <v>202203</v>
      </c>
      <c r="U223" t="s">
        <v>184</v>
      </c>
      <c r="V223">
        <v>38619</v>
      </c>
    </row>
    <row r="224" spans="1:22">
      <c r="A224">
        <v>5366</v>
      </c>
      <c r="B224" t="s">
        <v>2327</v>
      </c>
      <c r="C224">
        <v>385</v>
      </c>
      <c r="D224" t="s">
        <v>2328</v>
      </c>
      <c r="E224" t="s">
        <v>2038</v>
      </c>
      <c r="F224">
        <v>202108</v>
      </c>
      <c r="G224" t="s">
        <v>2170</v>
      </c>
      <c r="H224">
        <v>11.5</v>
      </c>
      <c r="O224">
        <v>5366</v>
      </c>
      <c r="P224" t="s">
        <v>2327</v>
      </c>
      <c r="Q224">
        <v>385</v>
      </c>
      <c r="R224" t="s">
        <v>2328</v>
      </c>
      <c r="S224" t="s">
        <v>2038</v>
      </c>
      <c r="T224">
        <v>202203</v>
      </c>
      <c r="U224" t="s">
        <v>186</v>
      </c>
      <c r="V224">
        <v>0</v>
      </c>
    </row>
    <row r="225" spans="1:22">
      <c r="A225">
        <v>5366</v>
      </c>
      <c r="B225" t="s">
        <v>2327</v>
      </c>
      <c r="C225">
        <v>385</v>
      </c>
      <c r="D225" t="s">
        <v>2328</v>
      </c>
      <c r="E225" t="s">
        <v>2038</v>
      </c>
      <c r="F225">
        <v>202108</v>
      </c>
      <c r="G225" t="s">
        <v>2173</v>
      </c>
      <c r="H225">
        <v>197019.94</v>
      </c>
      <c r="O225">
        <v>5366</v>
      </c>
      <c r="P225" t="s">
        <v>2327</v>
      </c>
      <c r="Q225">
        <v>385</v>
      </c>
      <c r="R225" t="s">
        <v>2328</v>
      </c>
      <c r="S225" t="s">
        <v>2038</v>
      </c>
      <c r="T225">
        <v>202203</v>
      </c>
      <c r="U225" t="s">
        <v>190</v>
      </c>
      <c r="V225">
        <v>186569</v>
      </c>
    </row>
    <row r="226" spans="1:22">
      <c r="A226">
        <v>5366</v>
      </c>
      <c r="B226" t="s">
        <v>2327</v>
      </c>
      <c r="C226">
        <v>385</v>
      </c>
      <c r="D226" t="s">
        <v>2328</v>
      </c>
      <c r="E226" t="s">
        <v>2038</v>
      </c>
      <c r="F226">
        <v>202109</v>
      </c>
      <c r="G226" t="s">
        <v>190</v>
      </c>
      <c r="H226">
        <v>264091</v>
      </c>
      <c r="O226">
        <v>5366</v>
      </c>
      <c r="P226" t="s">
        <v>2327</v>
      </c>
      <c r="Q226">
        <v>385</v>
      </c>
      <c r="R226" t="s">
        <v>2328</v>
      </c>
      <c r="S226" t="s">
        <v>2038</v>
      </c>
      <c r="T226">
        <v>202203</v>
      </c>
      <c r="U226" t="s">
        <v>191</v>
      </c>
      <c r="V226">
        <v>27031</v>
      </c>
    </row>
    <row r="227" spans="1:22">
      <c r="A227">
        <v>5366</v>
      </c>
      <c r="B227" t="s">
        <v>2327</v>
      </c>
      <c r="C227">
        <v>385</v>
      </c>
      <c r="D227" t="s">
        <v>2328</v>
      </c>
      <c r="E227" t="s">
        <v>2038</v>
      </c>
      <c r="F227">
        <v>202109</v>
      </c>
      <c r="G227" t="s">
        <v>191</v>
      </c>
      <c r="H227">
        <v>42325</v>
      </c>
      <c r="O227">
        <v>5366</v>
      </c>
      <c r="P227" t="s">
        <v>2327</v>
      </c>
      <c r="Q227">
        <v>385</v>
      </c>
      <c r="R227" t="s">
        <v>2328</v>
      </c>
      <c r="S227" t="s">
        <v>2038</v>
      </c>
      <c r="T227">
        <v>202203</v>
      </c>
      <c r="U227" t="s">
        <v>178</v>
      </c>
      <c r="V227">
        <v>668.3</v>
      </c>
    </row>
    <row r="228" spans="1:22">
      <c r="A228">
        <v>5366</v>
      </c>
      <c r="B228" t="s">
        <v>2327</v>
      </c>
      <c r="C228">
        <v>385</v>
      </c>
      <c r="D228" t="s">
        <v>2328</v>
      </c>
      <c r="E228" t="s">
        <v>2038</v>
      </c>
      <c r="F228">
        <v>202109</v>
      </c>
      <c r="G228" t="s">
        <v>176</v>
      </c>
      <c r="H228">
        <v>0</v>
      </c>
      <c r="O228">
        <v>5366</v>
      </c>
      <c r="P228" t="s">
        <v>2327</v>
      </c>
      <c r="Q228">
        <v>385</v>
      </c>
      <c r="R228" t="s">
        <v>2328</v>
      </c>
      <c r="S228" t="s">
        <v>2038</v>
      </c>
      <c r="T228">
        <v>202203</v>
      </c>
      <c r="U228" t="s">
        <v>180</v>
      </c>
      <c r="V228">
        <v>689.47</v>
      </c>
    </row>
    <row r="229" spans="1:22">
      <c r="A229">
        <v>5366</v>
      </c>
      <c r="B229" t="s">
        <v>2327</v>
      </c>
      <c r="C229">
        <v>385</v>
      </c>
      <c r="D229" t="s">
        <v>2328</v>
      </c>
      <c r="E229" t="s">
        <v>2038</v>
      </c>
      <c r="F229">
        <v>202109</v>
      </c>
      <c r="G229" t="s">
        <v>178</v>
      </c>
      <c r="H229">
        <v>889.56</v>
      </c>
      <c r="O229">
        <v>5366</v>
      </c>
      <c r="P229" t="s">
        <v>2327</v>
      </c>
      <c r="Q229">
        <v>385</v>
      </c>
      <c r="R229" t="s">
        <v>2328</v>
      </c>
      <c r="S229" t="s">
        <v>2038</v>
      </c>
      <c r="T229">
        <v>202203</v>
      </c>
      <c r="U229" t="s">
        <v>182</v>
      </c>
      <c r="V229">
        <v>214722</v>
      </c>
    </row>
    <row r="230" spans="1:22">
      <c r="A230">
        <v>5366</v>
      </c>
      <c r="B230" t="s">
        <v>2327</v>
      </c>
      <c r="C230">
        <v>385</v>
      </c>
      <c r="D230" t="s">
        <v>2328</v>
      </c>
      <c r="E230" t="s">
        <v>2038</v>
      </c>
      <c r="F230">
        <v>202109</v>
      </c>
      <c r="G230" t="s">
        <v>180</v>
      </c>
      <c r="H230">
        <v>781.2</v>
      </c>
      <c r="O230">
        <v>5366</v>
      </c>
      <c r="P230" t="s">
        <v>2327</v>
      </c>
      <c r="Q230">
        <v>385</v>
      </c>
      <c r="R230" t="s">
        <v>2328</v>
      </c>
      <c r="S230" t="s">
        <v>2038</v>
      </c>
      <c r="T230">
        <v>202203</v>
      </c>
      <c r="U230" t="s">
        <v>184</v>
      </c>
      <c r="V230">
        <v>27031</v>
      </c>
    </row>
    <row r="231" spans="1:22">
      <c r="A231">
        <v>5366</v>
      </c>
      <c r="B231" t="s">
        <v>2327</v>
      </c>
      <c r="C231">
        <v>385</v>
      </c>
      <c r="D231" t="s">
        <v>2328</v>
      </c>
      <c r="E231" t="s">
        <v>2038</v>
      </c>
      <c r="F231">
        <v>202109</v>
      </c>
      <c r="G231" t="s">
        <v>182</v>
      </c>
      <c r="H231">
        <v>264091</v>
      </c>
      <c r="O231">
        <v>5366</v>
      </c>
      <c r="P231" t="s">
        <v>2327</v>
      </c>
      <c r="Q231">
        <v>385</v>
      </c>
      <c r="R231" t="s">
        <v>2328</v>
      </c>
      <c r="S231" t="s">
        <v>2038</v>
      </c>
      <c r="T231">
        <v>202203</v>
      </c>
      <c r="U231" t="s">
        <v>186</v>
      </c>
      <c r="V231">
        <v>27153</v>
      </c>
    </row>
    <row r="232" spans="1:22">
      <c r="A232">
        <v>5366</v>
      </c>
      <c r="B232" t="s">
        <v>2327</v>
      </c>
      <c r="C232">
        <v>385</v>
      </c>
      <c r="D232" t="s">
        <v>2328</v>
      </c>
      <c r="E232" t="s">
        <v>2038</v>
      </c>
      <c r="F232">
        <v>202109</v>
      </c>
      <c r="G232" t="s">
        <v>184</v>
      </c>
      <c r="H232">
        <v>42325</v>
      </c>
      <c r="O232">
        <v>5366</v>
      </c>
      <c r="P232" t="s">
        <v>2327</v>
      </c>
      <c r="Q232">
        <v>385</v>
      </c>
      <c r="R232" t="s">
        <v>2328</v>
      </c>
      <c r="S232" t="s">
        <v>2038</v>
      </c>
      <c r="T232">
        <v>202203</v>
      </c>
      <c r="U232" t="s">
        <v>190</v>
      </c>
      <c r="V232">
        <v>69224</v>
      </c>
    </row>
    <row r="233" spans="1:22">
      <c r="A233">
        <v>5366</v>
      </c>
      <c r="B233" t="s">
        <v>2327</v>
      </c>
      <c r="C233">
        <v>385</v>
      </c>
      <c r="D233" t="s">
        <v>2328</v>
      </c>
      <c r="E233" t="s">
        <v>2038</v>
      </c>
      <c r="F233">
        <v>202109</v>
      </c>
      <c r="G233" t="s">
        <v>192</v>
      </c>
      <c r="H233">
        <v>0</v>
      </c>
      <c r="O233">
        <v>5366</v>
      </c>
      <c r="P233" t="s">
        <v>2327</v>
      </c>
      <c r="Q233">
        <v>385</v>
      </c>
      <c r="R233" t="s">
        <v>2328</v>
      </c>
      <c r="S233" t="s">
        <v>2038</v>
      </c>
      <c r="T233">
        <v>202203</v>
      </c>
      <c r="U233" t="s">
        <v>191</v>
      </c>
      <c r="V233">
        <v>8819</v>
      </c>
    </row>
    <row r="234" spans="1:22">
      <c r="A234">
        <v>5366</v>
      </c>
      <c r="B234" t="s">
        <v>2327</v>
      </c>
      <c r="C234">
        <v>385</v>
      </c>
      <c r="D234" t="s">
        <v>2328</v>
      </c>
      <c r="E234" t="s">
        <v>2038</v>
      </c>
      <c r="F234">
        <v>202109</v>
      </c>
      <c r="G234" t="s">
        <v>2172</v>
      </c>
      <c r="H234">
        <v>4273.3999999999996</v>
      </c>
      <c r="O234">
        <v>5366</v>
      </c>
      <c r="P234" t="s">
        <v>2327</v>
      </c>
      <c r="Q234">
        <v>385</v>
      </c>
      <c r="R234" t="s">
        <v>2328</v>
      </c>
      <c r="S234" t="s">
        <v>2038</v>
      </c>
      <c r="T234">
        <v>202203</v>
      </c>
      <c r="U234" t="s">
        <v>178</v>
      </c>
      <c r="V234">
        <v>287</v>
      </c>
    </row>
    <row r="235" spans="1:22">
      <c r="A235">
        <v>5366</v>
      </c>
      <c r="B235" t="s">
        <v>2327</v>
      </c>
      <c r="C235">
        <v>385</v>
      </c>
      <c r="D235" t="s">
        <v>2328</v>
      </c>
      <c r="E235" t="s">
        <v>2038</v>
      </c>
      <c r="F235">
        <v>202109</v>
      </c>
      <c r="G235" t="s">
        <v>186</v>
      </c>
      <c r="H235">
        <v>0</v>
      </c>
      <c r="O235">
        <v>5366</v>
      </c>
      <c r="P235" t="s">
        <v>2327</v>
      </c>
      <c r="Q235">
        <v>385</v>
      </c>
      <c r="R235" t="s">
        <v>2328</v>
      </c>
      <c r="S235" t="s">
        <v>2038</v>
      </c>
      <c r="T235">
        <v>202203</v>
      </c>
      <c r="U235" t="s">
        <v>180</v>
      </c>
      <c r="V235">
        <v>193</v>
      </c>
    </row>
    <row r="236" spans="1:22">
      <c r="A236">
        <v>5366</v>
      </c>
      <c r="B236" t="s">
        <v>2327</v>
      </c>
      <c r="C236">
        <v>385</v>
      </c>
      <c r="D236" t="s">
        <v>2328</v>
      </c>
      <c r="E236" t="s">
        <v>2038</v>
      </c>
      <c r="F236">
        <v>202109</v>
      </c>
      <c r="G236" t="s">
        <v>2171</v>
      </c>
      <c r="H236">
        <v>252.06</v>
      </c>
      <c r="O236">
        <v>5366</v>
      </c>
      <c r="P236" t="s">
        <v>2327</v>
      </c>
      <c r="Q236">
        <v>385</v>
      </c>
      <c r="R236" t="s">
        <v>2328</v>
      </c>
      <c r="S236" t="s">
        <v>2038</v>
      </c>
      <c r="T236">
        <v>202203</v>
      </c>
      <c r="U236" t="s">
        <v>182</v>
      </c>
      <c r="V236">
        <v>69224</v>
      </c>
    </row>
    <row r="237" spans="1:22">
      <c r="A237">
        <v>5366</v>
      </c>
      <c r="B237" t="s">
        <v>2327</v>
      </c>
      <c r="C237">
        <v>385</v>
      </c>
      <c r="D237" t="s">
        <v>2328</v>
      </c>
      <c r="E237" t="s">
        <v>2038</v>
      </c>
      <c r="F237">
        <v>202109</v>
      </c>
      <c r="G237" t="s">
        <v>2168</v>
      </c>
      <c r="H237">
        <v>13.66</v>
      </c>
      <c r="O237">
        <v>5366</v>
      </c>
      <c r="P237" t="s">
        <v>2327</v>
      </c>
      <c r="Q237">
        <v>385</v>
      </c>
      <c r="R237" t="s">
        <v>2328</v>
      </c>
      <c r="S237" t="s">
        <v>2038</v>
      </c>
      <c r="T237">
        <v>202203</v>
      </c>
      <c r="U237" t="s">
        <v>184</v>
      </c>
      <c r="V237">
        <v>8819</v>
      </c>
    </row>
    <row r="238" spans="1:22">
      <c r="A238">
        <v>5366</v>
      </c>
      <c r="B238" t="s">
        <v>2327</v>
      </c>
      <c r="C238">
        <v>385</v>
      </c>
      <c r="D238" t="s">
        <v>2328</v>
      </c>
      <c r="E238" t="s">
        <v>2038</v>
      </c>
      <c r="F238">
        <v>202109</v>
      </c>
      <c r="G238" t="s">
        <v>2169</v>
      </c>
      <c r="H238">
        <v>19.399999999999999</v>
      </c>
      <c r="O238">
        <v>5366</v>
      </c>
      <c r="P238" t="s">
        <v>2327</v>
      </c>
      <c r="Q238">
        <v>385</v>
      </c>
      <c r="R238" t="s">
        <v>2328</v>
      </c>
      <c r="S238" t="s">
        <v>2038</v>
      </c>
      <c r="T238">
        <v>202203</v>
      </c>
      <c r="U238" t="s">
        <v>186</v>
      </c>
      <c r="V238">
        <v>0</v>
      </c>
    </row>
    <row r="239" spans="1:22">
      <c r="A239">
        <v>5366</v>
      </c>
      <c r="B239" t="s">
        <v>2327</v>
      </c>
      <c r="C239">
        <v>385</v>
      </c>
      <c r="D239" t="s">
        <v>2328</v>
      </c>
      <c r="E239" t="s">
        <v>2038</v>
      </c>
      <c r="F239">
        <v>202109</v>
      </c>
      <c r="G239" t="s">
        <v>2170</v>
      </c>
      <c r="H239">
        <v>11.5</v>
      </c>
      <c r="O239">
        <v>5366</v>
      </c>
      <c r="P239" t="s">
        <v>2327</v>
      </c>
      <c r="Q239">
        <v>385</v>
      </c>
      <c r="R239" t="s">
        <v>2328</v>
      </c>
      <c r="S239" t="s">
        <v>2038</v>
      </c>
      <c r="T239">
        <v>202203</v>
      </c>
      <c r="U239" t="s">
        <v>190</v>
      </c>
      <c r="V239">
        <v>314029</v>
      </c>
    </row>
    <row r="240" spans="1:22">
      <c r="A240">
        <v>5366</v>
      </c>
      <c r="B240" t="s">
        <v>2327</v>
      </c>
      <c r="C240">
        <v>385</v>
      </c>
      <c r="D240" t="s">
        <v>2328</v>
      </c>
      <c r="E240" t="s">
        <v>2038</v>
      </c>
      <c r="F240">
        <v>202109</v>
      </c>
      <c r="G240" t="s">
        <v>2173</v>
      </c>
      <c r="H240">
        <v>113957.16</v>
      </c>
      <c r="O240">
        <v>5366</v>
      </c>
      <c r="P240" t="s">
        <v>2327</v>
      </c>
      <c r="Q240">
        <v>385</v>
      </c>
      <c r="R240" t="s">
        <v>2328</v>
      </c>
      <c r="S240" t="s">
        <v>2038</v>
      </c>
      <c r="T240">
        <v>202203</v>
      </c>
      <c r="U240" t="s">
        <v>191</v>
      </c>
      <c r="V240">
        <v>30382</v>
      </c>
    </row>
    <row r="241" spans="1:22">
      <c r="A241">
        <v>5366</v>
      </c>
      <c r="B241" t="s">
        <v>2327</v>
      </c>
      <c r="C241">
        <v>385</v>
      </c>
      <c r="D241" t="s">
        <v>2328</v>
      </c>
      <c r="E241" t="s">
        <v>2038</v>
      </c>
      <c r="F241">
        <v>202109</v>
      </c>
      <c r="G241" t="s">
        <v>190</v>
      </c>
      <c r="H241">
        <v>56705</v>
      </c>
      <c r="O241">
        <v>5366</v>
      </c>
      <c r="P241" t="s">
        <v>2327</v>
      </c>
      <c r="Q241">
        <v>385</v>
      </c>
      <c r="R241" t="s">
        <v>2328</v>
      </c>
      <c r="S241" t="s">
        <v>2038</v>
      </c>
      <c r="T241">
        <v>202203</v>
      </c>
      <c r="U241" t="s">
        <v>178</v>
      </c>
      <c r="V241">
        <v>2456</v>
      </c>
    </row>
    <row r="242" spans="1:22">
      <c r="A242">
        <v>5366</v>
      </c>
      <c r="B242" t="s">
        <v>2327</v>
      </c>
      <c r="C242">
        <v>385</v>
      </c>
      <c r="D242" t="s">
        <v>2328</v>
      </c>
      <c r="E242" t="s">
        <v>2038</v>
      </c>
      <c r="F242">
        <v>202109</v>
      </c>
      <c r="G242" t="s">
        <v>191</v>
      </c>
      <c r="H242">
        <v>6143</v>
      </c>
      <c r="O242">
        <v>5366</v>
      </c>
      <c r="P242" t="s">
        <v>2327</v>
      </c>
      <c r="Q242">
        <v>385</v>
      </c>
      <c r="R242" t="s">
        <v>2328</v>
      </c>
      <c r="S242" t="s">
        <v>2038</v>
      </c>
      <c r="T242">
        <v>202203</v>
      </c>
      <c r="U242" t="s">
        <v>180</v>
      </c>
      <c r="V242">
        <v>2177</v>
      </c>
    </row>
    <row r="243" spans="1:22">
      <c r="A243">
        <v>5366</v>
      </c>
      <c r="B243" t="s">
        <v>2327</v>
      </c>
      <c r="C243">
        <v>385</v>
      </c>
      <c r="D243" t="s">
        <v>2328</v>
      </c>
      <c r="E243" t="s">
        <v>2038</v>
      </c>
      <c r="F243">
        <v>202109</v>
      </c>
      <c r="G243" t="s">
        <v>176</v>
      </c>
      <c r="H243">
        <v>0</v>
      </c>
      <c r="O243">
        <v>5366</v>
      </c>
      <c r="P243" t="s">
        <v>2327</v>
      </c>
      <c r="Q243">
        <v>385</v>
      </c>
      <c r="R243" t="s">
        <v>2328</v>
      </c>
      <c r="S243" t="s">
        <v>2038</v>
      </c>
      <c r="T243">
        <v>202203</v>
      </c>
      <c r="U243" t="s">
        <v>182</v>
      </c>
      <c r="V243">
        <v>1112916</v>
      </c>
    </row>
    <row r="244" spans="1:22">
      <c r="A244">
        <v>5366</v>
      </c>
      <c r="B244" t="s">
        <v>2327</v>
      </c>
      <c r="C244">
        <v>385</v>
      </c>
      <c r="D244" t="s">
        <v>2328</v>
      </c>
      <c r="E244" t="s">
        <v>2038</v>
      </c>
      <c r="F244">
        <v>202109</v>
      </c>
      <c r="G244" t="s">
        <v>178</v>
      </c>
      <c r="H244">
        <v>189</v>
      </c>
      <c r="O244">
        <v>5366</v>
      </c>
      <c r="P244" t="s">
        <v>2327</v>
      </c>
      <c r="Q244">
        <v>385</v>
      </c>
      <c r="R244" t="s">
        <v>2328</v>
      </c>
      <c r="S244" t="s">
        <v>2038</v>
      </c>
      <c r="T244">
        <v>202203</v>
      </c>
      <c r="U244" t="s">
        <v>184</v>
      </c>
      <c r="V244">
        <v>108457</v>
      </c>
    </row>
    <row r="245" spans="1:22">
      <c r="A245">
        <v>5366</v>
      </c>
      <c r="B245" t="s">
        <v>2327</v>
      </c>
      <c r="C245">
        <v>385</v>
      </c>
      <c r="D245" t="s">
        <v>2328</v>
      </c>
      <c r="E245" t="s">
        <v>2038</v>
      </c>
      <c r="F245">
        <v>202109</v>
      </c>
      <c r="G245" t="s">
        <v>180</v>
      </c>
      <c r="H245">
        <v>158.76</v>
      </c>
      <c r="O245">
        <v>5366</v>
      </c>
      <c r="P245" t="s">
        <v>2327</v>
      </c>
      <c r="Q245">
        <v>385</v>
      </c>
      <c r="R245" t="s">
        <v>2328</v>
      </c>
      <c r="S245" t="s">
        <v>2038</v>
      </c>
      <c r="T245">
        <v>202203</v>
      </c>
      <c r="U245" t="s">
        <v>186</v>
      </c>
      <c r="V245">
        <v>0</v>
      </c>
    </row>
    <row r="246" spans="1:22">
      <c r="A246">
        <v>5366</v>
      </c>
      <c r="B246" t="s">
        <v>2327</v>
      </c>
      <c r="C246">
        <v>385</v>
      </c>
      <c r="D246" t="s">
        <v>2328</v>
      </c>
      <c r="E246" t="s">
        <v>2038</v>
      </c>
      <c r="F246">
        <v>202109</v>
      </c>
      <c r="G246" t="s">
        <v>182</v>
      </c>
      <c r="H246">
        <v>56705</v>
      </c>
      <c r="O246">
        <v>5366</v>
      </c>
      <c r="P246" t="s">
        <v>2327</v>
      </c>
      <c r="Q246">
        <v>385</v>
      </c>
      <c r="R246" t="s">
        <v>2328</v>
      </c>
      <c r="S246" t="s">
        <v>2038</v>
      </c>
      <c r="T246">
        <v>202204</v>
      </c>
      <c r="U246" t="s">
        <v>190</v>
      </c>
      <c r="V246">
        <v>212147</v>
      </c>
    </row>
    <row r="247" spans="1:22">
      <c r="A247">
        <v>5366</v>
      </c>
      <c r="B247" t="s">
        <v>2327</v>
      </c>
      <c r="C247">
        <v>385</v>
      </c>
      <c r="D247" t="s">
        <v>2328</v>
      </c>
      <c r="E247" t="s">
        <v>2038</v>
      </c>
      <c r="F247">
        <v>202109</v>
      </c>
      <c r="G247" t="s">
        <v>184</v>
      </c>
      <c r="H247">
        <v>6143</v>
      </c>
      <c r="O247">
        <v>5366</v>
      </c>
      <c r="P247" t="s">
        <v>2327</v>
      </c>
      <c r="Q247">
        <v>385</v>
      </c>
      <c r="R247" t="s">
        <v>2328</v>
      </c>
      <c r="S247" t="s">
        <v>2038</v>
      </c>
      <c r="T247">
        <v>202204</v>
      </c>
      <c r="U247" t="s">
        <v>191</v>
      </c>
      <c r="V247">
        <v>31013</v>
      </c>
    </row>
    <row r="248" spans="1:22">
      <c r="A248">
        <v>5366</v>
      </c>
      <c r="B248" t="s">
        <v>2327</v>
      </c>
      <c r="C248">
        <v>385</v>
      </c>
      <c r="D248" t="s">
        <v>2328</v>
      </c>
      <c r="E248" t="s">
        <v>2038</v>
      </c>
      <c r="F248">
        <v>202109</v>
      </c>
      <c r="G248" t="s">
        <v>192</v>
      </c>
      <c r="H248">
        <v>0</v>
      </c>
      <c r="O248">
        <v>5366</v>
      </c>
      <c r="P248" t="s">
        <v>2327</v>
      </c>
      <c r="Q248">
        <v>385</v>
      </c>
      <c r="R248" t="s">
        <v>2328</v>
      </c>
      <c r="S248" t="s">
        <v>2038</v>
      </c>
      <c r="T248">
        <v>202204</v>
      </c>
      <c r="U248" t="s">
        <v>178</v>
      </c>
      <c r="V248">
        <v>619.41</v>
      </c>
    </row>
    <row r="249" spans="1:22">
      <c r="A249">
        <v>5366</v>
      </c>
      <c r="B249" t="s">
        <v>2327</v>
      </c>
      <c r="C249">
        <v>385</v>
      </c>
      <c r="D249" t="s">
        <v>2328</v>
      </c>
      <c r="E249" t="s">
        <v>2038</v>
      </c>
      <c r="F249">
        <v>202109</v>
      </c>
      <c r="G249" t="s">
        <v>2172</v>
      </c>
      <c r="H249">
        <v>921.03</v>
      </c>
      <c r="O249">
        <v>5366</v>
      </c>
      <c r="P249" t="s">
        <v>2327</v>
      </c>
      <c r="Q249">
        <v>385</v>
      </c>
      <c r="R249" t="s">
        <v>2328</v>
      </c>
      <c r="S249" t="s">
        <v>2038</v>
      </c>
      <c r="T249">
        <v>202204</v>
      </c>
      <c r="U249" t="s">
        <v>180</v>
      </c>
      <c r="V249">
        <v>566.49</v>
      </c>
    </row>
    <row r="250" spans="1:22">
      <c r="A250">
        <v>5366</v>
      </c>
      <c r="B250" t="s">
        <v>2327</v>
      </c>
      <c r="C250">
        <v>385</v>
      </c>
      <c r="D250" t="s">
        <v>2328</v>
      </c>
      <c r="E250" t="s">
        <v>2038</v>
      </c>
      <c r="F250">
        <v>202109</v>
      </c>
      <c r="G250" t="s">
        <v>186</v>
      </c>
      <c r="H250">
        <v>0</v>
      </c>
      <c r="O250">
        <v>5366</v>
      </c>
      <c r="P250" t="s">
        <v>2327</v>
      </c>
      <c r="Q250">
        <v>385</v>
      </c>
      <c r="R250" t="s">
        <v>2328</v>
      </c>
      <c r="S250" t="s">
        <v>2038</v>
      </c>
      <c r="T250">
        <v>202204</v>
      </c>
      <c r="U250" t="s">
        <v>182</v>
      </c>
      <c r="V250">
        <v>239235</v>
      </c>
    </row>
    <row r="251" spans="1:22">
      <c r="A251">
        <v>5366</v>
      </c>
      <c r="B251" t="s">
        <v>2327</v>
      </c>
      <c r="C251">
        <v>385</v>
      </c>
      <c r="D251" t="s">
        <v>2328</v>
      </c>
      <c r="E251" t="s">
        <v>2038</v>
      </c>
      <c r="F251">
        <v>202109</v>
      </c>
      <c r="G251" t="s">
        <v>2171</v>
      </c>
      <c r="H251">
        <v>252.06</v>
      </c>
      <c r="O251">
        <v>5366</v>
      </c>
      <c r="P251" t="s">
        <v>2327</v>
      </c>
      <c r="Q251">
        <v>385</v>
      </c>
      <c r="R251" t="s">
        <v>2328</v>
      </c>
      <c r="S251" t="s">
        <v>2038</v>
      </c>
      <c r="T251">
        <v>202204</v>
      </c>
      <c r="U251" t="s">
        <v>184</v>
      </c>
      <c r="V251">
        <v>31013</v>
      </c>
    </row>
    <row r="252" spans="1:22">
      <c r="A252">
        <v>5366</v>
      </c>
      <c r="B252" t="s">
        <v>2327</v>
      </c>
      <c r="C252">
        <v>385</v>
      </c>
      <c r="D252" t="s">
        <v>2328</v>
      </c>
      <c r="E252" t="s">
        <v>2038</v>
      </c>
      <c r="F252">
        <v>202109</v>
      </c>
      <c r="G252" t="s">
        <v>2168</v>
      </c>
      <c r="H252">
        <v>13.66</v>
      </c>
      <c r="O252">
        <v>5366</v>
      </c>
      <c r="P252" t="s">
        <v>2327</v>
      </c>
      <c r="Q252">
        <v>385</v>
      </c>
      <c r="R252" t="s">
        <v>2328</v>
      </c>
      <c r="S252" t="s">
        <v>2038</v>
      </c>
      <c r="T252">
        <v>202204</v>
      </c>
      <c r="U252" t="s">
        <v>186</v>
      </c>
      <c r="V252">
        <v>27088</v>
      </c>
    </row>
    <row r="253" spans="1:22">
      <c r="A253">
        <v>5366</v>
      </c>
      <c r="B253" t="s">
        <v>2327</v>
      </c>
      <c r="C253">
        <v>385</v>
      </c>
      <c r="D253" t="s">
        <v>2328</v>
      </c>
      <c r="E253" t="s">
        <v>2038</v>
      </c>
      <c r="F253">
        <v>202109</v>
      </c>
      <c r="G253" t="s">
        <v>2169</v>
      </c>
      <c r="H253">
        <v>19.399999999999999</v>
      </c>
      <c r="O253">
        <v>5366</v>
      </c>
      <c r="P253" t="s">
        <v>2327</v>
      </c>
      <c r="Q253">
        <v>385</v>
      </c>
      <c r="R253" t="s">
        <v>2328</v>
      </c>
      <c r="S253" t="s">
        <v>2038</v>
      </c>
      <c r="T253">
        <v>202204</v>
      </c>
      <c r="U253" t="s">
        <v>190</v>
      </c>
      <c r="V253">
        <v>151270</v>
      </c>
    </row>
    <row r="254" spans="1:22">
      <c r="A254">
        <v>5366</v>
      </c>
      <c r="B254" t="s">
        <v>2327</v>
      </c>
      <c r="C254">
        <v>385</v>
      </c>
      <c r="D254" t="s">
        <v>2328</v>
      </c>
      <c r="E254" t="s">
        <v>2038</v>
      </c>
      <c r="F254">
        <v>202109</v>
      </c>
      <c r="G254" t="s">
        <v>2170</v>
      </c>
      <c r="H254">
        <v>11.5</v>
      </c>
      <c r="O254">
        <v>5366</v>
      </c>
      <c r="P254" t="s">
        <v>2327</v>
      </c>
      <c r="Q254">
        <v>385</v>
      </c>
      <c r="R254" t="s">
        <v>2328</v>
      </c>
      <c r="S254" t="s">
        <v>2038</v>
      </c>
      <c r="T254">
        <v>202204</v>
      </c>
      <c r="U254" t="s">
        <v>191</v>
      </c>
      <c r="V254">
        <v>17308</v>
      </c>
    </row>
    <row r="255" spans="1:22">
      <c r="A255">
        <v>5366</v>
      </c>
      <c r="B255" t="s">
        <v>2327</v>
      </c>
      <c r="C255">
        <v>385</v>
      </c>
      <c r="D255" t="s">
        <v>2328</v>
      </c>
      <c r="E255" t="s">
        <v>2038</v>
      </c>
      <c r="F255">
        <v>202109</v>
      </c>
      <c r="G255" t="s">
        <v>2173</v>
      </c>
      <c r="H255">
        <v>24746.560000000001</v>
      </c>
      <c r="O255">
        <v>5366</v>
      </c>
      <c r="P255" t="s">
        <v>2327</v>
      </c>
      <c r="Q255">
        <v>385</v>
      </c>
      <c r="R255" t="s">
        <v>2328</v>
      </c>
      <c r="S255" t="s">
        <v>2038</v>
      </c>
      <c r="T255">
        <v>202204</v>
      </c>
      <c r="U255" t="s">
        <v>178</v>
      </c>
      <c r="V255">
        <v>356.83</v>
      </c>
    </row>
    <row r="256" spans="1:22">
      <c r="A256">
        <v>5366</v>
      </c>
      <c r="B256" t="s">
        <v>2327</v>
      </c>
      <c r="C256">
        <v>385</v>
      </c>
      <c r="D256" t="s">
        <v>2328</v>
      </c>
      <c r="E256" t="s">
        <v>2038</v>
      </c>
      <c r="F256">
        <v>202109</v>
      </c>
      <c r="G256" t="s">
        <v>190</v>
      </c>
      <c r="H256">
        <v>140509</v>
      </c>
      <c r="O256">
        <v>5366</v>
      </c>
      <c r="P256" t="s">
        <v>2327</v>
      </c>
      <c r="Q256">
        <v>385</v>
      </c>
      <c r="R256" t="s">
        <v>2328</v>
      </c>
      <c r="S256" t="s">
        <v>2038</v>
      </c>
      <c r="T256">
        <v>202204</v>
      </c>
      <c r="U256" t="s">
        <v>180</v>
      </c>
      <c r="V256">
        <v>322.56</v>
      </c>
    </row>
    <row r="257" spans="1:22">
      <c r="A257">
        <v>5366</v>
      </c>
      <c r="B257" t="s">
        <v>2327</v>
      </c>
      <c r="C257">
        <v>385</v>
      </c>
      <c r="D257" t="s">
        <v>2328</v>
      </c>
      <c r="E257" t="s">
        <v>2038</v>
      </c>
      <c r="F257">
        <v>202109</v>
      </c>
      <c r="G257" t="s">
        <v>191</v>
      </c>
      <c r="H257">
        <v>17713</v>
      </c>
      <c r="O257">
        <v>5366</v>
      </c>
      <c r="P257" t="s">
        <v>2327</v>
      </c>
      <c r="Q257">
        <v>385</v>
      </c>
      <c r="R257" t="s">
        <v>2328</v>
      </c>
      <c r="S257" t="s">
        <v>2038</v>
      </c>
      <c r="T257">
        <v>202204</v>
      </c>
      <c r="U257" t="s">
        <v>182</v>
      </c>
      <c r="V257">
        <v>151270</v>
      </c>
    </row>
    <row r="258" spans="1:22">
      <c r="A258">
        <v>5366</v>
      </c>
      <c r="B258" t="s">
        <v>2327</v>
      </c>
      <c r="C258">
        <v>385</v>
      </c>
      <c r="D258" t="s">
        <v>2328</v>
      </c>
      <c r="E258" t="s">
        <v>2038</v>
      </c>
      <c r="F258">
        <v>202109</v>
      </c>
      <c r="G258" t="s">
        <v>176</v>
      </c>
      <c r="H258">
        <v>0</v>
      </c>
      <c r="O258">
        <v>5366</v>
      </c>
      <c r="P258" t="s">
        <v>2327</v>
      </c>
      <c r="Q258">
        <v>385</v>
      </c>
      <c r="R258" t="s">
        <v>2328</v>
      </c>
      <c r="S258" t="s">
        <v>2038</v>
      </c>
      <c r="T258">
        <v>202204</v>
      </c>
      <c r="U258" t="s">
        <v>184</v>
      </c>
      <c r="V258">
        <v>17308</v>
      </c>
    </row>
    <row r="259" spans="1:22">
      <c r="A259">
        <v>5366</v>
      </c>
      <c r="B259" t="s">
        <v>2327</v>
      </c>
      <c r="C259">
        <v>385</v>
      </c>
      <c r="D259" t="s">
        <v>2328</v>
      </c>
      <c r="E259" t="s">
        <v>2038</v>
      </c>
      <c r="F259">
        <v>202109</v>
      </c>
      <c r="G259" t="s">
        <v>178</v>
      </c>
      <c r="H259">
        <v>360.86</v>
      </c>
      <c r="O259">
        <v>5366</v>
      </c>
      <c r="P259" t="s">
        <v>2327</v>
      </c>
      <c r="Q259">
        <v>385</v>
      </c>
      <c r="R259" t="s">
        <v>2328</v>
      </c>
      <c r="S259" t="s">
        <v>2038</v>
      </c>
      <c r="T259">
        <v>202204</v>
      </c>
      <c r="U259" t="s">
        <v>186</v>
      </c>
      <c r="V259">
        <v>0</v>
      </c>
    </row>
    <row r="260" spans="1:22">
      <c r="A260">
        <v>5366</v>
      </c>
      <c r="B260" t="s">
        <v>2327</v>
      </c>
      <c r="C260">
        <v>385</v>
      </c>
      <c r="D260" t="s">
        <v>2328</v>
      </c>
      <c r="E260" t="s">
        <v>2038</v>
      </c>
      <c r="F260">
        <v>202109</v>
      </c>
      <c r="G260" t="s">
        <v>180</v>
      </c>
      <c r="H260">
        <v>350.44</v>
      </c>
      <c r="O260">
        <v>5366</v>
      </c>
      <c r="P260" t="s">
        <v>2327</v>
      </c>
      <c r="Q260">
        <v>385</v>
      </c>
      <c r="R260" t="s">
        <v>2328</v>
      </c>
      <c r="S260" t="s">
        <v>2038</v>
      </c>
      <c r="T260">
        <v>202204</v>
      </c>
      <c r="U260" t="s">
        <v>190</v>
      </c>
      <c r="V260">
        <v>339540</v>
      </c>
    </row>
    <row r="261" spans="1:22">
      <c r="A261">
        <v>5366</v>
      </c>
      <c r="B261" t="s">
        <v>2327</v>
      </c>
      <c r="C261">
        <v>385</v>
      </c>
      <c r="D261" t="s">
        <v>2328</v>
      </c>
      <c r="E261" t="s">
        <v>2038</v>
      </c>
      <c r="F261">
        <v>202109</v>
      </c>
      <c r="G261" t="s">
        <v>182</v>
      </c>
      <c r="H261">
        <v>140509</v>
      </c>
      <c r="O261">
        <v>5366</v>
      </c>
      <c r="P261" t="s">
        <v>2327</v>
      </c>
      <c r="Q261">
        <v>385</v>
      </c>
      <c r="R261" t="s">
        <v>2328</v>
      </c>
      <c r="S261" t="s">
        <v>2038</v>
      </c>
      <c r="T261">
        <v>202204</v>
      </c>
      <c r="U261" t="s">
        <v>191</v>
      </c>
      <c r="V261">
        <v>43197</v>
      </c>
    </row>
    <row r="262" spans="1:22">
      <c r="A262">
        <v>5366</v>
      </c>
      <c r="B262" t="s">
        <v>2327</v>
      </c>
      <c r="C262">
        <v>385</v>
      </c>
      <c r="D262" t="s">
        <v>2328</v>
      </c>
      <c r="E262" t="s">
        <v>2038</v>
      </c>
      <c r="F262">
        <v>202109</v>
      </c>
      <c r="G262" t="s">
        <v>184</v>
      </c>
      <c r="H262">
        <v>17713</v>
      </c>
      <c r="O262">
        <v>5366</v>
      </c>
      <c r="P262" t="s">
        <v>2327</v>
      </c>
      <c r="Q262">
        <v>385</v>
      </c>
      <c r="R262" t="s">
        <v>2328</v>
      </c>
      <c r="S262" t="s">
        <v>2038</v>
      </c>
      <c r="T262">
        <v>202204</v>
      </c>
      <c r="U262" t="s">
        <v>178</v>
      </c>
      <c r="V262">
        <v>875.28</v>
      </c>
    </row>
    <row r="263" spans="1:22">
      <c r="A263">
        <v>5366</v>
      </c>
      <c r="B263" t="s">
        <v>2327</v>
      </c>
      <c r="C263">
        <v>385</v>
      </c>
      <c r="D263" t="s">
        <v>2328</v>
      </c>
      <c r="E263" t="s">
        <v>2038</v>
      </c>
      <c r="F263">
        <v>202109</v>
      </c>
      <c r="G263" t="s">
        <v>192</v>
      </c>
      <c r="H263">
        <v>0</v>
      </c>
      <c r="O263">
        <v>5366</v>
      </c>
      <c r="P263" t="s">
        <v>2327</v>
      </c>
      <c r="Q263">
        <v>385</v>
      </c>
      <c r="R263" t="s">
        <v>2328</v>
      </c>
      <c r="S263" t="s">
        <v>2038</v>
      </c>
      <c r="T263">
        <v>202204</v>
      </c>
      <c r="U263" t="s">
        <v>180</v>
      </c>
      <c r="V263">
        <v>799.68</v>
      </c>
    </row>
    <row r="264" spans="1:22">
      <c r="A264">
        <v>5366</v>
      </c>
      <c r="B264" t="s">
        <v>2327</v>
      </c>
      <c r="C264">
        <v>385</v>
      </c>
      <c r="D264" t="s">
        <v>2328</v>
      </c>
      <c r="E264" t="s">
        <v>2038</v>
      </c>
      <c r="F264">
        <v>202109</v>
      </c>
      <c r="G264" t="s">
        <v>2172</v>
      </c>
      <c r="H264">
        <v>2081.64</v>
      </c>
      <c r="O264">
        <v>5366</v>
      </c>
      <c r="P264" t="s">
        <v>2327</v>
      </c>
      <c r="Q264">
        <v>385</v>
      </c>
      <c r="R264" t="s">
        <v>2328</v>
      </c>
      <c r="S264" t="s">
        <v>2038</v>
      </c>
      <c r="T264">
        <v>202204</v>
      </c>
      <c r="U264" t="s">
        <v>182</v>
      </c>
      <c r="V264">
        <v>339540</v>
      </c>
    </row>
    <row r="265" spans="1:22">
      <c r="A265">
        <v>5366</v>
      </c>
      <c r="B265" t="s">
        <v>2327</v>
      </c>
      <c r="C265">
        <v>385</v>
      </c>
      <c r="D265" t="s">
        <v>2328</v>
      </c>
      <c r="E265" t="s">
        <v>2038</v>
      </c>
      <c r="F265">
        <v>202109</v>
      </c>
      <c r="G265" t="s">
        <v>186</v>
      </c>
      <c r="H265">
        <v>0</v>
      </c>
      <c r="O265">
        <v>5366</v>
      </c>
      <c r="P265" t="s">
        <v>2327</v>
      </c>
      <c r="Q265">
        <v>385</v>
      </c>
      <c r="R265" t="s">
        <v>2328</v>
      </c>
      <c r="S265" t="s">
        <v>2038</v>
      </c>
      <c r="T265">
        <v>202204</v>
      </c>
      <c r="U265" t="s">
        <v>184</v>
      </c>
      <c r="V265">
        <v>43197</v>
      </c>
    </row>
    <row r="266" spans="1:22">
      <c r="A266">
        <v>5366</v>
      </c>
      <c r="B266" t="s">
        <v>2327</v>
      </c>
      <c r="C266">
        <v>385</v>
      </c>
      <c r="D266" t="s">
        <v>2328</v>
      </c>
      <c r="E266" t="s">
        <v>2038</v>
      </c>
      <c r="F266">
        <v>202109</v>
      </c>
      <c r="G266" t="s">
        <v>2171</v>
      </c>
      <c r="H266">
        <v>252.06</v>
      </c>
      <c r="O266">
        <v>5366</v>
      </c>
      <c r="P266" t="s">
        <v>2327</v>
      </c>
      <c r="Q266">
        <v>385</v>
      </c>
      <c r="R266" t="s">
        <v>2328</v>
      </c>
      <c r="S266" t="s">
        <v>2038</v>
      </c>
      <c r="T266">
        <v>202204</v>
      </c>
      <c r="U266" t="s">
        <v>186</v>
      </c>
      <c r="V266">
        <v>0</v>
      </c>
    </row>
    <row r="267" spans="1:22">
      <c r="A267">
        <v>5366</v>
      </c>
      <c r="B267" t="s">
        <v>2327</v>
      </c>
      <c r="C267">
        <v>385</v>
      </c>
      <c r="D267" t="s">
        <v>2328</v>
      </c>
      <c r="E267" t="s">
        <v>2038</v>
      </c>
      <c r="F267">
        <v>202109</v>
      </c>
      <c r="G267" t="s">
        <v>2168</v>
      </c>
      <c r="H267">
        <v>13.66</v>
      </c>
      <c r="O267">
        <v>5366</v>
      </c>
      <c r="P267" t="s">
        <v>2327</v>
      </c>
      <c r="Q267">
        <v>385</v>
      </c>
      <c r="R267" t="s">
        <v>2328</v>
      </c>
      <c r="S267" t="s">
        <v>2038</v>
      </c>
      <c r="T267">
        <v>202204</v>
      </c>
      <c r="U267" t="s">
        <v>190</v>
      </c>
      <c r="V267">
        <v>72381</v>
      </c>
    </row>
    <row r="268" spans="1:22">
      <c r="A268">
        <v>5366</v>
      </c>
      <c r="B268" t="s">
        <v>2327</v>
      </c>
      <c r="C268">
        <v>385</v>
      </c>
      <c r="D268" t="s">
        <v>2328</v>
      </c>
      <c r="E268" t="s">
        <v>2038</v>
      </c>
      <c r="F268">
        <v>202109</v>
      </c>
      <c r="G268" t="s">
        <v>2169</v>
      </c>
      <c r="H268">
        <v>19.399999999999999</v>
      </c>
      <c r="O268">
        <v>5366</v>
      </c>
      <c r="P268" t="s">
        <v>2327</v>
      </c>
      <c r="Q268">
        <v>385</v>
      </c>
      <c r="R268" t="s">
        <v>2328</v>
      </c>
      <c r="S268" t="s">
        <v>2038</v>
      </c>
      <c r="T268">
        <v>202204</v>
      </c>
      <c r="U268" t="s">
        <v>191</v>
      </c>
      <c r="V268">
        <v>9007</v>
      </c>
    </row>
    <row r="269" spans="1:22">
      <c r="A269">
        <v>5366</v>
      </c>
      <c r="B269" t="s">
        <v>2327</v>
      </c>
      <c r="C269">
        <v>385</v>
      </c>
      <c r="D269" t="s">
        <v>2328</v>
      </c>
      <c r="E269" t="s">
        <v>2038</v>
      </c>
      <c r="F269">
        <v>202109</v>
      </c>
      <c r="G269" t="s">
        <v>2170</v>
      </c>
      <c r="H269">
        <v>11.5</v>
      </c>
      <c r="O269">
        <v>5366</v>
      </c>
      <c r="P269" t="s">
        <v>2327</v>
      </c>
      <c r="Q269">
        <v>385</v>
      </c>
      <c r="R269" t="s">
        <v>2328</v>
      </c>
      <c r="S269" t="s">
        <v>2038</v>
      </c>
      <c r="T269">
        <v>202204</v>
      </c>
      <c r="U269" t="s">
        <v>178</v>
      </c>
      <c r="V269">
        <v>220.75</v>
      </c>
    </row>
    <row r="270" spans="1:22">
      <c r="A270">
        <v>5366</v>
      </c>
      <c r="B270" t="s">
        <v>2327</v>
      </c>
      <c r="C270">
        <v>385</v>
      </c>
      <c r="D270" t="s">
        <v>2328</v>
      </c>
      <c r="E270" t="s">
        <v>2038</v>
      </c>
      <c r="F270">
        <v>202109</v>
      </c>
      <c r="G270" t="s">
        <v>2173</v>
      </c>
      <c r="H270">
        <v>55510.51</v>
      </c>
      <c r="O270">
        <v>5366</v>
      </c>
      <c r="P270" t="s">
        <v>2327</v>
      </c>
      <c r="Q270">
        <v>385</v>
      </c>
      <c r="R270" t="s">
        <v>2328</v>
      </c>
      <c r="S270" t="s">
        <v>2038</v>
      </c>
      <c r="T270">
        <v>202204</v>
      </c>
      <c r="U270" t="s">
        <v>180</v>
      </c>
      <c r="V270">
        <v>177.91</v>
      </c>
    </row>
    <row r="271" spans="1:22">
      <c r="A271">
        <v>5366</v>
      </c>
      <c r="B271" t="s">
        <v>2327</v>
      </c>
      <c r="C271">
        <v>385</v>
      </c>
      <c r="D271" t="s">
        <v>2328</v>
      </c>
      <c r="E271" t="s">
        <v>2038</v>
      </c>
      <c r="F271">
        <v>202109</v>
      </c>
      <c r="G271" t="s">
        <v>190</v>
      </c>
      <c r="H271">
        <v>154644</v>
      </c>
      <c r="O271">
        <v>5366</v>
      </c>
      <c r="P271" t="s">
        <v>2327</v>
      </c>
      <c r="Q271">
        <v>385</v>
      </c>
      <c r="R271" t="s">
        <v>2328</v>
      </c>
      <c r="S271" t="s">
        <v>2038</v>
      </c>
      <c r="T271">
        <v>202204</v>
      </c>
      <c r="U271" t="s">
        <v>182</v>
      </c>
      <c r="V271">
        <v>72381</v>
      </c>
    </row>
    <row r="272" spans="1:22">
      <c r="A272">
        <v>5366</v>
      </c>
      <c r="B272" t="s">
        <v>2327</v>
      </c>
      <c r="C272">
        <v>385</v>
      </c>
      <c r="D272" t="s">
        <v>2328</v>
      </c>
      <c r="E272" t="s">
        <v>2038</v>
      </c>
      <c r="F272">
        <v>202109</v>
      </c>
      <c r="G272" t="s">
        <v>191</v>
      </c>
      <c r="H272">
        <v>29507</v>
      </c>
      <c r="O272">
        <v>5366</v>
      </c>
      <c r="P272" t="s">
        <v>2327</v>
      </c>
      <c r="Q272">
        <v>385</v>
      </c>
      <c r="R272" t="s">
        <v>2328</v>
      </c>
      <c r="S272" t="s">
        <v>2038</v>
      </c>
      <c r="T272">
        <v>202204</v>
      </c>
      <c r="U272" t="s">
        <v>184</v>
      </c>
      <c r="V272">
        <v>9007</v>
      </c>
    </row>
    <row r="273" spans="1:22">
      <c r="A273">
        <v>5366</v>
      </c>
      <c r="B273" t="s">
        <v>2327</v>
      </c>
      <c r="C273">
        <v>385</v>
      </c>
      <c r="D273" t="s">
        <v>2328</v>
      </c>
      <c r="E273" t="s">
        <v>2038</v>
      </c>
      <c r="F273">
        <v>202109</v>
      </c>
      <c r="G273" t="s">
        <v>176</v>
      </c>
      <c r="H273">
        <v>0</v>
      </c>
      <c r="O273">
        <v>5366</v>
      </c>
      <c r="P273" t="s">
        <v>2327</v>
      </c>
      <c r="Q273">
        <v>385</v>
      </c>
      <c r="R273" t="s">
        <v>2328</v>
      </c>
      <c r="S273" t="s">
        <v>2038</v>
      </c>
      <c r="T273">
        <v>202204</v>
      </c>
      <c r="U273" t="s">
        <v>186</v>
      </c>
      <c r="V273">
        <v>0</v>
      </c>
    </row>
    <row r="274" spans="1:22">
      <c r="A274">
        <v>5366</v>
      </c>
      <c r="B274" t="s">
        <v>2327</v>
      </c>
      <c r="C274">
        <v>385</v>
      </c>
      <c r="D274" t="s">
        <v>2328</v>
      </c>
      <c r="E274" t="s">
        <v>2038</v>
      </c>
      <c r="F274">
        <v>202109</v>
      </c>
      <c r="G274" t="s">
        <v>178</v>
      </c>
      <c r="H274">
        <v>584.64</v>
      </c>
      <c r="O274">
        <v>5366</v>
      </c>
      <c r="P274" t="s">
        <v>2327</v>
      </c>
      <c r="Q274">
        <v>385</v>
      </c>
      <c r="R274" t="s">
        <v>2328</v>
      </c>
      <c r="S274" t="s">
        <v>2038</v>
      </c>
      <c r="T274">
        <v>202204</v>
      </c>
      <c r="U274" t="s">
        <v>190</v>
      </c>
      <c r="V274">
        <v>357488</v>
      </c>
    </row>
    <row r="275" spans="1:22">
      <c r="A275">
        <v>5366</v>
      </c>
      <c r="B275" t="s">
        <v>2327</v>
      </c>
      <c r="C275">
        <v>385</v>
      </c>
      <c r="D275" t="s">
        <v>2328</v>
      </c>
      <c r="E275" t="s">
        <v>2038</v>
      </c>
      <c r="F275">
        <v>202109</v>
      </c>
      <c r="G275" t="s">
        <v>180</v>
      </c>
      <c r="H275">
        <v>538.77</v>
      </c>
      <c r="O275">
        <v>5366</v>
      </c>
      <c r="P275" t="s">
        <v>2327</v>
      </c>
      <c r="Q275">
        <v>385</v>
      </c>
      <c r="R275" t="s">
        <v>2328</v>
      </c>
      <c r="S275" t="s">
        <v>2038</v>
      </c>
      <c r="T275">
        <v>202204</v>
      </c>
      <c r="U275" t="s">
        <v>191</v>
      </c>
      <c r="V275">
        <v>36432</v>
      </c>
    </row>
    <row r="276" spans="1:22">
      <c r="A276">
        <v>5366</v>
      </c>
      <c r="B276" t="s">
        <v>2327</v>
      </c>
      <c r="C276">
        <v>385</v>
      </c>
      <c r="D276" t="s">
        <v>2328</v>
      </c>
      <c r="E276" t="s">
        <v>2038</v>
      </c>
      <c r="F276">
        <v>202109</v>
      </c>
      <c r="G276" t="s">
        <v>182</v>
      </c>
      <c r="H276">
        <v>189982</v>
      </c>
      <c r="O276">
        <v>5366</v>
      </c>
      <c r="P276" t="s">
        <v>2327</v>
      </c>
      <c r="Q276">
        <v>385</v>
      </c>
      <c r="R276" t="s">
        <v>2328</v>
      </c>
      <c r="S276" t="s">
        <v>2038</v>
      </c>
      <c r="T276">
        <v>202204</v>
      </c>
      <c r="U276" t="s">
        <v>178</v>
      </c>
      <c r="V276">
        <v>2604</v>
      </c>
    </row>
    <row r="277" spans="1:22">
      <c r="A277">
        <v>5366</v>
      </c>
      <c r="B277" t="s">
        <v>2327</v>
      </c>
      <c r="C277">
        <v>385</v>
      </c>
      <c r="D277" t="s">
        <v>2328</v>
      </c>
      <c r="E277" t="s">
        <v>2038</v>
      </c>
      <c r="F277">
        <v>202109</v>
      </c>
      <c r="G277" t="s">
        <v>184</v>
      </c>
      <c r="H277">
        <v>29507</v>
      </c>
      <c r="O277">
        <v>5366</v>
      </c>
      <c r="P277" t="s">
        <v>2327</v>
      </c>
      <c r="Q277">
        <v>385</v>
      </c>
      <c r="R277" t="s">
        <v>2328</v>
      </c>
      <c r="S277" t="s">
        <v>2038</v>
      </c>
      <c r="T277">
        <v>202204</v>
      </c>
      <c r="U277" t="s">
        <v>180</v>
      </c>
      <c r="V277">
        <v>2305</v>
      </c>
    </row>
    <row r="278" spans="1:22">
      <c r="A278">
        <v>5366</v>
      </c>
      <c r="B278" t="s">
        <v>2327</v>
      </c>
      <c r="C278">
        <v>385</v>
      </c>
      <c r="D278" t="s">
        <v>2328</v>
      </c>
      <c r="E278" t="s">
        <v>2038</v>
      </c>
      <c r="F278">
        <v>202109</v>
      </c>
      <c r="G278" t="s">
        <v>192</v>
      </c>
      <c r="H278">
        <v>0</v>
      </c>
      <c r="O278">
        <v>5366</v>
      </c>
      <c r="P278" t="s">
        <v>2327</v>
      </c>
      <c r="Q278">
        <v>385</v>
      </c>
      <c r="R278" t="s">
        <v>2328</v>
      </c>
      <c r="S278" t="s">
        <v>2038</v>
      </c>
      <c r="T278">
        <v>202204</v>
      </c>
      <c r="U278" t="s">
        <v>182</v>
      </c>
      <c r="V278">
        <v>1213548</v>
      </c>
    </row>
    <row r="279" spans="1:22">
      <c r="A279">
        <v>5366</v>
      </c>
      <c r="B279" t="s">
        <v>2327</v>
      </c>
      <c r="C279">
        <v>385</v>
      </c>
      <c r="D279" t="s">
        <v>2328</v>
      </c>
      <c r="E279" t="s">
        <v>2038</v>
      </c>
      <c r="F279">
        <v>202109</v>
      </c>
      <c r="G279" t="s">
        <v>2172</v>
      </c>
      <c r="H279">
        <v>2625.18</v>
      </c>
      <c r="O279">
        <v>5366</v>
      </c>
      <c r="P279" t="s">
        <v>2327</v>
      </c>
      <c r="Q279">
        <v>385</v>
      </c>
      <c r="R279" t="s">
        <v>2328</v>
      </c>
      <c r="S279" t="s">
        <v>2038</v>
      </c>
      <c r="T279">
        <v>202204</v>
      </c>
      <c r="U279" t="s">
        <v>184</v>
      </c>
      <c r="V279">
        <v>122558</v>
      </c>
    </row>
    <row r="280" spans="1:22">
      <c r="A280">
        <v>5366</v>
      </c>
      <c r="B280" t="s">
        <v>2327</v>
      </c>
      <c r="C280">
        <v>385</v>
      </c>
      <c r="D280" t="s">
        <v>2328</v>
      </c>
      <c r="E280" t="s">
        <v>2038</v>
      </c>
      <c r="F280">
        <v>202109</v>
      </c>
      <c r="G280" t="s">
        <v>186</v>
      </c>
      <c r="H280">
        <v>35338</v>
      </c>
      <c r="O280">
        <v>5366</v>
      </c>
      <c r="P280" t="s">
        <v>2327</v>
      </c>
      <c r="Q280">
        <v>385</v>
      </c>
      <c r="R280" t="s">
        <v>2328</v>
      </c>
      <c r="S280" t="s">
        <v>2038</v>
      </c>
      <c r="T280">
        <v>202204</v>
      </c>
      <c r="U280" t="s">
        <v>186</v>
      </c>
      <c r="V280">
        <v>0</v>
      </c>
    </row>
    <row r="281" spans="1:22">
      <c r="A281">
        <v>5366</v>
      </c>
      <c r="B281" t="s">
        <v>2327</v>
      </c>
      <c r="C281">
        <v>385</v>
      </c>
      <c r="D281" t="s">
        <v>2328</v>
      </c>
      <c r="E281" t="s">
        <v>2038</v>
      </c>
      <c r="F281">
        <v>202109</v>
      </c>
      <c r="G281" t="s">
        <v>2171</v>
      </c>
      <c r="H281">
        <v>252.06</v>
      </c>
      <c r="O281">
        <v>5366</v>
      </c>
      <c r="P281" t="s">
        <v>2327</v>
      </c>
      <c r="Q281">
        <v>385</v>
      </c>
      <c r="R281" t="s">
        <v>2328</v>
      </c>
      <c r="S281" t="s">
        <v>2038</v>
      </c>
      <c r="T281">
        <v>202205</v>
      </c>
      <c r="U281" t="s">
        <v>190</v>
      </c>
      <c r="V281">
        <v>139599</v>
      </c>
    </row>
    <row r="282" spans="1:22">
      <c r="A282">
        <v>5366</v>
      </c>
      <c r="B282" t="s">
        <v>2327</v>
      </c>
      <c r="C282">
        <v>385</v>
      </c>
      <c r="D282" t="s">
        <v>2328</v>
      </c>
      <c r="E282" t="s">
        <v>2038</v>
      </c>
      <c r="F282">
        <v>202109</v>
      </c>
      <c r="G282" t="s">
        <v>2168</v>
      </c>
      <c r="H282">
        <v>13.66</v>
      </c>
      <c r="O282">
        <v>5366</v>
      </c>
      <c r="P282" t="s">
        <v>2327</v>
      </c>
      <c r="Q282">
        <v>385</v>
      </c>
      <c r="R282" t="s">
        <v>2328</v>
      </c>
      <c r="S282" t="s">
        <v>2038</v>
      </c>
      <c r="T282">
        <v>202205</v>
      </c>
      <c r="U282" t="s">
        <v>191</v>
      </c>
      <c r="V282">
        <v>15108</v>
      </c>
    </row>
    <row r="283" spans="1:22">
      <c r="A283">
        <v>5366</v>
      </c>
      <c r="B283" t="s">
        <v>2327</v>
      </c>
      <c r="C283">
        <v>385</v>
      </c>
      <c r="D283" t="s">
        <v>2328</v>
      </c>
      <c r="E283" t="s">
        <v>2038</v>
      </c>
      <c r="F283">
        <v>202109</v>
      </c>
      <c r="G283" t="s">
        <v>2169</v>
      </c>
      <c r="H283">
        <v>19.399999999999999</v>
      </c>
      <c r="O283">
        <v>5366</v>
      </c>
      <c r="P283" t="s">
        <v>2327</v>
      </c>
      <c r="Q283">
        <v>385</v>
      </c>
      <c r="R283" t="s">
        <v>2328</v>
      </c>
      <c r="S283" t="s">
        <v>2038</v>
      </c>
      <c r="T283">
        <v>202205</v>
      </c>
      <c r="U283" t="s">
        <v>178</v>
      </c>
      <c r="V283">
        <v>348.76</v>
      </c>
    </row>
    <row r="284" spans="1:22">
      <c r="A284">
        <v>5366</v>
      </c>
      <c r="B284" t="s">
        <v>2327</v>
      </c>
      <c r="C284">
        <v>385</v>
      </c>
      <c r="D284" t="s">
        <v>2328</v>
      </c>
      <c r="E284" t="s">
        <v>2038</v>
      </c>
      <c r="F284">
        <v>202109</v>
      </c>
      <c r="G284" t="s">
        <v>2170</v>
      </c>
      <c r="H284">
        <v>11.5</v>
      </c>
      <c r="O284">
        <v>5366</v>
      </c>
      <c r="P284" t="s">
        <v>2327</v>
      </c>
      <c r="Q284">
        <v>385</v>
      </c>
      <c r="R284" t="s">
        <v>2328</v>
      </c>
      <c r="S284" t="s">
        <v>2038</v>
      </c>
      <c r="T284">
        <v>202205</v>
      </c>
      <c r="U284" t="s">
        <v>180</v>
      </c>
      <c r="V284">
        <v>342.38</v>
      </c>
    </row>
    <row r="285" spans="1:22">
      <c r="A285">
        <v>5366</v>
      </c>
      <c r="B285" t="s">
        <v>2327</v>
      </c>
      <c r="C285">
        <v>385</v>
      </c>
      <c r="D285" t="s">
        <v>2328</v>
      </c>
      <c r="E285" t="s">
        <v>2038</v>
      </c>
      <c r="F285">
        <v>202109</v>
      </c>
      <c r="G285" t="s">
        <v>2173</v>
      </c>
      <c r="H285">
        <v>70004.7</v>
      </c>
      <c r="O285">
        <v>5366</v>
      </c>
      <c r="P285" t="s">
        <v>2327</v>
      </c>
      <c r="Q285">
        <v>385</v>
      </c>
      <c r="R285" t="s">
        <v>2328</v>
      </c>
      <c r="S285" t="s">
        <v>2038</v>
      </c>
      <c r="T285">
        <v>202205</v>
      </c>
      <c r="U285" t="s">
        <v>182</v>
      </c>
      <c r="V285">
        <v>139599</v>
      </c>
    </row>
    <row r="286" spans="1:22">
      <c r="A286">
        <v>5366</v>
      </c>
      <c r="B286" t="s">
        <v>2327</v>
      </c>
      <c r="C286">
        <v>385</v>
      </c>
      <c r="D286" t="s">
        <v>2328</v>
      </c>
      <c r="E286" t="s">
        <v>2038</v>
      </c>
      <c r="F286">
        <v>202109</v>
      </c>
      <c r="G286" t="s">
        <v>190</v>
      </c>
      <c r="H286">
        <v>371791</v>
      </c>
      <c r="O286">
        <v>5366</v>
      </c>
      <c r="P286" t="s">
        <v>2327</v>
      </c>
      <c r="Q286">
        <v>385</v>
      </c>
      <c r="R286" t="s">
        <v>2328</v>
      </c>
      <c r="S286" t="s">
        <v>2038</v>
      </c>
      <c r="T286">
        <v>202205</v>
      </c>
      <c r="U286" t="s">
        <v>184</v>
      </c>
      <c r="V286">
        <v>15108</v>
      </c>
    </row>
    <row r="287" spans="1:22">
      <c r="A287">
        <v>5366</v>
      </c>
      <c r="B287" t="s">
        <v>2327</v>
      </c>
      <c r="C287">
        <v>385</v>
      </c>
      <c r="D287" t="s">
        <v>2328</v>
      </c>
      <c r="E287" t="s">
        <v>2038</v>
      </c>
      <c r="F287">
        <v>202109</v>
      </c>
      <c r="G287" t="s">
        <v>191</v>
      </c>
      <c r="H287">
        <v>37249</v>
      </c>
      <c r="O287">
        <v>5366</v>
      </c>
      <c r="P287" t="s">
        <v>2327</v>
      </c>
      <c r="Q287">
        <v>385</v>
      </c>
      <c r="R287" t="s">
        <v>2328</v>
      </c>
      <c r="S287" t="s">
        <v>2038</v>
      </c>
      <c r="T287">
        <v>202205</v>
      </c>
      <c r="U287" t="s">
        <v>186</v>
      </c>
      <c r="V287">
        <v>0</v>
      </c>
    </row>
    <row r="288" spans="1:22">
      <c r="A288">
        <v>5366</v>
      </c>
      <c r="B288" t="s">
        <v>2327</v>
      </c>
      <c r="C288">
        <v>385</v>
      </c>
      <c r="D288" t="s">
        <v>2328</v>
      </c>
      <c r="E288" t="s">
        <v>2038</v>
      </c>
      <c r="F288">
        <v>202109</v>
      </c>
      <c r="G288" t="s">
        <v>176</v>
      </c>
      <c r="H288">
        <v>0</v>
      </c>
      <c r="O288">
        <v>5366</v>
      </c>
      <c r="P288" t="s">
        <v>2327</v>
      </c>
      <c r="Q288">
        <v>385</v>
      </c>
      <c r="R288" t="s">
        <v>2328</v>
      </c>
      <c r="S288" t="s">
        <v>2038</v>
      </c>
      <c r="T288">
        <v>202205</v>
      </c>
      <c r="U288" t="s">
        <v>190</v>
      </c>
      <c r="V288">
        <v>177892</v>
      </c>
    </row>
    <row r="289" spans="1:22">
      <c r="A289">
        <v>5366</v>
      </c>
      <c r="B289" t="s">
        <v>2327</v>
      </c>
      <c r="C289">
        <v>385</v>
      </c>
      <c r="D289" t="s">
        <v>2328</v>
      </c>
      <c r="E289" t="s">
        <v>2038</v>
      </c>
      <c r="F289">
        <v>202109</v>
      </c>
      <c r="G289" t="s">
        <v>178</v>
      </c>
      <c r="H289">
        <v>2321.7600000000002</v>
      </c>
      <c r="O289">
        <v>5366</v>
      </c>
      <c r="P289" t="s">
        <v>2327</v>
      </c>
      <c r="Q289">
        <v>385</v>
      </c>
      <c r="R289" t="s">
        <v>2328</v>
      </c>
      <c r="S289" t="s">
        <v>2038</v>
      </c>
      <c r="T289">
        <v>202205</v>
      </c>
      <c r="U289" t="s">
        <v>191</v>
      </c>
      <c r="V289">
        <v>26327</v>
      </c>
    </row>
    <row r="290" spans="1:22">
      <c r="A290">
        <v>5366</v>
      </c>
      <c r="B290" t="s">
        <v>2327</v>
      </c>
      <c r="C290">
        <v>385</v>
      </c>
      <c r="D290" t="s">
        <v>2328</v>
      </c>
      <c r="E290" t="s">
        <v>2038</v>
      </c>
      <c r="F290">
        <v>202109</v>
      </c>
      <c r="G290" t="s">
        <v>180</v>
      </c>
      <c r="H290">
        <v>2184</v>
      </c>
      <c r="O290">
        <v>5366</v>
      </c>
      <c r="P290" t="s">
        <v>2327</v>
      </c>
      <c r="Q290">
        <v>385</v>
      </c>
      <c r="R290" t="s">
        <v>2328</v>
      </c>
      <c r="S290" t="s">
        <v>2038</v>
      </c>
      <c r="T290">
        <v>202205</v>
      </c>
      <c r="U290" t="s">
        <v>178</v>
      </c>
      <c r="V290">
        <v>584.64</v>
      </c>
    </row>
    <row r="291" spans="1:22">
      <c r="A291">
        <v>5366</v>
      </c>
      <c r="B291" t="s">
        <v>2327</v>
      </c>
      <c r="C291">
        <v>385</v>
      </c>
      <c r="D291" t="s">
        <v>2328</v>
      </c>
      <c r="E291" t="s">
        <v>2038</v>
      </c>
      <c r="F291">
        <v>202109</v>
      </c>
      <c r="G291" t="s">
        <v>182</v>
      </c>
      <c r="H291">
        <v>1230463</v>
      </c>
      <c r="O291">
        <v>5366</v>
      </c>
      <c r="P291" t="s">
        <v>2327</v>
      </c>
      <c r="Q291">
        <v>385</v>
      </c>
      <c r="R291" t="s">
        <v>2328</v>
      </c>
      <c r="S291" t="s">
        <v>2038</v>
      </c>
      <c r="T291">
        <v>202205</v>
      </c>
      <c r="U291" t="s">
        <v>180</v>
      </c>
      <c r="V291">
        <v>572.54</v>
      </c>
    </row>
    <row r="292" spans="1:22">
      <c r="A292">
        <v>5366</v>
      </c>
      <c r="B292" t="s">
        <v>2327</v>
      </c>
      <c r="C292">
        <v>385</v>
      </c>
      <c r="D292" t="s">
        <v>2328</v>
      </c>
      <c r="E292" t="s">
        <v>2038</v>
      </c>
      <c r="F292">
        <v>202109</v>
      </c>
      <c r="G292" t="s">
        <v>184</v>
      </c>
      <c r="H292">
        <v>124055</v>
      </c>
      <c r="O292">
        <v>5366</v>
      </c>
      <c r="P292" t="s">
        <v>2327</v>
      </c>
      <c r="Q292">
        <v>385</v>
      </c>
      <c r="R292" t="s">
        <v>2328</v>
      </c>
      <c r="S292" t="s">
        <v>2038</v>
      </c>
      <c r="T292">
        <v>202205</v>
      </c>
      <c r="U292" t="s">
        <v>182</v>
      </c>
      <c r="V292">
        <v>208619</v>
      </c>
    </row>
    <row r="293" spans="1:22">
      <c r="A293">
        <v>5366</v>
      </c>
      <c r="B293" t="s">
        <v>2327</v>
      </c>
      <c r="C293">
        <v>385</v>
      </c>
      <c r="D293" t="s">
        <v>2328</v>
      </c>
      <c r="E293" t="s">
        <v>2038</v>
      </c>
      <c r="F293">
        <v>202109</v>
      </c>
      <c r="G293" t="s">
        <v>192</v>
      </c>
      <c r="H293">
        <v>0</v>
      </c>
      <c r="O293">
        <v>5366</v>
      </c>
      <c r="P293" t="s">
        <v>2327</v>
      </c>
      <c r="Q293">
        <v>385</v>
      </c>
      <c r="R293" t="s">
        <v>2328</v>
      </c>
      <c r="S293" t="s">
        <v>2038</v>
      </c>
      <c r="T293">
        <v>202205</v>
      </c>
      <c r="U293" t="s">
        <v>184</v>
      </c>
      <c r="V293">
        <v>26327</v>
      </c>
    </row>
    <row r="294" spans="1:22">
      <c r="A294">
        <v>5366</v>
      </c>
      <c r="B294" t="s">
        <v>2327</v>
      </c>
      <c r="C294">
        <v>385</v>
      </c>
      <c r="D294" t="s">
        <v>2328</v>
      </c>
      <c r="E294" t="s">
        <v>2038</v>
      </c>
      <c r="F294">
        <v>202109</v>
      </c>
      <c r="G294" t="s">
        <v>2172</v>
      </c>
      <c r="H294">
        <v>7510.31</v>
      </c>
      <c r="O294">
        <v>5366</v>
      </c>
      <c r="P294" t="s">
        <v>2327</v>
      </c>
      <c r="Q294">
        <v>385</v>
      </c>
      <c r="R294" t="s">
        <v>2328</v>
      </c>
      <c r="S294" t="s">
        <v>2038</v>
      </c>
      <c r="T294">
        <v>202205</v>
      </c>
      <c r="U294" t="s">
        <v>186</v>
      </c>
      <c r="V294">
        <v>30727</v>
      </c>
    </row>
    <row r="295" spans="1:22">
      <c r="A295">
        <v>5366</v>
      </c>
      <c r="B295" t="s">
        <v>2327</v>
      </c>
      <c r="C295">
        <v>385</v>
      </c>
      <c r="D295" t="s">
        <v>2328</v>
      </c>
      <c r="E295" t="s">
        <v>2038</v>
      </c>
      <c r="F295">
        <v>202109</v>
      </c>
      <c r="G295" t="s">
        <v>186</v>
      </c>
      <c r="H295">
        <v>0</v>
      </c>
      <c r="O295">
        <v>5366</v>
      </c>
      <c r="P295" t="s">
        <v>2327</v>
      </c>
      <c r="Q295">
        <v>385</v>
      </c>
      <c r="R295" t="s">
        <v>2328</v>
      </c>
      <c r="S295" t="s">
        <v>2038</v>
      </c>
      <c r="T295">
        <v>202205</v>
      </c>
      <c r="U295" t="s">
        <v>190</v>
      </c>
      <c r="V295">
        <v>63700</v>
      </c>
    </row>
    <row r="296" spans="1:22">
      <c r="A296">
        <v>5366</v>
      </c>
      <c r="B296" t="s">
        <v>2327</v>
      </c>
      <c r="C296">
        <v>385</v>
      </c>
      <c r="D296" t="s">
        <v>2328</v>
      </c>
      <c r="E296" t="s">
        <v>2038</v>
      </c>
      <c r="F296">
        <v>202109</v>
      </c>
      <c r="G296" t="s">
        <v>2171</v>
      </c>
      <c r="H296">
        <v>252.06</v>
      </c>
      <c r="O296">
        <v>5366</v>
      </c>
      <c r="P296" t="s">
        <v>2327</v>
      </c>
      <c r="Q296">
        <v>385</v>
      </c>
      <c r="R296" t="s">
        <v>2328</v>
      </c>
      <c r="S296" t="s">
        <v>2038</v>
      </c>
      <c r="T296">
        <v>202205</v>
      </c>
      <c r="U296" t="s">
        <v>191</v>
      </c>
      <c r="V296">
        <v>7638</v>
      </c>
    </row>
    <row r="297" spans="1:22">
      <c r="A297">
        <v>5366</v>
      </c>
      <c r="B297" t="s">
        <v>2327</v>
      </c>
      <c r="C297">
        <v>385</v>
      </c>
      <c r="D297" t="s">
        <v>2328</v>
      </c>
      <c r="E297" t="s">
        <v>2038</v>
      </c>
      <c r="F297">
        <v>202109</v>
      </c>
      <c r="G297" t="s">
        <v>2168</v>
      </c>
      <c r="H297">
        <v>13.66</v>
      </c>
      <c r="O297">
        <v>5366</v>
      </c>
      <c r="P297" t="s">
        <v>2327</v>
      </c>
      <c r="Q297">
        <v>385</v>
      </c>
      <c r="R297" t="s">
        <v>2328</v>
      </c>
      <c r="S297" t="s">
        <v>2038</v>
      </c>
      <c r="T297">
        <v>202205</v>
      </c>
      <c r="U297" t="s">
        <v>178</v>
      </c>
      <c r="V297">
        <v>223.27</v>
      </c>
    </row>
    <row r="298" spans="1:22">
      <c r="A298">
        <v>5366</v>
      </c>
      <c r="B298" t="s">
        <v>2327</v>
      </c>
      <c r="C298">
        <v>385</v>
      </c>
      <c r="D298" t="s">
        <v>2328</v>
      </c>
      <c r="E298" t="s">
        <v>2038</v>
      </c>
      <c r="F298">
        <v>202109</v>
      </c>
      <c r="G298" t="s">
        <v>2169</v>
      </c>
      <c r="H298">
        <v>19.399999999999999</v>
      </c>
      <c r="O298">
        <v>5366</v>
      </c>
      <c r="P298" t="s">
        <v>2327</v>
      </c>
      <c r="Q298">
        <v>385</v>
      </c>
      <c r="R298" t="s">
        <v>2328</v>
      </c>
      <c r="S298" t="s">
        <v>2038</v>
      </c>
      <c r="T298">
        <v>202205</v>
      </c>
      <c r="U298" t="s">
        <v>180</v>
      </c>
      <c r="V298">
        <v>230.83</v>
      </c>
    </row>
    <row r="299" spans="1:22">
      <c r="A299">
        <v>5366</v>
      </c>
      <c r="B299" t="s">
        <v>2327</v>
      </c>
      <c r="C299">
        <v>385</v>
      </c>
      <c r="D299" t="s">
        <v>2328</v>
      </c>
      <c r="E299" t="s">
        <v>2038</v>
      </c>
      <c r="F299">
        <v>202109</v>
      </c>
      <c r="G299" t="s">
        <v>2170</v>
      </c>
      <c r="H299">
        <v>11.5</v>
      </c>
      <c r="O299">
        <v>5366</v>
      </c>
      <c r="P299" t="s">
        <v>2327</v>
      </c>
      <c r="Q299">
        <v>385</v>
      </c>
      <c r="R299" t="s">
        <v>2328</v>
      </c>
      <c r="S299" t="s">
        <v>2038</v>
      </c>
      <c r="T299">
        <v>202205</v>
      </c>
      <c r="U299" t="s">
        <v>182</v>
      </c>
      <c r="V299">
        <v>63700</v>
      </c>
    </row>
    <row r="300" spans="1:22">
      <c r="A300">
        <v>5366</v>
      </c>
      <c r="B300" t="s">
        <v>2327</v>
      </c>
      <c r="C300">
        <v>385</v>
      </c>
      <c r="D300" t="s">
        <v>2328</v>
      </c>
      <c r="E300" t="s">
        <v>2038</v>
      </c>
      <c r="F300">
        <v>202109</v>
      </c>
      <c r="G300" t="s">
        <v>2173</v>
      </c>
      <c r="H300">
        <v>200274.71</v>
      </c>
      <c r="O300">
        <v>5366</v>
      </c>
      <c r="P300" t="s">
        <v>2327</v>
      </c>
      <c r="Q300">
        <v>385</v>
      </c>
      <c r="R300" t="s">
        <v>2328</v>
      </c>
      <c r="S300" t="s">
        <v>2038</v>
      </c>
      <c r="T300">
        <v>202205</v>
      </c>
      <c r="U300" t="s">
        <v>184</v>
      </c>
      <c r="V300">
        <v>7638</v>
      </c>
    </row>
    <row r="301" spans="1:22">
      <c r="A301">
        <v>5366</v>
      </c>
      <c r="B301" t="s">
        <v>2327</v>
      </c>
      <c r="C301">
        <v>385</v>
      </c>
      <c r="D301" t="s">
        <v>2328</v>
      </c>
      <c r="E301" t="s">
        <v>2038</v>
      </c>
      <c r="F301">
        <v>202110</v>
      </c>
      <c r="G301" t="s">
        <v>190</v>
      </c>
      <c r="H301">
        <v>270007</v>
      </c>
      <c r="O301">
        <v>5366</v>
      </c>
      <c r="P301" t="s">
        <v>2327</v>
      </c>
      <c r="Q301">
        <v>385</v>
      </c>
      <c r="R301" t="s">
        <v>2328</v>
      </c>
      <c r="S301" t="s">
        <v>2038</v>
      </c>
      <c r="T301">
        <v>202205</v>
      </c>
      <c r="U301" t="s">
        <v>186</v>
      </c>
      <c r="V301">
        <v>0</v>
      </c>
    </row>
    <row r="302" spans="1:22">
      <c r="A302">
        <v>5366</v>
      </c>
      <c r="B302" t="s">
        <v>2327</v>
      </c>
      <c r="C302">
        <v>385</v>
      </c>
      <c r="D302" t="s">
        <v>2328</v>
      </c>
      <c r="E302" t="s">
        <v>2038</v>
      </c>
      <c r="F302">
        <v>202110</v>
      </c>
      <c r="G302" t="s">
        <v>191</v>
      </c>
      <c r="H302">
        <v>40364</v>
      </c>
      <c r="O302">
        <v>5366</v>
      </c>
      <c r="P302" t="s">
        <v>2327</v>
      </c>
      <c r="Q302">
        <v>385</v>
      </c>
      <c r="R302" t="s">
        <v>2328</v>
      </c>
      <c r="S302" t="s">
        <v>2038</v>
      </c>
      <c r="T302">
        <v>202205</v>
      </c>
      <c r="U302" t="s">
        <v>190</v>
      </c>
      <c r="V302">
        <v>302350</v>
      </c>
    </row>
    <row r="303" spans="1:22">
      <c r="A303">
        <v>5366</v>
      </c>
      <c r="B303" t="s">
        <v>2327</v>
      </c>
      <c r="C303">
        <v>385</v>
      </c>
      <c r="D303" t="s">
        <v>2328</v>
      </c>
      <c r="E303" t="s">
        <v>2038</v>
      </c>
      <c r="F303">
        <v>202110</v>
      </c>
      <c r="G303" t="s">
        <v>176</v>
      </c>
      <c r="H303">
        <v>0</v>
      </c>
      <c r="O303">
        <v>5366</v>
      </c>
      <c r="P303" t="s">
        <v>2327</v>
      </c>
      <c r="Q303">
        <v>385</v>
      </c>
      <c r="R303" t="s">
        <v>2328</v>
      </c>
      <c r="S303" t="s">
        <v>2038</v>
      </c>
      <c r="T303">
        <v>202205</v>
      </c>
      <c r="U303" t="s">
        <v>191</v>
      </c>
      <c r="V303">
        <v>37761</v>
      </c>
    </row>
    <row r="304" spans="1:22">
      <c r="A304">
        <v>5366</v>
      </c>
      <c r="B304" t="s">
        <v>2327</v>
      </c>
      <c r="C304">
        <v>385</v>
      </c>
      <c r="D304" t="s">
        <v>2328</v>
      </c>
      <c r="E304" t="s">
        <v>2038</v>
      </c>
      <c r="F304">
        <v>202110</v>
      </c>
      <c r="G304" t="s">
        <v>178</v>
      </c>
      <c r="H304">
        <v>926.52</v>
      </c>
      <c r="O304">
        <v>5366</v>
      </c>
      <c r="P304" t="s">
        <v>2327</v>
      </c>
      <c r="Q304">
        <v>385</v>
      </c>
      <c r="R304" t="s">
        <v>2328</v>
      </c>
      <c r="S304" t="s">
        <v>2038</v>
      </c>
      <c r="T304">
        <v>202205</v>
      </c>
      <c r="U304" t="s">
        <v>178</v>
      </c>
      <c r="V304">
        <v>939.12</v>
      </c>
    </row>
    <row r="305" spans="1:22">
      <c r="A305">
        <v>5366</v>
      </c>
      <c r="B305" t="s">
        <v>2327</v>
      </c>
      <c r="C305">
        <v>385</v>
      </c>
      <c r="D305" t="s">
        <v>2328</v>
      </c>
      <c r="E305" t="s">
        <v>2038</v>
      </c>
      <c r="F305">
        <v>202110</v>
      </c>
      <c r="G305" t="s">
        <v>180</v>
      </c>
      <c r="H305">
        <v>855.96</v>
      </c>
      <c r="O305">
        <v>5366</v>
      </c>
      <c r="P305" t="s">
        <v>2327</v>
      </c>
      <c r="Q305">
        <v>385</v>
      </c>
      <c r="R305" t="s">
        <v>2328</v>
      </c>
      <c r="S305" t="s">
        <v>2038</v>
      </c>
      <c r="T305">
        <v>202205</v>
      </c>
      <c r="U305" t="s">
        <v>180</v>
      </c>
      <c r="V305">
        <v>953.4</v>
      </c>
    </row>
    <row r="306" spans="1:22">
      <c r="A306">
        <v>5366</v>
      </c>
      <c r="B306" t="s">
        <v>2327</v>
      </c>
      <c r="C306">
        <v>385</v>
      </c>
      <c r="D306" t="s">
        <v>2328</v>
      </c>
      <c r="E306" t="s">
        <v>2038</v>
      </c>
      <c r="F306">
        <v>202110</v>
      </c>
      <c r="G306" t="s">
        <v>182</v>
      </c>
      <c r="H306">
        <v>270007</v>
      </c>
      <c r="O306">
        <v>5366</v>
      </c>
      <c r="P306" t="s">
        <v>2327</v>
      </c>
      <c r="Q306">
        <v>385</v>
      </c>
      <c r="R306" t="s">
        <v>2328</v>
      </c>
      <c r="S306" t="s">
        <v>2038</v>
      </c>
      <c r="T306">
        <v>202205</v>
      </c>
      <c r="U306" t="s">
        <v>182</v>
      </c>
      <c r="V306">
        <v>302350</v>
      </c>
    </row>
    <row r="307" spans="1:22">
      <c r="A307">
        <v>5366</v>
      </c>
      <c r="B307" t="s">
        <v>2327</v>
      </c>
      <c r="C307">
        <v>385</v>
      </c>
      <c r="D307" t="s">
        <v>2328</v>
      </c>
      <c r="E307" t="s">
        <v>2038</v>
      </c>
      <c r="F307">
        <v>202110</v>
      </c>
      <c r="G307" t="s">
        <v>184</v>
      </c>
      <c r="H307">
        <v>40364</v>
      </c>
      <c r="O307">
        <v>5366</v>
      </c>
      <c r="P307" t="s">
        <v>2327</v>
      </c>
      <c r="Q307">
        <v>385</v>
      </c>
      <c r="R307" t="s">
        <v>2328</v>
      </c>
      <c r="S307" t="s">
        <v>2038</v>
      </c>
      <c r="T307">
        <v>202205</v>
      </c>
      <c r="U307" t="s">
        <v>184</v>
      </c>
      <c r="V307">
        <v>37761</v>
      </c>
    </row>
    <row r="308" spans="1:22">
      <c r="A308">
        <v>5366</v>
      </c>
      <c r="B308" t="s">
        <v>2327</v>
      </c>
      <c r="C308">
        <v>385</v>
      </c>
      <c r="D308" t="s">
        <v>2328</v>
      </c>
      <c r="E308" t="s">
        <v>2038</v>
      </c>
      <c r="F308">
        <v>202110</v>
      </c>
      <c r="G308" t="s">
        <v>192</v>
      </c>
      <c r="H308">
        <v>0</v>
      </c>
      <c r="O308">
        <v>5366</v>
      </c>
      <c r="P308" t="s">
        <v>2327</v>
      </c>
      <c r="Q308">
        <v>385</v>
      </c>
      <c r="R308" t="s">
        <v>2328</v>
      </c>
      <c r="S308" t="s">
        <v>2038</v>
      </c>
      <c r="T308">
        <v>202205</v>
      </c>
      <c r="U308" t="s">
        <v>186</v>
      </c>
      <c r="V308">
        <v>0</v>
      </c>
    </row>
    <row r="309" spans="1:22">
      <c r="A309">
        <v>5366</v>
      </c>
      <c r="B309" t="s">
        <v>2327</v>
      </c>
      <c r="C309">
        <v>385</v>
      </c>
      <c r="D309" t="s">
        <v>2328</v>
      </c>
      <c r="E309" t="s">
        <v>2038</v>
      </c>
      <c r="F309">
        <v>202110</v>
      </c>
      <c r="G309" t="s">
        <v>2172</v>
      </c>
      <c r="H309">
        <v>2560.2800000000002</v>
      </c>
      <c r="O309">
        <v>5366</v>
      </c>
      <c r="P309" t="s">
        <v>2327</v>
      </c>
      <c r="Q309">
        <v>385</v>
      </c>
      <c r="R309" t="s">
        <v>2328</v>
      </c>
      <c r="S309" t="s">
        <v>2038</v>
      </c>
      <c r="T309">
        <v>202205</v>
      </c>
      <c r="U309" t="s">
        <v>190</v>
      </c>
      <c r="V309">
        <v>343394</v>
      </c>
    </row>
    <row r="310" spans="1:22">
      <c r="A310">
        <v>5366</v>
      </c>
      <c r="B310" t="s">
        <v>2327</v>
      </c>
      <c r="C310">
        <v>385</v>
      </c>
      <c r="D310" t="s">
        <v>2328</v>
      </c>
      <c r="E310" t="s">
        <v>2038</v>
      </c>
      <c r="F310">
        <v>202110</v>
      </c>
      <c r="G310" t="s">
        <v>186</v>
      </c>
      <c r="H310">
        <v>0</v>
      </c>
      <c r="O310">
        <v>5366</v>
      </c>
      <c r="P310" t="s">
        <v>2327</v>
      </c>
      <c r="Q310">
        <v>385</v>
      </c>
      <c r="R310" t="s">
        <v>2328</v>
      </c>
      <c r="S310" t="s">
        <v>2038</v>
      </c>
      <c r="T310">
        <v>202205</v>
      </c>
      <c r="U310" t="s">
        <v>191</v>
      </c>
      <c r="V310">
        <v>18687</v>
      </c>
    </row>
    <row r="311" spans="1:22">
      <c r="A311">
        <v>5366</v>
      </c>
      <c r="B311" t="s">
        <v>2327</v>
      </c>
      <c r="C311">
        <v>385</v>
      </c>
      <c r="D311" t="s">
        <v>2328</v>
      </c>
      <c r="E311" t="s">
        <v>2038</v>
      </c>
      <c r="F311">
        <v>202110</v>
      </c>
      <c r="G311" t="s">
        <v>2171</v>
      </c>
      <c r="H311">
        <v>253.34</v>
      </c>
      <c r="O311">
        <v>5366</v>
      </c>
      <c r="P311" t="s">
        <v>2327</v>
      </c>
      <c r="Q311">
        <v>385</v>
      </c>
      <c r="R311" t="s">
        <v>2328</v>
      </c>
      <c r="S311" t="s">
        <v>2038</v>
      </c>
      <c r="T311">
        <v>202205</v>
      </c>
      <c r="U311" t="s">
        <v>178</v>
      </c>
      <c r="V311">
        <v>2365</v>
      </c>
    </row>
    <row r="312" spans="1:22">
      <c r="A312">
        <v>5366</v>
      </c>
      <c r="B312" t="s">
        <v>2327</v>
      </c>
      <c r="C312">
        <v>385</v>
      </c>
      <c r="D312" t="s">
        <v>2328</v>
      </c>
      <c r="E312" t="s">
        <v>2038</v>
      </c>
      <c r="F312">
        <v>202110</v>
      </c>
      <c r="G312" t="s">
        <v>2168</v>
      </c>
      <c r="H312">
        <v>13.63</v>
      </c>
      <c r="O312">
        <v>5366</v>
      </c>
      <c r="P312" t="s">
        <v>2327</v>
      </c>
      <c r="Q312">
        <v>385</v>
      </c>
      <c r="R312" t="s">
        <v>2328</v>
      </c>
      <c r="S312" t="s">
        <v>2038</v>
      </c>
      <c r="T312">
        <v>202205</v>
      </c>
      <c r="U312" t="s">
        <v>180</v>
      </c>
      <c r="V312">
        <v>2187</v>
      </c>
    </row>
    <row r="313" spans="1:22">
      <c r="A313">
        <v>5366</v>
      </c>
      <c r="B313" t="s">
        <v>2327</v>
      </c>
      <c r="C313">
        <v>385</v>
      </c>
      <c r="D313" t="s">
        <v>2328</v>
      </c>
      <c r="E313" t="s">
        <v>2038</v>
      </c>
      <c r="F313">
        <v>202110</v>
      </c>
      <c r="G313" t="s">
        <v>2169</v>
      </c>
      <c r="H313">
        <v>19.41</v>
      </c>
      <c r="O313">
        <v>5366</v>
      </c>
      <c r="P313" t="s">
        <v>2327</v>
      </c>
      <c r="Q313">
        <v>385</v>
      </c>
      <c r="R313" t="s">
        <v>2328</v>
      </c>
      <c r="S313" t="s">
        <v>2038</v>
      </c>
      <c r="T313">
        <v>202205</v>
      </c>
      <c r="U313" t="s">
        <v>182</v>
      </c>
      <c r="V313">
        <v>1141308</v>
      </c>
    </row>
    <row r="314" spans="1:22">
      <c r="A314">
        <v>5366</v>
      </c>
      <c r="B314" t="s">
        <v>2327</v>
      </c>
      <c r="C314">
        <v>385</v>
      </c>
      <c r="D314" t="s">
        <v>2328</v>
      </c>
      <c r="E314" t="s">
        <v>2038</v>
      </c>
      <c r="F314">
        <v>202110</v>
      </c>
      <c r="G314" t="s">
        <v>2170</v>
      </c>
      <c r="H314">
        <v>11.62</v>
      </c>
      <c r="O314">
        <v>5366</v>
      </c>
      <c r="P314" t="s">
        <v>2327</v>
      </c>
      <c r="Q314">
        <v>385</v>
      </c>
      <c r="R314" t="s">
        <v>2328</v>
      </c>
      <c r="S314" t="s">
        <v>2038</v>
      </c>
      <c r="T314">
        <v>202205</v>
      </c>
      <c r="U314" t="s">
        <v>184</v>
      </c>
      <c r="V314">
        <v>96435</v>
      </c>
    </row>
    <row r="315" spans="1:22">
      <c r="A315">
        <v>5366</v>
      </c>
      <c r="B315" t="s">
        <v>2327</v>
      </c>
      <c r="C315">
        <v>385</v>
      </c>
      <c r="D315" t="s">
        <v>2328</v>
      </c>
      <c r="E315" t="s">
        <v>2038</v>
      </c>
      <c r="F315">
        <v>202110</v>
      </c>
      <c r="G315" t="s">
        <v>2173</v>
      </c>
      <c r="H315">
        <v>114299.53</v>
      </c>
      <c r="O315">
        <v>5366</v>
      </c>
      <c r="P315" t="s">
        <v>2327</v>
      </c>
      <c r="Q315">
        <v>385</v>
      </c>
      <c r="R315" t="s">
        <v>2328</v>
      </c>
      <c r="S315" t="s">
        <v>2038</v>
      </c>
      <c r="T315">
        <v>202205</v>
      </c>
      <c r="U315" t="s">
        <v>186</v>
      </c>
      <c r="V315">
        <v>0</v>
      </c>
    </row>
    <row r="316" spans="1:22">
      <c r="A316">
        <v>5366</v>
      </c>
      <c r="B316" t="s">
        <v>2327</v>
      </c>
      <c r="C316">
        <v>385</v>
      </c>
      <c r="D316" t="s">
        <v>2328</v>
      </c>
      <c r="E316" t="s">
        <v>2038</v>
      </c>
      <c r="F316">
        <v>202110</v>
      </c>
      <c r="G316" t="s">
        <v>190</v>
      </c>
      <c r="H316">
        <v>57102</v>
      </c>
      <c r="O316">
        <v>5366</v>
      </c>
      <c r="P316" t="s">
        <v>2327</v>
      </c>
      <c r="Q316">
        <v>385</v>
      </c>
      <c r="R316" t="s">
        <v>2328</v>
      </c>
      <c r="S316" t="s">
        <v>2038</v>
      </c>
      <c r="T316">
        <v>202206</v>
      </c>
      <c r="U316" t="s">
        <v>190</v>
      </c>
      <c r="V316">
        <v>132142</v>
      </c>
    </row>
    <row r="317" spans="1:22">
      <c r="A317">
        <v>5366</v>
      </c>
      <c r="B317" t="s">
        <v>2327</v>
      </c>
      <c r="C317">
        <v>385</v>
      </c>
      <c r="D317" t="s">
        <v>2328</v>
      </c>
      <c r="E317" t="s">
        <v>2038</v>
      </c>
      <c r="F317">
        <v>202110</v>
      </c>
      <c r="G317" t="s">
        <v>191</v>
      </c>
      <c r="H317">
        <v>8083</v>
      </c>
      <c r="O317">
        <v>5366</v>
      </c>
      <c r="P317" t="s">
        <v>2327</v>
      </c>
      <c r="Q317">
        <v>385</v>
      </c>
      <c r="R317" t="s">
        <v>2328</v>
      </c>
      <c r="S317" t="s">
        <v>2038</v>
      </c>
      <c r="T317">
        <v>202206</v>
      </c>
      <c r="U317" t="s">
        <v>191</v>
      </c>
      <c r="V317">
        <v>16767</v>
      </c>
    </row>
    <row r="318" spans="1:22">
      <c r="A318">
        <v>5366</v>
      </c>
      <c r="B318" t="s">
        <v>2327</v>
      </c>
      <c r="C318">
        <v>385</v>
      </c>
      <c r="D318" t="s">
        <v>2328</v>
      </c>
      <c r="E318" t="s">
        <v>2038</v>
      </c>
      <c r="F318">
        <v>202110</v>
      </c>
      <c r="G318" t="s">
        <v>176</v>
      </c>
      <c r="H318">
        <v>-390.95</v>
      </c>
      <c r="O318">
        <v>5366</v>
      </c>
      <c r="P318" t="s">
        <v>2327</v>
      </c>
      <c r="Q318">
        <v>385</v>
      </c>
      <c r="R318" t="s">
        <v>2328</v>
      </c>
      <c r="S318" t="s">
        <v>2038</v>
      </c>
      <c r="T318">
        <v>202206</v>
      </c>
      <c r="U318" t="s">
        <v>178</v>
      </c>
      <c r="V318">
        <v>329.95</v>
      </c>
    </row>
    <row r="319" spans="1:22">
      <c r="A319">
        <v>5366</v>
      </c>
      <c r="B319" t="s">
        <v>2327</v>
      </c>
      <c r="C319">
        <v>385</v>
      </c>
      <c r="D319" t="s">
        <v>2328</v>
      </c>
      <c r="E319" t="s">
        <v>2038</v>
      </c>
      <c r="F319">
        <v>202110</v>
      </c>
      <c r="G319" t="s">
        <v>178</v>
      </c>
      <c r="H319">
        <v>241.92</v>
      </c>
      <c r="O319">
        <v>5366</v>
      </c>
      <c r="P319" t="s">
        <v>2327</v>
      </c>
      <c r="Q319">
        <v>385</v>
      </c>
      <c r="R319" t="s">
        <v>2328</v>
      </c>
      <c r="S319" t="s">
        <v>2038</v>
      </c>
      <c r="T319">
        <v>202206</v>
      </c>
      <c r="U319" t="s">
        <v>180</v>
      </c>
      <c r="V319">
        <v>312.14</v>
      </c>
    </row>
    <row r="320" spans="1:22">
      <c r="A320">
        <v>5366</v>
      </c>
      <c r="B320" t="s">
        <v>2327</v>
      </c>
      <c r="C320">
        <v>385</v>
      </c>
      <c r="D320" t="s">
        <v>2328</v>
      </c>
      <c r="E320" t="s">
        <v>2038</v>
      </c>
      <c r="F320">
        <v>202110</v>
      </c>
      <c r="G320" t="s">
        <v>180</v>
      </c>
      <c r="H320">
        <v>195.55</v>
      </c>
      <c r="O320">
        <v>5366</v>
      </c>
      <c r="P320" t="s">
        <v>2327</v>
      </c>
      <c r="Q320">
        <v>385</v>
      </c>
      <c r="R320" t="s">
        <v>2328</v>
      </c>
      <c r="S320" t="s">
        <v>2038</v>
      </c>
      <c r="T320">
        <v>202206</v>
      </c>
      <c r="U320" t="s">
        <v>182</v>
      </c>
      <c r="V320">
        <v>132142</v>
      </c>
    </row>
    <row r="321" spans="1:22">
      <c r="A321">
        <v>5366</v>
      </c>
      <c r="B321" t="s">
        <v>2327</v>
      </c>
      <c r="C321">
        <v>385</v>
      </c>
      <c r="D321" t="s">
        <v>2328</v>
      </c>
      <c r="E321" t="s">
        <v>2038</v>
      </c>
      <c r="F321">
        <v>202110</v>
      </c>
      <c r="G321" t="s">
        <v>182</v>
      </c>
      <c r="H321">
        <v>57102</v>
      </c>
      <c r="O321">
        <v>5366</v>
      </c>
      <c r="P321" t="s">
        <v>2327</v>
      </c>
      <c r="Q321">
        <v>385</v>
      </c>
      <c r="R321" t="s">
        <v>2328</v>
      </c>
      <c r="S321" t="s">
        <v>2038</v>
      </c>
      <c r="T321">
        <v>202206</v>
      </c>
      <c r="U321" t="s">
        <v>184</v>
      </c>
      <c r="V321">
        <v>16767</v>
      </c>
    </row>
    <row r="322" spans="1:22">
      <c r="A322">
        <v>5366</v>
      </c>
      <c r="B322" t="s">
        <v>2327</v>
      </c>
      <c r="C322">
        <v>385</v>
      </c>
      <c r="D322" t="s">
        <v>2328</v>
      </c>
      <c r="E322" t="s">
        <v>2038</v>
      </c>
      <c r="F322">
        <v>202110</v>
      </c>
      <c r="G322" t="s">
        <v>184</v>
      </c>
      <c r="H322">
        <v>8083</v>
      </c>
      <c r="O322">
        <v>5366</v>
      </c>
      <c r="P322" t="s">
        <v>2327</v>
      </c>
      <c r="Q322">
        <v>385</v>
      </c>
      <c r="R322" t="s">
        <v>2328</v>
      </c>
      <c r="S322" t="s">
        <v>2038</v>
      </c>
      <c r="T322">
        <v>202206</v>
      </c>
      <c r="U322" t="s">
        <v>186</v>
      </c>
      <c r="V322">
        <v>0</v>
      </c>
    </row>
    <row r="323" spans="1:22">
      <c r="A323">
        <v>5366</v>
      </c>
      <c r="B323" t="s">
        <v>2327</v>
      </c>
      <c r="C323">
        <v>385</v>
      </c>
      <c r="D323" t="s">
        <v>2328</v>
      </c>
      <c r="E323" t="s">
        <v>2038</v>
      </c>
      <c r="F323">
        <v>202110</v>
      </c>
      <c r="G323" t="s">
        <v>192</v>
      </c>
      <c r="H323">
        <v>0</v>
      </c>
      <c r="O323">
        <v>5366</v>
      </c>
      <c r="P323" t="s">
        <v>2327</v>
      </c>
      <c r="Q323">
        <v>385</v>
      </c>
      <c r="R323" t="s">
        <v>2328</v>
      </c>
      <c r="S323" t="s">
        <v>2038</v>
      </c>
      <c r="T323">
        <v>202206</v>
      </c>
      <c r="U323" t="s">
        <v>190</v>
      </c>
      <c r="V323">
        <v>275022</v>
      </c>
    </row>
    <row r="324" spans="1:22">
      <c r="A324">
        <v>5366</v>
      </c>
      <c r="B324" t="s">
        <v>2327</v>
      </c>
      <c r="C324">
        <v>385</v>
      </c>
      <c r="D324" t="s">
        <v>2328</v>
      </c>
      <c r="E324" t="s">
        <v>2038</v>
      </c>
      <c r="F324">
        <v>202110</v>
      </c>
      <c r="G324" t="s">
        <v>2172</v>
      </c>
      <c r="H324">
        <v>589.47</v>
      </c>
      <c r="O324">
        <v>5366</v>
      </c>
      <c r="P324" t="s">
        <v>2327</v>
      </c>
      <c r="Q324">
        <v>385</v>
      </c>
      <c r="R324" t="s">
        <v>2328</v>
      </c>
      <c r="S324" t="s">
        <v>2038</v>
      </c>
      <c r="T324">
        <v>202206</v>
      </c>
      <c r="U324" t="s">
        <v>191</v>
      </c>
      <c r="V324">
        <v>41589</v>
      </c>
    </row>
    <row r="325" spans="1:22">
      <c r="A325">
        <v>5366</v>
      </c>
      <c r="B325" t="s">
        <v>2327</v>
      </c>
      <c r="C325">
        <v>385</v>
      </c>
      <c r="D325" t="s">
        <v>2328</v>
      </c>
      <c r="E325" t="s">
        <v>2038</v>
      </c>
      <c r="F325">
        <v>202110</v>
      </c>
      <c r="G325" t="s">
        <v>186</v>
      </c>
      <c r="H325">
        <v>0</v>
      </c>
      <c r="O325">
        <v>5366</v>
      </c>
      <c r="P325" t="s">
        <v>2327</v>
      </c>
      <c r="Q325">
        <v>385</v>
      </c>
      <c r="R325" t="s">
        <v>2328</v>
      </c>
      <c r="S325" t="s">
        <v>2038</v>
      </c>
      <c r="T325">
        <v>202206</v>
      </c>
      <c r="U325" t="s">
        <v>178</v>
      </c>
      <c r="V325">
        <v>832.44</v>
      </c>
    </row>
    <row r="326" spans="1:22">
      <c r="A326">
        <v>5366</v>
      </c>
      <c r="B326" t="s">
        <v>2327</v>
      </c>
      <c r="C326">
        <v>385</v>
      </c>
      <c r="D326" t="s">
        <v>2328</v>
      </c>
      <c r="E326" t="s">
        <v>2038</v>
      </c>
      <c r="F326">
        <v>202110</v>
      </c>
      <c r="G326" t="s">
        <v>2171</v>
      </c>
      <c r="H326">
        <v>253.34</v>
      </c>
      <c r="O326">
        <v>5366</v>
      </c>
      <c r="P326" t="s">
        <v>2327</v>
      </c>
      <c r="Q326">
        <v>385</v>
      </c>
      <c r="R326" t="s">
        <v>2328</v>
      </c>
      <c r="S326" t="s">
        <v>2038</v>
      </c>
      <c r="T326">
        <v>202206</v>
      </c>
      <c r="U326" t="s">
        <v>180</v>
      </c>
      <c r="V326">
        <v>757.68</v>
      </c>
    </row>
    <row r="327" spans="1:22">
      <c r="A327">
        <v>5366</v>
      </c>
      <c r="B327" t="s">
        <v>2327</v>
      </c>
      <c r="C327">
        <v>385</v>
      </c>
      <c r="D327" t="s">
        <v>2328</v>
      </c>
      <c r="E327" t="s">
        <v>2038</v>
      </c>
      <c r="F327">
        <v>202110</v>
      </c>
      <c r="G327" t="s">
        <v>2168</v>
      </c>
      <c r="H327">
        <v>13.63</v>
      </c>
      <c r="O327">
        <v>5366</v>
      </c>
      <c r="P327" t="s">
        <v>2327</v>
      </c>
      <c r="Q327">
        <v>385</v>
      </c>
      <c r="R327" t="s">
        <v>2328</v>
      </c>
      <c r="S327" t="s">
        <v>2038</v>
      </c>
      <c r="T327">
        <v>202206</v>
      </c>
      <c r="U327" t="s">
        <v>182</v>
      </c>
      <c r="V327">
        <v>275022</v>
      </c>
    </row>
    <row r="328" spans="1:22">
      <c r="A328">
        <v>5366</v>
      </c>
      <c r="B328" t="s">
        <v>2327</v>
      </c>
      <c r="C328">
        <v>385</v>
      </c>
      <c r="D328" t="s">
        <v>2328</v>
      </c>
      <c r="E328" t="s">
        <v>2038</v>
      </c>
      <c r="F328">
        <v>202110</v>
      </c>
      <c r="G328" t="s">
        <v>2169</v>
      </c>
      <c r="H328">
        <v>19.41</v>
      </c>
      <c r="O328">
        <v>5366</v>
      </c>
      <c r="P328" t="s">
        <v>2327</v>
      </c>
      <c r="Q328">
        <v>385</v>
      </c>
      <c r="R328" t="s">
        <v>2328</v>
      </c>
      <c r="S328" t="s">
        <v>2038</v>
      </c>
      <c r="T328">
        <v>202206</v>
      </c>
      <c r="U328" t="s">
        <v>184</v>
      </c>
      <c r="V328">
        <v>41589</v>
      </c>
    </row>
    <row r="329" spans="1:22">
      <c r="A329">
        <v>5366</v>
      </c>
      <c r="B329" t="s">
        <v>2327</v>
      </c>
      <c r="C329">
        <v>385</v>
      </c>
      <c r="D329" t="s">
        <v>2328</v>
      </c>
      <c r="E329" t="s">
        <v>2038</v>
      </c>
      <c r="F329">
        <v>202110</v>
      </c>
      <c r="G329" t="s">
        <v>2170</v>
      </c>
      <c r="H329">
        <v>11.62</v>
      </c>
      <c r="O329">
        <v>5366</v>
      </c>
      <c r="P329" t="s">
        <v>2327</v>
      </c>
      <c r="Q329">
        <v>385</v>
      </c>
      <c r="R329" t="s">
        <v>2328</v>
      </c>
      <c r="S329" t="s">
        <v>2038</v>
      </c>
      <c r="T329">
        <v>202206</v>
      </c>
      <c r="U329" t="s">
        <v>186</v>
      </c>
      <c r="V329">
        <v>0</v>
      </c>
    </row>
    <row r="330" spans="1:22">
      <c r="A330">
        <v>5366</v>
      </c>
      <c r="B330" t="s">
        <v>2327</v>
      </c>
      <c r="C330">
        <v>385</v>
      </c>
      <c r="D330" t="s">
        <v>2328</v>
      </c>
      <c r="E330" t="s">
        <v>2038</v>
      </c>
      <c r="F330">
        <v>202110</v>
      </c>
      <c r="G330" t="s">
        <v>2173</v>
      </c>
      <c r="H330">
        <v>25925.55</v>
      </c>
      <c r="O330">
        <v>5366</v>
      </c>
      <c r="P330" t="s">
        <v>2327</v>
      </c>
      <c r="Q330">
        <v>385</v>
      </c>
      <c r="R330" t="s">
        <v>2328</v>
      </c>
      <c r="S330" t="s">
        <v>2038</v>
      </c>
      <c r="T330">
        <v>202206</v>
      </c>
      <c r="U330" t="s">
        <v>190</v>
      </c>
      <c r="V330">
        <v>58509</v>
      </c>
    </row>
    <row r="331" spans="1:22">
      <c r="A331">
        <v>5366</v>
      </c>
      <c r="B331" t="s">
        <v>2327</v>
      </c>
      <c r="C331">
        <v>385</v>
      </c>
      <c r="D331" t="s">
        <v>2328</v>
      </c>
      <c r="E331" t="s">
        <v>2038</v>
      </c>
      <c r="F331">
        <v>202110</v>
      </c>
      <c r="G331" t="s">
        <v>190</v>
      </c>
      <c r="H331">
        <v>132147</v>
      </c>
      <c r="O331">
        <v>5366</v>
      </c>
      <c r="P331" t="s">
        <v>2327</v>
      </c>
      <c r="Q331">
        <v>385</v>
      </c>
      <c r="R331" t="s">
        <v>2328</v>
      </c>
      <c r="S331" t="s">
        <v>2038</v>
      </c>
      <c r="T331">
        <v>202206</v>
      </c>
      <c r="U331" t="s">
        <v>191</v>
      </c>
      <c r="V331">
        <v>6881</v>
      </c>
    </row>
    <row r="332" spans="1:22">
      <c r="A332">
        <v>5366</v>
      </c>
      <c r="B332" t="s">
        <v>2327</v>
      </c>
      <c r="C332">
        <v>385</v>
      </c>
      <c r="D332" t="s">
        <v>2328</v>
      </c>
      <c r="E332" t="s">
        <v>2038</v>
      </c>
      <c r="F332">
        <v>202110</v>
      </c>
      <c r="G332" t="s">
        <v>191</v>
      </c>
      <c r="H332">
        <v>16150</v>
      </c>
      <c r="O332">
        <v>5366</v>
      </c>
      <c r="P332" t="s">
        <v>2327</v>
      </c>
      <c r="Q332">
        <v>385</v>
      </c>
      <c r="R332" t="s">
        <v>2328</v>
      </c>
      <c r="S332" t="s">
        <v>2038</v>
      </c>
      <c r="T332">
        <v>202206</v>
      </c>
      <c r="U332" t="s">
        <v>178</v>
      </c>
      <c r="V332">
        <v>170</v>
      </c>
    </row>
    <row r="333" spans="1:22">
      <c r="A333">
        <v>5366</v>
      </c>
      <c r="B333" t="s">
        <v>2327</v>
      </c>
      <c r="C333">
        <v>385</v>
      </c>
      <c r="D333" t="s">
        <v>2328</v>
      </c>
      <c r="E333" t="s">
        <v>2038</v>
      </c>
      <c r="F333">
        <v>202110</v>
      </c>
      <c r="G333" t="s">
        <v>176</v>
      </c>
      <c r="H333">
        <v>0</v>
      </c>
      <c r="O333">
        <v>5366</v>
      </c>
      <c r="P333" t="s">
        <v>2327</v>
      </c>
      <c r="Q333">
        <v>385</v>
      </c>
      <c r="R333" t="s">
        <v>2328</v>
      </c>
      <c r="S333" t="s">
        <v>2038</v>
      </c>
      <c r="T333">
        <v>202206</v>
      </c>
      <c r="U333" t="s">
        <v>180</v>
      </c>
      <c r="V333">
        <v>173</v>
      </c>
    </row>
    <row r="334" spans="1:22">
      <c r="A334">
        <v>5366</v>
      </c>
      <c r="B334" t="s">
        <v>2327</v>
      </c>
      <c r="C334">
        <v>385</v>
      </c>
      <c r="D334" t="s">
        <v>2328</v>
      </c>
      <c r="E334" t="s">
        <v>2038</v>
      </c>
      <c r="F334">
        <v>202110</v>
      </c>
      <c r="G334" t="s">
        <v>178</v>
      </c>
      <c r="H334">
        <v>339.36</v>
      </c>
      <c r="O334">
        <v>5366</v>
      </c>
      <c r="P334" t="s">
        <v>2327</v>
      </c>
      <c r="Q334">
        <v>385</v>
      </c>
      <c r="R334" t="s">
        <v>2328</v>
      </c>
      <c r="S334" t="s">
        <v>2038</v>
      </c>
      <c r="T334">
        <v>202206</v>
      </c>
      <c r="U334" t="s">
        <v>182</v>
      </c>
      <c r="V334">
        <v>58509</v>
      </c>
    </row>
    <row r="335" spans="1:22">
      <c r="A335">
        <v>5366</v>
      </c>
      <c r="B335" t="s">
        <v>2327</v>
      </c>
      <c r="C335">
        <v>385</v>
      </c>
      <c r="D335" t="s">
        <v>2328</v>
      </c>
      <c r="E335" t="s">
        <v>2038</v>
      </c>
      <c r="F335">
        <v>202110</v>
      </c>
      <c r="G335" t="s">
        <v>180</v>
      </c>
      <c r="H335">
        <v>337.34</v>
      </c>
      <c r="O335">
        <v>5366</v>
      </c>
      <c r="P335" t="s">
        <v>2327</v>
      </c>
      <c r="Q335">
        <v>385</v>
      </c>
      <c r="R335" t="s">
        <v>2328</v>
      </c>
      <c r="S335" t="s">
        <v>2038</v>
      </c>
      <c r="T335">
        <v>202206</v>
      </c>
      <c r="U335" t="s">
        <v>184</v>
      </c>
      <c r="V335">
        <v>6881</v>
      </c>
    </row>
    <row r="336" spans="1:22">
      <c r="A336">
        <v>5366</v>
      </c>
      <c r="B336" t="s">
        <v>2327</v>
      </c>
      <c r="C336">
        <v>385</v>
      </c>
      <c r="D336" t="s">
        <v>2328</v>
      </c>
      <c r="E336" t="s">
        <v>2038</v>
      </c>
      <c r="F336">
        <v>202110</v>
      </c>
      <c r="G336" t="s">
        <v>182</v>
      </c>
      <c r="H336">
        <v>132147</v>
      </c>
      <c r="O336">
        <v>5366</v>
      </c>
      <c r="P336" t="s">
        <v>2327</v>
      </c>
      <c r="Q336">
        <v>385</v>
      </c>
      <c r="R336" t="s">
        <v>2328</v>
      </c>
      <c r="S336" t="s">
        <v>2038</v>
      </c>
      <c r="T336">
        <v>202206</v>
      </c>
      <c r="U336" t="s">
        <v>186</v>
      </c>
      <c r="V336">
        <v>0</v>
      </c>
    </row>
    <row r="337" spans="1:22">
      <c r="A337">
        <v>5366</v>
      </c>
      <c r="B337" t="s">
        <v>2327</v>
      </c>
      <c r="C337">
        <v>385</v>
      </c>
      <c r="D337" t="s">
        <v>2328</v>
      </c>
      <c r="E337" t="s">
        <v>2038</v>
      </c>
      <c r="F337">
        <v>202110</v>
      </c>
      <c r="G337" t="s">
        <v>184</v>
      </c>
      <c r="H337">
        <v>16150</v>
      </c>
      <c r="O337">
        <v>5366</v>
      </c>
      <c r="P337" t="s">
        <v>2327</v>
      </c>
      <c r="Q337">
        <v>385</v>
      </c>
      <c r="R337" t="s">
        <v>2328</v>
      </c>
      <c r="S337" t="s">
        <v>2038</v>
      </c>
      <c r="T337">
        <v>202206</v>
      </c>
      <c r="U337" t="s">
        <v>190</v>
      </c>
      <c r="V337">
        <v>162155</v>
      </c>
    </row>
    <row r="338" spans="1:22">
      <c r="A338">
        <v>5366</v>
      </c>
      <c r="B338" t="s">
        <v>2327</v>
      </c>
      <c r="C338">
        <v>385</v>
      </c>
      <c r="D338" t="s">
        <v>2328</v>
      </c>
      <c r="E338" t="s">
        <v>2038</v>
      </c>
      <c r="F338">
        <v>202110</v>
      </c>
      <c r="G338" t="s">
        <v>192</v>
      </c>
      <c r="H338">
        <v>0</v>
      </c>
      <c r="O338">
        <v>5366</v>
      </c>
      <c r="P338" t="s">
        <v>2327</v>
      </c>
      <c r="Q338">
        <v>385</v>
      </c>
      <c r="R338" t="s">
        <v>2328</v>
      </c>
      <c r="S338" t="s">
        <v>2038</v>
      </c>
      <c r="T338">
        <v>202206</v>
      </c>
      <c r="U338" t="s">
        <v>191</v>
      </c>
      <c r="V338">
        <v>29239</v>
      </c>
    </row>
    <row r="339" spans="1:22">
      <c r="A339">
        <v>5366</v>
      </c>
      <c r="B339" t="s">
        <v>2327</v>
      </c>
      <c r="C339">
        <v>385</v>
      </c>
      <c r="D339" t="s">
        <v>2328</v>
      </c>
      <c r="E339" t="s">
        <v>2038</v>
      </c>
      <c r="F339">
        <v>202110</v>
      </c>
      <c r="G339" t="s">
        <v>2172</v>
      </c>
      <c r="H339">
        <v>1156.54</v>
      </c>
      <c r="O339">
        <v>5366</v>
      </c>
      <c r="P339" t="s">
        <v>2327</v>
      </c>
      <c r="Q339">
        <v>385</v>
      </c>
      <c r="R339" t="s">
        <v>2328</v>
      </c>
      <c r="S339" t="s">
        <v>2038</v>
      </c>
      <c r="T339">
        <v>202206</v>
      </c>
      <c r="U339" t="s">
        <v>178</v>
      </c>
      <c r="V339">
        <v>542.79999999999995</v>
      </c>
    </row>
    <row r="340" spans="1:22">
      <c r="A340">
        <v>5366</v>
      </c>
      <c r="B340" t="s">
        <v>2327</v>
      </c>
      <c r="C340">
        <v>385</v>
      </c>
      <c r="D340" t="s">
        <v>2328</v>
      </c>
      <c r="E340" t="s">
        <v>2038</v>
      </c>
      <c r="F340">
        <v>202110</v>
      </c>
      <c r="G340" t="s">
        <v>186</v>
      </c>
      <c r="H340">
        <v>0</v>
      </c>
      <c r="O340">
        <v>5366</v>
      </c>
      <c r="P340" t="s">
        <v>2327</v>
      </c>
      <c r="Q340">
        <v>385</v>
      </c>
      <c r="R340" t="s">
        <v>2328</v>
      </c>
      <c r="S340" t="s">
        <v>2038</v>
      </c>
      <c r="T340">
        <v>202206</v>
      </c>
      <c r="U340" t="s">
        <v>180</v>
      </c>
      <c r="V340">
        <v>515.08000000000004</v>
      </c>
    </row>
    <row r="341" spans="1:22">
      <c r="A341">
        <v>5366</v>
      </c>
      <c r="B341" t="s">
        <v>2327</v>
      </c>
      <c r="C341">
        <v>385</v>
      </c>
      <c r="D341" t="s">
        <v>2328</v>
      </c>
      <c r="E341" t="s">
        <v>2038</v>
      </c>
      <c r="F341">
        <v>202110</v>
      </c>
      <c r="G341" t="s">
        <v>2171</v>
      </c>
      <c r="H341">
        <v>253.34</v>
      </c>
      <c r="O341">
        <v>5366</v>
      </c>
      <c r="P341" t="s">
        <v>2327</v>
      </c>
      <c r="Q341">
        <v>385</v>
      </c>
      <c r="R341" t="s">
        <v>2328</v>
      </c>
      <c r="S341" t="s">
        <v>2038</v>
      </c>
      <c r="T341">
        <v>202206</v>
      </c>
      <c r="U341" t="s">
        <v>182</v>
      </c>
      <c r="V341">
        <v>192861</v>
      </c>
    </row>
    <row r="342" spans="1:22">
      <c r="A342">
        <v>5366</v>
      </c>
      <c r="B342" t="s">
        <v>2327</v>
      </c>
      <c r="C342">
        <v>385</v>
      </c>
      <c r="D342" t="s">
        <v>2328</v>
      </c>
      <c r="E342" t="s">
        <v>2038</v>
      </c>
      <c r="F342">
        <v>202110</v>
      </c>
      <c r="G342" t="s">
        <v>2168</v>
      </c>
      <c r="H342">
        <v>13.63</v>
      </c>
      <c r="O342">
        <v>5366</v>
      </c>
      <c r="P342" t="s">
        <v>2327</v>
      </c>
      <c r="Q342">
        <v>385</v>
      </c>
      <c r="R342" t="s">
        <v>2328</v>
      </c>
      <c r="S342" t="s">
        <v>2038</v>
      </c>
      <c r="T342">
        <v>202206</v>
      </c>
      <c r="U342" t="s">
        <v>184</v>
      </c>
      <c r="V342">
        <v>29239</v>
      </c>
    </row>
    <row r="343" spans="1:22">
      <c r="A343">
        <v>5366</v>
      </c>
      <c r="B343" t="s">
        <v>2327</v>
      </c>
      <c r="C343">
        <v>385</v>
      </c>
      <c r="D343" t="s">
        <v>2328</v>
      </c>
      <c r="E343" t="s">
        <v>2038</v>
      </c>
      <c r="F343">
        <v>202110</v>
      </c>
      <c r="G343" t="s">
        <v>2169</v>
      </c>
      <c r="H343">
        <v>19.41</v>
      </c>
      <c r="O343">
        <v>5366</v>
      </c>
      <c r="P343" t="s">
        <v>2327</v>
      </c>
      <c r="Q343">
        <v>385</v>
      </c>
      <c r="R343" t="s">
        <v>2328</v>
      </c>
      <c r="S343" t="s">
        <v>2038</v>
      </c>
      <c r="T343">
        <v>202206</v>
      </c>
      <c r="U343" t="s">
        <v>186</v>
      </c>
      <c r="V343">
        <v>30706</v>
      </c>
    </row>
    <row r="344" spans="1:22">
      <c r="A344">
        <v>5366</v>
      </c>
      <c r="B344" t="s">
        <v>2327</v>
      </c>
      <c r="C344">
        <v>385</v>
      </c>
      <c r="D344" t="s">
        <v>2328</v>
      </c>
      <c r="E344" t="s">
        <v>2038</v>
      </c>
      <c r="F344">
        <v>202110</v>
      </c>
      <c r="G344" t="s">
        <v>2170</v>
      </c>
      <c r="H344">
        <v>11.61</v>
      </c>
      <c r="O344">
        <v>5366</v>
      </c>
      <c r="P344" t="s">
        <v>2327</v>
      </c>
      <c r="Q344">
        <v>385</v>
      </c>
      <c r="R344" t="s">
        <v>2328</v>
      </c>
      <c r="S344" t="s">
        <v>2038</v>
      </c>
      <c r="T344">
        <v>202206</v>
      </c>
      <c r="U344" t="s">
        <v>190</v>
      </c>
      <c r="V344">
        <v>365135</v>
      </c>
    </row>
    <row r="345" spans="1:22">
      <c r="A345">
        <v>5366</v>
      </c>
      <c r="B345" t="s">
        <v>2327</v>
      </c>
      <c r="C345">
        <v>385</v>
      </c>
      <c r="D345" t="s">
        <v>2328</v>
      </c>
      <c r="E345" t="s">
        <v>2038</v>
      </c>
      <c r="F345">
        <v>202110</v>
      </c>
      <c r="G345" t="s">
        <v>2173</v>
      </c>
      <c r="H345">
        <v>51630.96</v>
      </c>
      <c r="O345">
        <v>5366</v>
      </c>
      <c r="P345" t="s">
        <v>2327</v>
      </c>
      <c r="Q345">
        <v>385</v>
      </c>
      <c r="R345" t="s">
        <v>2328</v>
      </c>
      <c r="S345" t="s">
        <v>2038</v>
      </c>
      <c r="T345">
        <v>202206</v>
      </c>
      <c r="U345" t="s">
        <v>191</v>
      </c>
      <c r="V345">
        <v>22599</v>
      </c>
    </row>
    <row r="346" spans="1:22">
      <c r="A346">
        <v>5366</v>
      </c>
      <c r="B346" t="s">
        <v>2327</v>
      </c>
      <c r="C346">
        <v>385</v>
      </c>
      <c r="D346" t="s">
        <v>2328</v>
      </c>
      <c r="E346" t="s">
        <v>2038</v>
      </c>
      <c r="F346">
        <v>202110</v>
      </c>
      <c r="G346" t="s">
        <v>190</v>
      </c>
      <c r="H346">
        <v>154318</v>
      </c>
      <c r="O346">
        <v>5366</v>
      </c>
      <c r="P346" t="s">
        <v>2327</v>
      </c>
      <c r="Q346">
        <v>385</v>
      </c>
      <c r="R346" t="s">
        <v>2328</v>
      </c>
      <c r="S346" t="s">
        <v>2038</v>
      </c>
      <c r="T346">
        <v>202206</v>
      </c>
      <c r="U346" t="s">
        <v>178</v>
      </c>
      <c r="V346">
        <v>3964.8</v>
      </c>
    </row>
    <row r="347" spans="1:22">
      <c r="A347">
        <v>5366</v>
      </c>
      <c r="B347" t="s">
        <v>2327</v>
      </c>
      <c r="C347">
        <v>385</v>
      </c>
      <c r="D347" t="s">
        <v>2328</v>
      </c>
      <c r="E347" t="s">
        <v>2038</v>
      </c>
      <c r="F347">
        <v>202110</v>
      </c>
      <c r="G347" t="s">
        <v>191</v>
      </c>
      <c r="H347">
        <v>28310</v>
      </c>
      <c r="O347">
        <v>5366</v>
      </c>
      <c r="P347" t="s">
        <v>2327</v>
      </c>
      <c r="Q347">
        <v>385</v>
      </c>
      <c r="R347" t="s">
        <v>2328</v>
      </c>
      <c r="S347" t="s">
        <v>2038</v>
      </c>
      <c r="T347">
        <v>202206</v>
      </c>
      <c r="U347" t="s">
        <v>180</v>
      </c>
      <c r="V347">
        <v>2059.6799999999998</v>
      </c>
    </row>
    <row r="348" spans="1:22">
      <c r="A348">
        <v>5366</v>
      </c>
      <c r="B348" t="s">
        <v>2327</v>
      </c>
      <c r="C348">
        <v>385</v>
      </c>
      <c r="D348" t="s">
        <v>2328</v>
      </c>
      <c r="E348" t="s">
        <v>2038</v>
      </c>
      <c r="F348">
        <v>202110</v>
      </c>
      <c r="G348" t="s">
        <v>176</v>
      </c>
      <c r="H348">
        <v>0</v>
      </c>
      <c r="O348">
        <v>5366</v>
      </c>
      <c r="P348" t="s">
        <v>2327</v>
      </c>
      <c r="Q348">
        <v>385</v>
      </c>
      <c r="R348" t="s">
        <v>2328</v>
      </c>
      <c r="S348" t="s">
        <v>2038</v>
      </c>
      <c r="T348">
        <v>202206</v>
      </c>
      <c r="U348" t="s">
        <v>182</v>
      </c>
      <c r="V348">
        <v>1187088</v>
      </c>
    </row>
    <row r="349" spans="1:22">
      <c r="A349">
        <v>5366</v>
      </c>
      <c r="B349" t="s">
        <v>2327</v>
      </c>
      <c r="C349">
        <v>385</v>
      </c>
      <c r="D349" t="s">
        <v>2328</v>
      </c>
      <c r="E349" t="s">
        <v>2038</v>
      </c>
      <c r="F349">
        <v>202110</v>
      </c>
      <c r="G349" t="s">
        <v>178</v>
      </c>
      <c r="H349">
        <v>580.6</v>
      </c>
      <c r="O349">
        <v>5366</v>
      </c>
      <c r="P349" t="s">
        <v>2327</v>
      </c>
      <c r="Q349">
        <v>385</v>
      </c>
      <c r="R349" t="s">
        <v>2328</v>
      </c>
      <c r="S349" t="s">
        <v>2038</v>
      </c>
      <c r="T349">
        <v>202206</v>
      </c>
      <c r="U349" t="s">
        <v>184</v>
      </c>
      <c r="V349">
        <v>108638</v>
      </c>
    </row>
    <row r="350" spans="1:22">
      <c r="A350">
        <v>5366</v>
      </c>
      <c r="B350" t="s">
        <v>2327</v>
      </c>
      <c r="C350">
        <v>385</v>
      </c>
      <c r="D350" t="s">
        <v>2328</v>
      </c>
      <c r="E350" t="s">
        <v>2038</v>
      </c>
      <c r="F350">
        <v>202110</v>
      </c>
      <c r="G350" t="s">
        <v>180</v>
      </c>
      <c r="H350">
        <v>551.88</v>
      </c>
      <c r="O350">
        <v>5366</v>
      </c>
      <c r="P350" t="s">
        <v>2327</v>
      </c>
      <c r="Q350">
        <v>385</v>
      </c>
      <c r="R350" t="s">
        <v>2328</v>
      </c>
      <c r="S350" t="s">
        <v>2038</v>
      </c>
      <c r="T350">
        <v>202206</v>
      </c>
      <c r="U350" t="s">
        <v>186</v>
      </c>
      <c r="V350">
        <v>0</v>
      </c>
    </row>
    <row r="351" spans="1:22">
      <c r="A351">
        <v>5366</v>
      </c>
      <c r="B351" t="s">
        <v>2327</v>
      </c>
      <c r="C351">
        <v>385</v>
      </c>
      <c r="D351" t="s">
        <v>2328</v>
      </c>
      <c r="E351" t="s">
        <v>2038</v>
      </c>
      <c r="F351">
        <v>202110</v>
      </c>
      <c r="G351" t="s">
        <v>182</v>
      </c>
      <c r="H351">
        <v>191945</v>
      </c>
      <c r="O351">
        <v>5366</v>
      </c>
      <c r="P351" t="s">
        <v>2327</v>
      </c>
      <c r="Q351">
        <v>385</v>
      </c>
      <c r="R351" t="s">
        <v>2328</v>
      </c>
      <c r="S351" t="s">
        <v>2038</v>
      </c>
      <c r="T351">
        <v>202207</v>
      </c>
      <c r="U351" t="s">
        <v>190</v>
      </c>
      <c r="V351">
        <v>152522</v>
      </c>
    </row>
    <row r="352" spans="1:22">
      <c r="A352">
        <v>5366</v>
      </c>
      <c r="B352" t="s">
        <v>2327</v>
      </c>
      <c r="C352">
        <v>385</v>
      </c>
      <c r="D352" t="s">
        <v>2328</v>
      </c>
      <c r="E352" t="s">
        <v>2038</v>
      </c>
      <c r="F352">
        <v>202110</v>
      </c>
      <c r="G352" t="s">
        <v>184</v>
      </c>
      <c r="H352">
        <v>28310</v>
      </c>
      <c r="O352">
        <v>5366</v>
      </c>
      <c r="P352" t="s">
        <v>2327</v>
      </c>
      <c r="Q352">
        <v>385</v>
      </c>
      <c r="R352" t="s">
        <v>2328</v>
      </c>
      <c r="S352" t="s">
        <v>2038</v>
      </c>
      <c r="T352">
        <v>202207</v>
      </c>
      <c r="U352" t="s">
        <v>191</v>
      </c>
      <c r="V352">
        <v>28562</v>
      </c>
    </row>
    <row r="353" spans="1:22">
      <c r="A353">
        <v>5366</v>
      </c>
      <c r="B353" t="s">
        <v>2327</v>
      </c>
      <c r="C353">
        <v>385</v>
      </c>
      <c r="D353" t="s">
        <v>2328</v>
      </c>
      <c r="E353" t="s">
        <v>2038</v>
      </c>
      <c r="F353">
        <v>202110</v>
      </c>
      <c r="G353" t="s">
        <v>192</v>
      </c>
      <c r="H353">
        <v>0</v>
      </c>
      <c r="O353">
        <v>5366</v>
      </c>
      <c r="P353" t="s">
        <v>2327</v>
      </c>
      <c r="Q353">
        <v>385</v>
      </c>
      <c r="R353" t="s">
        <v>2328</v>
      </c>
      <c r="S353" t="s">
        <v>2038</v>
      </c>
      <c r="T353">
        <v>202207</v>
      </c>
      <c r="U353" t="s">
        <v>178</v>
      </c>
      <c r="V353">
        <v>546.84</v>
      </c>
    </row>
    <row r="354" spans="1:22">
      <c r="A354">
        <v>5366</v>
      </c>
      <c r="B354" t="s">
        <v>2327</v>
      </c>
      <c r="C354">
        <v>385</v>
      </c>
      <c r="D354" t="s">
        <v>2328</v>
      </c>
      <c r="E354" t="s">
        <v>2038</v>
      </c>
      <c r="F354">
        <v>202110</v>
      </c>
      <c r="G354" t="s">
        <v>2172</v>
      </c>
      <c r="H354">
        <v>1545.51</v>
      </c>
      <c r="O354">
        <v>5366</v>
      </c>
      <c r="P354" t="s">
        <v>2327</v>
      </c>
      <c r="Q354">
        <v>385</v>
      </c>
      <c r="R354" t="s">
        <v>2328</v>
      </c>
      <c r="S354" t="s">
        <v>2038</v>
      </c>
      <c r="T354">
        <v>202207</v>
      </c>
      <c r="U354" t="s">
        <v>180</v>
      </c>
      <c r="V354">
        <v>560.44000000000005</v>
      </c>
    </row>
    <row r="355" spans="1:22">
      <c r="A355">
        <v>5366</v>
      </c>
      <c r="B355" t="s">
        <v>2327</v>
      </c>
      <c r="C355">
        <v>385</v>
      </c>
      <c r="D355" t="s">
        <v>2328</v>
      </c>
      <c r="E355" t="s">
        <v>2038</v>
      </c>
      <c r="F355">
        <v>202110</v>
      </c>
      <c r="G355" t="s">
        <v>186</v>
      </c>
      <c r="H355">
        <v>37627</v>
      </c>
      <c r="O355">
        <v>5366</v>
      </c>
      <c r="P355" t="s">
        <v>2327</v>
      </c>
      <c r="Q355">
        <v>385</v>
      </c>
      <c r="R355" t="s">
        <v>2328</v>
      </c>
      <c r="S355" t="s">
        <v>2038</v>
      </c>
      <c r="T355">
        <v>202207</v>
      </c>
      <c r="U355" t="s">
        <v>182</v>
      </c>
      <c r="V355">
        <v>184337</v>
      </c>
    </row>
    <row r="356" spans="1:22">
      <c r="A356">
        <v>5366</v>
      </c>
      <c r="B356" t="s">
        <v>2327</v>
      </c>
      <c r="C356">
        <v>385</v>
      </c>
      <c r="D356" t="s">
        <v>2328</v>
      </c>
      <c r="E356" t="s">
        <v>2038</v>
      </c>
      <c r="F356">
        <v>202110</v>
      </c>
      <c r="G356" t="s">
        <v>2171</v>
      </c>
      <c r="H356">
        <v>253.34</v>
      </c>
      <c r="O356">
        <v>5366</v>
      </c>
      <c r="P356" t="s">
        <v>2327</v>
      </c>
      <c r="Q356">
        <v>385</v>
      </c>
      <c r="R356" t="s">
        <v>2328</v>
      </c>
      <c r="S356" t="s">
        <v>2038</v>
      </c>
      <c r="T356">
        <v>202207</v>
      </c>
      <c r="U356" t="s">
        <v>184</v>
      </c>
      <c r="V356">
        <v>28562</v>
      </c>
    </row>
    <row r="357" spans="1:22">
      <c r="A357">
        <v>5366</v>
      </c>
      <c r="B357" t="s">
        <v>2327</v>
      </c>
      <c r="C357">
        <v>385</v>
      </c>
      <c r="D357" t="s">
        <v>2328</v>
      </c>
      <c r="E357" t="s">
        <v>2038</v>
      </c>
      <c r="F357">
        <v>202110</v>
      </c>
      <c r="G357" t="s">
        <v>2168</v>
      </c>
      <c r="H357">
        <v>13.63</v>
      </c>
      <c r="O357">
        <v>5366</v>
      </c>
      <c r="P357" t="s">
        <v>2327</v>
      </c>
      <c r="Q357">
        <v>385</v>
      </c>
      <c r="R357" t="s">
        <v>2328</v>
      </c>
      <c r="S357" t="s">
        <v>2038</v>
      </c>
      <c r="T357">
        <v>202207</v>
      </c>
      <c r="U357" t="s">
        <v>186</v>
      </c>
      <c r="V357">
        <v>31815</v>
      </c>
    </row>
    <row r="358" spans="1:22">
      <c r="A358">
        <v>5366</v>
      </c>
      <c r="B358" t="s">
        <v>2327</v>
      </c>
      <c r="C358">
        <v>385</v>
      </c>
      <c r="D358" t="s">
        <v>2328</v>
      </c>
      <c r="E358" t="s">
        <v>2038</v>
      </c>
      <c r="F358">
        <v>202110</v>
      </c>
      <c r="G358" t="s">
        <v>2169</v>
      </c>
      <c r="H358">
        <v>19.41</v>
      </c>
      <c r="O358">
        <v>5366</v>
      </c>
      <c r="P358" t="s">
        <v>2327</v>
      </c>
      <c r="Q358">
        <v>385</v>
      </c>
      <c r="R358" t="s">
        <v>2328</v>
      </c>
      <c r="S358" t="s">
        <v>2038</v>
      </c>
      <c r="T358">
        <v>202207</v>
      </c>
      <c r="U358" t="s">
        <v>190</v>
      </c>
      <c r="V358">
        <v>55267</v>
      </c>
    </row>
    <row r="359" spans="1:22">
      <c r="A359">
        <v>5366</v>
      </c>
      <c r="B359" t="s">
        <v>2327</v>
      </c>
      <c r="C359">
        <v>385</v>
      </c>
      <c r="D359" t="s">
        <v>2328</v>
      </c>
      <c r="E359" t="s">
        <v>2038</v>
      </c>
      <c r="F359">
        <v>202110</v>
      </c>
      <c r="G359" t="s">
        <v>2170</v>
      </c>
      <c r="H359">
        <v>11.62</v>
      </c>
      <c r="O359">
        <v>5366</v>
      </c>
      <c r="P359" t="s">
        <v>2327</v>
      </c>
      <c r="Q359">
        <v>385</v>
      </c>
      <c r="R359" t="s">
        <v>2328</v>
      </c>
      <c r="S359" t="s">
        <v>2038</v>
      </c>
      <c r="T359">
        <v>202207</v>
      </c>
      <c r="U359" t="s">
        <v>191</v>
      </c>
      <c r="V359">
        <v>8040</v>
      </c>
    </row>
    <row r="360" spans="1:22">
      <c r="A360">
        <v>5366</v>
      </c>
      <c r="B360" t="s">
        <v>2327</v>
      </c>
      <c r="C360">
        <v>385</v>
      </c>
      <c r="D360" t="s">
        <v>2328</v>
      </c>
      <c r="E360" t="s">
        <v>2038</v>
      </c>
      <c r="F360">
        <v>202110</v>
      </c>
      <c r="G360" t="s">
        <v>2173</v>
      </c>
      <c r="H360">
        <v>68995.59</v>
      </c>
      <c r="O360">
        <v>5366</v>
      </c>
      <c r="P360" t="s">
        <v>2327</v>
      </c>
      <c r="Q360">
        <v>385</v>
      </c>
      <c r="R360" t="s">
        <v>2328</v>
      </c>
      <c r="S360" t="s">
        <v>2038</v>
      </c>
      <c r="T360">
        <v>202207</v>
      </c>
      <c r="U360" t="s">
        <v>178</v>
      </c>
      <c r="V360">
        <v>198.57</v>
      </c>
    </row>
    <row r="361" spans="1:22">
      <c r="A361">
        <v>5366</v>
      </c>
      <c r="B361" t="s">
        <v>2327</v>
      </c>
      <c r="C361">
        <v>385</v>
      </c>
      <c r="D361" t="s">
        <v>2328</v>
      </c>
      <c r="E361" t="s">
        <v>2038</v>
      </c>
      <c r="F361">
        <v>202110</v>
      </c>
      <c r="G361" t="s">
        <v>190</v>
      </c>
      <c r="H361">
        <v>360836</v>
      </c>
      <c r="O361">
        <v>5366</v>
      </c>
      <c r="P361" t="s">
        <v>2327</v>
      </c>
      <c r="Q361">
        <v>385</v>
      </c>
      <c r="R361" t="s">
        <v>2328</v>
      </c>
      <c r="S361" t="s">
        <v>2038</v>
      </c>
      <c r="T361">
        <v>202207</v>
      </c>
      <c r="U361" t="s">
        <v>180</v>
      </c>
      <c r="V361">
        <v>198.57</v>
      </c>
    </row>
    <row r="362" spans="1:22">
      <c r="A362">
        <v>5366</v>
      </c>
      <c r="B362" t="s">
        <v>2327</v>
      </c>
      <c r="C362">
        <v>385</v>
      </c>
      <c r="D362" t="s">
        <v>2328</v>
      </c>
      <c r="E362" t="s">
        <v>2038</v>
      </c>
      <c r="F362">
        <v>202110</v>
      </c>
      <c r="G362" t="s">
        <v>191</v>
      </c>
      <c r="H362">
        <v>35775</v>
      </c>
      <c r="O362">
        <v>5366</v>
      </c>
      <c r="P362" t="s">
        <v>2327</v>
      </c>
      <c r="Q362">
        <v>385</v>
      </c>
      <c r="R362" t="s">
        <v>2328</v>
      </c>
      <c r="S362" t="s">
        <v>2038</v>
      </c>
      <c r="T362">
        <v>202207</v>
      </c>
      <c r="U362" t="s">
        <v>182</v>
      </c>
      <c r="V362">
        <v>55267</v>
      </c>
    </row>
    <row r="363" spans="1:22">
      <c r="A363">
        <v>5366</v>
      </c>
      <c r="B363" t="s">
        <v>2327</v>
      </c>
      <c r="C363">
        <v>385</v>
      </c>
      <c r="D363" t="s">
        <v>2328</v>
      </c>
      <c r="E363" t="s">
        <v>2038</v>
      </c>
      <c r="F363">
        <v>202110</v>
      </c>
      <c r="G363" t="s">
        <v>176</v>
      </c>
      <c r="H363">
        <v>0</v>
      </c>
      <c r="O363">
        <v>5366</v>
      </c>
      <c r="P363" t="s">
        <v>2327</v>
      </c>
      <c r="Q363">
        <v>385</v>
      </c>
      <c r="R363" t="s">
        <v>2328</v>
      </c>
      <c r="S363" t="s">
        <v>2038</v>
      </c>
      <c r="T363">
        <v>202207</v>
      </c>
      <c r="U363" t="s">
        <v>184</v>
      </c>
      <c r="V363">
        <v>8040</v>
      </c>
    </row>
    <row r="364" spans="1:22">
      <c r="A364">
        <v>5366</v>
      </c>
      <c r="B364" t="s">
        <v>2327</v>
      </c>
      <c r="C364">
        <v>385</v>
      </c>
      <c r="D364" t="s">
        <v>2328</v>
      </c>
      <c r="E364" t="s">
        <v>2038</v>
      </c>
      <c r="F364">
        <v>202110</v>
      </c>
      <c r="G364" t="s">
        <v>178</v>
      </c>
      <c r="H364">
        <v>2355.36</v>
      </c>
      <c r="O364">
        <v>5366</v>
      </c>
      <c r="P364" t="s">
        <v>2327</v>
      </c>
      <c r="Q364">
        <v>385</v>
      </c>
      <c r="R364" t="s">
        <v>2328</v>
      </c>
      <c r="S364" t="s">
        <v>2038</v>
      </c>
      <c r="T364">
        <v>202207</v>
      </c>
      <c r="U364" t="s">
        <v>186</v>
      </c>
      <c r="V364">
        <v>0</v>
      </c>
    </row>
    <row r="365" spans="1:22">
      <c r="A365">
        <v>5366</v>
      </c>
      <c r="B365" t="s">
        <v>2327</v>
      </c>
      <c r="C365">
        <v>385</v>
      </c>
      <c r="D365" t="s">
        <v>2328</v>
      </c>
      <c r="E365" t="s">
        <v>2038</v>
      </c>
      <c r="F365">
        <v>202110</v>
      </c>
      <c r="G365" t="s">
        <v>180</v>
      </c>
      <c r="H365">
        <v>2194.08</v>
      </c>
      <c r="O365">
        <v>5366</v>
      </c>
      <c r="P365" t="s">
        <v>2327</v>
      </c>
      <c r="Q365">
        <v>385</v>
      </c>
      <c r="R365" t="s">
        <v>2328</v>
      </c>
      <c r="S365" t="s">
        <v>2038</v>
      </c>
      <c r="T365">
        <v>202207</v>
      </c>
      <c r="U365" t="s">
        <v>190</v>
      </c>
      <c r="V365">
        <v>130568</v>
      </c>
    </row>
    <row r="366" spans="1:22">
      <c r="A366">
        <v>5366</v>
      </c>
      <c r="B366" t="s">
        <v>2327</v>
      </c>
      <c r="C366">
        <v>385</v>
      </c>
      <c r="D366" t="s">
        <v>2328</v>
      </c>
      <c r="E366" t="s">
        <v>2038</v>
      </c>
      <c r="F366">
        <v>202110</v>
      </c>
      <c r="G366" t="s">
        <v>182</v>
      </c>
      <c r="H366">
        <v>1159305</v>
      </c>
      <c r="O366">
        <v>5366</v>
      </c>
      <c r="P366" t="s">
        <v>2327</v>
      </c>
      <c r="Q366">
        <v>385</v>
      </c>
      <c r="R366" t="s">
        <v>2328</v>
      </c>
      <c r="S366" t="s">
        <v>2038</v>
      </c>
      <c r="T366">
        <v>202207</v>
      </c>
      <c r="U366" t="s">
        <v>191</v>
      </c>
      <c r="V366">
        <v>16372</v>
      </c>
    </row>
    <row r="367" spans="1:22">
      <c r="A367">
        <v>5366</v>
      </c>
      <c r="B367" t="s">
        <v>2327</v>
      </c>
      <c r="C367">
        <v>385</v>
      </c>
      <c r="D367" t="s">
        <v>2328</v>
      </c>
      <c r="E367" t="s">
        <v>2038</v>
      </c>
      <c r="F367">
        <v>202110</v>
      </c>
      <c r="G367" t="s">
        <v>184</v>
      </c>
      <c r="H367">
        <v>117316</v>
      </c>
      <c r="O367">
        <v>5366</v>
      </c>
      <c r="P367" t="s">
        <v>2327</v>
      </c>
      <c r="Q367">
        <v>385</v>
      </c>
      <c r="R367" t="s">
        <v>2328</v>
      </c>
      <c r="S367" t="s">
        <v>2038</v>
      </c>
      <c r="T367">
        <v>202207</v>
      </c>
      <c r="U367" t="s">
        <v>178</v>
      </c>
      <c r="V367">
        <v>368.92</v>
      </c>
    </row>
    <row r="368" spans="1:22">
      <c r="A368">
        <v>5366</v>
      </c>
      <c r="B368" t="s">
        <v>2327</v>
      </c>
      <c r="C368">
        <v>385</v>
      </c>
      <c r="D368" t="s">
        <v>2328</v>
      </c>
      <c r="E368" t="s">
        <v>2038</v>
      </c>
      <c r="F368">
        <v>202110</v>
      </c>
      <c r="G368" t="s">
        <v>192</v>
      </c>
      <c r="H368">
        <v>0</v>
      </c>
      <c r="O368">
        <v>5366</v>
      </c>
      <c r="P368" t="s">
        <v>2327</v>
      </c>
      <c r="Q368">
        <v>385</v>
      </c>
      <c r="R368" t="s">
        <v>2328</v>
      </c>
      <c r="S368" t="s">
        <v>2038</v>
      </c>
      <c r="T368">
        <v>202207</v>
      </c>
      <c r="U368" t="s">
        <v>180</v>
      </c>
      <c r="V368">
        <v>353.13</v>
      </c>
    </row>
    <row r="369" spans="1:22">
      <c r="A369">
        <v>5366</v>
      </c>
      <c r="B369" t="s">
        <v>2327</v>
      </c>
      <c r="C369">
        <v>385</v>
      </c>
      <c r="D369" t="s">
        <v>2328</v>
      </c>
      <c r="E369" t="s">
        <v>2038</v>
      </c>
      <c r="F369">
        <v>202110</v>
      </c>
      <c r="G369" t="s">
        <v>2172</v>
      </c>
      <c r="H369">
        <v>4353.82</v>
      </c>
      <c r="O369">
        <v>5366</v>
      </c>
      <c r="P369" t="s">
        <v>2327</v>
      </c>
      <c r="Q369">
        <v>385</v>
      </c>
      <c r="R369" t="s">
        <v>2328</v>
      </c>
      <c r="S369" t="s">
        <v>2038</v>
      </c>
      <c r="T369">
        <v>202207</v>
      </c>
      <c r="U369" t="s">
        <v>182</v>
      </c>
      <c r="V369">
        <v>130568</v>
      </c>
    </row>
    <row r="370" spans="1:22">
      <c r="A370">
        <v>5366</v>
      </c>
      <c r="B370" t="s">
        <v>2327</v>
      </c>
      <c r="C370">
        <v>385</v>
      </c>
      <c r="D370" t="s">
        <v>2328</v>
      </c>
      <c r="E370" t="s">
        <v>2038</v>
      </c>
      <c r="F370">
        <v>202110</v>
      </c>
      <c r="G370" t="s">
        <v>186</v>
      </c>
      <c r="H370">
        <v>0</v>
      </c>
      <c r="O370">
        <v>5366</v>
      </c>
      <c r="P370" t="s">
        <v>2327</v>
      </c>
      <c r="Q370">
        <v>385</v>
      </c>
      <c r="R370" t="s">
        <v>2328</v>
      </c>
      <c r="S370" t="s">
        <v>2038</v>
      </c>
      <c r="T370">
        <v>202207</v>
      </c>
      <c r="U370" t="s">
        <v>184</v>
      </c>
      <c r="V370">
        <v>16372</v>
      </c>
    </row>
    <row r="371" spans="1:22">
      <c r="A371">
        <v>5366</v>
      </c>
      <c r="B371" t="s">
        <v>2327</v>
      </c>
      <c r="C371">
        <v>385</v>
      </c>
      <c r="D371" t="s">
        <v>2328</v>
      </c>
      <c r="E371" t="s">
        <v>2038</v>
      </c>
      <c r="F371">
        <v>202110</v>
      </c>
      <c r="G371" t="s">
        <v>2171</v>
      </c>
      <c r="H371">
        <v>253.33</v>
      </c>
      <c r="O371">
        <v>5366</v>
      </c>
      <c r="P371" t="s">
        <v>2327</v>
      </c>
      <c r="Q371">
        <v>385</v>
      </c>
      <c r="R371" t="s">
        <v>2328</v>
      </c>
      <c r="S371" t="s">
        <v>2038</v>
      </c>
      <c r="T371">
        <v>202207</v>
      </c>
      <c r="U371" t="s">
        <v>186</v>
      </c>
      <c r="V371">
        <v>0</v>
      </c>
    </row>
    <row r="372" spans="1:22">
      <c r="A372">
        <v>5366</v>
      </c>
      <c r="B372" t="s">
        <v>2327</v>
      </c>
      <c r="C372">
        <v>385</v>
      </c>
      <c r="D372" t="s">
        <v>2328</v>
      </c>
      <c r="E372" t="s">
        <v>2038</v>
      </c>
      <c r="F372">
        <v>202110</v>
      </c>
      <c r="G372" t="s">
        <v>2168</v>
      </c>
      <c r="H372">
        <v>13.63</v>
      </c>
      <c r="O372">
        <v>5366</v>
      </c>
      <c r="P372" t="s">
        <v>2327</v>
      </c>
      <c r="Q372">
        <v>385</v>
      </c>
      <c r="R372" t="s">
        <v>2328</v>
      </c>
      <c r="S372" t="s">
        <v>2038</v>
      </c>
      <c r="T372">
        <v>202207</v>
      </c>
      <c r="U372" t="s">
        <v>190</v>
      </c>
      <c r="V372">
        <v>262451</v>
      </c>
    </row>
    <row r="373" spans="1:22">
      <c r="A373">
        <v>5366</v>
      </c>
      <c r="B373" t="s">
        <v>2327</v>
      </c>
      <c r="C373">
        <v>385</v>
      </c>
      <c r="D373" t="s">
        <v>2328</v>
      </c>
      <c r="E373" t="s">
        <v>2038</v>
      </c>
      <c r="F373">
        <v>202110</v>
      </c>
      <c r="G373" t="s">
        <v>2169</v>
      </c>
      <c r="H373">
        <v>19.41</v>
      </c>
      <c r="O373">
        <v>5366</v>
      </c>
      <c r="P373" t="s">
        <v>2327</v>
      </c>
      <c r="Q373">
        <v>385</v>
      </c>
      <c r="R373" t="s">
        <v>2328</v>
      </c>
      <c r="S373" t="s">
        <v>2038</v>
      </c>
      <c r="T373">
        <v>202207</v>
      </c>
      <c r="U373" t="s">
        <v>191</v>
      </c>
      <c r="V373">
        <v>40179</v>
      </c>
    </row>
    <row r="374" spans="1:22">
      <c r="A374">
        <v>5366</v>
      </c>
      <c r="B374" t="s">
        <v>2327</v>
      </c>
      <c r="C374">
        <v>385</v>
      </c>
      <c r="D374" t="s">
        <v>2328</v>
      </c>
      <c r="E374" t="s">
        <v>2038</v>
      </c>
      <c r="F374">
        <v>202110</v>
      </c>
      <c r="G374" t="s">
        <v>2170</v>
      </c>
      <c r="H374">
        <v>11.62</v>
      </c>
      <c r="O374">
        <v>5366</v>
      </c>
      <c r="P374" t="s">
        <v>2327</v>
      </c>
      <c r="Q374">
        <v>385</v>
      </c>
      <c r="R374" t="s">
        <v>2328</v>
      </c>
      <c r="S374" t="s">
        <v>2038</v>
      </c>
      <c r="T374">
        <v>202207</v>
      </c>
      <c r="U374" t="s">
        <v>178</v>
      </c>
      <c r="V374">
        <v>838.32</v>
      </c>
    </row>
    <row r="375" spans="1:22">
      <c r="A375">
        <v>5366</v>
      </c>
      <c r="B375" t="s">
        <v>2327</v>
      </c>
      <c r="C375">
        <v>385</v>
      </c>
      <c r="D375" t="s">
        <v>2328</v>
      </c>
      <c r="E375" t="s">
        <v>2038</v>
      </c>
      <c r="F375">
        <v>202110</v>
      </c>
      <c r="G375" t="s">
        <v>2173</v>
      </c>
      <c r="H375">
        <v>194367.25</v>
      </c>
      <c r="O375">
        <v>5366</v>
      </c>
      <c r="P375" t="s">
        <v>2327</v>
      </c>
      <c r="Q375">
        <v>385</v>
      </c>
      <c r="R375" t="s">
        <v>2328</v>
      </c>
      <c r="S375" t="s">
        <v>2038</v>
      </c>
      <c r="T375">
        <v>202207</v>
      </c>
      <c r="U375" t="s">
        <v>180</v>
      </c>
      <c r="V375">
        <v>910.56</v>
      </c>
    </row>
    <row r="376" spans="1:22">
      <c r="A376">
        <v>5366</v>
      </c>
      <c r="B376" t="s">
        <v>2327</v>
      </c>
      <c r="C376">
        <v>385</v>
      </c>
      <c r="D376" t="s">
        <v>2328</v>
      </c>
      <c r="E376" t="s">
        <v>2038</v>
      </c>
      <c r="F376">
        <v>202111</v>
      </c>
      <c r="G376" t="s">
        <v>190</v>
      </c>
      <c r="H376">
        <v>159320</v>
      </c>
      <c r="O376">
        <v>5366</v>
      </c>
      <c r="P376" t="s">
        <v>2327</v>
      </c>
      <c r="Q376">
        <v>385</v>
      </c>
      <c r="R376" t="s">
        <v>2328</v>
      </c>
      <c r="S376" t="s">
        <v>2038</v>
      </c>
      <c r="T376">
        <v>202207</v>
      </c>
      <c r="U376" t="s">
        <v>182</v>
      </c>
      <c r="V376">
        <v>262451</v>
      </c>
    </row>
    <row r="377" spans="1:22">
      <c r="A377">
        <v>5366</v>
      </c>
      <c r="B377" t="s">
        <v>2327</v>
      </c>
      <c r="C377">
        <v>385</v>
      </c>
      <c r="D377" t="s">
        <v>2328</v>
      </c>
      <c r="E377" t="s">
        <v>2038</v>
      </c>
      <c r="F377">
        <v>202111</v>
      </c>
      <c r="G377" t="s">
        <v>191</v>
      </c>
      <c r="H377">
        <v>25713</v>
      </c>
      <c r="O377">
        <v>5366</v>
      </c>
      <c r="P377" t="s">
        <v>2327</v>
      </c>
      <c r="Q377">
        <v>385</v>
      </c>
      <c r="R377" t="s">
        <v>2328</v>
      </c>
      <c r="S377" t="s">
        <v>2038</v>
      </c>
      <c r="T377">
        <v>202207</v>
      </c>
      <c r="U377" t="s">
        <v>184</v>
      </c>
      <c r="V377">
        <v>40179</v>
      </c>
    </row>
    <row r="378" spans="1:22">
      <c r="A378">
        <v>5366</v>
      </c>
      <c r="B378" t="s">
        <v>2327</v>
      </c>
      <c r="C378">
        <v>385</v>
      </c>
      <c r="D378" t="s">
        <v>2328</v>
      </c>
      <c r="E378" t="s">
        <v>2038</v>
      </c>
      <c r="F378">
        <v>202111</v>
      </c>
      <c r="G378" t="s">
        <v>176</v>
      </c>
      <c r="H378">
        <v>0</v>
      </c>
      <c r="O378">
        <v>5366</v>
      </c>
      <c r="P378" t="s">
        <v>2327</v>
      </c>
      <c r="Q378">
        <v>385</v>
      </c>
      <c r="R378" t="s">
        <v>2328</v>
      </c>
      <c r="S378" t="s">
        <v>2038</v>
      </c>
      <c r="T378">
        <v>202207</v>
      </c>
      <c r="U378" t="s">
        <v>186</v>
      </c>
      <c r="V378">
        <v>0</v>
      </c>
    </row>
    <row r="379" spans="1:22">
      <c r="A379">
        <v>5366</v>
      </c>
      <c r="B379" t="s">
        <v>2327</v>
      </c>
      <c r="C379">
        <v>385</v>
      </c>
      <c r="D379" t="s">
        <v>2328</v>
      </c>
      <c r="E379" t="s">
        <v>2038</v>
      </c>
      <c r="F379">
        <v>202111</v>
      </c>
      <c r="G379" t="s">
        <v>178</v>
      </c>
      <c r="H379">
        <v>546.84</v>
      </c>
      <c r="O379">
        <v>5366</v>
      </c>
      <c r="P379" t="s">
        <v>2327</v>
      </c>
      <c r="Q379">
        <v>385</v>
      </c>
      <c r="R379" t="s">
        <v>2328</v>
      </c>
      <c r="S379" t="s">
        <v>2038</v>
      </c>
      <c r="T379">
        <v>202207</v>
      </c>
      <c r="U379" t="s">
        <v>190</v>
      </c>
      <c r="V379">
        <v>326162</v>
      </c>
    </row>
    <row r="380" spans="1:22">
      <c r="A380">
        <v>5366</v>
      </c>
      <c r="B380" t="s">
        <v>2327</v>
      </c>
      <c r="C380">
        <v>385</v>
      </c>
      <c r="D380" t="s">
        <v>2328</v>
      </c>
      <c r="E380" t="s">
        <v>2038</v>
      </c>
      <c r="F380">
        <v>202111</v>
      </c>
      <c r="G380" t="s">
        <v>180</v>
      </c>
      <c r="H380">
        <v>528.19000000000005</v>
      </c>
      <c r="O380">
        <v>5366</v>
      </c>
      <c r="P380" t="s">
        <v>2327</v>
      </c>
      <c r="Q380">
        <v>385</v>
      </c>
      <c r="R380" t="s">
        <v>2328</v>
      </c>
      <c r="S380" t="s">
        <v>2038</v>
      </c>
      <c r="T380">
        <v>202207</v>
      </c>
      <c r="U380" t="s">
        <v>191</v>
      </c>
      <c r="V380">
        <v>37124</v>
      </c>
    </row>
    <row r="381" spans="1:22">
      <c r="A381">
        <v>5366</v>
      </c>
      <c r="B381" t="s">
        <v>2327</v>
      </c>
      <c r="C381">
        <v>385</v>
      </c>
      <c r="D381" t="s">
        <v>2328</v>
      </c>
      <c r="E381" t="s">
        <v>2038</v>
      </c>
      <c r="F381">
        <v>202111</v>
      </c>
      <c r="G381" t="s">
        <v>182</v>
      </c>
      <c r="H381">
        <v>196886</v>
      </c>
      <c r="O381">
        <v>5366</v>
      </c>
      <c r="P381" t="s">
        <v>2327</v>
      </c>
      <c r="Q381">
        <v>385</v>
      </c>
      <c r="R381" t="s">
        <v>2328</v>
      </c>
      <c r="S381" t="s">
        <v>2038</v>
      </c>
      <c r="T381">
        <v>202207</v>
      </c>
      <c r="U381" t="s">
        <v>178</v>
      </c>
      <c r="V381">
        <v>2338.56</v>
      </c>
    </row>
    <row r="382" spans="1:22">
      <c r="A382">
        <v>5366</v>
      </c>
      <c r="B382" t="s">
        <v>2327</v>
      </c>
      <c r="C382">
        <v>385</v>
      </c>
      <c r="D382" t="s">
        <v>2328</v>
      </c>
      <c r="E382" t="s">
        <v>2038</v>
      </c>
      <c r="F382">
        <v>202111</v>
      </c>
      <c r="G382" t="s">
        <v>184</v>
      </c>
      <c r="H382">
        <v>25713</v>
      </c>
      <c r="O382">
        <v>5366</v>
      </c>
      <c r="P382" t="s">
        <v>2327</v>
      </c>
      <c r="Q382">
        <v>385</v>
      </c>
      <c r="R382" t="s">
        <v>2328</v>
      </c>
      <c r="S382" t="s">
        <v>2038</v>
      </c>
      <c r="T382">
        <v>202207</v>
      </c>
      <c r="U382" t="s">
        <v>180</v>
      </c>
      <c r="V382">
        <v>2153.7600000000002</v>
      </c>
    </row>
    <row r="383" spans="1:22">
      <c r="A383">
        <v>5366</v>
      </c>
      <c r="B383" t="s">
        <v>2327</v>
      </c>
      <c r="C383">
        <v>385</v>
      </c>
      <c r="D383" t="s">
        <v>2328</v>
      </c>
      <c r="E383" t="s">
        <v>2038</v>
      </c>
      <c r="F383">
        <v>202111</v>
      </c>
      <c r="G383" t="s">
        <v>192</v>
      </c>
      <c r="H383">
        <v>0</v>
      </c>
      <c r="O383">
        <v>5366</v>
      </c>
      <c r="P383" t="s">
        <v>2327</v>
      </c>
      <c r="Q383">
        <v>385</v>
      </c>
      <c r="R383" t="s">
        <v>2328</v>
      </c>
      <c r="S383" t="s">
        <v>2038</v>
      </c>
      <c r="T383">
        <v>202207</v>
      </c>
      <c r="U383" t="s">
        <v>182</v>
      </c>
      <c r="V383">
        <v>1108716</v>
      </c>
    </row>
    <row r="384" spans="1:22">
      <c r="A384">
        <v>5366</v>
      </c>
      <c r="B384" t="s">
        <v>2327</v>
      </c>
      <c r="C384">
        <v>385</v>
      </c>
      <c r="D384" t="s">
        <v>2328</v>
      </c>
      <c r="E384" t="s">
        <v>2038</v>
      </c>
      <c r="F384">
        <v>202111</v>
      </c>
      <c r="G384" t="s">
        <v>2172</v>
      </c>
      <c r="H384">
        <v>1775.74</v>
      </c>
      <c r="O384">
        <v>5366</v>
      </c>
      <c r="P384" t="s">
        <v>2327</v>
      </c>
      <c r="Q384">
        <v>385</v>
      </c>
      <c r="R384" t="s">
        <v>2328</v>
      </c>
      <c r="S384" t="s">
        <v>2038</v>
      </c>
      <c r="T384">
        <v>202207</v>
      </c>
      <c r="U384" t="s">
        <v>184</v>
      </c>
      <c r="V384">
        <v>119149</v>
      </c>
    </row>
    <row r="385" spans="1:22">
      <c r="A385">
        <v>5366</v>
      </c>
      <c r="B385" t="s">
        <v>2327</v>
      </c>
      <c r="C385">
        <v>385</v>
      </c>
      <c r="D385" t="s">
        <v>2328</v>
      </c>
      <c r="E385" t="s">
        <v>2038</v>
      </c>
      <c r="F385">
        <v>202111</v>
      </c>
      <c r="G385" t="s">
        <v>186</v>
      </c>
      <c r="H385">
        <v>37566</v>
      </c>
      <c r="O385">
        <v>5366</v>
      </c>
      <c r="P385" t="s">
        <v>2327</v>
      </c>
      <c r="Q385">
        <v>385</v>
      </c>
      <c r="R385" t="s">
        <v>2328</v>
      </c>
      <c r="S385" t="s">
        <v>2038</v>
      </c>
      <c r="T385">
        <v>202207</v>
      </c>
      <c r="U385" t="s">
        <v>186</v>
      </c>
      <c r="V385">
        <v>0</v>
      </c>
    </row>
    <row r="386" spans="1:22">
      <c r="A386">
        <v>5366</v>
      </c>
      <c r="B386" t="s">
        <v>2327</v>
      </c>
      <c r="C386">
        <v>385</v>
      </c>
      <c r="D386" t="s">
        <v>2328</v>
      </c>
      <c r="E386" t="s">
        <v>2038</v>
      </c>
      <c r="F386">
        <v>202111</v>
      </c>
      <c r="G386" t="s">
        <v>2171</v>
      </c>
      <c r="H386">
        <v>290.39</v>
      </c>
      <c r="O386">
        <v>5366</v>
      </c>
      <c r="P386" t="s">
        <v>2327</v>
      </c>
      <c r="Q386">
        <v>385</v>
      </c>
      <c r="R386" t="s">
        <v>2328</v>
      </c>
      <c r="S386" t="s">
        <v>2038</v>
      </c>
      <c r="T386">
        <v>202208</v>
      </c>
      <c r="U386" t="s">
        <v>190</v>
      </c>
      <c r="V386">
        <v>391934</v>
      </c>
    </row>
    <row r="387" spans="1:22">
      <c r="A387">
        <v>5366</v>
      </c>
      <c r="B387" t="s">
        <v>2327</v>
      </c>
      <c r="C387">
        <v>385</v>
      </c>
      <c r="D387" t="s">
        <v>2328</v>
      </c>
      <c r="E387" t="s">
        <v>2038</v>
      </c>
      <c r="F387">
        <v>202111</v>
      </c>
      <c r="G387" t="s">
        <v>2168</v>
      </c>
      <c r="H387">
        <v>12.63</v>
      </c>
      <c r="O387">
        <v>5366</v>
      </c>
      <c r="P387" t="s">
        <v>2327</v>
      </c>
      <c r="Q387">
        <v>385</v>
      </c>
      <c r="R387" t="s">
        <v>2328</v>
      </c>
      <c r="S387" t="s">
        <v>2038</v>
      </c>
      <c r="T387">
        <v>202208</v>
      </c>
      <c r="U387" t="s">
        <v>191</v>
      </c>
      <c r="V387">
        <v>29713</v>
      </c>
    </row>
    <row r="388" spans="1:22">
      <c r="A388">
        <v>5366</v>
      </c>
      <c r="B388" t="s">
        <v>2327</v>
      </c>
      <c r="C388">
        <v>385</v>
      </c>
      <c r="D388" t="s">
        <v>2328</v>
      </c>
      <c r="E388" t="s">
        <v>2038</v>
      </c>
      <c r="F388">
        <v>202111</v>
      </c>
      <c r="G388" t="s">
        <v>2169</v>
      </c>
      <c r="H388">
        <v>19.809999999999999</v>
      </c>
      <c r="O388">
        <v>5366</v>
      </c>
      <c r="P388" t="s">
        <v>2327</v>
      </c>
      <c r="Q388">
        <v>385</v>
      </c>
      <c r="R388" t="s">
        <v>2328</v>
      </c>
      <c r="S388" t="s">
        <v>2038</v>
      </c>
      <c r="T388">
        <v>202208</v>
      </c>
      <c r="U388" t="s">
        <v>178</v>
      </c>
      <c r="V388">
        <v>2142</v>
      </c>
    </row>
    <row r="389" spans="1:22">
      <c r="A389">
        <v>5366</v>
      </c>
      <c r="B389" t="s">
        <v>2327</v>
      </c>
      <c r="C389">
        <v>385</v>
      </c>
      <c r="D389" t="s">
        <v>2328</v>
      </c>
      <c r="E389" t="s">
        <v>2038</v>
      </c>
      <c r="F389">
        <v>202111</v>
      </c>
      <c r="G389" t="s">
        <v>2170</v>
      </c>
      <c r="H389">
        <v>14.98</v>
      </c>
      <c r="O389">
        <v>5366</v>
      </c>
      <c r="P389" t="s">
        <v>2327</v>
      </c>
      <c r="Q389">
        <v>385</v>
      </c>
      <c r="R389" t="s">
        <v>2328</v>
      </c>
      <c r="S389" t="s">
        <v>2038</v>
      </c>
      <c r="T389">
        <v>202208</v>
      </c>
      <c r="U389" t="s">
        <v>180</v>
      </c>
      <c r="V389">
        <v>2321.7600000000002</v>
      </c>
    </row>
    <row r="390" spans="1:22">
      <c r="A390">
        <v>5366</v>
      </c>
      <c r="B390" t="s">
        <v>2327</v>
      </c>
      <c r="C390">
        <v>385</v>
      </c>
      <c r="D390" t="s">
        <v>2328</v>
      </c>
      <c r="E390" t="s">
        <v>2038</v>
      </c>
      <c r="F390">
        <v>202111</v>
      </c>
      <c r="G390" t="s">
        <v>2173</v>
      </c>
      <c r="H390">
        <v>76212.009999999995</v>
      </c>
      <c r="O390">
        <v>5366</v>
      </c>
      <c r="P390" t="s">
        <v>2327</v>
      </c>
      <c r="Q390">
        <v>385</v>
      </c>
      <c r="R390" t="s">
        <v>2328</v>
      </c>
      <c r="S390" t="s">
        <v>2038</v>
      </c>
      <c r="T390">
        <v>202208</v>
      </c>
      <c r="U390" t="s">
        <v>182</v>
      </c>
      <c r="V390">
        <v>1289232</v>
      </c>
    </row>
    <row r="391" spans="1:22">
      <c r="A391">
        <v>5366</v>
      </c>
      <c r="B391" t="s">
        <v>2327</v>
      </c>
      <c r="C391">
        <v>385</v>
      </c>
      <c r="D391" t="s">
        <v>2328</v>
      </c>
      <c r="E391" t="s">
        <v>2038</v>
      </c>
      <c r="F391">
        <v>202111</v>
      </c>
      <c r="G391" t="s">
        <v>190</v>
      </c>
      <c r="H391">
        <v>276444</v>
      </c>
      <c r="O391">
        <v>5366</v>
      </c>
      <c r="P391" t="s">
        <v>2327</v>
      </c>
      <c r="Q391">
        <v>385</v>
      </c>
      <c r="R391" t="s">
        <v>2328</v>
      </c>
      <c r="S391" t="s">
        <v>2038</v>
      </c>
      <c r="T391">
        <v>202208</v>
      </c>
      <c r="U391" t="s">
        <v>184</v>
      </c>
      <c r="V391">
        <v>119279</v>
      </c>
    </row>
    <row r="392" spans="1:22">
      <c r="A392">
        <v>5366</v>
      </c>
      <c r="B392" t="s">
        <v>2327</v>
      </c>
      <c r="C392">
        <v>385</v>
      </c>
      <c r="D392" t="s">
        <v>2328</v>
      </c>
      <c r="E392" t="s">
        <v>2038</v>
      </c>
      <c r="F392">
        <v>202111</v>
      </c>
      <c r="G392" t="s">
        <v>191</v>
      </c>
      <c r="H392">
        <v>41798</v>
      </c>
      <c r="O392">
        <v>5366</v>
      </c>
      <c r="P392" t="s">
        <v>2327</v>
      </c>
      <c r="Q392">
        <v>385</v>
      </c>
      <c r="R392" t="s">
        <v>2328</v>
      </c>
      <c r="S392" t="s">
        <v>2038</v>
      </c>
      <c r="T392">
        <v>202208</v>
      </c>
      <c r="U392" t="s">
        <v>186</v>
      </c>
      <c r="V392">
        <v>0</v>
      </c>
    </row>
    <row r="393" spans="1:22">
      <c r="A393">
        <v>5366</v>
      </c>
      <c r="B393" t="s">
        <v>2327</v>
      </c>
      <c r="C393">
        <v>385</v>
      </c>
      <c r="D393" t="s">
        <v>2328</v>
      </c>
      <c r="E393" t="s">
        <v>2038</v>
      </c>
      <c r="F393">
        <v>202111</v>
      </c>
      <c r="G393" t="s">
        <v>176</v>
      </c>
      <c r="H393">
        <v>0</v>
      </c>
      <c r="O393">
        <v>5366</v>
      </c>
      <c r="P393" t="s">
        <v>2327</v>
      </c>
      <c r="Q393">
        <v>385</v>
      </c>
      <c r="R393" t="s">
        <v>2328</v>
      </c>
      <c r="S393" t="s">
        <v>2038</v>
      </c>
      <c r="T393">
        <v>202208</v>
      </c>
      <c r="U393" t="s">
        <v>190</v>
      </c>
      <c r="V393">
        <v>163728</v>
      </c>
    </row>
    <row r="394" spans="1:22">
      <c r="A394">
        <v>5366</v>
      </c>
      <c r="B394" t="s">
        <v>2327</v>
      </c>
      <c r="C394">
        <v>385</v>
      </c>
      <c r="D394" t="s">
        <v>2328</v>
      </c>
      <c r="E394" t="s">
        <v>2038</v>
      </c>
      <c r="F394">
        <v>202111</v>
      </c>
      <c r="G394" t="s">
        <v>178</v>
      </c>
      <c r="H394">
        <v>786.24</v>
      </c>
      <c r="O394">
        <v>5366</v>
      </c>
      <c r="P394" t="s">
        <v>2327</v>
      </c>
      <c r="Q394">
        <v>385</v>
      </c>
      <c r="R394" t="s">
        <v>2328</v>
      </c>
      <c r="S394" t="s">
        <v>2038</v>
      </c>
      <c r="T394">
        <v>202208</v>
      </c>
      <c r="U394" t="s">
        <v>191</v>
      </c>
      <c r="V394">
        <v>29980</v>
      </c>
    </row>
    <row r="395" spans="1:22">
      <c r="A395">
        <v>5366</v>
      </c>
      <c r="B395" t="s">
        <v>2327</v>
      </c>
      <c r="C395">
        <v>385</v>
      </c>
      <c r="D395" t="s">
        <v>2328</v>
      </c>
      <c r="E395" t="s">
        <v>2038</v>
      </c>
      <c r="F395">
        <v>202111</v>
      </c>
      <c r="G395" t="s">
        <v>180</v>
      </c>
      <c r="H395">
        <v>815.64</v>
      </c>
      <c r="O395">
        <v>5366</v>
      </c>
      <c r="P395" t="s">
        <v>2327</v>
      </c>
      <c r="Q395">
        <v>385</v>
      </c>
      <c r="R395" t="s">
        <v>2328</v>
      </c>
      <c r="S395" t="s">
        <v>2038</v>
      </c>
      <c r="T395">
        <v>202208</v>
      </c>
      <c r="U395" t="s">
        <v>178</v>
      </c>
      <c r="V395">
        <v>605.29999999999995</v>
      </c>
    </row>
    <row r="396" spans="1:22">
      <c r="A396">
        <v>5366</v>
      </c>
      <c r="B396" t="s">
        <v>2327</v>
      </c>
      <c r="C396">
        <v>385</v>
      </c>
      <c r="D396" t="s">
        <v>2328</v>
      </c>
      <c r="E396" t="s">
        <v>2038</v>
      </c>
      <c r="F396">
        <v>202111</v>
      </c>
      <c r="G396" t="s">
        <v>182</v>
      </c>
      <c r="H396">
        <v>276444</v>
      </c>
      <c r="O396">
        <v>5366</v>
      </c>
      <c r="P396" t="s">
        <v>2327</v>
      </c>
      <c r="Q396">
        <v>385</v>
      </c>
      <c r="R396" t="s">
        <v>2328</v>
      </c>
      <c r="S396" t="s">
        <v>2038</v>
      </c>
      <c r="T396">
        <v>202208</v>
      </c>
      <c r="U396" t="s">
        <v>180</v>
      </c>
      <c r="V396">
        <v>583.12</v>
      </c>
    </row>
    <row r="397" spans="1:22">
      <c r="A397">
        <v>5366</v>
      </c>
      <c r="B397" t="s">
        <v>2327</v>
      </c>
      <c r="C397">
        <v>385</v>
      </c>
      <c r="D397" t="s">
        <v>2328</v>
      </c>
      <c r="E397" t="s">
        <v>2038</v>
      </c>
      <c r="F397">
        <v>202111</v>
      </c>
      <c r="G397" t="s">
        <v>184</v>
      </c>
      <c r="H397">
        <v>41798</v>
      </c>
      <c r="O397">
        <v>5366</v>
      </c>
      <c r="P397" t="s">
        <v>2327</v>
      </c>
      <c r="Q397">
        <v>385</v>
      </c>
      <c r="R397" t="s">
        <v>2328</v>
      </c>
      <c r="S397" t="s">
        <v>2038</v>
      </c>
      <c r="T397">
        <v>202208</v>
      </c>
      <c r="U397" t="s">
        <v>182</v>
      </c>
      <c r="V397">
        <v>197777</v>
      </c>
    </row>
    <row r="398" spans="1:22">
      <c r="A398">
        <v>5366</v>
      </c>
      <c r="B398" t="s">
        <v>2327</v>
      </c>
      <c r="C398">
        <v>385</v>
      </c>
      <c r="D398" t="s">
        <v>2328</v>
      </c>
      <c r="E398" t="s">
        <v>2038</v>
      </c>
      <c r="F398">
        <v>202111</v>
      </c>
      <c r="G398" t="s">
        <v>192</v>
      </c>
      <c r="H398">
        <v>0</v>
      </c>
      <c r="O398">
        <v>5366</v>
      </c>
      <c r="P398" t="s">
        <v>2327</v>
      </c>
      <c r="Q398">
        <v>385</v>
      </c>
      <c r="R398" t="s">
        <v>2328</v>
      </c>
      <c r="S398" t="s">
        <v>2038</v>
      </c>
      <c r="T398">
        <v>202208</v>
      </c>
      <c r="U398" t="s">
        <v>184</v>
      </c>
      <c r="V398">
        <v>29980</v>
      </c>
    </row>
    <row r="399" spans="1:22">
      <c r="A399">
        <v>5366</v>
      </c>
      <c r="B399" t="s">
        <v>2327</v>
      </c>
      <c r="C399">
        <v>385</v>
      </c>
      <c r="D399" t="s">
        <v>2328</v>
      </c>
      <c r="E399" t="s">
        <v>2038</v>
      </c>
      <c r="F399">
        <v>202111</v>
      </c>
      <c r="G399" t="s">
        <v>2172</v>
      </c>
      <c r="H399">
        <v>2940.68</v>
      </c>
      <c r="O399">
        <v>5366</v>
      </c>
      <c r="P399" t="s">
        <v>2327</v>
      </c>
      <c r="Q399">
        <v>385</v>
      </c>
      <c r="R399" t="s">
        <v>2328</v>
      </c>
      <c r="S399" t="s">
        <v>2038</v>
      </c>
      <c r="T399">
        <v>202208</v>
      </c>
      <c r="U399" t="s">
        <v>186</v>
      </c>
      <c r="V399">
        <v>34049</v>
      </c>
    </row>
    <row r="400" spans="1:22">
      <c r="A400">
        <v>5366</v>
      </c>
      <c r="B400" t="s">
        <v>2327</v>
      </c>
      <c r="C400">
        <v>385</v>
      </c>
      <c r="D400" t="s">
        <v>2328</v>
      </c>
      <c r="E400" t="s">
        <v>2038</v>
      </c>
      <c r="F400">
        <v>202111</v>
      </c>
      <c r="G400" t="s">
        <v>186</v>
      </c>
      <c r="H400">
        <v>0</v>
      </c>
      <c r="O400">
        <v>5366</v>
      </c>
      <c r="P400" t="s">
        <v>2327</v>
      </c>
      <c r="Q400">
        <v>385</v>
      </c>
      <c r="R400" t="s">
        <v>2328</v>
      </c>
      <c r="S400" t="s">
        <v>2038</v>
      </c>
      <c r="T400">
        <v>202208</v>
      </c>
      <c r="U400" t="s">
        <v>190</v>
      </c>
      <c r="V400">
        <v>128757</v>
      </c>
    </row>
    <row r="401" spans="1:22">
      <c r="A401">
        <v>5366</v>
      </c>
      <c r="B401" t="s">
        <v>2327</v>
      </c>
      <c r="C401">
        <v>385</v>
      </c>
      <c r="D401" t="s">
        <v>2328</v>
      </c>
      <c r="E401" t="s">
        <v>2038</v>
      </c>
      <c r="F401">
        <v>202111</v>
      </c>
      <c r="G401" t="s">
        <v>2171</v>
      </c>
      <c r="H401">
        <v>290.39</v>
      </c>
      <c r="O401">
        <v>5366</v>
      </c>
      <c r="P401" t="s">
        <v>2327</v>
      </c>
      <c r="Q401">
        <v>385</v>
      </c>
      <c r="R401" t="s">
        <v>2328</v>
      </c>
      <c r="S401" t="s">
        <v>2038</v>
      </c>
      <c r="T401">
        <v>202208</v>
      </c>
      <c r="U401" t="s">
        <v>191</v>
      </c>
      <c r="V401">
        <v>15880</v>
      </c>
    </row>
    <row r="402" spans="1:22">
      <c r="A402">
        <v>5366</v>
      </c>
      <c r="B402" t="s">
        <v>2327</v>
      </c>
      <c r="C402">
        <v>385</v>
      </c>
      <c r="D402" t="s">
        <v>2328</v>
      </c>
      <c r="E402" t="s">
        <v>2038</v>
      </c>
      <c r="F402">
        <v>202111</v>
      </c>
      <c r="G402" t="s">
        <v>2168</v>
      </c>
      <c r="H402">
        <v>12.63</v>
      </c>
      <c r="O402">
        <v>5366</v>
      </c>
      <c r="P402" t="s">
        <v>2327</v>
      </c>
      <c r="Q402">
        <v>385</v>
      </c>
      <c r="R402" t="s">
        <v>2328</v>
      </c>
      <c r="S402" t="s">
        <v>2038</v>
      </c>
      <c r="T402">
        <v>202208</v>
      </c>
      <c r="U402" t="s">
        <v>178</v>
      </c>
      <c r="V402">
        <v>330.28</v>
      </c>
    </row>
    <row r="403" spans="1:22">
      <c r="A403">
        <v>5366</v>
      </c>
      <c r="B403" t="s">
        <v>2327</v>
      </c>
      <c r="C403">
        <v>385</v>
      </c>
      <c r="D403" t="s">
        <v>2328</v>
      </c>
      <c r="E403" t="s">
        <v>2038</v>
      </c>
      <c r="F403">
        <v>202111</v>
      </c>
      <c r="G403" t="s">
        <v>2169</v>
      </c>
      <c r="H403">
        <v>19.809999999999999</v>
      </c>
      <c r="O403">
        <v>5366</v>
      </c>
      <c r="P403" t="s">
        <v>2327</v>
      </c>
      <c r="Q403">
        <v>385</v>
      </c>
      <c r="R403" t="s">
        <v>2328</v>
      </c>
      <c r="S403" t="s">
        <v>2038</v>
      </c>
      <c r="T403">
        <v>202208</v>
      </c>
      <c r="U403" t="s">
        <v>180</v>
      </c>
      <c r="V403">
        <v>334.65</v>
      </c>
    </row>
    <row r="404" spans="1:22">
      <c r="A404">
        <v>5366</v>
      </c>
      <c r="B404" t="s">
        <v>2327</v>
      </c>
      <c r="C404">
        <v>385</v>
      </c>
      <c r="D404" t="s">
        <v>2328</v>
      </c>
      <c r="E404" t="s">
        <v>2038</v>
      </c>
      <c r="F404">
        <v>202111</v>
      </c>
      <c r="G404" t="s">
        <v>2170</v>
      </c>
      <c r="H404">
        <v>14.98</v>
      </c>
      <c r="O404">
        <v>5366</v>
      </c>
      <c r="P404" t="s">
        <v>2327</v>
      </c>
      <c r="Q404">
        <v>385</v>
      </c>
      <c r="R404" t="s">
        <v>2328</v>
      </c>
      <c r="S404" t="s">
        <v>2038</v>
      </c>
      <c r="T404">
        <v>202208</v>
      </c>
      <c r="U404" t="s">
        <v>182</v>
      </c>
      <c r="V404">
        <v>128757</v>
      </c>
    </row>
    <row r="405" spans="1:22">
      <c r="A405">
        <v>5366</v>
      </c>
      <c r="B405" t="s">
        <v>2327</v>
      </c>
      <c r="C405">
        <v>385</v>
      </c>
      <c r="D405" t="s">
        <v>2328</v>
      </c>
      <c r="E405" t="s">
        <v>2038</v>
      </c>
      <c r="F405">
        <v>202111</v>
      </c>
      <c r="G405" t="s">
        <v>2173</v>
      </c>
      <c r="H405">
        <v>126210.26</v>
      </c>
      <c r="O405">
        <v>5366</v>
      </c>
      <c r="P405" t="s">
        <v>2327</v>
      </c>
      <c r="Q405">
        <v>385</v>
      </c>
      <c r="R405" t="s">
        <v>2328</v>
      </c>
      <c r="S405" t="s">
        <v>2038</v>
      </c>
      <c r="T405">
        <v>202208</v>
      </c>
      <c r="U405" t="s">
        <v>184</v>
      </c>
      <c r="V405">
        <v>15880</v>
      </c>
    </row>
    <row r="406" spans="1:22">
      <c r="A406">
        <v>5366</v>
      </c>
      <c r="B406" t="s">
        <v>2327</v>
      </c>
      <c r="C406">
        <v>385</v>
      </c>
      <c r="D406" t="s">
        <v>2328</v>
      </c>
      <c r="E406" t="s">
        <v>2038</v>
      </c>
      <c r="F406">
        <v>202111</v>
      </c>
      <c r="G406" t="s">
        <v>190</v>
      </c>
      <c r="H406">
        <v>59509</v>
      </c>
      <c r="O406">
        <v>5366</v>
      </c>
      <c r="P406" t="s">
        <v>2327</v>
      </c>
      <c r="Q406">
        <v>385</v>
      </c>
      <c r="R406" t="s">
        <v>2328</v>
      </c>
      <c r="S406" t="s">
        <v>2038</v>
      </c>
      <c r="T406">
        <v>202208</v>
      </c>
      <c r="U406" t="s">
        <v>186</v>
      </c>
      <c r="V406">
        <v>0</v>
      </c>
    </row>
    <row r="407" spans="1:22">
      <c r="A407">
        <v>5366</v>
      </c>
      <c r="B407" t="s">
        <v>2327</v>
      </c>
      <c r="C407">
        <v>385</v>
      </c>
      <c r="D407" t="s">
        <v>2328</v>
      </c>
      <c r="E407" t="s">
        <v>2038</v>
      </c>
      <c r="F407">
        <v>202111</v>
      </c>
      <c r="G407" t="s">
        <v>191</v>
      </c>
      <c r="H407">
        <v>8818</v>
      </c>
      <c r="O407">
        <v>5366</v>
      </c>
      <c r="P407" t="s">
        <v>2327</v>
      </c>
      <c r="Q407">
        <v>385</v>
      </c>
      <c r="R407" t="s">
        <v>2328</v>
      </c>
      <c r="S407" t="s">
        <v>2038</v>
      </c>
      <c r="T407">
        <v>202208</v>
      </c>
      <c r="U407" t="s">
        <v>190</v>
      </c>
      <c r="V407">
        <v>280602</v>
      </c>
    </row>
    <row r="408" spans="1:22">
      <c r="A408">
        <v>5366</v>
      </c>
      <c r="B408" t="s">
        <v>2327</v>
      </c>
      <c r="C408">
        <v>385</v>
      </c>
      <c r="D408" t="s">
        <v>2328</v>
      </c>
      <c r="E408" t="s">
        <v>2038</v>
      </c>
      <c r="F408">
        <v>202111</v>
      </c>
      <c r="G408" t="s">
        <v>176</v>
      </c>
      <c r="H408">
        <v>0</v>
      </c>
      <c r="O408">
        <v>5366</v>
      </c>
      <c r="P408" t="s">
        <v>2327</v>
      </c>
      <c r="Q408">
        <v>385</v>
      </c>
      <c r="R408" t="s">
        <v>2328</v>
      </c>
      <c r="S408" t="s">
        <v>2038</v>
      </c>
      <c r="T408">
        <v>202208</v>
      </c>
      <c r="U408" t="s">
        <v>191</v>
      </c>
      <c r="V408">
        <v>45807</v>
      </c>
    </row>
    <row r="409" spans="1:22">
      <c r="A409">
        <v>5366</v>
      </c>
      <c r="B409" t="s">
        <v>2327</v>
      </c>
      <c r="C409">
        <v>385</v>
      </c>
      <c r="D409" t="s">
        <v>2328</v>
      </c>
      <c r="E409" t="s">
        <v>2038</v>
      </c>
      <c r="F409">
        <v>202111</v>
      </c>
      <c r="G409" t="s">
        <v>178</v>
      </c>
      <c r="H409">
        <v>297.36</v>
      </c>
      <c r="O409">
        <v>5366</v>
      </c>
      <c r="P409" t="s">
        <v>2327</v>
      </c>
      <c r="Q409">
        <v>385</v>
      </c>
      <c r="R409" t="s">
        <v>2328</v>
      </c>
      <c r="S409" t="s">
        <v>2038</v>
      </c>
      <c r="T409">
        <v>202208</v>
      </c>
      <c r="U409" t="s">
        <v>178</v>
      </c>
      <c r="V409">
        <v>848.4</v>
      </c>
    </row>
    <row r="410" spans="1:22">
      <c r="A410">
        <v>5366</v>
      </c>
      <c r="B410" t="s">
        <v>2327</v>
      </c>
      <c r="C410">
        <v>385</v>
      </c>
      <c r="D410" t="s">
        <v>2328</v>
      </c>
      <c r="E410" t="s">
        <v>2038</v>
      </c>
      <c r="F410">
        <v>202111</v>
      </c>
      <c r="G410" t="s">
        <v>180</v>
      </c>
      <c r="H410">
        <v>202.1</v>
      </c>
      <c r="O410">
        <v>5366</v>
      </c>
      <c r="P410" t="s">
        <v>2327</v>
      </c>
      <c r="Q410">
        <v>385</v>
      </c>
      <c r="R410" t="s">
        <v>2328</v>
      </c>
      <c r="S410" t="s">
        <v>2038</v>
      </c>
      <c r="T410">
        <v>202208</v>
      </c>
      <c r="U410" t="s">
        <v>180</v>
      </c>
      <c r="V410">
        <v>895.44</v>
      </c>
    </row>
    <row r="411" spans="1:22">
      <c r="A411">
        <v>5366</v>
      </c>
      <c r="B411" t="s">
        <v>2327</v>
      </c>
      <c r="C411">
        <v>385</v>
      </c>
      <c r="D411" t="s">
        <v>2328</v>
      </c>
      <c r="E411" t="s">
        <v>2038</v>
      </c>
      <c r="F411">
        <v>202111</v>
      </c>
      <c r="G411" t="s">
        <v>182</v>
      </c>
      <c r="H411">
        <v>59509</v>
      </c>
      <c r="O411">
        <v>5366</v>
      </c>
      <c r="P411" t="s">
        <v>2327</v>
      </c>
      <c r="Q411">
        <v>385</v>
      </c>
      <c r="R411" t="s">
        <v>2328</v>
      </c>
      <c r="S411" t="s">
        <v>2038</v>
      </c>
      <c r="T411">
        <v>202208</v>
      </c>
      <c r="U411" t="s">
        <v>182</v>
      </c>
      <c r="V411">
        <v>280602</v>
      </c>
    </row>
    <row r="412" spans="1:22">
      <c r="A412">
        <v>5366</v>
      </c>
      <c r="B412" t="s">
        <v>2327</v>
      </c>
      <c r="C412">
        <v>385</v>
      </c>
      <c r="D412" t="s">
        <v>2328</v>
      </c>
      <c r="E412" t="s">
        <v>2038</v>
      </c>
      <c r="F412">
        <v>202111</v>
      </c>
      <c r="G412" t="s">
        <v>184</v>
      </c>
      <c r="H412">
        <v>8818</v>
      </c>
      <c r="O412">
        <v>5366</v>
      </c>
      <c r="P412" t="s">
        <v>2327</v>
      </c>
      <c r="Q412">
        <v>385</v>
      </c>
      <c r="R412" t="s">
        <v>2328</v>
      </c>
      <c r="S412" t="s">
        <v>2038</v>
      </c>
      <c r="T412">
        <v>202208</v>
      </c>
      <c r="U412" t="s">
        <v>184</v>
      </c>
      <c r="V412">
        <v>45807</v>
      </c>
    </row>
    <row r="413" spans="1:22">
      <c r="A413">
        <v>5366</v>
      </c>
      <c r="B413" t="s">
        <v>2327</v>
      </c>
      <c r="C413">
        <v>385</v>
      </c>
      <c r="D413" t="s">
        <v>2328</v>
      </c>
      <c r="E413" t="s">
        <v>2038</v>
      </c>
      <c r="F413">
        <v>202111</v>
      </c>
      <c r="G413" t="s">
        <v>192</v>
      </c>
      <c r="H413">
        <v>0</v>
      </c>
      <c r="O413">
        <v>5366</v>
      </c>
      <c r="P413" t="s">
        <v>2327</v>
      </c>
      <c r="Q413">
        <v>385</v>
      </c>
      <c r="R413" t="s">
        <v>2328</v>
      </c>
      <c r="S413" t="s">
        <v>2038</v>
      </c>
      <c r="T413">
        <v>202208</v>
      </c>
      <c r="U413" t="s">
        <v>186</v>
      </c>
      <c r="V413">
        <v>0</v>
      </c>
    </row>
    <row r="414" spans="1:22">
      <c r="A414">
        <v>5366</v>
      </c>
      <c r="B414" t="s">
        <v>2327</v>
      </c>
      <c r="C414">
        <v>385</v>
      </c>
      <c r="D414" t="s">
        <v>2328</v>
      </c>
      <c r="E414" t="s">
        <v>2038</v>
      </c>
      <c r="F414">
        <v>202111</v>
      </c>
      <c r="G414" t="s">
        <v>2172</v>
      </c>
      <c r="H414">
        <v>719.31</v>
      </c>
      <c r="O414">
        <v>5366</v>
      </c>
      <c r="P414" t="s">
        <v>2327</v>
      </c>
      <c r="Q414">
        <v>385</v>
      </c>
      <c r="R414" t="s">
        <v>2328</v>
      </c>
      <c r="S414" t="s">
        <v>2038</v>
      </c>
      <c r="T414">
        <v>202208</v>
      </c>
      <c r="U414" t="s">
        <v>190</v>
      </c>
      <c r="V414">
        <v>65352</v>
      </c>
    </row>
    <row r="415" spans="1:22">
      <c r="A415">
        <v>5366</v>
      </c>
      <c r="B415" t="s">
        <v>2327</v>
      </c>
      <c r="C415">
        <v>385</v>
      </c>
      <c r="D415" t="s">
        <v>2328</v>
      </c>
      <c r="E415" t="s">
        <v>2038</v>
      </c>
      <c r="F415">
        <v>202111</v>
      </c>
      <c r="G415" t="s">
        <v>186</v>
      </c>
      <c r="H415">
        <v>0</v>
      </c>
      <c r="O415">
        <v>5366</v>
      </c>
      <c r="P415" t="s">
        <v>2327</v>
      </c>
      <c r="Q415">
        <v>385</v>
      </c>
      <c r="R415" t="s">
        <v>2328</v>
      </c>
      <c r="S415" t="s">
        <v>2038</v>
      </c>
      <c r="T415">
        <v>202208</v>
      </c>
      <c r="U415" t="s">
        <v>191</v>
      </c>
      <c r="V415">
        <v>5567</v>
      </c>
    </row>
    <row r="416" spans="1:22">
      <c r="A416">
        <v>5366</v>
      </c>
      <c r="B416" t="s">
        <v>2327</v>
      </c>
      <c r="C416">
        <v>385</v>
      </c>
      <c r="D416" t="s">
        <v>2328</v>
      </c>
      <c r="E416" t="s">
        <v>2038</v>
      </c>
      <c r="F416">
        <v>202111</v>
      </c>
      <c r="G416" t="s">
        <v>2171</v>
      </c>
      <c r="H416">
        <v>290.39</v>
      </c>
      <c r="O416">
        <v>5366</v>
      </c>
      <c r="P416" t="s">
        <v>2327</v>
      </c>
      <c r="Q416">
        <v>385</v>
      </c>
      <c r="R416" t="s">
        <v>2328</v>
      </c>
      <c r="S416" t="s">
        <v>2038</v>
      </c>
      <c r="T416">
        <v>202208</v>
      </c>
      <c r="U416" t="s">
        <v>178</v>
      </c>
      <c r="V416">
        <v>304.92</v>
      </c>
    </row>
    <row r="417" spans="1:22">
      <c r="A417">
        <v>5366</v>
      </c>
      <c r="B417" t="s">
        <v>2327</v>
      </c>
      <c r="C417">
        <v>385</v>
      </c>
      <c r="D417" t="s">
        <v>2328</v>
      </c>
      <c r="E417" t="s">
        <v>2038</v>
      </c>
      <c r="F417">
        <v>202111</v>
      </c>
      <c r="G417" t="s">
        <v>2168</v>
      </c>
      <c r="H417">
        <v>12.63</v>
      </c>
      <c r="O417">
        <v>5366</v>
      </c>
      <c r="P417" t="s">
        <v>2327</v>
      </c>
      <c r="Q417">
        <v>385</v>
      </c>
      <c r="R417" t="s">
        <v>2328</v>
      </c>
      <c r="S417" t="s">
        <v>2038</v>
      </c>
      <c r="T417">
        <v>202208</v>
      </c>
      <c r="U417" t="s">
        <v>180</v>
      </c>
      <c r="V417">
        <v>207.64</v>
      </c>
    </row>
    <row r="418" spans="1:22">
      <c r="A418">
        <v>5366</v>
      </c>
      <c r="B418" t="s">
        <v>2327</v>
      </c>
      <c r="C418">
        <v>385</v>
      </c>
      <c r="D418" t="s">
        <v>2328</v>
      </c>
      <c r="E418" t="s">
        <v>2038</v>
      </c>
      <c r="F418">
        <v>202111</v>
      </c>
      <c r="G418" t="s">
        <v>2169</v>
      </c>
      <c r="H418">
        <v>19.809999999999999</v>
      </c>
      <c r="O418">
        <v>5366</v>
      </c>
      <c r="P418" t="s">
        <v>2327</v>
      </c>
      <c r="Q418">
        <v>385</v>
      </c>
      <c r="R418" t="s">
        <v>2328</v>
      </c>
      <c r="S418" t="s">
        <v>2038</v>
      </c>
      <c r="T418">
        <v>202208</v>
      </c>
      <c r="U418" t="s">
        <v>182</v>
      </c>
      <c r="V418">
        <v>65352</v>
      </c>
    </row>
    <row r="419" spans="1:22">
      <c r="A419">
        <v>5366</v>
      </c>
      <c r="B419" t="s">
        <v>2327</v>
      </c>
      <c r="C419">
        <v>385</v>
      </c>
      <c r="D419" t="s">
        <v>2328</v>
      </c>
      <c r="E419" t="s">
        <v>2038</v>
      </c>
      <c r="F419">
        <v>202111</v>
      </c>
      <c r="G419" t="s">
        <v>2170</v>
      </c>
      <c r="H419">
        <v>14.98</v>
      </c>
      <c r="O419">
        <v>5366</v>
      </c>
      <c r="P419" t="s">
        <v>2327</v>
      </c>
      <c r="Q419">
        <v>385</v>
      </c>
      <c r="R419" t="s">
        <v>2328</v>
      </c>
      <c r="S419" t="s">
        <v>2038</v>
      </c>
      <c r="T419">
        <v>202208</v>
      </c>
      <c r="U419" t="s">
        <v>184</v>
      </c>
      <c r="V419">
        <v>5567</v>
      </c>
    </row>
    <row r="420" spans="1:22">
      <c r="A420">
        <v>5366</v>
      </c>
      <c r="B420" t="s">
        <v>2327</v>
      </c>
      <c r="C420">
        <v>385</v>
      </c>
      <c r="D420" t="s">
        <v>2328</v>
      </c>
      <c r="E420" t="s">
        <v>2038</v>
      </c>
      <c r="F420">
        <v>202111</v>
      </c>
      <c r="G420" t="s">
        <v>2173</v>
      </c>
      <c r="H420">
        <v>30872.080000000002</v>
      </c>
      <c r="O420">
        <v>5366</v>
      </c>
      <c r="P420" t="s">
        <v>2327</v>
      </c>
      <c r="Q420">
        <v>385</v>
      </c>
      <c r="R420" t="s">
        <v>2328</v>
      </c>
      <c r="S420" t="s">
        <v>2038</v>
      </c>
      <c r="T420">
        <v>202208</v>
      </c>
      <c r="U420" t="s">
        <v>186</v>
      </c>
      <c r="V420">
        <v>0</v>
      </c>
    </row>
    <row r="421" spans="1:22">
      <c r="A421">
        <v>5366</v>
      </c>
      <c r="B421" t="s">
        <v>2327</v>
      </c>
      <c r="C421">
        <v>385</v>
      </c>
      <c r="D421" t="s">
        <v>2328</v>
      </c>
      <c r="E421" t="s">
        <v>2038</v>
      </c>
      <c r="F421">
        <v>202111</v>
      </c>
      <c r="G421" t="s">
        <v>190</v>
      </c>
      <c r="H421">
        <v>142877</v>
      </c>
    </row>
    <row r="422" spans="1:22">
      <c r="A422">
        <v>5366</v>
      </c>
      <c r="B422" t="s">
        <v>2327</v>
      </c>
      <c r="C422">
        <v>385</v>
      </c>
      <c r="D422" t="s">
        <v>2328</v>
      </c>
      <c r="E422" t="s">
        <v>2038</v>
      </c>
      <c r="F422">
        <v>202111</v>
      </c>
      <c r="G422" t="s">
        <v>191</v>
      </c>
      <c r="H422">
        <v>15413</v>
      </c>
    </row>
    <row r="423" spans="1:22">
      <c r="A423">
        <v>5366</v>
      </c>
      <c r="B423" t="s">
        <v>2327</v>
      </c>
      <c r="C423">
        <v>385</v>
      </c>
      <c r="D423" t="s">
        <v>2328</v>
      </c>
      <c r="E423" t="s">
        <v>2038</v>
      </c>
      <c r="F423">
        <v>202111</v>
      </c>
      <c r="G423" t="s">
        <v>176</v>
      </c>
      <c r="H423">
        <v>0</v>
      </c>
    </row>
    <row r="424" spans="1:22">
      <c r="A424">
        <v>5366</v>
      </c>
      <c r="B424" t="s">
        <v>2327</v>
      </c>
      <c r="C424">
        <v>385</v>
      </c>
      <c r="D424" t="s">
        <v>2328</v>
      </c>
      <c r="E424" t="s">
        <v>2038</v>
      </c>
      <c r="F424">
        <v>202111</v>
      </c>
      <c r="G424" t="s">
        <v>178</v>
      </c>
      <c r="H424">
        <v>327.60000000000002</v>
      </c>
    </row>
    <row r="425" spans="1:22">
      <c r="A425">
        <v>5366</v>
      </c>
      <c r="B425" t="s">
        <v>2327</v>
      </c>
      <c r="C425">
        <v>385</v>
      </c>
      <c r="D425" t="s">
        <v>2328</v>
      </c>
      <c r="E425" t="s">
        <v>2038</v>
      </c>
      <c r="F425">
        <v>202111</v>
      </c>
      <c r="G425" t="s">
        <v>180</v>
      </c>
      <c r="H425">
        <v>318.19</v>
      </c>
    </row>
    <row r="426" spans="1:22">
      <c r="A426">
        <v>5366</v>
      </c>
      <c r="B426" t="s">
        <v>2327</v>
      </c>
      <c r="C426">
        <v>385</v>
      </c>
      <c r="D426" t="s">
        <v>2328</v>
      </c>
      <c r="E426" t="s">
        <v>2038</v>
      </c>
      <c r="F426">
        <v>202111</v>
      </c>
      <c r="G426" t="s">
        <v>182</v>
      </c>
      <c r="H426">
        <v>142877</v>
      </c>
    </row>
    <row r="427" spans="1:22">
      <c r="A427">
        <v>5366</v>
      </c>
      <c r="B427" t="s">
        <v>2327</v>
      </c>
      <c r="C427">
        <v>385</v>
      </c>
      <c r="D427" t="s">
        <v>2328</v>
      </c>
      <c r="E427" t="s">
        <v>2038</v>
      </c>
      <c r="F427">
        <v>202111</v>
      </c>
      <c r="G427" t="s">
        <v>184</v>
      </c>
      <c r="H427">
        <v>15413</v>
      </c>
    </row>
    <row r="428" spans="1:22">
      <c r="A428">
        <v>5366</v>
      </c>
      <c r="B428" t="s">
        <v>2327</v>
      </c>
      <c r="C428">
        <v>385</v>
      </c>
      <c r="D428" t="s">
        <v>2328</v>
      </c>
      <c r="E428" t="s">
        <v>2038</v>
      </c>
      <c r="F428">
        <v>202111</v>
      </c>
      <c r="G428" t="s">
        <v>192</v>
      </c>
      <c r="H428">
        <v>0</v>
      </c>
    </row>
    <row r="429" spans="1:22">
      <c r="A429">
        <v>5366</v>
      </c>
      <c r="B429" t="s">
        <v>2327</v>
      </c>
      <c r="C429">
        <v>385</v>
      </c>
      <c r="D429" t="s">
        <v>2328</v>
      </c>
      <c r="E429" t="s">
        <v>2038</v>
      </c>
      <c r="F429">
        <v>202111</v>
      </c>
      <c r="G429" t="s">
        <v>2172</v>
      </c>
      <c r="H429">
        <v>1402.49</v>
      </c>
    </row>
    <row r="430" spans="1:22">
      <c r="A430">
        <v>5366</v>
      </c>
      <c r="B430" t="s">
        <v>2327</v>
      </c>
      <c r="C430">
        <v>385</v>
      </c>
      <c r="D430" t="s">
        <v>2328</v>
      </c>
      <c r="E430" t="s">
        <v>2038</v>
      </c>
      <c r="F430">
        <v>202111</v>
      </c>
      <c r="G430" t="s">
        <v>186</v>
      </c>
      <c r="H430">
        <v>0</v>
      </c>
    </row>
    <row r="431" spans="1:22">
      <c r="A431">
        <v>5366</v>
      </c>
      <c r="B431" t="s">
        <v>2327</v>
      </c>
      <c r="C431">
        <v>385</v>
      </c>
      <c r="D431" t="s">
        <v>2328</v>
      </c>
      <c r="E431" t="s">
        <v>2038</v>
      </c>
      <c r="F431">
        <v>202111</v>
      </c>
      <c r="G431" t="s">
        <v>2171</v>
      </c>
      <c r="H431">
        <v>290.39</v>
      </c>
    </row>
    <row r="432" spans="1:22">
      <c r="A432">
        <v>5366</v>
      </c>
      <c r="B432" t="s">
        <v>2327</v>
      </c>
      <c r="C432">
        <v>385</v>
      </c>
      <c r="D432" t="s">
        <v>2328</v>
      </c>
      <c r="E432" t="s">
        <v>2038</v>
      </c>
      <c r="F432">
        <v>202111</v>
      </c>
      <c r="G432" t="s">
        <v>2168</v>
      </c>
      <c r="H432">
        <v>12.63</v>
      </c>
    </row>
    <row r="433" spans="1:8">
      <c r="A433">
        <v>5366</v>
      </c>
      <c r="B433" t="s">
        <v>2327</v>
      </c>
      <c r="C433">
        <v>385</v>
      </c>
      <c r="D433" t="s">
        <v>2328</v>
      </c>
      <c r="E433" t="s">
        <v>2038</v>
      </c>
      <c r="F433">
        <v>202111</v>
      </c>
      <c r="G433" t="s">
        <v>2169</v>
      </c>
      <c r="H433">
        <v>19.809999999999999</v>
      </c>
    </row>
    <row r="434" spans="1:8">
      <c r="A434">
        <v>5366</v>
      </c>
      <c r="B434" t="s">
        <v>2327</v>
      </c>
      <c r="C434">
        <v>385</v>
      </c>
      <c r="D434" t="s">
        <v>2328</v>
      </c>
      <c r="E434" t="s">
        <v>2038</v>
      </c>
      <c r="F434">
        <v>202111</v>
      </c>
      <c r="G434" t="s">
        <v>2170</v>
      </c>
      <c r="H434">
        <v>14.98</v>
      </c>
    </row>
    <row r="435" spans="1:8">
      <c r="A435">
        <v>5366</v>
      </c>
      <c r="B435" t="s">
        <v>2327</v>
      </c>
      <c r="C435">
        <v>385</v>
      </c>
      <c r="D435" t="s">
        <v>2328</v>
      </c>
      <c r="E435" t="s">
        <v>2038</v>
      </c>
      <c r="F435">
        <v>202111</v>
      </c>
      <c r="G435" t="s">
        <v>2173</v>
      </c>
      <c r="H435">
        <v>60193.13</v>
      </c>
    </row>
    <row r="436" spans="1:8">
      <c r="A436">
        <v>5366</v>
      </c>
      <c r="B436" t="s">
        <v>2327</v>
      </c>
      <c r="C436">
        <v>385</v>
      </c>
      <c r="D436" t="s">
        <v>2328</v>
      </c>
      <c r="E436" t="s">
        <v>2038</v>
      </c>
      <c r="F436">
        <v>202111</v>
      </c>
      <c r="G436" t="s">
        <v>190</v>
      </c>
      <c r="H436">
        <v>364305</v>
      </c>
    </row>
    <row r="437" spans="1:8">
      <c r="A437">
        <v>5366</v>
      </c>
      <c r="B437" t="s">
        <v>2327</v>
      </c>
      <c r="C437">
        <v>385</v>
      </c>
      <c r="D437" t="s">
        <v>2328</v>
      </c>
      <c r="E437" t="s">
        <v>2038</v>
      </c>
      <c r="F437">
        <v>202111</v>
      </c>
      <c r="G437" t="s">
        <v>191</v>
      </c>
      <c r="H437">
        <v>42043</v>
      </c>
    </row>
    <row r="438" spans="1:8">
      <c r="A438">
        <v>5366</v>
      </c>
      <c r="B438" t="s">
        <v>2327</v>
      </c>
      <c r="C438">
        <v>385</v>
      </c>
      <c r="D438" t="s">
        <v>2328</v>
      </c>
      <c r="E438" t="s">
        <v>2038</v>
      </c>
      <c r="F438">
        <v>202111</v>
      </c>
      <c r="G438" t="s">
        <v>176</v>
      </c>
      <c r="H438">
        <v>0</v>
      </c>
    </row>
    <row r="439" spans="1:8">
      <c r="A439">
        <v>5366</v>
      </c>
      <c r="B439" t="s">
        <v>2327</v>
      </c>
      <c r="C439">
        <v>385</v>
      </c>
      <c r="D439" t="s">
        <v>2328</v>
      </c>
      <c r="E439" t="s">
        <v>2038</v>
      </c>
      <c r="F439">
        <v>202111</v>
      </c>
      <c r="G439" t="s">
        <v>178</v>
      </c>
      <c r="H439">
        <v>2331.56</v>
      </c>
    </row>
    <row r="440" spans="1:8">
      <c r="A440">
        <v>5366</v>
      </c>
      <c r="B440" t="s">
        <v>2327</v>
      </c>
      <c r="C440">
        <v>385</v>
      </c>
      <c r="D440" t="s">
        <v>2328</v>
      </c>
      <c r="E440" t="s">
        <v>2038</v>
      </c>
      <c r="F440">
        <v>202111</v>
      </c>
      <c r="G440" t="s">
        <v>180</v>
      </c>
      <c r="H440">
        <v>2143.6799999999998</v>
      </c>
    </row>
    <row r="441" spans="1:8">
      <c r="A441">
        <v>5366</v>
      </c>
      <c r="B441" t="s">
        <v>2327</v>
      </c>
      <c r="C441">
        <v>385</v>
      </c>
      <c r="D441" t="s">
        <v>2328</v>
      </c>
      <c r="E441" t="s">
        <v>2038</v>
      </c>
      <c r="F441">
        <v>202111</v>
      </c>
      <c r="G441" t="s">
        <v>182</v>
      </c>
      <c r="H441">
        <v>1123248</v>
      </c>
    </row>
    <row r="442" spans="1:8">
      <c r="A442">
        <v>5366</v>
      </c>
      <c r="B442" t="s">
        <v>2327</v>
      </c>
      <c r="C442">
        <v>385</v>
      </c>
      <c r="D442" t="s">
        <v>2328</v>
      </c>
      <c r="E442" t="s">
        <v>2038</v>
      </c>
      <c r="F442">
        <v>202111</v>
      </c>
      <c r="G442" t="s">
        <v>184</v>
      </c>
      <c r="H442">
        <v>110474</v>
      </c>
    </row>
    <row r="443" spans="1:8">
      <c r="A443">
        <v>5366</v>
      </c>
      <c r="B443" t="s">
        <v>2327</v>
      </c>
      <c r="C443">
        <v>385</v>
      </c>
      <c r="D443" t="s">
        <v>2328</v>
      </c>
      <c r="E443" t="s">
        <v>2038</v>
      </c>
      <c r="F443">
        <v>202111</v>
      </c>
      <c r="G443" t="s">
        <v>192</v>
      </c>
      <c r="H443">
        <v>0</v>
      </c>
    </row>
    <row r="444" spans="1:8">
      <c r="A444">
        <v>5366</v>
      </c>
      <c r="B444" t="s">
        <v>2327</v>
      </c>
      <c r="C444">
        <v>385</v>
      </c>
      <c r="D444" t="s">
        <v>2328</v>
      </c>
      <c r="E444" t="s">
        <v>2038</v>
      </c>
      <c r="F444">
        <v>202111</v>
      </c>
      <c r="G444" t="s">
        <v>2172</v>
      </c>
      <c r="H444">
        <v>4971.43</v>
      </c>
    </row>
    <row r="445" spans="1:8">
      <c r="A445">
        <v>5366</v>
      </c>
      <c r="B445" t="s">
        <v>2327</v>
      </c>
      <c r="C445">
        <v>385</v>
      </c>
      <c r="D445" t="s">
        <v>2328</v>
      </c>
      <c r="E445" t="s">
        <v>2038</v>
      </c>
      <c r="F445">
        <v>202111</v>
      </c>
      <c r="G445" t="s">
        <v>186</v>
      </c>
      <c r="H445">
        <v>0</v>
      </c>
    </row>
    <row r="446" spans="1:8">
      <c r="A446">
        <v>5366</v>
      </c>
      <c r="B446" t="s">
        <v>2327</v>
      </c>
      <c r="C446">
        <v>385</v>
      </c>
      <c r="D446" t="s">
        <v>2328</v>
      </c>
      <c r="E446" t="s">
        <v>2038</v>
      </c>
      <c r="F446">
        <v>202111</v>
      </c>
      <c r="G446" t="s">
        <v>2171</v>
      </c>
      <c r="H446">
        <v>290.39</v>
      </c>
    </row>
    <row r="447" spans="1:8">
      <c r="A447">
        <v>5366</v>
      </c>
      <c r="B447" t="s">
        <v>2327</v>
      </c>
      <c r="C447">
        <v>385</v>
      </c>
      <c r="D447" t="s">
        <v>2328</v>
      </c>
      <c r="E447" t="s">
        <v>2038</v>
      </c>
      <c r="F447">
        <v>202111</v>
      </c>
      <c r="G447" t="s">
        <v>2168</v>
      </c>
      <c r="H447">
        <v>12.63</v>
      </c>
    </row>
    <row r="448" spans="1:8">
      <c r="A448">
        <v>5366</v>
      </c>
      <c r="B448" t="s">
        <v>2327</v>
      </c>
      <c r="C448">
        <v>385</v>
      </c>
      <c r="D448" t="s">
        <v>2328</v>
      </c>
      <c r="E448" t="s">
        <v>2038</v>
      </c>
      <c r="F448">
        <v>202111</v>
      </c>
      <c r="G448" t="s">
        <v>2169</v>
      </c>
      <c r="H448">
        <v>19.809999999999999</v>
      </c>
    </row>
    <row r="449" spans="1:8">
      <c r="A449">
        <v>5366</v>
      </c>
      <c r="B449" t="s">
        <v>2327</v>
      </c>
      <c r="C449">
        <v>385</v>
      </c>
      <c r="D449" t="s">
        <v>2328</v>
      </c>
      <c r="E449" t="s">
        <v>2038</v>
      </c>
      <c r="F449">
        <v>202111</v>
      </c>
      <c r="G449" t="s">
        <v>2170</v>
      </c>
      <c r="H449">
        <v>14.98</v>
      </c>
    </row>
    <row r="450" spans="1:8">
      <c r="A450">
        <v>5366</v>
      </c>
      <c r="B450" t="s">
        <v>2327</v>
      </c>
      <c r="C450">
        <v>385</v>
      </c>
      <c r="D450" t="s">
        <v>2328</v>
      </c>
      <c r="E450" t="s">
        <v>2038</v>
      </c>
      <c r="F450">
        <v>202111</v>
      </c>
      <c r="G450" t="s">
        <v>2173</v>
      </c>
      <c r="H450">
        <v>213365.86</v>
      </c>
    </row>
    <row r="451" spans="1:8">
      <c r="A451">
        <v>5366</v>
      </c>
      <c r="B451" t="s">
        <v>2327</v>
      </c>
      <c r="C451">
        <v>385</v>
      </c>
      <c r="D451" t="s">
        <v>2328</v>
      </c>
      <c r="E451" t="s">
        <v>2038</v>
      </c>
      <c r="F451">
        <v>202112</v>
      </c>
      <c r="G451" t="s">
        <v>190</v>
      </c>
      <c r="H451">
        <v>164388</v>
      </c>
    </row>
    <row r="452" spans="1:8">
      <c r="A452">
        <v>5366</v>
      </c>
      <c r="B452" t="s">
        <v>2327</v>
      </c>
      <c r="C452">
        <v>385</v>
      </c>
      <c r="D452" t="s">
        <v>2328</v>
      </c>
      <c r="E452" t="s">
        <v>2038</v>
      </c>
      <c r="F452">
        <v>202112</v>
      </c>
      <c r="G452" t="s">
        <v>191</v>
      </c>
      <c r="H452">
        <v>26148</v>
      </c>
    </row>
    <row r="453" spans="1:8">
      <c r="A453">
        <v>5366</v>
      </c>
      <c r="B453" t="s">
        <v>2327</v>
      </c>
      <c r="C453">
        <v>385</v>
      </c>
      <c r="D453" t="s">
        <v>2328</v>
      </c>
      <c r="E453" t="s">
        <v>2038</v>
      </c>
      <c r="F453">
        <v>202112</v>
      </c>
      <c r="G453" t="s">
        <v>176</v>
      </c>
      <c r="H453">
        <v>-250.72</v>
      </c>
    </row>
    <row r="454" spans="1:8">
      <c r="A454">
        <v>5366</v>
      </c>
      <c r="B454" t="s">
        <v>2327</v>
      </c>
      <c r="C454">
        <v>385</v>
      </c>
      <c r="D454" t="s">
        <v>2328</v>
      </c>
      <c r="E454" t="s">
        <v>2038</v>
      </c>
      <c r="F454">
        <v>202112</v>
      </c>
      <c r="G454" t="s">
        <v>178</v>
      </c>
      <c r="H454">
        <v>570.52</v>
      </c>
    </row>
    <row r="455" spans="1:8">
      <c r="A455">
        <v>5366</v>
      </c>
      <c r="B455" t="s">
        <v>2327</v>
      </c>
      <c r="C455">
        <v>385</v>
      </c>
      <c r="D455" t="s">
        <v>2328</v>
      </c>
      <c r="E455" t="s">
        <v>2038</v>
      </c>
      <c r="F455">
        <v>202112</v>
      </c>
      <c r="G455" t="s">
        <v>180</v>
      </c>
      <c r="H455">
        <v>554.4</v>
      </c>
    </row>
    <row r="456" spans="1:8">
      <c r="A456">
        <v>5366</v>
      </c>
      <c r="B456" t="s">
        <v>2327</v>
      </c>
      <c r="C456">
        <v>385</v>
      </c>
      <c r="D456" t="s">
        <v>2328</v>
      </c>
      <c r="E456" t="s">
        <v>2038</v>
      </c>
      <c r="F456">
        <v>202112</v>
      </c>
      <c r="G456" t="s">
        <v>182</v>
      </c>
      <c r="H456">
        <v>198643</v>
      </c>
    </row>
    <row r="457" spans="1:8">
      <c r="A457">
        <v>5366</v>
      </c>
      <c r="B457" t="s">
        <v>2327</v>
      </c>
      <c r="C457">
        <v>385</v>
      </c>
      <c r="D457" t="s">
        <v>2328</v>
      </c>
      <c r="E457" t="s">
        <v>2038</v>
      </c>
      <c r="F457">
        <v>202112</v>
      </c>
      <c r="G457" t="s">
        <v>184</v>
      </c>
      <c r="H457">
        <v>26148</v>
      </c>
    </row>
    <row r="458" spans="1:8">
      <c r="A458">
        <v>5366</v>
      </c>
      <c r="B458" t="s">
        <v>2327</v>
      </c>
      <c r="C458">
        <v>385</v>
      </c>
      <c r="D458" t="s">
        <v>2328</v>
      </c>
      <c r="E458" t="s">
        <v>2038</v>
      </c>
      <c r="F458">
        <v>202112</v>
      </c>
      <c r="G458" t="s">
        <v>192</v>
      </c>
      <c r="H458">
        <v>0</v>
      </c>
    </row>
    <row r="459" spans="1:8">
      <c r="A459">
        <v>5366</v>
      </c>
      <c r="B459" t="s">
        <v>2327</v>
      </c>
      <c r="C459">
        <v>385</v>
      </c>
      <c r="D459" t="s">
        <v>2328</v>
      </c>
      <c r="E459" t="s">
        <v>2038</v>
      </c>
      <c r="F459">
        <v>202112</v>
      </c>
      <c r="G459" t="s">
        <v>2172</v>
      </c>
      <c r="H459">
        <v>3328.89</v>
      </c>
    </row>
    <row r="460" spans="1:8">
      <c r="A460">
        <v>5366</v>
      </c>
      <c r="B460" t="s">
        <v>2327</v>
      </c>
      <c r="C460">
        <v>385</v>
      </c>
      <c r="D460" t="s">
        <v>2328</v>
      </c>
      <c r="E460" t="s">
        <v>2038</v>
      </c>
      <c r="F460">
        <v>202112</v>
      </c>
      <c r="G460" t="s">
        <v>186</v>
      </c>
      <c r="H460">
        <v>34255</v>
      </c>
    </row>
    <row r="461" spans="1:8">
      <c r="A461">
        <v>5366</v>
      </c>
      <c r="B461" t="s">
        <v>2327</v>
      </c>
      <c r="C461">
        <v>385</v>
      </c>
      <c r="D461" t="s">
        <v>2328</v>
      </c>
      <c r="E461" t="s">
        <v>2038</v>
      </c>
      <c r="F461">
        <v>202112</v>
      </c>
      <c r="G461" t="s">
        <v>2171</v>
      </c>
      <c r="H461">
        <v>290.39</v>
      </c>
    </row>
    <row r="462" spans="1:8">
      <c r="A462">
        <v>5366</v>
      </c>
      <c r="B462" t="s">
        <v>2327</v>
      </c>
      <c r="C462">
        <v>385</v>
      </c>
      <c r="D462" t="s">
        <v>2328</v>
      </c>
      <c r="E462" t="s">
        <v>2038</v>
      </c>
      <c r="F462">
        <v>202112</v>
      </c>
      <c r="G462" t="s">
        <v>2168</v>
      </c>
      <c r="H462">
        <v>12.63</v>
      </c>
    </row>
    <row r="463" spans="1:8">
      <c r="A463">
        <v>5366</v>
      </c>
      <c r="B463" t="s">
        <v>2327</v>
      </c>
      <c r="C463">
        <v>385</v>
      </c>
      <c r="D463" t="s">
        <v>2328</v>
      </c>
      <c r="E463" t="s">
        <v>2038</v>
      </c>
      <c r="F463">
        <v>202112</v>
      </c>
      <c r="G463" t="s">
        <v>2169</v>
      </c>
      <c r="H463">
        <v>19.809999999999999</v>
      </c>
    </row>
    <row r="464" spans="1:8">
      <c r="A464">
        <v>5366</v>
      </c>
      <c r="B464" t="s">
        <v>2327</v>
      </c>
      <c r="C464">
        <v>385</v>
      </c>
      <c r="D464" t="s">
        <v>2328</v>
      </c>
      <c r="E464" t="s">
        <v>2038</v>
      </c>
      <c r="F464">
        <v>202112</v>
      </c>
      <c r="G464" t="s">
        <v>2170</v>
      </c>
      <c r="H464">
        <v>14.98</v>
      </c>
    </row>
    <row r="465" spans="1:8">
      <c r="A465">
        <v>5366</v>
      </c>
      <c r="B465" t="s">
        <v>2327</v>
      </c>
      <c r="C465">
        <v>385</v>
      </c>
      <c r="D465" t="s">
        <v>2328</v>
      </c>
      <c r="E465" t="s">
        <v>2038</v>
      </c>
      <c r="F465">
        <v>202112</v>
      </c>
      <c r="G465" t="s">
        <v>2173</v>
      </c>
      <c r="H465">
        <v>79963.59</v>
      </c>
    </row>
    <row r="466" spans="1:8">
      <c r="A466">
        <v>5366</v>
      </c>
      <c r="B466" t="s">
        <v>2327</v>
      </c>
      <c r="C466">
        <v>385</v>
      </c>
      <c r="D466" t="s">
        <v>2328</v>
      </c>
      <c r="E466" t="s">
        <v>2038</v>
      </c>
      <c r="F466">
        <v>202112</v>
      </c>
      <c r="G466" t="s">
        <v>190</v>
      </c>
      <c r="H466">
        <v>144706</v>
      </c>
    </row>
    <row r="467" spans="1:8">
      <c r="A467">
        <v>5366</v>
      </c>
      <c r="B467" t="s">
        <v>2327</v>
      </c>
      <c r="C467">
        <v>385</v>
      </c>
      <c r="D467" t="s">
        <v>2328</v>
      </c>
      <c r="E467" t="s">
        <v>2038</v>
      </c>
      <c r="F467">
        <v>202112</v>
      </c>
      <c r="G467" t="s">
        <v>191</v>
      </c>
      <c r="H467">
        <v>16141</v>
      </c>
    </row>
    <row r="468" spans="1:8">
      <c r="A468">
        <v>5366</v>
      </c>
      <c r="B468" t="s">
        <v>2327</v>
      </c>
      <c r="C468">
        <v>385</v>
      </c>
      <c r="D468" t="s">
        <v>2328</v>
      </c>
      <c r="E468" t="s">
        <v>2038</v>
      </c>
      <c r="F468">
        <v>202112</v>
      </c>
      <c r="G468" t="s">
        <v>176</v>
      </c>
      <c r="H468">
        <v>0</v>
      </c>
    </row>
    <row r="469" spans="1:8">
      <c r="A469">
        <v>5366</v>
      </c>
      <c r="B469" t="s">
        <v>2327</v>
      </c>
      <c r="C469">
        <v>385</v>
      </c>
      <c r="D469" t="s">
        <v>2328</v>
      </c>
      <c r="E469" t="s">
        <v>2038</v>
      </c>
      <c r="F469">
        <v>202112</v>
      </c>
      <c r="G469" t="s">
        <v>178</v>
      </c>
      <c r="H469">
        <v>366.24</v>
      </c>
    </row>
    <row r="470" spans="1:8">
      <c r="A470">
        <v>5366</v>
      </c>
      <c r="B470" t="s">
        <v>2327</v>
      </c>
      <c r="C470">
        <v>385</v>
      </c>
      <c r="D470" t="s">
        <v>2328</v>
      </c>
      <c r="E470" t="s">
        <v>2038</v>
      </c>
      <c r="F470">
        <v>202112</v>
      </c>
      <c r="G470" t="s">
        <v>180</v>
      </c>
      <c r="H470">
        <v>334.32</v>
      </c>
    </row>
    <row r="471" spans="1:8">
      <c r="A471">
        <v>5366</v>
      </c>
      <c r="B471" t="s">
        <v>2327</v>
      </c>
      <c r="C471">
        <v>385</v>
      </c>
      <c r="D471" t="s">
        <v>2328</v>
      </c>
      <c r="E471" t="s">
        <v>2038</v>
      </c>
      <c r="F471">
        <v>202112</v>
      </c>
      <c r="G471" t="s">
        <v>182</v>
      </c>
      <c r="H471">
        <v>144706</v>
      </c>
    </row>
    <row r="472" spans="1:8">
      <c r="A472">
        <v>5366</v>
      </c>
      <c r="B472" t="s">
        <v>2327</v>
      </c>
      <c r="C472">
        <v>385</v>
      </c>
      <c r="D472" t="s">
        <v>2328</v>
      </c>
      <c r="E472" t="s">
        <v>2038</v>
      </c>
      <c r="F472">
        <v>202112</v>
      </c>
      <c r="G472" t="s">
        <v>184</v>
      </c>
      <c r="H472">
        <v>16141</v>
      </c>
    </row>
    <row r="473" spans="1:8">
      <c r="A473">
        <v>5366</v>
      </c>
      <c r="B473" t="s">
        <v>2327</v>
      </c>
      <c r="C473">
        <v>385</v>
      </c>
      <c r="D473" t="s">
        <v>2328</v>
      </c>
      <c r="E473" t="s">
        <v>2038</v>
      </c>
      <c r="F473">
        <v>202112</v>
      </c>
      <c r="G473" t="s">
        <v>192</v>
      </c>
      <c r="H473">
        <v>0</v>
      </c>
    </row>
    <row r="474" spans="1:8">
      <c r="A474">
        <v>5366</v>
      </c>
      <c r="B474" t="s">
        <v>2327</v>
      </c>
      <c r="C474">
        <v>385</v>
      </c>
      <c r="D474" t="s">
        <v>2328</v>
      </c>
      <c r="E474" t="s">
        <v>2038</v>
      </c>
      <c r="F474">
        <v>202112</v>
      </c>
      <c r="G474" t="s">
        <v>2172</v>
      </c>
      <c r="H474">
        <v>2613.6799999999998</v>
      </c>
    </row>
    <row r="475" spans="1:8">
      <c r="A475">
        <v>5366</v>
      </c>
      <c r="B475" t="s">
        <v>2327</v>
      </c>
      <c r="C475">
        <v>385</v>
      </c>
      <c r="D475" t="s">
        <v>2328</v>
      </c>
      <c r="E475" t="s">
        <v>2038</v>
      </c>
      <c r="F475">
        <v>202112</v>
      </c>
      <c r="G475" t="s">
        <v>186</v>
      </c>
      <c r="H475">
        <v>0</v>
      </c>
    </row>
    <row r="476" spans="1:8">
      <c r="A476">
        <v>5366</v>
      </c>
      <c r="B476" t="s">
        <v>2327</v>
      </c>
      <c r="C476">
        <v>385</v>
      </c>
      <c r="D476" t="s">
        <v>2328</v>
      </c>
      <c r="E476" t="s">
        <v>2038</v>
      </c>
      <c r="F476">
        <v>202112</v>
      </c>
      <c r="G476" t="s">
        <v>2171</v>
      </c>
      <c r="H476">
        <v>290.39</v>
      </c>
    </row>
    <row r="477" spans="1:8">
      <c r="A477">
        <v>5366</v>
      </c>
      <c r="B477" t="s">
        <v>2327</v>
      </c>
      <c r="C477">
        <v>385</v>
      </c>
      <c r="D477" t="s">
        <v>2328</v>
      </c>
      <c r="E477" t="s">
        <v>2038</v>
      </c>
      <c r="F477">
        <v>202112</v>
      </c>
      <c r="G477" t="s">
        <v>2168</v>
      </c>
      <c r="H477">
        <v>12.63</v>
      </c>
    </row>
    <row r="478" spans="1:8">
      <c r="A478">
        <v>5366</v>
      </c>
      <c r="B478" t="s">
        <v>2327</v>
      </c>
      <c r="C478">
        <v>385</v>
      </c>
      <c r="D478" t="s">
        <v>2328</v>
      </c>
      <c r="E478" t="s">
        <v>2038</v>
      </c>
      <c r="F478">
        <v>202112</v>
      </c>
      <c r="G478" t="s">
        <v>2169</v>
      </c>
      <c r="H478">
        <v>19.809999999999999</v>
      </c>
    </row>
    <row r="479" spans="1:8">
      <c r="A479">
        <v>5366</v>
      </c>
      <c r="B479" t="s">
        <v>2327</v>
      </c>
      <c r="C479">
        <v>385</v>
      </c>
      <c r="D479" t="s">
        <v>2328</v>
      </c>
      <c r="E479" t="s">
        <v>2038</v>
      </c>
      <c r="F479">
        <v>202112</v>
      </c>
      <c r="G479" t="s">
        <v>2170</v>
      </c>
      <c r="H479">
        <v>14.98</v>
      </c>
    </row>
    <row r="480" spans="1:8">
      <c r="A480">
        <v>5366</v>
      </c>
      <c r="B480" t="s">
        <v>2327</v>
      </c>
      <c r="C480">
        <v>385</v>
      </c>
      <c r="D480" t="s">
        <v>2328</v>
      </c>
      <c r="E480" t="s">
        <v>2038</v>
      </c>
      <c r="F480">
        <v>202112</v>
      </c>
      <c r="G480" t="s">
        <v>2173</v>
      </c>
      <c r="H480">
        <v>62979.99</v>
      </c>
    </row>
    <row r="481" spans="1:8">
      <c r="A481">
        <v>5366</v>
      </c>
      <c r="B481" t="s">
        <v>2327</v>
      </c>
      <c r="C481">
        <v>385</v>
      </c>
      <c r="D481" t="s">
        <v>2328</v>
      </c>
      <c r="E481" t="s">
        <v>2038</v>
      </c>
      <c r="F481">
        <v>202112</v>
      </c>
      <c r="G481" t="s">
        <v>190</v>
      </c>
      <c r="H481">
        <v>59304</v>
      </c>
    </row>
    <row r="482" spans="1:8">
      <c r="A482">
        <v>5366</v>
      </c>
      <c r="B482" t="s">
        <v>2327</v>
      </c>
      <c r="C482">
        <v>385</v>
      </c>
      <c r="D482" t="s">
        <v>2328</v>
      </c>
      <c r="E482" t="s">
        <v>2038</v>
      </c>
      <c r="F482">
        <v>202112</v>
      </c>
      <c r="G482" t="s">
        <v>191</v>
      </c>
      <c r="H482">
        <v>7470</v>
      </c>
    </row>
    <row r="483" spans="1:8">
      <c r="A483">
        <v>5366</v>
      </c>
      <c r="B483" t="s">
        <v>2327</v>
      </c>
      <c r="C483">
        <v>385</v>
      </c>
      <c r="D483" t="s">
        <v>2328</v>
      </c>
      <c r="E483" t="s">
        <v>2038</v>
      </c>
      <c r="F483">
        <v>202112</v>
      </c>
      <c r="G483" t="s">
        <v>176</v>
      </c>
      <c r="H483">
        <v>0</v>
      </c>
    </row>
    <row r="484" spans="1:8">
      <c r="A484">
        <v>5366</v>
      </c>
      <c r="B484" t="s">
        <v>2327</v>
      </c>
      <c r="C484">
        <v>385</v>
      </c>
      <c r="D484" t="s">
        <v>2328</v>
      </c>
      <c r="E484" t="s">
        <v>2038</v>
      </c>
      <c r="F484">
        <v>202112</v>
      </c>
      <c r="G484" t="s">
        <v>178</v>
      </c>
      <c r="H484">
        <v>228.31</v>
      </c>
    </row>
    <row r="485" spans="1:8">
      <c r="A485">
        <v>5366</v>
      </c>
      <c r="B485" t="s">
        <v>2327</v>
      </c>
      <c r="C485">
        <v>385</v>
      </c>
      <c r="D485" t="s">
        <v>2328</v>
      </c>
      <c r="E485" t="s">
        <v>2038</v>
      </c>
      <c r="F485">
        <v>202112</v>
      </c>
      <c r="G485" t="s">
        <v>180</v>
      </c>
      <c r="H485">
        <v>170.35</v>
      </c>
    </row>
    <row r="486" spans="1:8">
      <c r="A486">
        <v>5366</v>
      </c>
      <c r="B486" t="s">
        <v>2327</v>
      </c>
      <c r="C486">
        <v>385</v>
      </c>
      <c r="D486" t="s">
        <v>2328</v>
      </c>
      <c r="E486" t="s">
        <v>2038</v>
      </c>
      <c r="F486">
        <v>202112</v>
      </c>
      <c r="G486" t="s">
        <v>182</v>
      </c>
      <c r="H486">
        <v>59304</v>
      </c>
    </row>
    <row r="487" spans="1:8">
      <c r="A487">
        <v>5366</v>
      </c>
      <c r="B487" t="s">
        <v>2327</v>
      </c>
      <c r="C487">
        <v>385</v>
      </c>
      <c r="D487" t="s">
        <v>2328</v>
      </c>
      <c r="E487" t="s">
        <v>2038</v>
      </c>
      <c r="F487">
        <v>202112</v>
      </c>
      <c r="G487" t="s">
        <v>184</v>
      </c>
      <c r="H487">
        <v>7470</v>
      </c>
    </row>
    <row r="488" spans="1:8">
      <c r="A488">
        <v>5366</v>
      </c>
      <c r="B488" t="s">
        <v>2327</v>
      </c>
      <c r="C488">
        <v>385</v>
      </c>
      <c r="D488" t="s">
        <v>2328</v>
      </c>
      <c r="E488" t="s">
        <v>2038</v>
      </c>
      <c r="F488">
        <v>202112</v>
      </c>
      <c r="G488" t="s">
        <v>192</v>
      </c>
      <c r="H488">
        <v>0</v>
      </c>
    </row>
    <row r="489" spans="1:8">
      <c r="A489">
        <v>5366</v>
      </c>
      <c r="B489" t="s">
        <v>2327</v>
      </c>
      <c r="C489">
        <v>385</v>
      </c>
      <c r="D489" t="s">
        <v>2328</v>
      </c>
      <c r="E489" t="s">
        <v>2038</v>
      </c>
      <c r="F489">
        <v>202112</v>
      </c>
      <c r="G489" t="s">
        <v>2172</v>
      </c>
      <c r="H489">
        <v>1208.8</v>
      </c>
    </row>
    <row r="490" spans="1:8">
      <c r="A490">
        <v>5366</v>
      </c>
      <c r="B490" t="s">
        <v>2327</v>
      </c>
      <c r="C490">
        <v>385</v>
      </c>
      <c r="D490" t="s">
        <v>2328</v>
      </c>
      <c r="E490" t="s">
        <v>2038</v>
      </c>
      <c r="F490">
        <v>202112</v>
      </c>
      <c r="G490" t="s">
        <v>186</v>
      </c>
      <c r="H490">
        <v>0</v>
      </c>
    </row>
    <row r="491" spans="1:8">
      <c r="A491">
        <v>5366</v>
      </c>
      <c r="B491" t="s">
        <v>2327</v>
      </c>
      <c r="C491">
        <v>385</v>
      </c>
      <c r="D491" t="s">
        <v>2328</v>
      </c>
      <c r="E491" t="s">
        <v>2038</v>
      </c>
      <c r="F491">
        <v>202112</v>
      </c>
      <c r="G491" t="s">
        <v>2171</v>
      </c>
      <c r="H491">
        <v>290.39</v>
      </c>
    </row>
    <row r="492" spans="1:8">
      <c r="A492">
        <v>5366</v>
      </c>
      <c r="B492" t="s">
        <v>2327</v>
      </c>
      <c r="C492">
        <v>385</v>
      </c>
      <c r="D492" t="s">
        <v>2328</v>
      </c>
      <c r="E492" t="s">
        <v>2038</v>
      </c>
      <c r="F492">
        <v>202112</v>
      </c>
      <c r="G492" t="s">
        <v>2168</v>
      </c>
      <c r="H492">
        <v>12.63</v>
      </c>
    </row>
    <row r="493" spans="1:8">
      <c r="A493">
        <v>5366</v>
      </c>
      <c r="B493" t="s">
        <v>2327</v>
      </c>
      <c r="C493">
        <v>385</v>
      </c>
      <c r="D493" t="s">
        <v>2328</v>
      </c>
      <c r="E493" t="s">
        <v>2038</v>
      </c>
      <c r="F493">
        <v>202112</v>
      </c>
      <c r="G493" t="s">
        <v>2169</v>
      </c>
      <c r="H493">
        <v>19.809999999999999</v>
      </c>
    </row>
    <row r="494" spans="1:8">
      <c r="A494">
        <v>5366</v>
      </c>
      <c r="B494" t="s">
        <v>2327</v>
      </c>
      <c r="C494">
        <v>385</v>
      </c>
      <c r="D494" t="s">
        <v>2328</v>
      </c>
      <c r="E494" t="s">
        <v>2038</v>
      </c>
      <c r="F494">
        <v>202112</v>
      </c>
      <c r="G494" t="s">
        <v>2170</v>
      </c>
      <c r="H494">
        <v>14.98</v>
      </c>
    </row>
    <row r="495" spans="1:8">
      <c r="A495">
        <v>5366</v>
      </c>
      <c r="B495" t="s">
        <v>2327</v>
      </c>
      <c r="C495">
        <v>385</v>
      </c>
      <c r="D495" t="s">
        <v>2328</v>
      </c>
      <c r="E495" t="s">
        <v>2038</v>
      </c>
      <c r="F495">
        <v>202112</v>
      </c>
      <c r="G495" t="s">
        <v>2173</v>
      </c>
      <c r="H495">
        <v>29127.51</v>
      </c>
    </row>
    <row r="496" spans="1:8">
      <c r="A496">
        <v>5366</v>
      </c>
      <c r="B496" t="s">
        <v>2327</v>
      </c>
      <c r="C496">
        <v>385</v>
      </c>
      <c r="D496" t="s">
        <v>2328</v>
      </c>
      <c r="E496" t="s">
        <v>2038</v>
      </c>
      <c r="F496">
        <v>202112</v>
      </c>
      <c r="G496" t="s">
        <v>190</v>
      </c>
      <c r="H496">
        <v>283624</v>
      </c>
    </row>
    <row r="497" spans="1:8">
      <c r="A497">
        <v>5366</v>
      </c>
      <c r="B497" t="s">
        <v>2327</v>
      </c>
      <c r="C497">
        <v>385</v>
      </c>
      <c r="D497" t="s">
        <v>2328</v>
      </c>
      <c r="E497" t="s">
        <v>2038</v>
      </c>
      <c r="F497">
        <v>202112</v>
      </c>
      <c r="G497" t="s">
        <v>191</v>
      </c>
      <c r="H497">
        <v>36612</v>
      </c>
    </row>
    <row r="498" spans="1:8">
      <c r="A498">
        <v>5366</v>
      </c>
      <c r="B498" t="s">
        <v>2327</v>
      </c>
      <c r="C498">
        <v>385</v>
      </c>
      <c r="D498" t="s">
        <v>2328</v>
      </c>
      <c r="E498" t="s">
        <v>2038</v>
      </c>
      <c r="F498">
        <v>202112</v>
      </c>
      <c r="G498" t="s">
        <v>176</v>
      </c>
      <c r="H498">
        <v>0</v>
      </c>
    </row>
    <row r="499" spans="1:8">
      <c r="A499">
        <v>5366</v>
      </c>
      <c r="B499" t="s">
        <v>2327</v>
      </c>
      <c r="C499">
        <v>385</v>
      </c>
      <c r="D499" t="s">
        <v>2328</v>
      </c>
      <c r="E499" t="s">
        <v>2038</v>
      </c>
      <c r="F499">
        <v>202112</v>
      </c>
      <c r="G499" t="s">
        <v>178</v>
      </c>
      <c r="H499">
        <v>840</v>
      </c>
    </row>
    <row r="500" spans="1:8">
      <c r="A500">
        <v>5366</v>
      </c>
      <c r="B500" t="s">
        <v>2327</v>
      </c>
      <c r="C500">
        <v>385</v>
      </c>
      <c r="D500" t="s">
        <v>2328</v>
      </c>
      <c r="E500" t="s">
        <v>2038</v>
      </c>
      <c r="F500">
        <v>202112</v>
      </c>
      <c r="G500" t="s">
        <v>180</v>
      </c>
      <c r="H500">
        <v>772.8</v>
      </c>
    </row>
    <row r="501" spans="1:8">
      <c r="A501">
        <v>5366</v>
      </c>
      <c r="B501" t="s">
        <v>2327</v>
      </c>
      <c r="C501">
        <v>385</v>
      </c>
      <c r="D501" t="s">
        <v>2328</v>
      </c>
      <c r="E501" t="s">
        <v>2038</v>
      </c>
      <c r="F501">
        <v>202112</v>
      </c>
      <c r="G501" t="s">
        <v>182</v>
      </c>
      <c r="H501">
        <v>283624</v>
      </c>
    </row>
    <row r="502" spans="1:8">
      <c r="A502">
        <v>5366</v>
      </c>
      <c r="B502" t="s">
        <v>2327</v>
      </c>
      <c r="C502">
        <v>385</v>
      </c>
      <c r="D502" t="s">
        <v>2328</v>
      </c>
      <c r="E502" t="s">
        <v>2038</v>
      </c>
      <c r="F502">
        <v>202112</v>
      </c>
      <c r="G502" t="s">
        <v>184</v>
      </c>
      <c r="H502">
        <v>36612</v>
      </c>
    </row>
    <row r="503" spans="1:8">
      <c r="A503">
        <v>5366</v>
      </c>
      <c r="B503" t="s">
        <v>2327</v>
      </c>
      <c r="C503">
        <v>385</v>
      </c>
      <c r="D503" t="s">
        <v>2328</v>
      </c>
      <c r="E503" t="s">
        <v>2038</v>
      </c>
      <c r="F503">
        <v>202112</v>
      </c>
      <c r="G503" t="s">
        <v>192</v>
      </c>
      <c r="H503">
        <v>0</v>
      </c>
    </row>
    <row r="504" spans="1:8">
      <c r="A504">
        <v>5366</v>
      </c>
      <c r="B504" t="s">
        <v>2327</v>
      </c>
      <c r="C504">
        <v>385</v>
      </c>
      <c r="D504" t="s">
        <v>2328</v>
      </c>
      <c r="E504" t="s">
        <v>2038</v>
      </c>
      <c r="F504">
        <v>202112</v>
      </c>
      <c r="G504" t="s">
        <v>2172</v>
      </c>
      <c r="H504">
        <v>5356.2</v>
      </c>
    </row>
    <row r="505" spans="1:8">
      <c r="A505">
        <v>5366</v>
      </c>
      <c r="B505" t="s">
        <v>2327</v>
      </c>
      <c r="C505">
        <v>385</v>
      </c>
      <c r="D505" t="s">
        <v>2328</v>
      </c>
      <c r="E505" t="s">
        <v>2038</v>
      </c>
      <c r="F505">
        <v>202112</v>
      </c>
      <c r="G505" t="s">
        <v>186</v>
      </c>
      <c r="H505">
        <v>0</v>
      </c>
    </row>
    <row r="506" spans="1:8">
      <c r="A506">
        <v>5366</v>
      </c>
      <c r="B506" t="s">
        <v>2327</v>
      </c>
      <c r="C506">
        <v>385</v>
      </c>
      <c r="D506" t="s">
        <v>2328</v>
      </c>
      <c r="E506" t="s">
        <v>2038</v>
      </c>
      <c r="F506">
        <v>202112</v>
      </c>
      <c r="G506" t="s">
        <v>2171</v>
      </c>
      <c r="H506">
        <v>290.39</v>
      </c>
    </row>
    <row r="507" spans="1:8">
      <c r="A507">
        <v>5366</v>
      </c>
      <c r="B507" t="s">
        <v>2327</v>
      </c>
      <c r="C507">
        <v>385</v>
      </c>
      <c r="D507" t="s">
        <v>2328</v>
      </c>
      <c r="E507" t="s">
        <v>2038</v>
      </c>
      <c r="F507">
        <v>202112</v>
      </c>
      <c r="G507" t="s">
        <v>2168</v>
      </c>
      <c r="H507">
        <v>12.63</v>
      </c>
    </row>
    <row r="508" spans="1:8">
      <c r="A508">
        <v>5366</v>
      </c>
      <c r="B508" t="s">
        <v>2327</v>
      </c>
      <c r="C508">
        <v>385</v>
      </c>
      <c r="D508" t="s">
        <v>2328</v>
      </c>
      <c r="E508" t="s">
        <v>2038</v>
      </c>
      <c r="F508">
        <v>202112</v>
      </c>
      <c r="G508" t="s">
        <v>2169</v>
      </c>
      <c r="H508">
        <v>19.809999999999999</v>
      </c>
    </row>
    <row r="509" spans="1:8">
      <c r="A509">
        <v>5366</v>
      </c>
      <c r="B509" t="s">
        <v>2327</v>
      </c>
      <c r="C509">
        <v>385</v>
      </c>
      <c r="D509" t="s">
        <v>2328</v>
      </c>
      <c r="E509" t="s">
        <v>2038</v>
      </c>
      <c r="F509">
        <v>202112</v>
      </c>
      <c r="G509" t="s">
        <v>2170</v>
      </c>
      <c r="H509">
        <v>14.98</v>
      </c>
    </row>
    <row r="510" spans="1:8">
      <c r="A510">
        <v>5366</v>
      </c>
      <c r="B510" t="s">
        <v>2327</v>
      </c>
      <c r="C510">
        <v>385</v>
      </c>
      <c r="D510" t="s">
        <v>2328</v>
      </c>
      <c r="E510" t="s">
        <v>2038</v>
      </c>
      <c r="F510">
        <v>202112</v>
      </c>
      <c r="G510" t="s">
        <v>2173</v>
      </c>
      <c r="H510">
        <v>129065</v>
      </c>
    </row>
    <row r="511" spans="1:8">
      <c r="A511">
        <v>5366</v>
      </c>
      <c r="B511" t="s">
        <v>2327</v>
      </c>
      <c r="C511">
        <v>385</v>
      </c>
      <c r="D511" t="s">
        <v>2328</v>
      </c>
      <c r="E511" t="s">
        <v>2038</v>
      </c>
      <c r="F511">
        <v>202112</v>
      </c>
      <c r="G511" t="s">
        <v>190</v>
      </c>
      <c r="H511">
        <v>355718</v>
      </c>
    </row>
    <row r="512" spans="1:8">
      <c r="A512">
        <v>5366</v>
      </c>
      <c r="B512" t="s">
        <v>2327</v>
      </c>
      <c r="C512">
        <v>385</v>
      </c>
      <c r="D512" t="s">
        <v>2328</v>
      </c>
      <c r="E512" t="s">
        <v>2038</v>
      </c>
      <c r="F512">
        <v>202112</v>
      </c>
      <c r="G512" t="s">
        <v>191</v>
      </c>
      <c r="H512">
        <v>32733</v>
      </c>
    </row>
    <row r="513" spans="1:8">
      <c r="A513">
        <v>5366</v>
      </c>
      <c r="B513" t="s">
        <v>2327</v>
      </c>
      <c r="C513">
        <v>385</v>
      </c>
      <c r="D513" t="s">
        <v>2328</v>
      </c>
      <c r="E513" t="s">
        <v>2038</v>
      </c>
      <c r="F513">
        <v>202112</v>
      </c>
      <c r="G513" t="s">
        <v>176</v>
      </c>
      <c r="H513">
        <v>0</v>
      </c>
    </row>
    <row r="514" spans="1:8">
      <c r="A514">
        <v>5366</v>
      </c>
      <c r="B514" t="s">
        <v>2327</v>
      </c>
      <c r="C514">
        <v>385</v>
      </c>
      <c r="D514" t="s">
        <v>2328</v>
      </c>
      <c r="E514" t="s">
        <v>2038</v>
      </c>
      <c r="F514">
        <v>202112</v>
      </c>
      <c r="G514" t="s">
        <v>178</v>
      </c>
      <c r="H514">
        <v>2437.6799999999998</v>
      </c>
    </row>
    <row r="515" spans="1:8">
      <c r="A515">
        <v>5366</v>
      </c>
      <c r="B515" t="s">
        <v>2327</v>
      </c>
      <c r="C515">
        <v>385</v>
      </c>
      <c r="D515" t="s">
        <v>2328</v>
      </c>
      <c r="E515" t="s">
        <v>2038</v>
      </c>
      <c r="F515">
        <v>202112</v>
      </c>
      <c r="G515" t="s">
        <v>180</v>
      </c>
      <c r="H515">
        <v>2271.36</v>
      </c>
    </row>
    <row r="516" spans="1:8">
      <c r="A516">
        <v>5366</v>
      </c>
      <c r="B516" t="s">
        <v>2327</v>
      </c>
      <c r="C516">
        <v>385</v>
      </c>
      <c r="D516" t="s">
        <v>2328</v>
      </c>
      <c r="E516" t="s">
        <v>2038</v>
      </c>
      <c r="F516">
        <v>202112</v>
      </c>
      <c r="G516" t="s">
        <v>182</v>
      </c>
      <c r="H516">
        <v>1143912</v>
      </c>
    </row>
    <row r="517" spans="1:8">
      <c r="A517">
        <v>5366</v>
      </c>
      <c r="B517" t="s">
        <v>2327</v>
      </c>
      <c r="C517">
        <v>385</v>
      </c>
      <c r="D517" t="s">
        <v>2328</v>
      </c>
      <c r="E517" t="s">
        <v>2038</v>
      </c>
      <c r="F517">
        <v>202112</v>
      </c>
      <c r="G517" t="s">
        <v>184</v>
      </c>
      <c r="H517">
        <v>104682</v>
      </c>
    </row>
    <row r="518" spans="1:8">
      <c r="A518">
        <v>5366</v>
      </c>
      <c r="B518" t="s">
        <v>2327</v>
      </c>
      <c r="C518">
        <v>385</v>
      </c>
      <c r="D518" t="s">
        <v>2328</v>
      </c>
      <c r="E518" t="s">
        <v>2038</v>
      </c>
      <c r="F518">
        <v>202112</v>
      </c>
      <c r="G518" t="s">
        <v>192</v>
      </c>
      <c r="H518">
        <v>0</v>
      </c>
    </row>
    <row r="519" spans="1:8">
      <c r="A519">
        <v>5366</v>
      </c>
      <c r="B519" t="s">
        <v>2327</v>
      </c>
      <c r="C519">
        <v>385</v>
      </c>
      <c r="D519" t="s">
        <v>2328</v>
      </c>
      <c r="E519" t="s">
        <v>2038</v>
      </c>
      <c r="F519">
        <v>202112</v>
      </c>
      <c r="G519" t="s">
        <v>2172</v>
      </c>
      <c r="H519">
        <v>8977.0300000000007</v>
      </c>
    </row>
    <row r="520" spans="1:8">
      <c r="A520">
        <v>5366</v>
      </c>
      <c r="B520" t="s">
        <v>2327</v>
      </c>
      <c r="C520">
        <v>385</v>
      </c>
      <c r="D520" t="s">
        <v>2328</v>
      </c>
      <c r="E520" t="s">
        <v>2038</v>
      </c>
      <c r="F520">
        <v>202112</v>
      </c>
      <c r="G520" t="s">
        <v>186</v>
      </c>
      <c r="H520">
        <v>0</v>
      </c>
    </row>
    <row r="521" spans="1:8">
      <c r="A521">
        <v>5366</v>
      </c>
      <c r="B521" t="s">
        <v>2327</v>
      </c>
      <c r="C521">
        <v>385</v>
      </c>
      <c r="D521" t="s">
        <v>2328</v>
      </c>
      <c r="E521" t="s">
        <v>2038</v>
      </c>
      <c r="F521">
        <v>202112</v>
      </c>
      <c r="G521" t="s">
        <v>2171</v>
      </c>
      <c r="H521">
        <v>290.39</v>
      </c>
    </row>
    <row r="522" spans="1:8">
      <c r="A522">
        <v>5366</v>
      </c>
      <c r="B522" t="s">
        <v>2327</v>
      </c>
      <c r="C522">
        <v>385</v>
      </c>
      <c r="D522" t="s">
        <v>2328</v>
      </c>
      <c r="E522" t="s">
        <v>2038</v>
      </c>
      <c r="F522">
        <v>202112</v>
      </c>
      <c r="G522" t="s">
        <v>2168</v>
      </c>
      <c r="H522">
        <v>12.63</v>
      </c>
    </row>
    <row r="523" spans="1:8">
      <c r="A523">
        <v>5366</v>
      </c>
      <c r="B523" t="s">
        <v>2327</v>
      </c>
      <c r="C523">
        <v>385</v>
      </c>
      <c r="D523" t="s">
        <v>2328</v>
      </c>
      <c r="E523" t="s">
        <v>2038</v>
      </c>
      <c r="F523">
        <v>202112</v>
      </c>
      <c r="G523" t="s">
        <v>2169</v>
      </c>
      <c r="H523">
        <v>19.809999999999999</v>
      </c>
    </row>
    <row r="524" spans="1:8">
      <c r="A524">
        <v>5366</v>
      </c>
      <c r="B524" t="s">
        <v>2327</v>
      </c>
      <c r="C524">
        <v>385</v>
      </c>
      <c r="D524" t="s">
        <v>2328</v>
      </c>
      <c r="E524" t="s">
        <v>2038</v>
      </c>
      <c r="F524">
        <v>202112</v>
      </c>
      <c r="G524" t="s">
        <v>2170</v>
      </c>
      <c r="H524">
        <v>14.98</v>
      </c>
    </row>
    <row r="525" spans="1:8">
      <c r="A525">
        <v>5366</v>
      </c>
      <c r="B525" t="s">
        <v>2327</v>
      </c>
      <c r="C525">
        <v>385</v>
      </c>
      <c r="D525" t="s">
        <v>2328</v>
      </c>
      <c r="E525" t="s">
        <v>2038</v>
      </c>
      <c r="F525">
        <v>202112</v>
      </c>
      <c r="G525" t="s">
        <v>2173</v>
      </c>
      <c r="H525">
        <v>216314.28</v>
      </c>
    </row>
    <row r="526" spans="1:8">
      <c r="A526">
        <v>5366</v>
      </c>
      <c r="B526" t="s">
        <v>2327</v>
      </c>
      <c r="C526">
        <v>385</v>
      </c>
      <c r="D526" t="s">
        <v>2328</v>
      </c>
      <c r="E526" t="s">
        <v>2038</v>
      </c>
      <c r="F526">
        <v>202201</v>
      </c>
      <c r="G526" t="s">
        <v>190</v>
      </c>
      <c r="H526">
        <v>159855</v>
      </c>
    </row>
    <row r="527" spans="1:8">
      <c r="A527">
        <v>5366</v>
      </c>
      <c r="B527" t="s">
        <v>2327</v>
      </c>
      <c r="C527">
        <v>385</v>
      </c>
      <c r="D527" t="s">
        <v>2328</v>
      </c>
      <c r="E527" t="s">
        <v>2038</v>
      </c>
      <c r="F527">
        <v>202201</v>
      </c>
      <c r="G527" t="s">
        <v>191</v>
      </c>
      <c r="H527">
        <v>19766</v>
      </c>
    </row>
    <row r="528" spans="1:8">
      <c r="A528">
        <v>5366</v>
      </c>
      <c r="B528" t="s">
        <v>2327</v>
      </c>
      <c r="C528">
        <v>385</v>
      </c>
      <c r="D528" t="s">
        <v>2328</v>
      </c>
      <c r="E528" t="s">
        <v>2038</v>
      </c>
      <c r="F528">
        <v>202201</v>
      </c>
      <c r="G528" t="s">
        <v>176</v>
      </c>
      <c r="H528">
        <v>0</v>
      </c>
    </row>
    <row r="529" spans="1:8">
      <c r="A529">
        <v>5366</v>
      </c>
      <c r="B529" t="s">
        <v>2327</v>
      </c>
      <c r="C529">
        <v>385</v>
      </c>
      <c r="D529" t="s">
        <v>2328</v>
      </c>
      <c r="E529" t="s">
        <v>2038</v>
      </c>
      <c r="F529">
        <v>202201</v>
      </c>
      <c r="G529" t="s">
        <v>178</v>
      </c>
      <c r="H529">
        <v>466.36</v>
      </c>
    </row>
    <row r="530" spans="1:8">
      <c r="A530">
        <v>5366</v>
      </c>
      <c r="B530" t="s">
        <v>2327</v>
      </c>
      <c r="C530">
        <v>385</v>
      </c>
      <c r="D530" t="s">
        <v>2328</v>
      </c>
      <c r="E530" t="s">
        <v>2038</v>
      </c>
      <c r="F530">
        <v>202201</v>
      </c>
      <c r="G530" t="s">
        <v>180</v>
      </c>
      <c r="H530">
        <v>461.32</v>
      </c>
    </row>
    <row r="531" spans="1:8">
      <c r="A531">
        <v>5366</v>
      </c>
      <c r="B531" t="s">
        <v>2327</v>
      </c>
      <c r="C531">
        <v>385</v>
      </c>
      <c r="D531" t="s">
        <v>2328</v>
      </c>
      <c r="E531" t="s">
        <v>2038</v>
      </c>
      <c r="F531">
        <v>202201</v>
      </c>
      <c r="G531" t="s">
        <v>182</v>
      </c>
      <c r="H531">
        <v>159855</v>
      </c>
    </row>
    <row r="532" spans="1:8">
      <c r="A532">
        <v>5366</v>
      </c>
      <c r="B532" t="s">
        <v>2327</v>
      </c>
      <c r="C532">
        <v>385</v>
      </c>
      <c r="D532" t="s">
        <v>2328</v>
      </c>
      <c r="E532" t="s">
        <v>2038</v>
      </c>
      <c r="F532">
        <v>202201</v>
      </c>
      <c r="G532" t="s">
        <v>184</v>
      </c>
      <c r="H532">
        <v>19766</v>
      </c>
    </row>
    <row r="533" spans="1:8">
      <c r="A533">
        <v>5366</v>
      </c>
      <c r="B533" t="s">
        <v>2327</v>
      </c>
      <c r="C533">
        <v>385</v>
      </c>
      <c r="D533" t="s">
        <v>2328</v>
      </c>
      <c r="E533" t="s">
        <v>2038</v>
      </c>
      <c r="F533">
        <v>202201</v>
      </c>
      <c r="G533" t="s">
        <v>192</v>
      </c>
      <c r="H533">
        <v>0</v>
      </c>
    </row>
    <row r="534" spans="1:8">
      <c r="A534">
        <v>5366</v>
      </c>
      <c r="B534" t="s">
        <v>2327</v>
      </c>
      <c r="C534">
        <v>385</v>
      </c>
      <c r="D534" t="s">
        <v>2328</v>
      </c>
      <c r="E534" t="s">
        <v>2038</v>
      </c>
      <c r="F534">
        <v>202201</v>
      </c>
      <c r="G534" t="s">
        <v>2172</v>
      </c>
      <c r="H534">
        <v>3369.45</v>
      </c>
    </row>
    <row r="535" spans="1:8">
      <c r="A535">
        <v>5366</v>
      </c>
      <c r="B535" t="s">
        <v>2327</v>
      </c>
      <c r="C535">
        <v>385</v>
      </c>
      <c r="D535" t="s">
        <v>2328</v>
      </c>
      <c r="E535" t="s">
        <v>2038</v>
      </c>
      <c r="F535">
        <v>202201</v>
      </c>
      <c r="G535" t="s">
        <v>186</v>
      </c>
      <c r="H535">
        <v>0</v>
      </c>
    </row>
    <row r="536" spans="1:8">
      <c r="A536">
        <v>5366</v>
      </c>
      <c r="B536" t="s">
        <v>2327</v>
      </c>
      <c r="C536">
        <v>385</v>
      </c>
      <c r="D536" t="s">
        <v>2328</v>
      </c>
      <c r="E536" t="s">
        <v>2038</v>
      </c>
      <c r="F536">
        <v>202201</v>
      </c>
      <c r="G536" t="s">
        <v>2171</v>
      </c>
      <c r="H536">
        <v>290.39</v>
      </c>
    </row>
    <row r="537" spans="1:8">
      <c r="A537">
        <v>5366</v>
      </c>
      <c r="B537" t="s">
        <v>2327</v>
      </c>
      <c r="C537">
        <v>385</v>
      </c>
      <c r="D537" t="s">
        <v>2328</v>
      </c>
      <c r="E537" t="s">
        <v>2038</v>
      </c>
      <c r="F537">
        <v>202201</v>
      </c>
      <c r="G537" t="s">
        <v>2168</v>
      </c>
      <c r="H537">
        <v>12.63</v>
      </c>
    </row>
    <row r="538" spans="1:8">
      <c r="A538">
        <v>5366</v>
      </c>
      <c r="B538" t="s">
        <v>2327</v>
      </c>
      <c r="C538">
        <v>385</v>
      </c>
      <c r="D538" t="s">
        <v>2328</v>
      </c>
      <c r="E538" t="s">
        <v>2038</v>
      </c>
      <c r="F538">
        <v>202201</v>
      </c>
      <c r="G538" t="s">
        <v>2169</v>
      </c>
      <c r="H538">
        <v>19.809999999999999</v>
      </c>
    </row>
    <row r="539" spans="1:8">
      <c r="A539">
        <v>5366</v>
      </c>
      <c r="B539" t="s">
        <v>2327</v>
      </c>
      <c r="C539">
        <v>385</v>
      </c>
      <c r="D539" t="s">
        <v>2328</v>
      </c>
      <c r="E539" t="s">
        <v>2038</v>
      </c>
      <c r="F539">
        <v>202201</v>
      </c>
      <c r="G539" t="s">
        <v>2170</v>
      </c>
      <c r="H539">
        <v>14.98</v>
      </c>
    </row>
    <row r="540" spans="1:8">
      <c r="A540">
        <v>5366</v>
      </c>
      <c r="B540" t="s">
        <v>2327</v>
      </c>
      <c r="C540">
        <v>385</v>
      </c>
      <c r="D540" t="s">
        <v>2328</v>
      </c>
      <c r="E540" t="s">
        <v>2038</v>
      </c>
      <c r="F540">
        <v>202201</v>
      </c>
      <c r="G540" t="s">
        <v>2173</v>
      </c>
      <c r="H540">
        <v>73249.149999999994</v>
      </c>
    </row>
    <row r="541" spans="1:8">
      <c r="A541">
        <v>5366</v>
      </c>
      <c r="B541" t="s">
        <v>2327</v>
      </c>
      <c r="C541">
        <v>385</v>
      </c>
      <c r="D541" t="s">
        <v>2328</v>
      </c>
      <c r="E541" t="s">
        <v>2038</v>
      </c>
      <c r="F541">
        <v>202201</v>
      </c>
      <c r="G541" t="s">
        <v>190</v>
      </c>
      <c r="H541">
        <v>72822</v>
      </c>
    </row>
    <row r="542" spans="1:8">
      <c r="A542">
        <v>5366</v>
      </c>
      <c r="B542" t="s">
        <v>2327</v>
      </c>
      <c r="C542">
        <v>385</v>
      </c>
      <c r="D542" t="s">
        <v>2328</v>
      </c>
      <c r="E542" t="s">
        <v>2038</v>
      </c>
      <c r="F542">
        <v>202201</v>
      </c>
      <c r="G542" t="s">
        <v>191</v>
      </c>
      <c r="H542">
        <v>10767</v>
      </c>
    </row>
    <row r="543" spans="1:8">
      <c r="A543">
        <v>5366</v>
      </c>
      <c r="B543" t="s">
        <v>2327</v>
      </c>
      <c r="C543">
        <v>385</v>
      </c>
      <c r="D543" t="s">
        <v>2328</v>
      </c>
      <c r="E543" t="s">
        <v>2038</v>
      </c>
      <c r="F543">
        <v>202201</v>
      </c>
      <c r="G543" t="s">
        <v>176</v>
      </c>
      <c r="H543">
        <v>0</v>
      </c>
    </row>
    <row r="544" spans="1:8">
      <c r="A544">
        <v>5366</v>
      </c>
      <c r="B544" t="s">
        <v>2327</v>
      </c>
      <c r="C544">
        <v>385</v>
      </c>
      <c r="D544" t="s">
        <v>2328</v>
      </c>
      <c r="E544" t="s">
        <v>2038</v>
      </c>
      <c r="F544">
        <v>202201</v>
      </c>
      <c r="G544" t="s">
        <v>178</v>
      </c>
      <c r="H544">
        <v>316</v>
      </c>
    </row>
    <row r="545" spans="1:8">
      <c r="A545">
        <v>5366</v>
      </c>
      <c r="B545" t="s">
        <v>2327</v>
      </c>
      <c r="C545">
        <v>385</v>
      </c>
      <c r="D545" t="s">
        <v>2328</v>
      </c>
      <c r="E545" t="s">
        <v>2038</v>
      </c>
      <c r="F545">
        <v>202201</v>
      </c>
      <c r="G545" t="s">
        <v>180</v>
      </c>
      <c r="H545">
        <v>321.04000000000002</v>
      </c>
    </row>
    <row r="546" spans="1:8">
      <c r="A546">
        <v>5366</v>
      </c>
      <c r="B546" t="s">
        <v>2327</v>
      </c>
      <c r="C546">
        <v>385</v>
      </c>
      <c r="D546" t="s">
        <v>2328</v>
      </c>
      <c r="E546" t="s">
        <v>2038</v>
      </c>
      <c r="F546">
        <v>202201</v>
      </c>
      <c r="G546" t="s">
        <v>182</v>
      </c>
      <c r="H546">
        <v>72822</v>
      </c>
    </row>
    <row r="547" spans="1:8">
      <c r="A547">
        <v>5366</v>
      </c>
      <c r="B547" t="s">
        <v>2327</v>
      </c>
      <c r="C547">
        <v>385</v>
      </c>
      <c r="D547" t="s">
        <v>2328</v>
      </c>
      <c r="E547" t="s">
        <v>2038</v>
      </c>
      <c r="F547">
        <v>202201</v>
      </c>
      <c r="G547" t="s">
        <v>184</v>
      </c>
      <c r="H547">
        <v>10767</v>
      </c>
    </row>
    <row r="548" spans="1:8">
      <c r="A548">
        <v>5366</v>
      </c>
      <c r="B548" t="s">
        <v>2327</v>
      </c>
      <c r="C548">
        <v>385</v>
      </c>
      <c r="D548" t="s">
        <v>2328</v>
      </c>
      <c r="E548" t="s">
        <v>2038</v>
      </c>
      <c r="F548">
        <v>202201</v>
      </c>
      <c r="G548" t="s">
        <v>192</v>
      </c>
      <c r="H548">
        <v>0</v>
      </c>
    </row>
    <row r="549" spans="1:8">
      <c r="A549">
        <v>5366</v>
      </c>
      <c r="B549" t="s">
        <v>2327</v>
      </c>
      <c r="C549">
        <v>385</v>
      </c>
      <c r="D549" t="s">
        <v>2328</v>
      </c>
      <c r="E549" t="s">
        <v>2038</v>
      </c>
      <c r="F549">
        <v>202201</v>
      </c>
      <c r="G549" t="s">
        <v>2172</v>
      </c>
      <c r="H549">
        <v>1771.38</v>
      </c>
    </row>
    <row r="550" spans="1:8">
      <c r="A550">
        <v>5366</v>
      </c>
      <c r="B550" t="s">
        <v>2327</v>
      </c>
      <c r="C550">
        <v>385</v>
      </c>
      <c r="D550" t="s">
        <v>2328</v>
      </c>
      <c r="E550" t="s">
        <v>2038</v>
      </c>
      <c r="F550">
        <v>202201</v>
      </c>
      <c r="G550" t="s">
        <v>186</v>
      </c>
      <c r="H550">
        <v>0</v>
      </c>
    </row>
    <row r="551" spans="1:8">
      <c r="A551">
        <v>5366</v>
      </c>
      <c r="B551" t="s">
        <v>2327</v>
      </c>
      <c r="C551">
        <v>385</v>
      </c>
      <c r="D551" t="s">
        <v>2328</v>
      </c>
      <c r="E551" t="s">
        <v>2038</v>
      </c>
      <c r="F551">
        <v>202201</v>
      </c>
      <c r="G551" t="s">
        <v>2171</v>
      </c>
      <c r="H551">
        <v>290.39</v>
      </c>
    </row>
    <row r="552" spans="1:8">
      <c r="A552">
        <v>5366</v>
      </c>
      <c r="B552" t="s">
        <v>2327</v>
      </c>
      <c r="C552">
        <v>385</v>
      </c>
      <c r="D552" t="s">
        <v>2328</v>
      </c>
      <c r="E552" t="s">
        <v>2038</v>
      </c>
      <c r="F552">
        <v>202201</v>
      </c>
      <c r="G552" t="s">
        <v>2168</v>
      </c>
      <c r="H552">
        <v>12.63</v>
      </c>
    </row>
    <row r="553" spans="1:8">
      <c r="A553">
        <v>5366</v>
      </c>
      <c r="B553" t="s">
        <v>2327</v>
      </c>
      <c r="C553">
        <v>385</v>
      </c>
      <c r="D553" t="s">
        <v>2328</v>
      </c>
      <c r="E553" t="s">
        <v>2038</v>
      </c>
      <c r="F553">
        <v>202201</v>
      </c>
      <c r="G553" t="s">
        <v>2169</v>
      </c>
      <c r="H553">
        <v>19.809999999999999</v>
      </c>
    </row>
    <row r="554" spans="1:8">
      <c r="A554">
        <v>5366</v>
      </c>
      <c r="B554" t="s">
        <v>2327</v>
      </c>
      <c r="C554">
        <v>385</v>
      </c>
      <c r="D554" t="s">
        <v>2328</v>
      </c>
      <c r="E554" t="s">
        <v>2038</v>
      </c>
      <c r="F554">
        <v>202201</v>
      </c>
      <c r="G554" t="s">
        <v>2170</v>
      </c>
      <c r="H554">
        <v>14.98</v>
      </c>
    </row>
    <row r="555" spans="1:8">
      <c r="A555">
        <v>5366</v>
      </c>
      <c r="B555" t="s">
        <v>2327</v>
      </c>
      <c r="C555">
        <v>385</v>
      </c>
      <c r="D555" t="s">
        <v>2328</v>
      </c>
      <c r="E555" t="s">
        <v>2038</v>
      </c>
      <c r="F555">
        <v>202201</v>
      </c>
      <c r="G555" t="s">
        <v>2173</v>
      </c>
      <c r="H555">
        <v>38508.65</v>
      </c>
    </row>
    <row r="556" spans="1:8">
      <c r="A556">
        <v>5366</v>
      </c>
      <c r="B556" t="s">
        <v>2327</v>
      </c>
      <c r="C556">
        <v>385</v>
      </c>
      <c r="D556" t="s">
        <v>2328</v>
      </c>
      <c r="E556" t="s">
        <v>2038</v>
      </c>
      <c r="F556">
        <v>202201</v>
      </c>
      <c r="G556" t="s">
        <v>190</v>
      </c>
      <c r="H556">
        <v>315374</v>
      </c>
    </row>
    <row r="557" spans="1:8">
      <c r="A557">
        <v>5366</v>
      </c>
      <c r="B557" t="s">
        <v>2327</v>
      </c>
      <c r="C557">
        <v>385</v>
      </c>
      <c r="D557" t="s">
        <v>2328</v>
      </c>
      <c r="E557" t="s">
        <v>2038</v>
      </c>
      <c r="F557">
        <v>202201</v>
      </c>
      <c r="G557" t="s">
        <v>191</v>
      </c>
      <c r="H557">
        <v>44430</v>
      </c>
    </row>
    <row r="558" spans="1:8">
      <c r="A558">
        <v>5366</v>
      </c>
      <c r="B558" t="s">
        <v>2327</v>
      </c>
      <c r="C558">
        <v>385</v>
      </c>
      <c r="D558" t="s">
        <v>2328</v>
      </c>
      <c r="E558" t="s">
        <v>2038</v>
      </c>
      <c r="F558">
        <v>202201</v>
      </c>
      <c r="G558" t="s">
        <v>176</v>
      </c>
      <c r="H558">
        <v>0</v>
      </c>
    </row>
    <row r="559" spans="1:8">
      <c r="A559">
        <v>5366</v>
      </c>
      <c r="B559" t="s">
        <v>2327</v>
      </c>
      <c r="C559">
        <v>385</v>
      </c>
      <c r="D559" t="s">
        <v>2328</v>
      </c>
      <c r="E559" t="s">
        <v>2038</v>
      </c>
      <c r="F559">
        <v>202201</v>
      </c>
      <c r="G559" t="s">
        <v>178</v>
      </c>
      <c r="H559">
        <v>1102.08</v>
      </c>
    </row>
    <row r="560" spans="1:8">
      <c r="A560">
        <v>5366</v>
      </c>
      <c r="B560" t="s">
        <v>2327</v>
      </c>
      <c r="C560">
        <v>385</v>
      </c>
      <c r="D560" t="s">
        <v>2328</v>
      </c>
      <c r="E560" t="s">
        <v>2038</v>
      </c>
      <c r="F560">
        <v>202201</v>
      </c>
      <c r="G560" t="s">
        <v>180</v>
      </c>
      <c r="H560">
        <v>1131.48</v>
      </c>
    </row>
    <row r="561" spans="1:8">
      <c r="A561">
        <v>5366</v>
      </c>
      <c r="B561" t="s">
        <v>2327</v>
      </c>
      <c r="C561">
        <v>385</v>
      </c>
      <c r="D561" t="s">
        <v>2328</v>
      </c>
      <c r="E561" t="s">
        <v>2038</v>
      </c>
      <c r="F561">
        <v>202201</v>
      </c>
      <c r="G561" t="s">
        <v>182</v>
      </c>
      <c r="H561">
        <v>315374</v>
      </c>
    </row>
    <row r="562" spans="1:8">
      <c r="A562">
        <v>5366</v>
      </c>
      <c r="B562" t="s">
        <v>2327</v>
      </c>
      <c r="C562">
        <v>385</v>
      </c>
      <c r="D562" t="s">
        <v>2328</v>
      </c>
      <c r="E562" t="s">
        <v>2038</v>
      </c>
      <c r="F562">
        <v>202201</v>
      </c>
      <c r="G562" t="s">
        <v>184</v>
      </c>
      <c r="H562">
        <v>44430</v>
      </c>
    </row>
    <row r="563" spans="1:8">
      <c r="A563">
        <v>5366</v>
      </c>
      <c r="B563" t="s">
        <v>2327</v>
      </c>
      <c r="C563">
        <v>385</v>
      </c>
      <c r="D563" t="s">
        <v>2328</v>
      </c>
      <c r="E563" t="s">
        <v>2038</v>
      </c>
      <c r="F563">
        <v>202201</v>
      </c>
      <c r="G563" t="s">
        <v>192</v>
      </c>
      <c r="H563">
        <v>0</v>
      </c>
    </row>
    <row r="564" spans="1:8">
      <c r="A564">
        <v>5366</v>
      </c>
      <c r="B564" t="s">
        <v>2327</v>
      </c>
      <c r="C564">
        <v>385</v>
      </c>
      <c r="D564" t="s">
        <v>2328</v>
      </c>
      <c r="E564" t="s">
        <v>2038</v>
      </c>
      <c r="F564">
        <v>202201</v>
      </c>
      <c r="G564" t="s">
        <v>2172</v>
      </c>
      <c r="H564">
        <v>7049.83</v>
      </c>
    </row>
    <row r="565" spans="1:8">
      <c r="A565">
        <v>5366</v>
      </c>
      <c r="B565" t="s">
        <v>2327</v>
      </c>
      <c r="C565">
        <v>385</v>
      </c>
      <c r="D565" t="s">
        <v>2328</v>
      </c>
      <c r="E565" t="s">
        <v>2038</v>
      </c>
      <c r="F565">
        <v>202201</v>
      </c>
      <c r="G565" t="s">
        <v>186</v>
      </c>
      <c r="H565">
        <v>0</v>
      </c>
    </row>
    <row r="566" spans="1:8">
      <c r="A566">
        <v>5366</v>
      </c>
      <c r="B566" t="s">
        <v>2327</v>
      </c>
      <c r="C566">
        <v>385</v>
      </c>
      <c r="D566" t="s">
        <v>2328</v>
      </c>
      <c r="E566" t="s">
        <v>2038</v>
      </c>
      <c r="F566">
        <v>202201</v>
      </c>
      <c r="G566" t="s">
        <v>2171</v>
      </c>
      <c r="H566">
        <v>290.39</v>
      </c>
    </row>
    <row r="567" spans="1:8">
      <c r="A567">
        <v>5366</v>
      </c>
      <c r="B567" t="s">
        <v>2327</v>
      </c>
      <c r="C567">
        <v>385</v>
      </c>
      <c r="D567" t="s">
        <v>2328</v>
      </c>
      <c r="E567" t="s">
        <v>2038</v>
      </c>
      <c r="F567">
        <v>202201</v>
      </c>
      <c r="G567" t="s">
        <v>2168</v>
      </c>
      <c r="H567">
        <v>12.63</v>
      </c>
    </row>
    <row r="568" spans="1:8">
      <c r="A568">
        <v>5366</v>
      </c>
      <c r="B568" t="s">
        <v>2327</v>
      </c>
      <c r="C568">
        <v>385</v>
      </c>
      <c r="D568" t="s">
        <v>2328</v>
      </c>
      <c r="E568" t="s">
        <v>2038</v>
      </c>
      <c r="F568">
        <v>202201</v>
      </c>
      <c r="G568" t="s">
        <v>2169</v>
      </c>
      <c r="H568">
        <v>19.809999999999999</v>
      </c>
    </row>
    <row r="569" spans="1:8">
      <c r="A569">
        <v>5366</v>
      </c>
      <c r="B569" t="s">
        <v>2327</v>
      </c>
      <c r="C569">
        <v>385</v>
      </c>
      <c r="D569" t="s">
        <v>2328</v>
      </c>
      <c r="E569" t="s">
        <v>2038</v>
      </c>
      <c r="F569">
        <v>202201</v>
      </c>
      <c r="G569" t="s">
        <v>2170</v>
      </c>
      <c r="H569">
        <v>14.98</v>
      </c>
    </row>
    <row r="570" spans="1:8">
      <c r="A570">
        <v>5366</v>
      </c>
      <c r="B570" t="s">
        <v>2327</v>
      </c>
      <c r="C570">
        <v>385</v>
      </c>
      <c r="D570" t="s">
        <v>2328</v>
      </c>
      <c r="E570" t="s">
        <v>2038</v>
      </c>
      <c r="F570">
        <v>202201</v>
      </c>
      <c r="G570" t="s">
        <v>2173</v>
      </c>
      <c r="H570">
        <v>153257.04</v>
      </c>
    </row>
    <row r="571" spans="1:8">
      <c r="A571">
        <v>5366</v>
      </c>
      <c r="B571" t="s">
        <v>2327</v>
      </c>
      <c r="C571">
        <v>385</v>
      </c>
      <c r="D571" t="s">
        <v>2328</v>
      </c>
      <c r="E571" t="s">
        <v>2038</v>
      </c>
      <c r="F571">
        <v>202201</v>
      </c>
      <c r="G571" t="s">
        <v>190</v>
      </c>
      <c r="H571">
        <v>194372</v>
      </c>
    </row>
    <row r="572" spans="1:8">
      <c r="A572">
        <v>5366</v>
      </c>
      <c r="B572" t="s">
        <v>2327</v>
      </c>
      <c r="C572">
        <v>385</v>
      </c>
      <c r="D572" t="s">
        <v>2328</v>
      </c>
      <c r="E572" t="s">
        <v>2038</v>
      </c>
      <c r="F572">
        <v>202201</v>
      </c>
      <c r="G572" t="s">
        <v>191</v>
      </c>
      <c r="H572">
        <v>31700</v>
      </c>
    </row>
    <row r="573" spans="1:8">
      <c r="A573">
        <v>5366</v>
      </c>
      <c r="B573" t="s">
        <v>2327</v>
      </c>
      <c r="C573">
        <v>385</v>
      </c>
      <c r="D573" t="s">
        <v>2328</v>
      </c>
      <c r="E573" t="s">
        <v>2038</v>
      </c>
      <c r="F573">
        <v>202201</v>
      </c>
      <c r="G573" t="s">
        <v>176</v>
      </c>
      <c r="H573">
        <v>0</v>
      </c>
    </row>
    <row r="574" spans="1:8">
      <c r="A574">
        <v>5366</v>
      </c>
      <c r="B574" t="s">
        <v>2327</v>
      </c>
      <c r="C574">
        <v>385</v>
      </c>
      <c r="D574" t="s">
        <v>2328</v>
      </c>
      <c r="E574" t="s">
        <v>2038</v>
      </c>
      <c r="F574">
        <v>202201</v>
      </c>
      <c r="G574" t="s">
        <v>178</v>
      </c>
      <c r="H574">
        <v>778.17</v>
      </c>
    </row>
    <row r="575" spans="1:8">
      <c r="A575">
        <v>5366</v>
      </c>
      <c r="B575" t="s">
        <v>2327</v>
      </c>
      <c r="C575">
        <v>385</v>
      </c>
      <c r="D575" t="s">
        <v>2328</v>
      </c>
      <c r="E575" t="s">
        <v>2038</v>
      </c>
      <c r="F575">
        <v>202201</v>
      </c>
      <c r="G575" t="s">
        <v>180</v>
      </c>
      <c r="H575">
        <v>772.63</v>
      </c>
    </row>
    <row r="576" spans="1:8">
      <c r="A576">
        <v>5366</v>
      </c>
      <c r="B576" t="s">
        <v>2327</v>
      </c>
      <c r="C576">
        <v>385</v>
      </c>
      <c r="D576" t="s">
        <v>2328</v>
      </c>
      <c r="E576" t="s">
        <v>2038</v>
      </c>
      <c r="F576">
        <v>202201</v>
      </c>
      <c r="G576" t="s">
        <v>182</v>
      </c>
      <c r="H576">
        <v>223458</v>
      </c>
    </row>
    <row r="577" spans="1:8">
      <c r="A577">
        <v>5366</v>
      </c>
      <c r="B577" t="s">
        <v>2327</v>
      </c>
      <c r="C577">
        <v>385</v>
      </c>
      <c r="D577" t="s">
        <v>2328</v>
      </c>
      <c r="E577" t="s">
        <v>2038</v>
      </c>
      <c r="F577">
        <v>202201</v>
      </c>
      <c r="G577" t="s">
        <v>184</v>
      </c>
      <c r="H577">
        <v>31700</v>
      </c>
    </row>
    <row r="578" spans="1:8">
      <c r="A578">
        <v>5366</v>
      </c>
      <c r="B578" t="s">
        <v>2327</v>
      </c>
      <c r="C578">
        <v>385</v>
      </c>
      <c r="D578" t="s">
        <v>2328</v>
      </c>
      <c r="E578" t="s">
        <v>2038</v>
      </c>
      <c r="F578">
        <v>202201</v>
      </c>
      <c r="G578" t="s">
        <v>192</v>
      </c>
      <c r="H578">
        <v>0</v>
      </c>
    </row>
    <row r="579" spans="1:8">
      <c r="A579">
        <v>5366</v>
      </c>
      <c r="B579" t="s">
        <v>2327</v>
      </c>
      <c r="C579">
        <v>385</v>
      </c>
      <c r="D579" t="s">
        <v>2328</v>
      </c>
      <c r="E579" t="s">
        <v>2038</v>
      </c>
      <c r="F579">
        <v>202201</v>
      </c>
      <c r="G579" t="s">
        <v>2172</v>
      </c>
      <c r="H579">
        <v>4561.68</v>
      </c>
    </row>
    <row r="580" spans="1:8">
      <c r="A580">
        <v>5366</v>
      </c>
      <c r="B580" t="s">
        <v>2327</v>
      </c>
      <c r="C580">
        <v>385</v>
      </c>
      <c r="D580" t="s">
        <v>2328</v>
      </c>
      <c r="E580" t="s">
        <v>2038</v>
      </c>
      <c r="F580">
        <v>202201</v>
      </c>
      <c r="G580" t="s">
        <v>186</v>
      </c>
      <c r="H580">
        <v>29086</v>
      </c>
    </row>
    <row r="581" spans="1:8">
      <c r="A581">
        <v>5366</v>
      </c>
      <c r="B581" t="s">
        <v>2327</v>
      </c>
      <c r="C581">
        <v>385</v>
      </c>
      <c r="D581" t="s">
        <v>2328</v>
      </c>
      <c r="E581" t="s">
        <v>2038</v>
      </c>
      <c r="F581">
        <v>202201</v>
      </c>
      <c r="G581" t="s">
        <v>2171</v>
      </c>
      <c r="H581">
        <v>290.39</v>
      </c>
    </row>
    <row r="582" spans="1:8">
      <c r="A582">
        <v>5366</v>
      </c>
      <c r="B582" t="s">
        <v>2327</v>
      </c>
      <c r="C582">
        <v>385</v>
      </c>
      <c r="D582" t="s">
        <v>2328</v>
      </c>
      <c r="E582" t="s">
        <v>2038</v>
      </c>
      <c r="F582">
        <v>202201</v>
      </c>
      <c r="G582" t="s">
        <v>2168</v>
      </c>
      <c r="H582">
        <v>12.63</v>
      </c>
    </row>
    <row r="583" spans="1:8">
      <c r="A583">
        <v>5366</v>
      </c>
      <c r="B583" t="s">
        <v>2327</v>
      </c>
      <c r="C583">
        <v>385</v>
      </c>
      <c r="D583" t="s">
        <v>2328</v>
      </c>
      <c r="E583" t="s">
        <v>2038</v>
      </c>
      <c r="F583">
        <v>202201</v>
      </c>
      <c r="G583" t="s">
        <v>2169</v>
      </c>
      <c r="H583">
        <v>19.809999999999999</v>
      </c>
    </row>
    <row r="584" spans="1:8">
      <c r="A584">
        <v>5366</v>
      </c>
      <c r="B584" t="s">
        <v>2327</v>
      </c>
      <c r="C584">
        <v>385</v>
      </c>
      <c r="D584" t="s">
        <v>2328</v>
      </c>
      <c r="E584" t="s">
        <v>2038</v>
      </c>
      <c r="F584">
        <v>202201</v>
      </c>
      <c r="G584" t="s">
        <v>2170</v>
      </c>
      <c r="H584">
        <v>14.98</v>
      </c>
    </row>
    <row r="585" spans="1:8">
      <c r="A585">
        <v>5366</v>
      </c>
      <c r="B585" t="s">
        <v>2327</v>
      </c>
      <c r="C585">
        <v>385</v>
      </c>
      <c r="D585" t="s">
        <v>2328</v>
      </c>
      <c r="E585" t="s">
        <v>2038</v>
      </c>
      <c r="F585">
        <v>202201</v>
      </c>
      <c r="G585" t="s">
        <v>2173</v>
      </c>
      <c r="H585">
        <v>99167.06</v>
      </c>
    </row>
    <row r="586" spans="1:8">
      <c r="A586">
        <v>5366</v>
      </c>
      <c r="B586" t="s">
        <v>2327</v>
      </c>
      <c r="C586">
        <v>385</v>
      </c>
      <c r="D586" t="s">
        <v>2328</v>
      </c>
      <c r="E586" t="s">
        <v>2038</v>
      </c>
      <c r="F586">
        <v>202201</v>
      </c>
      <c r="G586" t="s">
        <v>190</v>
      </c>
      <c r="H586">
        <v>356333</v>
      </c>
    </row>
    <row r="587" spans="1:8">
      <c r="A587">
        <v>5366</v>
      </c>
      <c r="B587" t="s">
        <v>2327</v>
      </c>
      <c r="C587">
        <v>385</v>
      </c>
      <c r="D587" t="s">
        <v>2328</v>
      </c>
      <c r="E587" t="s">
        <v>2038</v>
      </c>
      <c r="F587">
        <v>202201</v>
      </c>
      <c r="G587" t="s">
        <v>191</v>
      </c>
      <c r="H587">
        <v>36920</v>
      </c>
    </row>
    <row r="588" spans="1:8">
      <c r="A588">
        <v>5366</v>
      </c>
      <c r="B588" t="s">
        <v>2327</v>
      </c>
      <c r="C588">
        <v>385</v>
      </c>
      <c r="D588" t="s">
        <v>2328</v>
      </c>
      <c r="E588" t="s">
        <v>2038</v>
      </c>
      <c r="F588">
        <v>202201</v>
      </c>
      <c r="G588" t="s">
        <v>176</v>
      </c>
      <c r="H588">
        <v>0</v>
      </c>
    </row>
    <row r="589" spans="1:8">
      <c r="A589">
        <v>5366</v>
      </c>
      <c r="B589" t="s">
        <v>2327</v>
      </c>
      <c r="C589">
        <v>385</v>
      </c>
      <c r="D589" t="s">
        <v>2328</v>
      </c>
      <c r="E589" t="s">
        <v>2038</v>
      </c>
      <c r="F589">
        <v>202201</v>
      </c>
      <c r="G589" t="s">
        <v>178</v>
      </c>
      <c r="H589">
        <v>2486.4</v>
      </c>
    </row>
    <row r="590" spans="1:8">
      <c r="A590">
        <v>5366</v>
      </c>
      <c r="B590" t="s">
        <v>2327</v>
      </c>
      <c r="C590">
        <v>385</v>
      </c>
      <c r="D590" t="s">
        <v>2328</v>
      </c>
      <c r="E590" t="s">
        <v>2038</v>
      </c>
      <c r="F590">
        <v>202201</v>
      </c>
      <c r="G590" t="s">
        <v>180</v>
      </c>
      <c r="H590">
        <v>2348.64</v>
      </c>
    </row>
    <row r="591" spans="1:8">
      <c r="A591">
        <v>5366</v>
      </c>
      <c r="B591" t="s">
        <v>2327</v>
      </c>
      <c r="C591">
        <v>385</v>
      </c>
      <c r="D591" t="s">
        <v>2328</v>
      </c>
      <c r="E591" t="s">
        <v>2038</v>
      </c>
      <c r="F591">
        <v>202201</v>
      </c>
      <c r="G591" t="s">
        <v>182</v>
      </c>
      <c r="H591">
        <v>1224792</v>
      </c>
    </row>
    <row r="592" spans="1:8">
      <c r="A592">
        <v>5366</v>
      </c>
      <c r="B592" t="s">
        <v>2327</v>
      </c>
      <c r="C592">
        <v>385</v>
      </c>
      <c r="D592" t="s">
        <v>2328</v>
      </c>
      <c r="E592" t="s">
        <v>2038</v>
      </c>
      <c r="F592">
        <v>202201</v>
      </c>
      <c r="G592" t="s">
        <v>184</v>
      </c>
      <c r="H592">
        <v>129764</v>
      </c>
    </row>
    <row r="593" spans="1:8">
      <c r="A593">
        <v>5366</v>
      </c>
      <c r="B593" t="s">
        <v>2327</v>
      </c>
      <c r="C593">
        <v>385</v>
      </c>
      <c r="D593" t="s">
        <v>2328</v>
      </c>
      <c r="E593" t="s">
        <v>2038</v>
      </c>
      <c r="F593">
        <v>202201</v>
      </c>
      <c r="G593" t="s">
        <v>192</v>
      </c>
      <c r="H593">
        <v>0</v>
      </c>
    </row>
    <row r="594" spans="1:8">
      <c r="A594">
        <v>5366</v>
      </c>
      <c r="B594" t="s">
        <v>2327</v>
      </c>
      <c r="C594">
        <v>385</v>
      </c>
      <c r="D594" t="s">
        <v>2328</v>
      </c>
      <c r="E594" t="s">
        <v>2038</v>
      </c>
      <c r="F594">
        <v>202201</v>
      </c>
      <c r="G594" t="s">
        <v>2172</v>
      </c>
      <c r="H594">
        <v>10242.57</v>
      </c>
    </row>
    <row r="595" spans="1:8">
      <c r="A595">
        <v>5366</v>
      </c>
      <c r="B595" t="s">
        <v>2327</v>
      </c>
      <c r="C595">
        <v>385</v>
      </c>
      <c r="D595" t="s">
        <v>2328</v>
      </c>
      <c r="E595" t="s">
        <v>2038</v>
      </c>
      <c r="F595">
        <v>202201</v>
      </c>
      <c r="G595" t="s">
        <v>186</v>
      </c>
      <c r="H595">
        <v>0</v>
      </c>
    </row>
    <row r="596" spans="1:8">
      <c r="A596">
        <v>5366</v>
      </c>
      <c r="B596" t="s">
        <v>2327</v>
      </c>
      <c r="C596">
        <v>385</v>
      </c>
      <c r="D596" t="s">
        <v>2328</v>
      </c>
      <c r="E596" t="s">
        <v>2038</v>
      </c>
      <c r="F596">
        <v>202201</v>
      </c>
      <c r="G596" t="s">
        <v>2171</v>
      </c>
      <c r="H596">
        <v>290.39</v>
      </c>
    </row>
    <row r="597" spans="1:8">
      <c r="A597">
        <v>5366</v>
      </c>
      <c r="B597" t="s">
        <v>2327</v>
      </c>
      <c r="C597">
        <v>385</v>
      </c>
      <c r="D597" t="s">
        <v>2328</v>
      </c>
      <c r="E597" t="s">
        <v>2038</v>
      </c>
      <c r="F597">
        <v>202201</v>
      </c>
      <c r="G597" t="s">
        <v>2168</v>
      </c>
      <c r="H597">
        <v>12.63</v>
      </c>
    </row>
    <row r="598" spans="1:8">
      <c r="A598">
        <v>5366</v>
      </c>
      <c r="B598" t="s">
        <v>2327</v>
      </c>
      <c r="C598">
        <v>385</v>
      </c>
      <c r="D598" t="s">
        <v>2328</v>
      </c>
      <c r="E598" t="s">
        <v>2038</v>
      </c>
      <c r="F598">
        <v>202201</v>
      </c>
      <c r="G598" t="s">
        <v>2169</v>
      </c>
      <c r="H598">
        <v>19.809999999999999</v>
      </c>
    </row>
    <row r="599" spans="1:8">
      <c r="A599">
        <v>5366</v>
      </c>
      <c r="B599" t="s">
        <v>2327</v>
      </c>
      <c r="C599">
        <v>385</v>
      </c>
      <c r="D599" t="s">
        <v>2328</v>
      </c>
      <c r="E599" t="s">
        <v>2038</v>
      </c>
      <c r="F599">
        <v>202201</v>
      </c>
      <c r="G599" t="s">
        <v>2170</v>
      </c>
      <c r="H599">
        <v>14.98</v>
      </c>
    </row>
    <row r="600" spans="1:8">
      <c r="A600">
        <v>5366</v>
      </c>
      <c r="B600" t="s">
        <v>2327</v>
      </c>
      <c r="C600">
        <v>385</v>
      </c>
      <c r="D600" t="s">
        <v>2328</v>
      </c>
      <c r="E600" t="s">
        <v>2038</v>
      </c>
      <c r="F600">
        <v>202201</v>
      </c>
      <c r="G600" t="s">
        <v>2173</v>
      </c>
      <c r="H600">
        <v>222665.11</v>
      </c>
    </row>
    <row r="601" spans="1:8">
      <c r="A601">
        <v>5366</v>
      </c>
      <c r="B601" t="s">
        <v>2327</v>
      </c>
      <c r="C601">
        <v>385</v>
      </c>
      <c r="D601" t="s">
        <v>2328</v>
      </c>
      <c r="E601" t="s">
        <v>2038</v>
      </c>
      <c r="F601">
        <v>202202</v>
      </c>
      <c r="G601" t="s">
        <v>190</v>
      </c>
      <c r="H601">
        <v>221579</v>
      </c>
    </row>
    <row r="602" spans="1:8">
      <c r="A602">
        <v>5366</v>
      </c>
      <c r="B602" t="s">
        <v>2327</v>
      </c>
      <c r="C602">
        <v>385</v>
      </c>
      <c r="D602" t="s">
        <v>2328</v>
      </c>
      <c r="E602" t="s">
        <v>2038</v>
      </c>
      <c r="F602">
        <v>202202</v>
      </c>
      <c r="G602" t="s">
        <v>191</v>
      </c>
      <c r="H602">
        <v>29046</v>
      </c>
    </row>
    <row r="603" spans="1:8">
      <c r="A603">
        <v>5366</v>
      </c>
      <c r="B603" t="s">
        <v>2327</v>
      </c>
      <c r="C603">
        <v>385</v>
      </c>
      <c r="D603" t="s">
        <v>2328</v>
      </c>
      <c r="E603" t="s">
        <v>2038</v>
      </c>
      <c r="F603">
        <v>202202</v>
      </c>
      <c r="G603" t="s">
        <v>176</v>
      </c>
      <c r="H603">
        <v>-1789.16</v>
      </c>
    </row>
    <row r="604" spans="1:8">
      <c r="A604">
        <v>5366</v>
      </c>
      <c r="B604" t="s">
        <v>2327</v>
      </c>
      <c r="C604">
        <v>385</v>
      </c>
      <c r="D604" t="s">
        <v>2328</v>
      </c>
      <c r="E604" t="s">
        <v>2038</v>
      </c>
      <c r="F604">
        <v>202202</v>
      </c>
      <c r="G604" t="s">
        <v>178</v>
      </c>
      <c r="H604">
        <v>717.19</v>
      </c>
    </row>
    <row r="605" spans="1:8">
      <c r="A605">
        <v>5366</v>
      </c>
      <c r="B605" t="s">
        <v>2327</v>
      </c>
      <c r="C605">
        <v>385</v>
      </c>
      <c r="D605" t="s">
        <v>2328</v>
      </c>
      <c r="E605" t="s">
        <v>2038</v>
      </c>
      <c r="F605">
        <v>202202</v>
      </c>
      <c r="G605" t="s">
        <v>180</v>
      </c>
      <c r="H605">
        <v>610.34</v>
      </c>
    </row>
    <row r="606" spans="1:8">
      <c r="A606">
        <v>5366</v>
      </c>
      <c r="B606" t="s">
        <v>2327</v>
      </c>
      <c r="C606">
        <v>385</v>
      </c>
      <c r="D606" t="s">
        <v>2328</v>
      </c>
      <c r="E606" t="s">
        <v>2038</v>
      </c>
      <c r="F606">
        <v>202202</v>
      </c>
      <c r="G606" t="s">
        <v>182</v>
      </c>
      <c r="H606">
        <v>247628</v>
      </c>
    </row>
    <row r="607" spans="1:8">
      <c r="A607">
        <v>5366</v>
      </c>
      <c r="B607" t="s">
        <v>2327</v>
      </c>
      <c r="C607">
        <v>385</v>
      </c>
      <c r="D607" t="s">
        <v>2328</v>
      </c>
      <c r="E607" t="s">
        <v>2038</v>
      </c>
      <c r="F607">
        <v>202202</v>
      </c>
      <c r="G607" t="s">
        <v>184</v>
      </c>
      <c r="H607">
        <v>29046</v>
      </c>
    </row>
    <row r="608" spans="1:8">
      <c r="A608">
        <v>5366</v>
      </c>
      <c r="B608" t="s">
        <v>2327</v>
      </c>
      <c r="C608">
        <v>385</v>
      </c>
      <c r="D608" t="s">
        <v>2328</v>
      </c>
      <c r="E608" t="s">
        <v>2038</v>
      </c>
      <c r="F608">
        <v>202202</v>
      </c>
      <c r="G608" t="s">
        <v>192</v>
      </c>
      <c r="H608">
        <v>0</v>
      </c>
    </row>
    <row r="609" spans="1:8">
      <c r="A609">
        <v>5366</v>
      </c>
      <c r="B609" t="s">
        <v>2327</v>
      </c>
      <c r="C609">
        <v>385</v>
      </c>
      <c r="D609" t="s">
        <v>2328</v>
      </c>
      <c r="E609" t="s">
        <v>2038</v>
      </c>
      <c r="F609">
        <v>202202</v>
      </c>
      <c r="G609" t="s">
        <v>2172</v>
      </c>
      <c r="H609">
        <v>5303.17</v>
      </c>
    </row>
    <row r="610" spans="1:8">
      <c r="A610">
        <v>5366</v>
      </c>
      <c r="B610" t="s">
        <v>2327</v>
      </c>
      <c r="C610">
        <v>385</v>
      </c>
      <c r="D610" t="s">
        <v>2328</v>
      </c>
      <c r="E610" t="s">
        <v>2038</v>
      </c>
      <c r="F610">
        <v>202202</v>
      </c>
      <c r="G610" t="s">
        <v>186</v>
      </c>
      <c r="H610">
        <v>26049</v>
      </c>
    </row>
    <row r="611" spans="1:8">
      <c r="A611">
        <v>5366</v>
      </c>
      <c r="B611" t="s">
        <v>2327</v>
      </c>
      <c r="C611">
        <v>385</v>
      </c>
      <c r="D611" t="s">
        <v>2328</v>
      </c>
      <c r="E611" t="s">
        <v>2038</v>
      </c>
      <c r="F611">
        <v>202202</v>
      </c>
      <c r="G611" t="s">
        <v>2171</v>
      </c>
      <c r="H611">
        <v>290.39</v>
      </c>
    </row>
    <row r="612" spans="1:8">
      <c r="A612">
        <v>5366</v>
      </c>
      <c r="B612" t="s">
        <v>2327</v>
      </c>
      <c r="C612">
        <v>385</v>
      </c>
      <c r="D612" t="s">
        <v>2328</v>
      </c>
      <c r="E612" t="s">
        <v>2038</v>
      </c>
      <c r="F612">
        <v>202202</v>
      </c>
      <c r="G612" t="s">
        <v>2168</v>
      </c>
      <c r="H612">
        <v>12.63</v>
      </c>
    </row>
    <row r="613" spans="1:8">
      <c r="A613">
        <v>5366</v>
      </c>
      <c r="B613" t="s">
        <v>2327</v>
      </c>
      <c r="C613">
        <v>385</v>
      </c>
      <c r="D613" t="s">
        <v>2328</v>
      </c>
      <c r="E613" t="s">
        <v>2038</v>
      </c>
      <c r="F613">
        <v>202202</v>
      </c>
      <c r="G613" t="s">
        <v>2169</v>
      </c>
      <c r="H613">
        <v>19.809999999999999</v>
      </c>
    </row>
    <row r="614" spans="1:8">
      <c r="A614">
        <v>5366</v>
      </c>
      <c r="B614" t="s">
        <v>2327</v>
      </c>
      <c r="C614">
        <v>385</v>
      </c>
      <c r="D614" t="s">
        <v>2328</v>
      </c>
      <c r="E614" t="s">
        <v>2038</v>
      </c>
      <c r="F614">
        <v>202202</v>
      </c>
      <c r="G614" t="s">
        <v>2170</v>
      </c>
      <c r="H614">
        <v>14.98</v>
      </c>
    </row>
    <row r="615" spans="1:8">
      <c r="A615">
        <v>5366</v>
      </c>
      <c r="B615" t="s">
        <v>2327</v>
      </c>
      <c r="C615">
        <v>385</v>
      </c>
      <c r="D615" t="s">
        <v>2328</v>
      </c>
      <c r="E615" t="s">
        <v>2038</v>
      </c>
      <c r="F615">
        <v>202202</v>
      </c>
      <c r="G615" t="s">
        <v>2173</v>
      </c>
      <c r="H615">
        <v>101586.48</v>
      </c>
    </row>
    <row r="616" spans="1:8">
      <c r="A616">
        <v>5366</v>
      </c>
      <c r="B616" t="s">
        <v>2327</v>
      </c>
      <c r="C616">
        <v>385</v>
      </c>
      <c r="D616" t="s">
        <v>2328</v>
      </c>
      <c r="E616" t="s">
        <v>2038</v>
      </c>
      <c r="F616">
        <v>202202</v>
      </c>
      <c r="G616" t="s">
        <v>190</v>
      </c>
      <c r="H616">
        <v>345498</v>
      </c>
    </row>
    <row r="617" spans="1:8">
      <c r="A617">
        <v>5366</v>
      </c>
      <c r="B617" t="s">
        <v>2327</v>
      </c>
      <c r="C617">
        <v>385</v>
      </c>
      <c r="D617" t="s">
        <v>2328</v>
      </c>
      <c r="E617" t="s">
        <v>2038</v>
      </c>
      <c r="F617">
        <v>202202</v>
      </c>
      <c r="G617" t="s">
        <v>191</v>
      </c>
      <c r="H617">
        <v>40341</v>
      </c>
    </row>
    <row r="618" spans="1:8">
      <c r="A618">
        <v>5366</v>
      </c>
      <c r="B618" t="s">
        <v>2327</v>
      </c>
      <c r="C618">
        <v>385</v>
      </c>
      <c r="D618" t="s">
        <v>2328</v>
      </c>
      <c r="E618" t="s">
        <v>2038</v>
      </c>
      <c r="F618">
        <v>202202</v>
      </c>
      <c r="G618" t="s">
        <v>176</v>
      </c>
      <c r="H618">
        <v>0</v>
      </c>
    </row>
    <row r="619" spans="1:8">
      <c r="A619">
        <v>5366</v>
      </c>
      <c r="B619" t="s">
        <v>2327</v>
      </c>
      <c r="C619">
        <v>385</v>
      </c>
      <c r="D619" t="s">
        <v>2328</v>
      </c>
      <c r="E619" t="s">
        <v>2038</v>
      </c>
      <c r="F619">
        <v>202202</v>
      </c>
      <c r="G619" t="s">
        <v>178</v>
      </c>
      <c r="H619">
        <v>993.72</v>
      </c>
    </row>
    <row r="620" spans="1:8">
      <c r="A620">
        <v>5366</v>
      </c>
      <c r="B620" t="s">
        <v>2327</v>
      </c>
      <c r="C620">
        <v>385</v>
      </c>
      <c r="D620" t="s">
        <v>2328</v>
      </c>
      <c r="E620" t="s">
        <v>2038</v>
      </c>
      <c r="F620">
        <v>202202</v>
      </c>
      <c r="G620" t="s">
        <v>180</v>
      </c>
      <c r="H620">
        <v>812.28</v>
      </c>
    </row>
    <row r="621" spans="1:8">
      <c r="A621">
        <v>5366</v>
      </c>
      <c r="B621" t="s">
        <v>2327</v>
      </c>
      <c r="C621">
        <v>385</v>
      </c>
      <c r="D621" t="s">
        <v>2328</v>
      </c>
      <c r="E621" t="s">
        <v>2038</v>
      </c>
      <c r="F621">
        <v>202202</v>
      </c>
      <c r="G621" t="s">
        <v>182</v>
      </c>
      <c r="H621">
        <v>345498</v>
      </c>
    </row>
    <row r="622" spans="1:8">
      <c r="A622">
        <v>5366</v>
      </c>
      <c r="B622" t="s">
        <v>2327</v>
      </c>
      <c r="C622">
        <v>385</v>
      </c>
      <c r="D622" t="s">
        <v>2328</v>
      </c>
      <c r="E622" t="s">
        <v>2038</v>
      </c>
      <c r="F622">
        <v>202202</v>
      </c>
      <c r="G622" t="s">
        <v>184</v>
      </c>
      <c r="H622">
        <v>40341</v>
      </c>
    </row>
    <row r="623" spans="1:8">
      <c r="A623">
        <v>5366</v>
      </c>
      <c r="B623" t="s">
        <v>2327</v>
      </c>
      <c r="C623">
        <v>385</v>
      </c>
      <c r="D623" t="s">
        <v>2328</v>
      </c>
      <c r="E623" t="s">
        <v>2038</v>
      </c>
      <c r="F623">
        <v>202202</v>
      </c>
      <c r="G623" t="s">
        <v>192</v>
      </c>
      <c r="H623">
        <v>0</v>
      </c>
    </row>
    <row r="624" spans="1:8">
      <c r="A624">
        <v>5366</v>
      </c>
      <c r="B624" t="s">
        <v>2327</v>
      </c>
      <c r="C624">
        <v>385</v>
      </c>
      <c r="D624" t="s">
        <v>2328</v>
      </c>
      <c r="E624" t="s">
        <v>2038</v>
      </c>
      <c r="F624">
        <v>202202</v>
      </c>
      <c r="G624" t="s">
        <v>2172</v>
      </c>
      <c r="H624">
        <v>7919.18</v>
      </c>
    </row>
    <row r="625" spans="1:8">
      <c r="A625">
        <v>5366</v>
      </c>
      <c r="B625" t="s">
        <v>2327</v>
      </c>
      <c r="C625">
        <v>385</v>
      </c>
      <c r="D625" t="s">
        <v>2328</v>
      </c>
      <c r="E625" t="s">
        <v>2038</v>
      </c>
      <c r="F625">
        <v>202202</v>
      </c>
      <c r="G625" t="s">
        <v>186</v>
      </c>
      <c r="H625">
        <v>0</v>
      </c>
    </row>
    <row r="626" spans="1:8">
      <c r="A626">
        <v>5366</v>
      </c>
      <c r="B626" t="s">
        <v>2327</v>
      </c>
      <c r="C626">
        <v>385</v>
      </c>
      <c r="D626" t="s">
        <v>2328</v>
      </c>
      <c r="E626" t="s">
        <v>2038</v>
      </c>
      <c r="F626">
        <v>202202</v>
      </c>
      <c r="G626" t="s">
        <v>2171</v>
      </c>
      <c r="H626">
        <v>290.39</v>
      </c>
    </row>
    <row r="627" spans="1:8">
      <c r="A627">
        <v>5366</v>
      </c>
      <c r="B627" t="s">
        <v>2327</v>
      </c>
      <c r="C627">
        <v>385</v>
      </c>
      <c r="D627" t="s">
        <v>2328</v>
      </c>
      <c r="E627" t="s">
        <v>2038</v>
      </c>
      <c r="F627">
        <v>202202</v>
      </c>
      <c r="G627" t="s">
        <v>2168</v>
      </c>
      <c r="H627">
        <v>12.63</v>
      </c>
    </row>
    <row r="628" spans="1:8">
      <c r="A628">
        <v>5366</v>
      </c>
      <c r="B628" t="s">
        <v>2327</v>
      </c>
      <c r="C628">
        <v>385</v>
      </c>
      <c r="D628" t="s">
        <v>2328</v>
      </c>
      <c r="E628" t="s">
        <v>2038</v>
      </c>
      <c r="F628">
        <v>202202</v>
      </c>
      <c r="G628" t="s">
        <v>2169</v>
      </c>
      <c r="H628">
        <v>19.809999999999999</v>
      </c>
    </row>
    <row r="629" spans="1:8">
      <c r="A629">
        <v>5366</v>
      </c>
      <c r="B629" t="s">
        <v>2327</v>
      </c>
      <c r="C629">
        <v>385</v>
      </c>
      <c r="D629" t="s">
        <v>2328</v>
      </c>
      <c r="E629" t="s">
        <v>2038</v>
      </c>
      <c r="F629">
        <v>202202</v>
      </c>
      <c r="G629" t="s">
        <v>2170</v>
      </c>
      <c r="H629">
        <v>14.98</v>
      </c>
    </row>
    <row r="630" spans="1:8">
      <c r="A630">
        <v>5366</v>
      </c>
      <c r="B630" t="s">
        <v>2327</v>
      </c>
      <c r="C630">
        <v>385</v>
      </c>
      <c r="D630" t="s">
        <v>2328</v>
      </c>
      <c r="E630" t="s">
        <v>2038</v>
      </c>
      <c r="F630">
        <v>202202</v>
      </c>
      <c r="G630" t="s">
        <v>2173</v>
      </c>
      <c r="H630">
        <v>154385.56</v>
      </c>
    </row>
    <row r="631" spans="1:8">
      <c r="A631">
        <v>5366</v>
      </c>
      <c r="B631" t="s">
        <v>2327</v>
      </c>
      <c r="C631">
        <v>385</v>
      </c>
      <c r="D631" t="s">
        <v>2328</v>
      </c>
      <c r="E631" t="s">
        <v>2038</v>
      </c>
      <c r="F631">
        <v>202202</v>
      </c>
      <c r="G631" t="s">
        <v>190</v>
      </c>
      <c r="H631">
        <v>86784</v>
      </c>
    </row>
    <row r="632" spans="1:8">
      <c r="A632">
        <v>5366</v>
      </c>
      <c r="B632" t="s">
        <v>2327</v>
      </c>
      <c r="C632">
        <v>385</v>
      </c>
      <c r="D632" t="s">
        <v>2328</v>
      </c>
      <c r="E632" t="s">
        <v>2038</v>
      </c>
      <c r="F632">
        <v>202202</v>
      </c>
      <c r="G632" t="s">
        <v>191</v>
      </c>
      <c r="H632">
        <v>10350</v>
      </c>
    </row>
    <row r="633" spans="1:8">
      <c r="A633">
        <v>5366</v>
      </c>
      <c r="B633" t="s">
        <v>2327</v>
      </c>
      <c r="C633">
        <v>385</v>
      </c>
      <c r="D633" t="s">
        <v>2328</v>
      </c>
      <c r="E633" t="s">
        <v>2038</v>
      </c>
      <c r="F633">
        <v>202202</v>
      </c>
      <c r="G633" t="s">
        <v>176</v>
      </c>
      <c r="H633">
        <v>-1889.04</v>
      </c>
    </row>
    <row r="634" spans="1:8">
      <c r="A634">
        <v>5366</v>
      </c>
      <c r="B634" t="s">
        <v>2327</v>
      </c>
      <c r="C634">
        <v>385</v>
      </c>
      <c r="D634" t="s">
        <v>2328</v>
      </c>
      <c r="E634" t="s">
        <v>2038</v>
      </c>
      <c r="F634">
        <v>202202</v>
      </c>
      <c r="G634" t="s">
        <v>178</v>
      </c>
      <c r="H634">
        <v>329.11</v>
      </c>
    </row>
    <row r="635" spans="1:8">
      <c r="A635">
        <v>5366</v>
      </c>
      <c r="B635" t="s">
        <v>2327</v>
      </c>
      <c r="C635">
        <v>385</v>
      </c>
      <c r="D635" t="s">
        <v>2328</v>
      </c>
      <c r="E635" t="s">
        <v>2038</v>
      </c>
      <c r="F635">
        <v>202202</v>
      </c>
      <c r="G635" t="s">
        <v>180</v>
      </c>
      <c r="H635">
        <v>254.01</v>
      </c>
    </row>
    <row r="636" spans="1:8">
      <c r="A636">
        <v>5366</v>
      </c>
      <c r="B636" t="s">
        <v>2327</v>
      </c>
      <c r="C636">
        <v>385</v>
      </c>
      <c r="D636" t="s">
        <v>2328</v>
      </c>
      <c r="E636" t="s">
        <v>2038</v>
      </c>
      <c r="F636">
        <v>202202</v>
      </c>
      <c r="G636" t="s">
        <v>182</v>
      </c>
      <c r="H636">
        <v>86784</v>
      </c>
    </row>
    <row r="637" spans="1:8">
      <c r="A637">
        <v>5366</v>
      </c>
      <c r="B637" t="s">
        <v>2327</v>
      </c>
      <c r="C637">
        <v>385</v>
      </c>
      <c r="D637" t="s">
        <v>2328</v>
      </c>
      <c r="E637" t="s">
        <v>2038</v>
      </c>
      <c r="F637">
        <v>202202</v>
      </c>
      <c r="G637" t="s">
        <v>184</v>
      </c>
      <c r="H637">
        <v>10350</v>
      </c>
    </row>
    <row r="638" spans="1:8">
      <c r="A638">
        <v>5366</v>
      </c>
      <c r="B638" t="s">
        <v>2327</v>
      </c>
      <c r="C638">
        <v>385</v>
      </c>
      <c r="D638" t="s">
        <v>2328</v>
      </c>
      <c r="E638" t="s">
        <v>2038</v>
      </c>
      <c r="F638">
        <v>202202</v>
      </c>
      <c r="G638" t="s">
        <v>192</v>
      </c>
      <c r="H638">
        <v>0</v>
      </c>
    </row>
    <row r="639" spans="1:8">
      <c r="A639">
        <v>5366</v>
      </c>
      <c r="B639" t="s">
        <v>2327</v>
      </c>
      <c r="C639">
        <v>385</v>
      </c>
      <c r="D639" t="s">
        <v>2328</v>
      </c>
      <c r="E639" t="s">
        <v>2038</v>
      </c>
      <c r="F639">
        <v>202202</v>
      </c>
      <c r="G639" t="s">
        <v>2172</v>
      </c>
      <c r="H639">
        <v>2123.9899999999998</v>
      </c>
    </row>
    <row r="640" spans="1:8">
      <c r="A640">
        <v>5366</v>
      </c>
      <c r="B640" t="s">
        <v>2327</v>
      </c>
      <c r="C640">
        <v>385</v>
      </c>
      <c r="D640" t="s">
        <v>2328</v>
      </c>
      <c r="E640" t="s">
        <v>2038</v>
      </c>
      <c r="F640">
        <v>202202</v>
      </c>
      <c r="G640" t="s">
        <v>2171</v>
      </c>
      <c r="H640">
        <v>290.39</v>
      </c>
    </row>
    <row r="641" spans="1:8">
      <c r="A641">
        <v>5366</v>
      </c>
      <c r="B641" t="s">
        <v>2327</v>
      </c>
      <c r="C641">
        <v>385</v>
      </c>
      <c r="D641" t="s">
        <v>2328</v>
      </c>
      <c r="E641" t="s">
        <v>2038</v>
      </c>
      <c r="F641">
        <v>202202</v>
      </c>
      <c r="G641" t="s">
        <v>2168</v>
      </c>
      <c r="H641">
        <v>12.63</v>
      </c>
    </row>
    <row r="642" spans="1:8">
      <c r="A642">
        <v>5366</v>
      </c>
      <c r="B642" t="s">
        <v>2327</v>
      </c>
      <c r="C642">
        <v>385</v>
      </c>
      <c r="D642" t="s">
        <v>2328</v>
      </c>
      <c r="E642" t="s">
        <v>2038</v>
      </c>
      <c r="F642">
        <v>202202</v>
      </c>
      <c r="G642" t="s">
        <v>2169</v>
      </c>
      <c r="H642">
        <v>19.809999999999999</v>
      </c>
    </row>
    <row r="643" spans="1:8">
      <c r="A643">
        <v>5366</v>
      </c>
      <c r="B643" t="s">
        <v>2327</v>
      </c>
      <c r="C643">
        <v>385</v>
      </c>
      <c r="D643" t="s">
        <v>2328</v>
      </c>
      <c r="E643" t="s">
        <v>2038</v>
      </c>
      <c r="F643">
        <v>202202</v>
      </c>
      <c r="G643" t="s">
        <v>2170</v>
      </c>
      <c r="H643">
        <v>14.98</v>
      </c>
    </row>
    <row r="644" spans="1:8">
      <c r="A644">
        <v>5366</v>
      </c>
      <c r="B644" t="s">
        <v>2327</v>
      </c>
      <c r="C644">
        <v>385</v>
      </c>
      <c r="D644" t="s">
        <v>2328</v>
      </c>
      <c r="E644" t="s">
        <v>2038</v>
      </c>
      <c r="F644">
        <v>202202</v>
      </c>
      <c r="G644" t="s">
        <v>2173</v>
      </c>
      <c r="H644">
        <v>39514.04</v>
      </c>
    </row>
    <row r="645" spans="1:8">
      <c r="A645">
        <v>5366</v>
      </c>
      <c r="B645" t="s">
        <v>2327</v>
      </c>
      <c r="C645">
        <v>385</v>
      </c>
      <c r="D645" t="s">
        <v>2328</v>
      </c>
      <c r="E645" t="s">
        <v>2038</v>
      </c>
      <c r="F645">
        <v>202202</v>
      </c>
      <c r="G645" t="s">
        <v>190</v>
      </c>
      <c r="H645">
        <v>160875</v>
      </c>
    </row>
    <row r="646" spans="1:8">
      <c r="A646">
        <v>5366</v>
      </c>
      <c r="B646" t="s">
        <v>2327</v>
      </c>
      <c r="C646">
        <v>385</v>
      </c>
      <c r="D646" t="s">
        <v>2328</v>
      </c>
      <c r="E646" t="s">
        <v>2038</v>
      </c>
      <c r="F646">
        <v>202202</v>
      </c>
      <c r="G646" t="s">
        <v>191</v>
      </c>
      <c r="H646">
        <v>17536</v>
      </c>
    </row>
    <row r="647" spans="1:8">
      <c r="A647">
        <v>5366</v>
      </c>
      <c r="B647" t="s">
        <v>2327</v>
      </c>
      <c r="C647">
        <v>385</v>
      </c>
      <c r="D647" t="s">
        <v>2328</v>
      </c>
      <c r="E647" t="s">
        <v>2038</v>
      </c>
      <c r="F647">
        <v>202202</v>
      </c>
      <c r="G647" t="s">
        <v>176</v>
      </c>
      <c r="H647">
        <v>0</v>
      </c>
    </row>
    <row r="648" spans="1:8">
      <c r="A648">
        <v>5366</v>
      </c>
      <c r="B648" t="s">
        <v>2327</v>
      </c>
      <c r="C648">
        <v>385</v>
      </c>
      <c r="D648" t="s">
        <v>2328</v>
      </c>
      <c r="E648" t="s">
        <v>2038</v>
      </c>
      <c r="F648">
        <v>202202</v>
      </c>
      <c r="G648" t="s">
        <v>178</v>
      </c>
      <c r="H648">
        <v>449.23</v>
      </c>
    </row>
    <row r="649" spans="1:8">
      <c r="A649">
        <v>5366</v>
      </c>
      <c r="B649" t="s">
        <v>2327</v>
      </c>
      <c r="C649">
        <v>385</v>
      </c>
      <c r="D649" t="s">
        <v>2328</v>
      </c>
      <c r="E649" t="s">
        <v>2038</v>
      </c>
      <c r="F649">
        <v>202202</v>
      </c>
      <c r="G649" t="s">
        <v>180</v>
      </c>
      <c r="H649">
        <v>362.88</v>
      </c>
    </row>
    <row r="650" spans="1:8">
      <c r="A650">
        <v>5366</v>
      </c>
      <c r="B650" t="s">
        <v>2327</v>
      </c>
      <c r="C650">
        <v>385</v>
      </c>
      <c r="D650" t="s">
        <v>2328</v>
      </c>
      <c r="E650" t="s">
        <v>2038</v>
      </c>
      <c r="F650">
        <v>202202</v>
      </c>
      <c r="G650" t="s">
        <v>182</v>
      </c>
      <c r="H650">
        <v>160875</v>
      </c>
    </row>
    <row r="651" spans="1:8">
      <c r="A651">
        <v>5366</v>
      </c>
      <c r="B651" t="s">
        <v>2327</v>
      </c>
      <c r="C651">
        <v>385</v>
      </c>
      <c r="D651" t="s">
        <v>2328</v>
      </c>
      <c r="E651" t="s">
        <v>2038</v>
      </c>
      <c r="F651">
        <v>202202</v>
      </c>
      <c r="G651" t="s">
        <v>184</v>
      </c>
      <c r="H651">
        <v>17536</v>
      </c>
    </row>
    <row r="652" spans="1:8">
      <c r="A652">
        <v>5366</v>
      </c>
      <c r="B652" t="s">
        <v>2327</v>
      </c>
      <c r="C652">
        <v>385</v>
      </c>
      <c r="D652" t="s">
        <v>2328</v>
      </c>
      <c r="E652" t="s">
        <v>2038</v>
      </c>
      <c r="F652">
        <v>202202</v>
      </c>
      <c r="G652" t="s">
        <v>192</v>
      </c>
      <c r="H652">
        <v>0</v>
      </c>
    </row>
    <row r="653" spans="1:8">
      <c r="A653">
        <v>5366</v>
      </c>
      <c r="B653" t="s">
        <v>2327</v>
      </c>
      <c r="C653">
        <v>385</v>
      </c>
      <c r="D653" t="s">
        <v>2328</v>
      </c>
      <c r="E653" t="s">
        <v>2038</v>
      </c>
      <c r="F653">
        <v>202202</v>
      </c>
      <c r="G653" t="s">
        <v>2172</v>
      </c>
      <c r="H653">
        <v>3641.54</v>
      </c>
    </row>
    <row r="654" spans="1:8">
      <c r="A654">
        <v>5366</v>
      </c>
      <c r="B654" t="s">
        <v>2327</v>
      </c>
      <c r="C654">
        <v>385</v>
      </c>
      <c r="D654" t="s">
        <v>2328</v>
      </c>
      <c r="E654" t="s">
        <v>2038</v>
      </c>
      <c r="F654">
        <v>202202</v>
      </c>
      <c r="G654" t="s">
        <v>186</v>
      </c>
      <c r="H654">
        <v>0</v>
      </c>
    </row>
    <row r="655" spans="1:8">
      <c r="A655">
        <v>5366</v>
      </c>
      <c r="B655" t="s">
        <v>2327</v>
      </c>
      <c r="C655">
        <v>385</v>
      </c>
      <c r="D655" t="s">
        <v>2328</v>
      </c>
      <c r="E655" t="s">
        <v>2038</v>
      </c>
      <c r="F655">
        <v>202202</v>
      </c>
      <c r="G655" t="s">
        <v>2171</v>
      </c>
      <c r="H655">
        <v>290.39</v>
      </c>
    </row>
    <row r="656" spans="1:8">
      <c r="A656">
        <v>5366</v>
      </c>
      <c r="B656" t="s">
        <v>2327</v>
      </c>
      <c r="C656">
        <v>385</v>
      </c>
      <c r="D656" t="s">
        <v>2328</v>
      </c>
      <c r="E656" t="s">
        <v>2038</v>
      </c>
      <c r="F656">
        <v>202202</v>
      </c>
      <c r="G656" t="s">
        <v>2168</v>
      </c>
      <c r="H656">
        <v>12.63</v>
      </c>
    </row>
    <row r="657" spans="1:8">
      <c r="A657">
        <v>5366</v>
      </c>
      <c r="B657" t="s">
        <v>2327</v>
      </c>
      <c r="C657">
        <v>385</v>
      </c>
      <c r="D657" t="s">
        <v>2328</v>
      </c>
      <c r="E657" t="s">
        <v>2038</v>
      </c>
      <c r="F657">
        <v>202202</v>
      </c>
      <c r="G657" t="s">
        <v>2169</v>
      </c>
      <c r="H657">
        <v>19.809999999999999</v>
      </c>
    </row>
    <row r="658" spans="1:8">
      <c r="A658">
        <v>5366</v>
      </c>
      <c r="B658" t="s">
        <v>2327</v>
      </c>
      <c r="C658">
        <v>385</v>
      </c>
      <c r="D658" t="s">
        <v>2328</v>
      </c>
      <c r="E658" t="s">
        <v>2038</v>
      </c>
      <c r="F658">
        <v>202202</v>
      </c>
      <c r="G658" t="s">
        <v>2170</v>
      </c>
      <c r="H658">
        <v>14.98</v>
      </c>
    </row>
    <row r="659" spans="1:8">
      <c r="A659">
        <v>5366</v>
      </c>
      <c r="B659" t="s">
        <v>2327</v>
      </c>
      <c r="C659">
        <v>385</v>
      </c>
      <c r="D659" t="s">
        <v>2328</v>
      </c>
      <c r="E659" t="s">
        <v>2038</v>
      </c>
      <c r="F659">
        <v>202202</v>
      </c>
      <c r="G659" t="s">
        <v>2173</v>
      </c>
      <c r="H659">
        <v>70985.3</v>
      </c>
    </row>
    <row r="660" spans="1:8">
      <c r="A660">
        <v>5366</v>
      </c>
      <c r="B660" t="s">
        <v>2327</v>
      </c>
      <c r="C660">
        <v>385</v>
      </c>
      <c r="D660" t="s">
        <v>2328</v>
      </c>
      <c r="E660" t="s">
        <v>2038</v>
      </c>
      <c r="F660">
        <v>202202</v>
      </c>
      <c r="G660" t="s">
        <v>190</v>
      </c>
      <c r="H660">
        <v>403582</v>
      </c>
    </row>
    <row r="661" spans="1:8">
      <c r="A661">
        <v>5366</v>
      </c>
      <c r="B661" t="s">
        <v>2327</v>
      </c>
      <c r="C661">
        <v>385</v>
      </c>
      <c r="D661" t="s">
        <v>2328</v>
      </c>
      <c r="E661" t="s">
        <v>2038</v>
      </c>
      <c r="F661">
        <v>202202</v>
      </c>
      <c r="G661" t="s">
        <v>191</v>
      </c>
      <c r="H661">
        <v>18427</v>
      </c>
    </row>
    <row r="662" spans="1:8">
      <c r="A662">
        <v>5366</v>
      </c>
      <c r="B662" t="s">
        <v>2327</v>
      </c>
      <c r="C662">
        <v>385</v>
      </c>
      <c r="D662" t="s">
        <v>2328</v>
      </c>
      <c r="E662" t="s">
        <v>2038</v>
      </c>
      <c r="F662">
        <v>202202</v>
      </c>
      <c r="G662" t="s">
        <v>176</v>
      </c>
      <c r="H662">
        <v>-4933.45</v>
      </c>
    </row>
    <row r="663" spans="1:8">
      <c r="A663">
        <v>5366</v>
      </c>
      <c r="B663" t="s">
        <v>2327</v>
      </c>
      <c r="C663">
        <v>385</v>
      </c>
      <c r="D663" t="s">
        <v>2328</v>
      </c>
      <c r="E663" t="s">
        <v>2038</v>
      </c>
      <c r="F663">
        <v>202202</v>
      </c>
      <c r="G663" t="s">
        <v>178</v>
      </c>
      <c r="H663">
        <v>2399.04</v>
      </c>
    </row>
    <row r="664" spans="1:8">
      <c r="A664">
        <v>5366</v>
      </c>
      <c r="B664" t="s">
        <v>2327</v>
      </c>
      <c r="C664">
        <v>385</v>
      </c>
      <c r="D664" t="s">
        <v>2328</v>
      </c>
      <c r="E664" t="s">
        <v>2038</v>
      </c>
      <c r="F664">
        <v>202202</v>
      </c>
      <c r="G664" t="s">
        <v>180</v>
      </c>
      <c r="H664">
        <v>2207.7600000000002</v>
      </c>
    </row>
    <row r="665" spans="1:8">
      <c r="A665">
        <v>5366</v>
      </c>
      <c r="B665" t="s">
        <v>2327</v>
      </c>
      <c r="C665">
        <v>385</v>
      </c>
      <c r="D665" t="s">
        <v>2328</v>
      </c>
      <c r="E665" t="s">
        <v>2038</v>
      </c>
      <c r="F665">
        <v>202202</v>
      </c>
      <c r="G665" t="s">
        <v>182</v>
      </c>
      <c r="H665">
        <v>1271939</v>
      </c>
    </row>
    <row r="666" spans="1:8">
      <c r="A666">
        <v>5366</v>
      </c>
      <c r="B666" t="s">
        <v>2327</v>
      </c>
      <c r="C666">
        <v>385</v>
      </c>
      <c r="D666" t="s">
        <v>2328</v>
      </c>
      <c r="E666" t="s">
        <v>2038</v>
      </c>
      <c r="F666">
        <v>202202</v>
      </c>
      <c r="G666" t="s">
        <v>184</v>
      </c>
      <c r="H666">
        <v>102047</v>
      </c>
    </row>
    <row r="667" spans="1:8">
      <c r="A667">
        <v>5366</v>
      </c>
      <c r="B667" t="s">
        <v>2327</v>
      </c>
      <c r="C667">
        <v>385</v>
      </c>
      <c r="D667" t="s">
        <v>2328</v>
      </c>
      <c r="E667" t="s">
        <v>2038</v>
      </c>
      <c r="F667">
        <v>202202</v>
      </c>
      <c r="G667" t="s">
        <v>192</v>
      </c>
      <c r="H667">
        <v>0</v>
      </c>
    </row>
    <row r="668" spans="1:8">
      <c r="A668">
        <v>5366</v>
      </c>
      <c r="B668" t="s">
        <v>2327</v>
      </c>
      <c r="C668">
        <v>385</v>
      </c>
      <c r="D668" t="s">
        <v>2328</v>
      </c>
      <c r="E668" t="s">
        <v>2038</v>
      </c>
      <c r="F668">
        <v>202202</v>
      </c>
      <c r="G668" t="s">
        <v>2172</v>
      </c>
      <c r="H668">
        <v>11744.02</v>
      </c>
    </row>
    <row r="669" spans="1:8">
      <c r="A669">
        <v>5366</v>
      </c>
      <c r="B669" t="s">
        <v>2327</v>
      </c>
      <c r="C669">
        <v>385</v>
      </c>
      <c r="D669" t="s">
        <v>2328</v>
      </c>
      <c r="E669" t="s">
        <v>2038</v>
      </c>
      <c r="F669">
        <v>202202</v>
      </c>
      <c r="G669" t="s">
        <v>186</v>
      </c>
      <c r="H669">
        <v>0</v>
      </c>
    </row>
    <row r="670" spans="1:8">
      <c r="A670">
        <v>5366</v>
      </c>
      <c r="B670" t="s">
        <v>2327</v>
      </c>
      <c r="C670">
        <v>385</v>
      </c>
      <c r="D670" t="s">
        <v>2328</v>
      </c>
      <c r="E670" t="s">
        <v>2038</v>
      </c>
      <c r="F670">
        <v>202202</v>
      </c>
      <c r="G670" t="s">
        <v>2171</v>
      </c>
      <c r="H670">
        <v>290.39</v>
      </c>
    </row>
    <row r="671" spans="1:8">
      <c r="A671">
        <v>5366</v>
      </c>
      <c r="B671" t="s">
        <v>2327</v>
      </c>
      <c r="C671">
        <v>385</v>
      </c>
      <c r="D671" t="s">
        <v>2328</v>
      </c>
      <c r="E671" t="s">
        <v>2038</v>
      </c>
      <c r="F671">
        <v>202202</v>
      </c>
      <c r="G671" t="s">
        <v>2168</v>
      </c>
      <c r="H671">
        <v>12.63</v>
      </c>
    </row>
    <row r="672" spans="1:8">
      <c r="A672">
        <v>5366</v>
      </c>
      <c r="B672" t="s">
        <v>2327</v>
      </c>
      <c r="C672">
        <v>385</v>
      </c>
      <c r="D672" t="s">
        <v>2328</v>
      </c>
      <c r="E672" t="s">
        <v>2038</v>
      </c>
      <c r="F672">
        <v>202202</v>
      </c>
      <c r="G672" t="s">
        <v>2169</v>
      </c>
      <c r="H672">
        <v>19.809999999999999</v>
      </c>
    </row>
    <row r="673" spans="1:8">
      <c r="A673">
        <v>5366</v>
      </c>
      <c r="B673" t="s">
        <v>2327</v>
      </c>
      <c r="C673">
        <v>385</v>
      </c>
      <c r="D673" t="s">
        <v>2328</v>
      </c>
      <c r="E673" t="s">
        <v>2038</v>
      </c>
      <c r="F673">
        <v>202202</v>
      </c>
      <c r="G673" t="s">
        <v>2170</v>
      </c>
      <c r="H673">
        <v>14.98</v>
      </c>
    </row>
    <row r="674" spans="1:8">
      <c r="A674">
        <v>5366</v>
      </c>
      <c r="B674" t="s">
        <v>2327</v>
      </c>
      <c r="C674">
        <v>385</v>
      </c>
      <c r="D674" t="s">
        <v>2328</v>
      </c>
      <c r="E674" t="s">
        <v>2038</v>
      </c>
      <c r="F674">
        <v>202202</v>
      </c>
      <c r="G674" t="s">
        <v>2173</v>
      </c>
      <c r="H674">
        <v>223994.27</v>
      </c>
    </row>
    <row r="675" spans="1:8">
      <c r="A675">
        <v>5366</v>
      </c>
      <c r="B675" t="s">
        <v>2327</v>
      </c>
      <c r="C675">
        <v>385</v>
      </c>
      <c r="D675" t="s">
        <v>2328</v>
      </c>
      <c r="E675" t="s">
        <v>2038</v>
      </c>
      <c r="F675">
        <v>202203</v>
      </c>
      <c r="G675" t="s">
        <v>190</v>
      </c>
      <c r="H675">
        <v>142583</v>
      </c>
    </row>
    <row r="676" spans="1:8">
      <c r="A676">
        <v>5366</v>
      </c>
      <c r="B676" t="s">
        <v>2327</v>
      </c>
      <c r="C676">
        <v>385</v>
      </c>
      <c r="D676" t="s">
        <v>2328</v>
      </c>
      <c r="E676" t="s">
        <v>2038</v>
      </c>
      <c r="F676">
        <v>202203</v>
      </c>
      <c r="G676" t="s">
        <v>191</v>
      </c>
      <c r="H676">
        <v>16313</v>
      </c>
    </row>
    <row r="677" spans="1:8">
      <c r="A677">
        <v>5366</v>
      </c>
      <c r="B677" t="s">
        <v>2327</v>
      </c>
      <c r="C677">
        <v>385</v>
      </c>
      <c r="D677" t="s">
        <v>2328</v>
      </c>
      <c r="E677" t="s">
        <v>2038</v>
      </c>
      <c r="F677">
        <v>202203</v>
      </c>
      <c r="G677" t="s">
        <v>176</v>
      </c>
      <c r="H677">
        <v>0</v>
      </c>
    </row>
    <row r="678" spans="1:8">
      <c r="A678">
        <v>5366</v>
      </c>
      <c r="B678" t="s">
        <v>2327</v>
      </c>
      <c r="C678">
        <v>385</v>
      </c>
      <c r="D678" t="s">
        <v>2328</v>
      </c>
      <c r="E678" t="s">
        <v>2038</v>
      </c>
      <c r="F678">
        <v>202203</v>
      </c>
      <c r="G678" t="s">
        <v>178</v>
      </c>
      <c r="H678">
        <v>402.86</v>
      </c>
    </row>
    <row r="679" spans="1:8">
      <c r="A679">
        <v>5366</v>
      </c>
      <c r="B679" t="s">
        <v>2327</v>
      </c>
      <c r="C679">
        <v>385</v>
      </c>
      <c r="D679" t="s">
        <v>2328</v>
      </c>
      <c r="E679" t="s">
        <v>2038</v>
      </c>
      <c r="F679">
        <v>202203</v>
      </c>
      <c r="G679" t="s">
        <v>180</v>
      </c>
      <c r="H679">
        <v>405.55</v>
      </c>
    </row>
    <row r="680" spans="1:8">
      <c r="A680">
        <v>5366</v>
      </c>
      <c r="B680" t="s">
        <v>2327</v>
      </c>
      <c r="C680">
        <v>385</v>
      </c>
      <c r="D680" t="s">
        <v>2328</v>
      </c>
      <c r="E680" t="s">
        <v>2038</v>
      </c>
      <c r="F680">
        <v>202203</v>
      </c>
      <c r="G680" t="s">
        <v>182</v>
      </c>
      <c r="H680">
        <v>142583</v>
      </c>
    </row>
    <row r="681" spans="1:8">
      <c r="A681">
        <v>5366</v>
      </c>
      <c r="B681" t="s">
        <v>2327</v>
      </c>
      <c r="C681">
        <v>385</v>
      </c>
      <c r="D681" t="s">
        <v>2328</v>
      </c>
      <c r="E681" t="s">
        <v>2038</v>
      </c>
      <c r="F681">
        <v>202203</v>
      </c>
      <c r="G681" t="s">
        <v>184</v>
      </c>
      <c r="H681">
        <v>16313</v>
      </c>
    </row>
    <row r="682" spans="1:8">
      <c r="A682">
        <v>5366</v>
      </c>
      <c r="B682" t="s">
        <v>2327</v>
      </c>
      <c r="C682">
        <v>385</v>
      </c>
      <c r="D682" t="s">
        <v>2328</v>
      </c>
      <c r="E682" t="s">
        <v>2038</v>
      </c>
      <c r="F682">
        <v>202203</v>
      </c>
      <c r="G682" t="s">
        <v>192</v>
      </c>
      <c r="H682">
        <v>0</v>
      </c>
    </row>
    <row r="683" spans="1:8">
      <c r="A683">
        <v>5366</v>
      </c>
      <c r="B683" t="s">
        <v>2327</v>
      </c>
      <c r="C683">
        <v>385</v>
      </c>
      <c r="D683" t="s">
        <v>2328</v>
      </c>
      <c r="E683" t="s">
        <v>2038</v>
      </c>
      <c r="F683">
        <v>202203</v>
      </c>
      <c r="G683" t="s">
        <v>2172</v>
      </c>
      <c r="H683">
        <v>3388.18</v>
      </c>
    </row>
    <row r="684" spans="1:8">
      <c r="A684">
        <v>5366</v>
      </c>
      <c r="B684" t="s">
        <v>2327</v>
      </c>
      <c r="C684">
        <v>385</v>
      </c>
      <c r="D684" t="s">
        <v>2328</v>
      </c>
      <c r="E684" t="s">
        <v>2038</v>
      </c>
      <c r="F684">
        <v>202203</v>
      </c>
      <c r="G684" t="s">
        <v>186</v>
      </c>
      <c r="H684">
        <v>0</v>
      </c>
    </row>
    <row r="685" spans="1:8">
      <c r="A685">
        <v>5366</v>
      </c>
      <c r="B685" t="s">
        <v>2327</v>
      </c>
      <c r="C685">
        <v>385</v>
      </c>
      <c r="D685" t="s">
        <v>2328</v>
      </c>
      <c r="E685" t="s">
        <v>2038</v>
      </c>
      <c r="F685">
        <v>202203</v>
      </c>
      <c r="G685" t="s">
        <v>2171</v>
      </c>
      <c r="H685">
        <v>290.39</v>
      </c>
    </row>
    <row r="686" spans="1:8">
      <c r="A686">
        <v>5366</v>
      </c>
      <c r="B686" t="s">
        <v>2327</v>
      </c>
      <c r="C686">
        <v>385</v>
      </c>
      <c r="D686" t="s">
        <v>2328</v>
      </c>
      <c r="E686" t="s">
        <v>2038</v>
      </c>
      <c r="F686">
        <v>202203</v>
      </c>
      <c r="G686" t="s">
        <v>2168</v>
      </c>
      <c r="H686">
        <v>12.63</v>
      </c>
    </row>
    <row r="687" spans="1:8">
      <c r="A687">
        <v>5366</v>
      </c>
      <c r="B687" t="s">
        <v>2327</v>
      </c>
      <c r="C687">
        <v>385</v>
      </c>
      <c r="D687" t="s">
        <v>2328</v>
      </c>
      <c r="E687" t="s">
        <v>2038</v>
      </c>
      <c r="F687">
        <v>202203</v>
      </c>
      <c r="G687" t="s">
        <v>2169</v>
      </c>
      <c r="H687">
        <v>19.809999999999999</v>
      </c>
    </row>
    <row r="688" spans="1:8">
      <c r="A688">
        <v>5366</v>
      </c>
      <c r="B688" t="s">
        <v>2327</v>
      </c>
      <c r="C688">
        <v>385</v>
      </c>
      <c r="D688" t="s">
        <v>2328</v>
      </c>
      <c r="E688" t="s">
        <v>2038</v>
      </c>
      <c r="F688">
        <v>202203</v>
      </c>
      <c r="G688" t="s">
        <v>2170</v>
      </c>
      <c r="H688">
        <v>14.98</v>
      </c>
    </row>
    <row r="689" spans="1:8">
      <c r="A689">
        <v>5366</v>
      </c>
      <c r="B689" t="s">
        <v>2327</v>
      </c>
      <c r="C689">
        <v>385</v>
      </c>
      <c r="D689" t="s">
        <v>2328</v>
      </c>
      <c r="E689" t="s">
        <v>2038</v>
      </c>
      <c r="F689">
        <v>202203</v>
      </c>
      <c r="G689" t="s">
        <v>2173</v>
      </c>
      <c r="H689">
        <v>65032.29</v>
      </c>
    </row>
    <row r="690" spans="1:8">
      <c r="A690">
        <v>5366</v>
      </c>
      <c r="B690" t="s">
        <v>2327</v>
      </c>
      <c r="C690">
        <v>385</v>
      </c>
      <c r="D690" t="s">
        <v>2328</v>
      </c>
      <c r="E690" t="s">
        <v>2038</v>
      </c>
      <c r="F690">
        <v>202203</v>
      </c>
      <c r="G690" t="s">
        <v>190</v>
      </c>
      <c r="H690">
        <v>314751</v>
      </c>
    </row>
    <row r="691" spans="1:8">
      <c r="A691">
        <v>5366</v>
      </c>
      <c r="B691" t="s">
        <v>2327</v>
      </c>
      <c r="C691">
        <v>385</v>
      </c>
      <c r="D691" t="s">
        <v>2328</v>
      </c>
      <c r="E691" t="s">
        <v>2038</v>
      </c>
      <c r="F691">
        <v>202203</v>
      </c>
      <c r="G691" t="s">
        <v>191</v>
      </c>
      <c r="H691">
        <v>38619</v>
      </c>
    </row>
    <row r="692" spans="1:8">
      <c r="A692">
        <v>5366</v>
      </c>
      <c r="B692" t="s">
        <v>2327</v>
      </c>
      <c r="C692">
        <v>385</v>
      </c>
      <c r="D692" t="s">
        <v>2328</v>
      </c>
      <c r="E692" t="s">
        <v>2038</v>
      </c>
      <c r="F692">
        <v>202203</v>
      </c>
      <c r="G692" t="s">
        <v>176</v>
      </c>
      <c r="H692">
        <v>0</v>
      </c>
    </row>
    <row r="693" spans="1:8">
      <c r="A693">
        <v>5366</v>
      </c>
      <c r="B693" t="s">
        <v>2327</v>
      </c>
      <c r="C693">
        <v>385</v>
      </c>
      <c r="D693" t="s">
        <v>2328</v>
      </c>
      <c r="E693" t="s">
        <v>2038</v>
      </c>
      <c r="F693">
        <v>202203</v>
      </c>
      <c r="G693" t="s">
        <v>178</v>
      </c>
      <c r="H693">
        <v>1042.44</v>
      </c>
    </row>
    <row r="694" spans="1:8">
      <c r="A694">
        <v>5366</v>
      </c>
      <c r="B694" t="s">
        <v>2327</v>
      </c>
      <c r="C694">
        <v>385</v>
      </c>
      <c r="D694" t="s">
        <v>2328</v>
      </c>
      <c r="E694" t="s">
        <v>2038</v>
      </c>
      <c r="F694">
        <v>202203</v>
      </c>
      <c r="G694" t="s">
        <v>180</v>
      </c>
      <c r="H694">
        <v>1044.96</v>
      </c>
    </row>
    <row r="695" spans="1:8">
      <c r="A695">
        <v>5366</v>
      </c>
      <c r="B695" t="s">
        <v>2327</v>
      </c>
      <c r="C695">
        <v>385</v>
      </c>
      <c r="D695" t="s">
        <v>2328</v>
      </c>
      <c r="E695" t="s">
        <v>2038</v>
      </c>
      <c r="F695">
        <v>202203</v>
      </c>
      <c r="G695" t="s">
        <v>182</v>
      </c>
      <c r="H695">
        <v>314751</v>
      </c>
    </row>
    <row r="696" spans="1:8">
      <c r="A696">
        <v>5366</v>
      </c>
      <c r="B696" t="s">
        <v>2327</v>
      </c>
      <c r="C696">
        <v>385</v>
      </c>
      <c r="D696" t="s">
        <v>2328</v>
      </c>
      <c r="E696" t="s">
        <v>2038</v>
      </c>
      <c r="F696">
        <v>202203</v>
      </c>
      <c r="G696" t="s">
        <v>184</v>
      </c>
      <c r="H696">
        <v>38619</v>
      </c>
    </row>
    <row r="697" spans="1:8">
      <c r="A697">
        <v>5366</v>
      </c>
      <c r="B697" t="s">
        <v>2327</v>
      </c>
      <c r="C697">
        <v>385</v>
      </c>
      <c r="D697" t="s">
        <v>2328</v>
      </c>
      <c r="E697" t="s">
        <v>2038</v>
      </c>
      <c r="F697">
        <v>202203</v>
      </c>
      <c r="G697" t="s">
        <v>192</v>
      </c>
      <c r="H697">
        <v>0</v>
      </c>
    </row>
    <row r="698" spans="1:8">
      <c r="A698">
        <v>5366</v>
      </c>
      <c r="B698" t="s">
        <v>2327</v>
      </c>
      <c r="C698">
        <v>385</v>
      </c>
      <c r="D698" t="s">
        <v>2328</v>
      </c>
      <c r="E698" t="s">
        <v>2038</v>
      </c>
      <c r="F698">
        <v>202203</v>
      </c>
      <c r="G698" t="s">
        <v>2172</v>
      </c>
      <c r="H698">
        <v>7792.49</v>
      </c>
    </row>
    <row r="699" spans="1:8">
      <c r="A699">
        <v>5366</v>
      </c>
      <c r="B699" t="s">
        <v>2327</v>
      </c>
      <c r="C699">
        <v>385</v>
      </c>
      <c r="D699" t="s">
        <v>2328</v>
      </c>
      <c r="E699" t="s">
        <v>2038</v>
      </c>
      <c r="F699">
        <v>202203</v>
      </c>
      <c r="G699" t="s">
        <v>186</v>
      </c>
      <c r="H699">
        <v>0</v>
      </c>
    </row>
    <row r="700" spans="1:8">
      <c r="A700">
        <v>5366</v>
      </c>
      <c r="B700" t="s">
        <v>2327</v>
      </c>
      <c r="C700">
        <v>385</v>
      </c>
      <c r="D700" t="s">
        <v>2328</v>
      </c>
      <c r="E700" t="s">
        <v>2038</v>
      </c>
      <c r="F700">
        <v>202203</v>
      </c>
      <c r="G700" t="s">
        <v>2171</v>
      </c>
      <c r="H700">
        <v>290.39</v>
      </c>
    </row>
    <row r="701" spans="1:8">
      <c r="A701">
        <v>5366</v>
      </c>
      <c r="B701" t="s">
        <v>2327</v>
      </c>
      <c r="C701">
        <v>385</v>
      </c>
      <c r="D701" t="s">
        <v>2328</v>
      </c>
      <c r="E701" t="s">
        <v>2038</v>
      </c>
      <c r="F701">
        <v>202203</v>
      </c>
      <c r="G701" t="s">
        <v>2168</v>
      </c>
      <c r="H701">
        <v>12.63</v>
      </c>
    </row>
    <row r="702" spans="1:8">
      <c r="A702">
        <v>5366</v>
      </c>
      <c r="B702" t="s">
        <v>2327</v>
      </c>
      <c r="C702">
        <v>385</v>
      </c>
      <c r="D702" t="s">
        <v>2328</v>
      </c>
      <c r="E702" t="s">
        <v>2038</v>
      </c>
      <c r="F702">
        <v>202203</v>
      </c>
      <c r="G702" t="s">
        <v>2169</v>
      </c>
      <c r="H702">
        <v>19.809999999999999</v>
      </c>
    </row>
    <row r="703" spans="1:8">
      <c r="A703">
        <v>5366</v>
      </c>
      <c r="B703" t="s">
        <v>2327</v>
      </c>
      <c r="C703">
        <v>385</v>
      </c>
      <c r="D703" t="s">
        <v>2328</v>
      </c>
      <c r="E703" t="s">
        <v>2038</v>
      </c>
      <c r="F703">
        <v>202203</v>
      </c>
      <c r="G703" t="s">
        <v>2170</v>
      </c>
      <c r="H703">
        <v>14.98</v>
      </c>
    </row>
    <row r="704" spans="1:8">
      <c r="A704">
        <v>5366</v>
      </c>
      <c r="B704" t="s">
        <v>2327</v>
      </c>
      <c r="C704">
        <v>385</v>
      </c>
      <c r="D704" t="s">
        <v>2328</v>
      </c>
      <c r="E704" t="s">
        <v>2038</v>
      </c>
      <c r="F704">
        <v>202203</v>
      </c>
      <c r="G704" t="s">
        <v>2173</v>
      </c>
      <c r="H704">
        <v>149567.73000000001</v>
      </c>
    </row>
    <row r="705" spans="1:8">
      <c r="A705">
        <v>5366</v>
      </c>
      <c r="B705" t="s">
        <v>2327</v>
      </c>
      <c r="C705">
        <v>385</v>
      </c>
      <c r="D705" t="s">
        <v>2328</v>
      </c>
      <c r="E705" t="s">
        <v>2038</v>
      </c>
      <c r="F705">
        <v>202203</v>
      </c>
      <c r="G705" t="s">
        <v>190</v>
      </c>
      <c r="H705">
        <v>186569</v>
      </c>
    </row>
    <row r="706" spans="1:8">
      <c r="A706">
        <v>5366</v>
      </c>
      <c r="B706" t="s">
        <v>2327</v>
      </c>
      <c r="C706">
        <v>385</v>
      </c>
      <c r="D706" t="s">
        <v>2328</v>
      </c>
      <c r="E706" t="s">
        <v>2038</v>
      </c>
      <c r="F706">
        <v>202203</v>
      </c>
      <c r="G706" t="s">
        <v>191</v>
      </c>
      <c r="H706">
        <v>27031</v>
      </c>
    </row>
    <row r="707" spans="1:8">
      <c r="A707">
        <v>5366</v>
      </c>
      <c r="B707" t="s">
        <v>2327</v>
      </c>
      <c r="C707">
        <v>385</v>
      </c>
      <c r="D707" t="s">
        <v>2328</v>
      </c>
      <c r="E707" t="s">
        <v>2038</v>
      </c>
      <c r="F707">
        <v>202203</v>
      </c>
      <c r="G707" t="s">
        <v>176</v>
      </c>
      <c r="H707">
        <v>0</v>
      </c>
    </row>
    <row r="708" spans="1:8">
      <c r="A708">
        <v>5366</v>
      </c>
      <c r="B708" t="s">
        <v>2327</v>
      </c>
      <c r="C708">
        <v>385</v>
      </c>
      <c r="D708" t="s">
        <v>2328</v>
      </c>
      <c r="E708" t="s">
        <v>2038</v>
      </c>
      <c r="F708">
        <v>202203</v>
      </c>
      <c r="G708" t="s">
        <v>178</v>
      </c>
      <c r="H708">
        <v>668.3</v>
      </c>
    </row>
    <row r="709" spans="1:8">
      <c r="A709">
        <v>5366</v>
      </c>
      <c r="B709" t="s">
        <v>2327</v>
      </c>
      <c r="C709">
        <v>385</v>
      </c>
      <c r="D709" t="s">
        <v>2328</v>
      </c>
      <c r="E709" t="s">
        <v>2038</v>
      </c>
      <c r="F709">
        <v>202203</v>
      </c>
      <c r="G709" t="s">
        <v>180</v>
      </c>
      <c r="H709">
        <v>689.47</v>
      </c>
    </row>
    <row r="710" spans="1:8">
      <c r="A710">
        <v>5366</v>
      </c>
      <c r="B710" t="s">
        <v>2327</v>
      </c>
      <c r="C710">
        <v>385</v>
      </c>
      <c r="D710" t="s">
        <v>2328</v>
      </c>
      <c r="E710" t="s">
        <v>2038</v>
      </c>
      <c r="F710">
        <v>202203</v>
      </c>
      <c r="G710" t="s">
        <v>182</v>
      </c>
      <c r="H710">
        <v>214722</v>
      </c>
    </row>
    <row r="711" spans="1:8">
      <c r="A711">
        <v>5366</v>
      </c>
      <c r="B711" t="s">
        <v>2327</v>
      </c>
      <c r="C711">
        <v>385</v>
      </c>
      <c r="D711" t="s">
        <v>2328</v>
      </c>
      <c r="E711" t="s">
        <v>2038</v>
      </c>
      <c r="F711">
        <v>202203</v>
      </c>
      <c r="G711" t="s">
        <v>184</v>
      </c>
      <c r="H711">
        <v>27031</v>
      </c>
    </row>
    <row r="712" spans="1:8">
      <c r="A712">
        <v>5366</v>
      </c>
      <c r="B712" t="s">
        <v>2327</v>
      </c>
      <c r="C712">
        <v>385</v>
      </c>
      <c r="D712" t="s">
        <v>2328</v>
      </c>
      <c r="E712" t="s">
        <v>2038</v>
      </c>
      <c r="F712">
        <v>202203</v>
      </c>
      <c r="G712" t="s">
        <v>192</v>
      </c>
      <c r="H712">
        <v>0</v>
      </c>
    </row>
    <row r="713" spans="1:8">
      <c r="A713">
        <v>5366</v>
      </c>
      <c r="B713" t="s">
        <v>2327</v>
      </c>
      <c r="C713">
        <v>385</v>
      </c>
      <c r="D713" t="s">
        <v>2328</v>
      </c>
      <c r="E713" t="s">
        <v>2038</v>
      </c>
      <c r="F713">
        <v>202203</v>
      </c>
      <c r="G713" t="s">
        <v>2172</v>
      </c>
      <c r="H713">
        <v>4822.92</v>
      </c>
    </row>
    <row r="714" spans="1:8">
      <c r="A714">
        <v>5366</v>
      </c>
      <c r="B714" t="s">
        <v>2327</v>
      </c>
      <c r="C714">
        <v>385</v>
      </c>
      <c r="D714" t="s">
        <v>2328</v>
      </c>
      <c r="E714" t="s">
        <v>2038</v>
      </c>
      <c r="F714">
        <v>202203</v>
      </c>
      <c r="G714" t="s">
        <v>186</v>
      </c>
      <c r="H714">
        <v>27153</v>
      </c>
    </row>
    <row r="715" spans="1:8">
      <c r="A715">
        <v>5366</v>
      </c>
      <c r="B715" t="s">
        <v>2327</v>
      </c>
      <c r="C715">
        <v>385</v>
      </c>
      <c r="D715" t="s">
        <v>2328</v>
      </c>
      <c r="E715" t="s">
        <v>2038</v>
      </c>
      <c r="F715">
        <v>202203</v>
      </c>
      <c r="G715" t="s">
        <v>2171</v>
      </c>
      <c r="H715">
        <v>290.39</v>
      </c>
    </row>
    <row r="716" spans="1:8">
      <c r="A716">
        <v>5366</v>
      </c>
      <c r="B716" t="s">
        <v>2327</v>
      </c>
      <c r="C716">
        <v>385</v>
      </c>
      <c r="D716" t="s">
        <v>2328</v>
      </c>
      <c r="E716" t="s">
        <v>2038</v>
      </c>
      <c r="F716">
        <v>202203</v>
      </c>
      <c r="G716" t="s">
        <v>2168</v>
      </c>
      <c r="H716">
        <v>12.63</v>
      </c>
    </row>
    <row r="717" spans="1:8">
      <c r="A717">
        <v>5366</v>
      </c>
      <c r="B717" t="s">
        <v>2327</v>
      </c>
      <c r="C717">
        <v>385</v>
      </c>
      <c r="D717" t="s">
        <v>2328</v>
      </c>
      <c r="E717" t="s">
        <v>2038</v>
      </c>
      <c r="F717">
        <v>202203</v>
      </c>
      <c r="G717" t="s">
        <v>2169</v>
      </c>
      <c r="H717">
        <v>19.809999999999999</v>
      </c>
    </row>
    <row r="718" spans="1:8">
      <c r="A718">
        <v>5366</v>
      </c>
      <c r="B718" t="s">
        <v>2327</v>
      </c>
      <c r="C718">
        <v>385</v>
      </c>
      <c r="D718" t="s">
        <v>2328</v>
      </c>
      <c r="E718" t="s">
        <v>2038</v>
      </c>
      <c r="F718">
        <v>202203</v>
      </c>
      <c r="G718" t="s">
        <v>2170</v>
      </c>
      <c r="H718">
        <v>14.98</v>
      </c>
    </row>
    <row r="719" spans="1:8">
      <c r="A719">
        <v>5366</v>
      </c>
      <c r="B719" t="s">
        <v>2327</v>
      </c>
      <c r="C719">
        <v>385</v>
      </c>
      <c r="D719" t="s">
        <v>2328</v>
      </c>
      <c r="E719" t="s">
        <v>2038</v>
      </c>
      <c r="F719">
        <v>202203</v>
      </c>
      <c r="G719" t="s">
        <v>2173</v>
      </c>
      <c r="H719">
        <v>92570.69</v>
      </c>
    </row>
    <row r="720" spans="1:8">
      <c r="A720">
        <v>5366</v>
      </c>
      <c r="B720" t="s">
        <v>2327</v>
      </c>
      <c r="C720">
        <v>385</v>
      </c>
      <c r="D720" t="s">
        <v>2328</v>
      </c>
      <c r="E720" t="s">
        <v>2038</v>
      </c>
      <c r="F720">
        <v>202203</v>
      </c>
      <c r="G720" t="s">
        <v>190</v>
      </c>
      <c r="H720">
        <v>69224</v>
      </c>
    </row>
    <row r="721" spans="1:8">
      <c r="A721">
        <v>5366</v>
      </c>
      <c r="B721" t="s">
        <v>2327</v>
      </c>
      <c r="C721">
        <v>385</v>
      </c>
      <c r="D721" t="s">
        <v>2328</v>
      </c>
      <c r="E721" t="s">
        <v>2038</v>
      </c>
      <c r="F721">
        <v>202203</v>
      </c>
      <c r="G721" t="s">
        <v>191</v>
      </c>
      <c r="H721">
        <v>8819</v>
      </c>
    </row>
    <row r="722" spans="1:8">
      <c r="A722">
        <v>5366</v>
      </c>
      <c r="B722" t="s">
        <v>2327</v>
      </c>
      <c r="C722">
        <v>385</v>
      </c>
      <c r="D722" t="s">
        <v>2328</v>
      </c>
      <c r="E722" t="s">
        <v>2038</v>
      </c>
      <c r="F722">
        <v>202203</v>
      </c>
      <c r="G722" t="s">
        <v>176</v>
      </c>
      <c r="H722">
        <v>0</v>
      </c>
    </row>
    <row r="723" spans="1:8">
      <c r="A723">
        <v>5366</v>
      </c>
      <c r="B723" t="s">
        <v>2327</v>
      </c>
      <c r="C723">
        <v>385</v>
      </c>
      <c r="D723" t="s">
        <v>2328</v>
      </c>
      <c r="E723" t="s">
        <v>2038</v>
      </c>
      <c r="F723">
        <v>202203</v>
      </c>
      <c r="G723" t="s">
        <v>178</v>
      </c>
      <c r="H723">
        <v>287</v>
      </c>
    </row>
    <row r="724" spans="1:8">
      <c r="A724">
        <v>5366</v>
      </c>
      <c r="B724" t="s">
        <v>2327</v>
      </c>
      <c r="C724">
        <v>385</v>
      </c>
      <c r="D724" t="s">
        <v>2328</v>
      </c>
      <c r="E724" t="s">
        <v>2038</v>
      </c>
      <c r="F724">
        <v>202203</v>
      </c>
      <c r="G724" t="s">
        <v>180</v>
      </c>
      <c r="H724">
        <v>193</v>
      </c>
    </row>
    <row r="725" spans="1:8">
      <c r="A725">
        <v>5366</v>
      </c>
      <c r="B725" t="s">
        <v>2327</v>
      </c>
      <c r="C725">
        <v>385</v>
      </c>
      <c r="D725" t="s">
        <v>2328</v>
      </c>
      <c r="E725" t="s">
        <v>2038</v>
      </c>
      <c r="F725">
        <v>202203</v>
      </c>
      <c r="G725" t="s">
        <v>182</v>
      </c>
      <c r="H725">
        <v>69224</v>
      </c>
    </row>
    <row r="726" spans="1:8">
      <c r="A726">
        <v>5366</v>
      </c>
      <c r="B726" t="s">
        <v>2327</v>
      </c>
      <c r="C726">
        <v>385</v>
      </c>
      <c r="D726" t="s">
        <v>2328</v>
      </c>
      <c r="E726" t="s">
        <v>2038</v>
      </c>
      <c r="F726">
        <v>202203</v>
      </c>
      <c r="G726" t="s">
        <v>184</v>
      </c>
      <c r="H726">
        <v>8819</v>
      </c>
    </row>
    <row r="727" spans="1:8">
      <c r="A727">
        <v>5366</v>
      </c>
      <c r="B727" t="s">
        <v>2327</v>
      </c>
      <c r="C727">
        <v>385</v>
      </c>
      <c r="D727" t="s">
        <v>2328</v>
      </c>
      <c r="E727" t="s">
        <v>2038</v>
      </c>
      <c r="F727">
        <v>202203</v>
      </c>
      <c r="G727" t="s">
        <v>192</v>
      </c>
      <c r="H727">
        <v>0</v>
      </c>
    </row>
    <row r="728" spans="1:8">
      <c r="A728">
        <v>5366</v>
      </c>
      <c r="B728" t="s">
        <v>2327</v>
      </c>
      <c r="C728">
        <v>385</v>
      </c>
      <c r="D728" t="s">
        <v>2328</v>
      </c>
      <c r="E728" t="s">
        <v>2038</v>
      </c>
      <c r="F728">
        <v>202203</v>
      </c>
      <c r="G728" t="s">
        <v>2172</v>
      </c>
      <c r="H728">
        <v>1857.91</v>
      </c>
    </row>
    <row r="729" spans="1:8">
      <c r="A729">
        <v>5366</v>
      </c>
      <c r="B729" t="s">
        <v>2327</v>
      </c>
      <c r="C729">
        <v>385</v>
      </c>
      <c r="D729" t="s">
        <v>2328</v>
      </c>
      <c r="E729" t="s">
        <v>2038</v>
      </c>
      <c r="F729">
        <v>202203</v>
      </c>
      <c r="G729" t="s">
        <v>186</v>
      </c>
      <c r="H729">
        <v>0</v>
      </c>
    </row>
    <row r="730" spans="1:8">
      <c r="A730">
        <v>5366</v>
      </c>
      <c r="B730" t="s">
        <v>2327</v>
      </c>
      <c r="C730">
        <v>385</v>
      </c>
      <c r="D730" t="s">
        <v>2328</v>
      </c>
      <c r="E730" t="s">
        <v>2038</v>
      </c>
      <c r="F730">
        <v>202203</v>
      </c>
      <c r="G730" t="s">
        <v>2171</v>
      </c>
      <c r="H730">
        <v>290.39</v>
      </c>
    </row>
    <row r="731" spans="1:8">
      <c r="A731">
        <v>5366</v>
      </c>
      <c r="B731" t="s">
        <v>2327</v>
      </c>
      <c r="C731">
        <v>385</v>
      </c>
      <c r="D731" t="s">
        <v>2328</v>
      </c>
      <c r="E731" t="s">
        <v>2038</v>
      </c>
      <c r="F731">
        <v>202203</v>
      </c>
      <c r="G731" t="s">
        <v>2168</v>
      </c>
      <c r="H731">
        <v>12.63</v>
      </c>
    </row>
    <row r="732" spans="1:8">
      <c r="A732">
        <v>5366</v>
      </c>
      <c r="B732" t="s">
        <v>2327</v>
      </c>
      <c r="C732">
        <v>385</v>
      </c>
      <c r="D732" t="s">
        <v>2328</v>
      </c>
      <c r="E732" t="s">
        <v>2038</v>
      </c>
      <c r="F732">
        <v>202203</v>
      </c>
      <c r="G732" t="s">
        <v>2169</v>
      </c>
      <c r="H732">
        <v>19.809999999999999</v>
      </c>
    </row>
    <row r="733" spans="1:8">
      <c r="A733">
        <v>5366</v>
      </c>
      <c r="B733" t="s">
        <v>2327</v>
      </c>
      <c r="C733">
        <v>385</v>
      </c>
      <c r="D733" t="s">
        <v>2328</v>
      </c>
      <c r="E733" t="s">
        <v>2038</v>
      </c>
      <c r="F733">
        <v>202203</v>
      </c>
      <c r="G733" t="s">
        <v>2170</v>
      </c>
      <c r="H733">
        <v>14.98</v>
      </c>
    </row>
    <row r="734" spans="1:8">
      <c r="A734">
        <v>5366</v>
      </c>
      <c r="B734" t="s">
        <v>2327</v>
      </c>
      <c r="C734">
        <v>385</v>
      </c>
      <c r="D734" t="s">
        <v>2328</v>
      </c>
      <c r="E734" t="s">
        <v>2038</v>
      </c>
      <c r="F734">
        <v>202203</v>
      </c>
      <c r="G734" t="s">
        <v>2173</v>
      </c>
      <c r="H734">
        <v>35660.74</v>
      </c>
    </row>
    <row r="735" spans="1:8">
      <c r="A735">
        <v>5366</v>
      </c>
      <c r="B735" t="s">
        <v>2327</v>
      </c>
      <c r="C735">
        <v>385</v>
      </c>
      <c r="D735" t="s">
        <v>2328</v>
      </c>
      <c r="E735" t="s">
        <v>2038</v>
      </c>
      <c r="F735">
        <v>202203</v>
      </c>
      <c r="G735" t="s">
        <v>190</v>
      </c>
      <c r="H735">
        <v>314029</v>
      </c>
    </row>
    <row r="736" spans="1:8">
      <c r="A736">
        <v>5366</v>
      </c>
      <c r="B736" t="s">
        <v>2327</v>
      </c>
      <c r="C736">
        <v>385</v>
      </c>
      <c r="D736" t="s">
        <v>2328</v>
      </c>
      <c r="E736" t="s">
        <v>2038</v>
      </c>
      <c r="F736">
        <v>202203</v>
      </c>
      <c r="G736" t="s">
        <v>191</v>
      </c>
      <c r="H736">
        <v>30382</v>
      </c>
    </row>
    <row r="737" spans="1:8">
      <c r="A737">
        <v>5366</v>
      </c>
      <c r="B737" t="s">
        <v>2327</v>
      </c>
      <c r="C737">
        <v>385</v>
      </c>
      <c r="D737" t="s">
        <v>2328</v>
      </c>
      <c r="E737" t="s">
        <v>2038</v>
      </c>
      <c r="F737">
        <v>202203</v>
      </c>
      <c r="G737" t="s">
        <v>176</v>
      </c>
      <c r="H737">
        <v>0</v>
      </c>
    </row>
    <row r="738" spans="1:8">
      <c r="A738">
        <v>5366</v>
      </c>
      <c r="B738" t="s">
        <v>2327</v>
      </c>
      <c r="C738">
        <v>385</v>
      </c>
      <c r="D738" t="s">
        <v>2328</v>
      </c>
      <c r="E738" t="s">
        <v>2038</v>
      </c>
      <c r="F738">
        <v>202203</v>
      </c>
      <c r="G738" t="s">
        <v>178</v>
      </c>
      <c r="H738">
        <v>2456</v>
      </c>
    </row>
    <row r="739" spans="1:8">
      <c r="A739">
        <v>5366</v>
      </c>
      <c r="B739" t="s">
        <v>2327</v>
      </c>
      <c r="C739">
        <v>385</v>
      </c>
      <c r="D739" t="s">
        <v>2328</v>
      </c>
      <c r="E739" t="s">
        <v>2038</v>
      </c>
      <c r="F739">
        <v>202203</v>
      </c>
      <c r="G739" t="s">
        <v>180</v>
      </c>
      <c r="H739">
        <v>2177</v>
      </c>
    </row>
    <row r="740" spans="1:8">
      <c r="A740">
        <v>5366</v>
      </c>
      <c r="B740" t="s">
        <v>2327</v>
      </c>
      <c r="C740">
        <v>385</v>
      </c>
      <c r="D740" t="s">
        <v>2328</v>
      </c>
      <c r="E740" t="s">
        <v>2038</v>
      </c>
      <c r="F740">
        <v>202203</v>
      </c>
      <c r="G740" t="s">
        <v>182</v>
      </c>
      <c r="H740">
        <v>1112916</v>
      </c>
    </row>
    <row r="741" spans="1:8">
      <c r="A741">
        <v>5366</v>
      </c>
      <c r="B741" t="s">
        <v>2327</v>
      </c>
      <c r="C741">
        <v>385</v>
      </c>
      <c r="D741" t="s">
        <v>2328</v>
      </c>
      <c r="E741" t="s">
        <v>2038</v>
      </c>
      <c r="F741">
        <v>202203</v>
      </c>
      <c r="G741" t="s">
        <v>184</v>
      </c>
      <c r="H741">
        <v>108457</v>
      </c>
    </row>
    <row r="742" spans="1:8">
      <c r="A742">
        <v>5366</v>
      </c>
      <c r="B742" t="s">
        <v>2327</v>
      </c>
      <c r="C742">
        <v>385</v>
      </c>
      <c r="D742" t="s">
        <v>2328</v>
      </c>
      <c r="E742" t="s">
        <v>2038</v>
      </c>
      <c r="F742">
        <v>202203</v>
      </c>
      <c r="G742" t="s">
        <v>192</v>
      </c>
      <c r="H742">
        <v>0</v>
      </c>
    </row>
    <row r="743" spans="1:8">
      <c r="A743">
        <v>5366</v>
      </c>
      <c r="B743" t="s">
        <v>2327</v>
      </c>
      <c r="C743">
        <v>385</v>
      </c>
      <c r="D743" t="s">
        <v>2328</v>
      </c>
      <c r="E743" t="s">
        <v>2038</v>
      </c>
      <c r="F743">
        <v>202203</v>
      </c>
      <c r="G743" t="s">
        <v>2172</v>
      </c>
      <c r="H743">
        <v>10578.05</v>
      </c>
    </row>
    <row r="744" spans="1:8">
      <c r="A744">
        <v>5366</v>
      </c>
      <c r="B744" t="s">
        <v>2327</v>
      </c>
      <c r="C744">
        <v>385</v>
      </c>
      <c r="D744" t="s">
        <v>2328</v>
      </c>
      <c r="E744" t="s">
        <v>2038</v>
      </c>
      <c r="F744">
        <v>202203</v>
      </c>
      <c r="G744" t="s">
        <v>186</v>
      </c>
      <c r="H744">
        <v>0</v>
      </c>
    </row>
    <row r="745" spans="1:8">
      <c r="A745">
        <v>5366</v>
      </c>
      <c r="B745" t="s">
        <v>2327</v>
      </c>
      <c r="C745">
        <v>385</v>
      </c>
      <c r="D745" t="s">
        <v>2328</v>
      </c>
      <c r="E745" t="s">
        <v>2038</v>
      </c>
      <c r="F745">
        <v>202203</v>
      </c>
      <c r="G745" t="s">
        <v>2171</v>
      </c>
      <c r="H745">
        <v>290.39</v>
      </c>
    </row>
    <row r="746" spans="1:8">
      <c r="A746">
        <v>5366</v>
      </c>
      <c r="B746" t="s">
        <v>2327</v>
      </c>
      <c r="C746">
        <v>385</v>
      </c>
      <c r="D746" t="s">
        <v>2328</v>
      </c>
      <c r="E746" t="s">
        <v>2038</v>
      </c>
      <c r="F746">
        <v>202203</v>
      </c>
      <c r="G746" t="s">
        <v>2168</v>
      </c>
      <c r="H746">
        <v>12.63</v>
      </c>
    </row>
    <row r="747" spans="1:8">
      <c r="A747">
        <v>5366</v>
      </c>
      <c r="B747" t="s">
        <v>2327</v>
      </c>
      <c r="C747">
        <v>385</v>
      </c>
      <c r="D747" t="s">
        <v>2328</v>
      </c>
      <c r="E747" t="s">
        <v>2038</v>
      </c>
      <c r="F747">
        <v>202203</v>
      </c>
      <c r="G747" t="s">
        <v>2169</v>
      </c>
      <c r="H747">
        <v>19.809999999999999</v>
      </c>
    </row>
    <row r="748" spans="1:8">
      <c r="A748">
        <v>5366</v>
      </c>
      <c r="B748" t="s">
        <v>2327</v>
      </c>
      <c r="C748">
        <v>385</v>
      </c>
      <c r="D748" t="s">
        <v>2328</v>
      </c>
      <c r="E748" t="s">
        <v>2038</v>
      </c>
      <c r="F748">
        <v>202203</v>
      </c>
      <c r="G748" t="s">
        <v>2170</v>
      </c>
      <c r="H748">
        <v>14.98</v>
      </c>
    </row>
    <row r="749" spans="1:8">
      <c r="A749">
        <v>5366</v>
      </c>
      <c r="B749" t="s">
        <v>2327</v>
      </c>
      <c r="C749">
        <v>385</v>
      </c>
      <c r="D749" t="s">
        <v>2328</v>
      </c>
      <c r="E749" t="s">
        <v>2038</v>
      </c>
      <c r="F749">
        <v>202203</v>
      </c>
      <c r="G749" t="s">
        <v>2173</v>
      </c>
      <c r="H749">
        <v>203033.32</v>
      </c>
    </row>
    <row r="750" spans="1:8">
      <c r="A750">
        <v>5366</v>
      </c>
      <c r="B750" t="s">
        <v>2327</v>
      </c>
      <c r="C750">
        <v>385</v>
      </c>
      <c r="D750" t="s">
        <v>2328</v>
      </c>
      <c r="E750" t="s">
        <v>2038</v>
      </c>
      <c r="F750">
        <v>202204</v>
      </c>
      <c r="G750" t="s">
        <v>190</v>
      </c>
      <c r="H750">
        <v>212147</v>
      </c>
    </row>
    <row r="751" spans="1:8">
      <c r="A751">
        <v>5366</v>
      </c>
      <c r="B751" t="s">
        <v>2327</v>
      </c>
      <c r="C751">
        <v>385</v>
      </c>
      <c r="D751" t="s">
        <v>2328</v>
      </c>
      <c r="E751" t="s">
        <v>2038</v>
      </c>
      <c r="F751">
        <v>202204</v>
      </c>
      <c r="G751" t="s">
        <v>191</v>
      </c>
      <c r="H751">
        <v>31013</v>
      </c>
    </row>
    <row r="752" spans="1:8">
      <c r="A752">
        <v>5366</v>
      </c>
      <c r="B752" t="s">
        <v>2327</v>
      </c>
      <c r="C752">
        <v>385</v>
      </c>
      <c r="D752" t="s">
        <v>2328</v>
      </c>
      <c r="E752" t="s">
        <v>2038</v>
      </c>
      <c r="F752">
        <v>202204</v>
      </c>
      <c r="G752" t="s">
        <v>176</v>
      </c>
      <c r="H752">
        <v>0</v>
      </c>
    </row>
    <row r="753" spans="1:8">
      <c r="A753">
        <v>5366</v>
      </c>
      <c r="B753" t="s">
        <v>2327</v>
      </c>
      <c r="C753">
        <v>385</v>
      </c>
      <c r="D753" t="s">
        <v>2328</v>
      </c>
      <c r="E753" t="s">
        <v>2038</v>
      </c>
      <c r="F753">
        <v>202204</v>
      </c>
      <c r="G753" t="s">
        <v>178</v>
      </c>
      <c r="H753">
        <v>619.41</v>
      </c>
    </row>
    <row r="754" spans="1:8">
      <c r="A754">
        <v>5366</v>
      </c>
      <c r="B754" t="s">
        <v>2327</v>
      </c>
      <c r="C754">
        <v>385</v>
      </c>
      <c r="D754" t="s">
        <v>2328</v>
      </c>
      <c r="E754" t="s">
        <v>2038</v>
      </c>
      <c r="F754">
        <v>202204</v>
      </c>
      <c r="G754" t="s">
        <v>180</v>
      </c>
      <c r="H754">
        <v>566.49</v>
      </c>
    </row>
    <row r="755" spans="1:8">
      <c r="A755">
        <v>5366</v>
      </c>
      <c r="B755" t="s">
        <v>2327</v>
      </c>
      <c r="C755">
        <v>385</v>
      </c>
      <c r="D755" t="s">
        <v>2328</v>
      </c>
      <c r="E755" t="s">
        <v>2038</v>
      </c>
      <c r="F755">
        <v>202204</v>
      </c>
      <c r="G755" t="s">
        <v>182</v>
      </c>
      <c r="H755">
        <v>239235</v>
      </c>
    </row>
    <row r="756" spans="1:8">
      <c r="A756">
        <v>5366</v>
      </c>
      <c r="B756" t="s">
        <v>2327</v>
      </c>
      <c r="C756">
        <v>385</v>
      </c>
      <c r="D756" t="s">
        <v>2328</v>
      </c>
      <c r="E756" t="s">
        <v>2038</v>
      </c>
      <c r="F756">
        <v>202204</v>
      </c>
      <c r="G756" t="s">
        <v>184</v>
      </c>
      <c r="H756">
        <v>31013</v>
      </c>
    </row>
    <row r="757" spans="1:8">
      <c r="A757">
        <v>5366</v>
      </c>
      <c r="B757" t="s">
        <v>2327</v>
      </c>
      <c r="C757">
        <v>385</v>
      </c>
      <c r="D757" t="s">
        <v>2328</v>
      </c>
      <c r="E757" t="s">
        <v>2038</v>
      </c>
      <c r="F757">
        <v>202204</v>
      </c>
      <c r="G757" t="s">
        <v>192</v>
      </c>
      <c r="H757">
        <v>0</v>
      </c>
    </row>
    <row r="758" spans="1:8">
      <c r="A758">
        <v>5366</v>
      </c>
      <c r="B758" t="s">
        <v>2327</v>
      </c>
      <c r="C758">
        <v>385</v>
      </c>
      <c r="D758" t="s">
        <v>2328</v>
      </c>
      <c r="E758" t="s">
        <v>2038</v>
      </c>
      <c r="F758">
        <v>202204</v>
      </c>
      <c r="G758" t="s">
        <v>2172</v>
      </c>
      <c r="H758">
        <v>4282.03</v>
      </c>
    </row>
    <row r="759" spans="1:8">
      <c r="A759">
        <v>5366</v>
      </c>
      <c r="B759" t="s">
        <v>2327</v>
      </c>
      <c r="C759">
        <v>385</v>
      </c>
      <c r="D759" t="s">
        <v>2328</v>
      </c>
      <c r="E759" t="s">
        <v>2038</v>
      </c>
      <c r="F759">
        <v>202204</v>
      </c>
      <c r="G759" t="s">
        <v>186</v>
      </c>
      <c r="H759">
        <v>27088</v>
      </c>
    </row>
    <row r="760" spans="1:8">
      <c r="A760">
        <v>5366</v>
      </c>
      <c r="B760" t="s">
        <v>2327</v>
      </c>
      <c r="C760">
        <v>385</v>
      </c>
      <c r="D760" t="s">
        <v>2328</v>
      </c>
      <c r="E760" t="s">
        <v>2038</v>
      </c>
      <c r="F760">
        <v>202204</v>
      </c>
      <c r="G760" t="s">
        <v>2171</v>
      </c>
      <c r="H760">
        <v>290.39</v>
      </c>
    </row>
    <row r="761" spans="1:8">
      <c r="A761">
        <v>5366</v>
      </c>
      <c r="B761" t="s">
        <v>2327</v>
      </c>
      <c r="C761">
        <v>385</v>
      </c>
      <c r="D761" t="s">
        <v>2328</v>
      </c>
      <c r="E761" t="s">
        <v>2038</v>
      </c>
      <c r="F761">
        <v>202204</v>
      </c>
      <c r="G761" t="s">
        <v>2168</v>
      </c>
      <c r="H761">
        <v>12.63</v>
      </c>
    </row>
    <row r="762" spans="1:8">
      <c r="A762">
        <v>5366</v>
      </c>
      <c r="B762" t="s">
        <v>2327</v>
      </c>
      <c r="C762">
        <v>385</v>
      </c>
      <c r="D762" t="s">
        <v>2328</v>
      </c>
      <c r="E762" t="s">
        <v>2038</v>
      </c>
      <c r="F762">
        <v>202204</v>
      </c>
      <c r="G762" t="s">
        <v>2169</v>
      </c>
      <c r="H762">
        <v>19.809999999999999</v>
      </c>
    </row>
    <row r="763" spans="1:8">
      <c r="A763">
        <v>5366</v>
      </c>
      <c r="B763" t="s">
        <v>2327</v>
      </c>
      <c r="C763">
        <v>385</v>
      </c>
      <c r="D763" t="s">
        <v>2328</v>
      </c>
      <c r="E763" t="s">
        <v>2038</v>
      </c>
      <c r="F763">
        <v>202204</v>
      </c>
      <c r="G763" t="s">
        <v>2170</v>
      </c>
      <c r="H763">
        <v>14.98</v>
      </c>
    </row>
    <row r="764" spans="1:8">
      <c r="A764">
        <v>5366</v>
      </c>
      <c r="B764" t="s">
        <v>2327</v>
      </c>
      <c r="C764">
        <v>385</v>
      </c>
      <c r="D764" t="s">
        <v>2328</v>
      </c>
      <c r="E764" t="s">
        <v>2038</v>
      </c>
      <c r="F764">
        <v>202204</v>
      </c>
      <c r="G764" t="s">
        <v>2173</v>
      </c>
      <c r="H764">
        <v>97986.86</v>
      </c>
    </row>
    <row r="765" spans="1:8">
      <c r="A765">
        <v>5366</v>
      </c>
      <c r="B765" t="s">
        <v>2327</v>
      </c>
      <c r="C765">
        <v>385</v>
      </c>
      <c r="D765" t="s">
        <v>2328</v>
      </c>
      <c r="E765" t="s">
        <v>2038</v>
      </c>
      <c r="F765">
        <v>202204</v>
      </c>
      <c r="G765" t="s">
        <v>190</v>
      </c>
      <c r="H765">
        <v>151270</v>
      </c>
    </row>
    <row r="766" spans="1:8">
      <c r="A766">
        <v>5366</v>
      </c>
      <c r="B766" t="s">
        <v>2327</v>
      </c>
      <c r="C766">
        <v>385</v>
      </c>
      <c r="D766" t="s">
        <v>2328</v>
      </c>
      <c r="E766" t="s">
        <v>2038</v>
      </c>
      <c r="F766">
        <v>202204</v>
      </c>
      <c r="G766" t="s">
        <v>191</v>
      </c>
      <c r="H766">
        <v>17308</v>
      </c>
    </row>
    <row r="767" spans="1:8">
      <c r="A767">
        <v>5366</v>
      </c>
      <c r="B767" t="s">
        <v>2327</v>
      </c>
      <c r="C767">
        <v>385</v>
      </c>
      <c r="D767" t="s">
        <v>2328</v>
      </c>
      <c r="E767" t="s">
        <v>2038</v>
      </c>
      <c r="F767">
        <v>202204</v>
      </c>
      <c r="G767" t="s">
        <v>176</v>
      </c>
      <c r="H767">
        <v>0</v>
      </c>
    </row>
    <row r="768" spans="1:8">
      <c r="A768">
        <v>5366</v>
      </c>
      <c r="B768" t="s">
        <v>2327</v>
      </c>
      <c r="C768">
        <v>385</v>
      </c>
      <c r="D768" t="s">
        <v>2328</v>
      </c>
      <c r="E768" t="s">
        <v>2038</v>
      </c>
      <c r="F768">
        <v>202204</v>
      </c>
      <c r="G768" t="s">
        <v>178</v>
      </c>
      <c r="H768">
        <v>356.83</v>
      </c>
    </row>
    <row r="769" spans="1:8">
      <c r="A769">
        <v>5366</v>
      </c>
      <c r="B769" t="s">
        <v>2327</v>
      </c>
      <c r="C769">
        <v>385</v>
      </c>
      <c r="D769" t="s">
        <v>2328</v>
      </c>
      <c r="E769" t="s">
        <v>2038</v>
      </c>
      <c r="F769">
        <v>202204</v>
      </c>
      <c r="G769" t="s">
        <v>180</v>
      </c>
      <c r="H769">
        <v>322.56</v>
      </c>
    </row>
    <row r="770" spans="1:8">
      <c r="A770">
        <v>5366</v>
      </c>
      <c r="B770" t="s">
        <v>2327</v>
      </c>
      <c r="C770">
        <v>385</v>
      </c>
      <c r="D770" t="s">
        <v>2328</v>
      </c>
      <c r="E770" t="s">
        <v>2038</v>
      </c>
      <c r="F770">
        <v>202204</v>
      </c>
      <c r="G770" t="s">
        <v>182</v>
      </c>
      <c r="H770">
        <v>151270</v>
      </c>
    </row>
    <row r="771" spans="1:8">
      <c r="A771">
        <v>5366</v>
      </c>
      <c r="B771" t="s">
        <v>2327</v>
      </c>
      <c r="C771">
        <v>385</v>
      </c>
      <c r="D771" t="s">
        <v>2328</v>
      </c>
      <c r="E771" t="s">
        <v>2038</v>
      </c>
      <c r="F771">
        <v>202204</v>
      </c>
      <c r="G771" t="s">
        <v>184</v>
      </c>
      <c r="H771">
        <v>17308</v>
      </c>
    </row>
    <row r="772" spans="1:8">
      <c r="A772">
        <v>5366</v>
      </c>
      <c r="B772" t="s">
        <v>2327</v>
      </c>
      <c r="C772">
        <v>385</v>
      </c>
      <c r="D772" t="s">
        <v>2328</v>
      </c>
      <c r="E772" t="s">
        <v>2038</v>
      </c>
      <c r="F772">
        <v>202204</v>
      </c>
      <c r="G772" t="s">
        <v>192</v>
      </c>
      <c r="H772">
        <v>0</v>
      </c>
    </row>
    <row r="773" spans="1:8">
      <c r="A773">
        <v>5366</v>
      </c>
      <c r="B773" t="s">
        <v>2327</v>
      </c>
      <c r="C773">
        <v>385</v>
      </c>
      <c r="D773" t="s">
        <v>2328</v>
      </c>
      <c r="E773" t="s">
        <v>2038</v>
      </c>
      <c r="F773">
        <v>202204</v>
      </c>
      <c r="G773" t="s">
        <v>2172</v>
      </c>
      <c r="H773">
        <v>2850.35</v>
      </c>
    </row>
    <row r="774" spans="1:8">
      <c r="A774">
        <v>5366</v>
      </c>
      <c r="B774" t="s">
        <v>2327</v>
      </c>
      <c r="C774">
        <v>385</v>
      </c>
      <c r="D774" t="s">
        <v>2328</v>
      </c>
      <c r="E774" t="s">
        <v>2038</v>
      </c>
      <c r="F774">
        <v>202204</v>
      </c>
      <c r="G774" t="s">
        <v>186</v>
      </c>
      <c r="H774">
        <v>0</v>
      </c>
    </row>
    <row r="775" spans="1:8">
      <c r="A775">
        <v>5366</v>
      </c>
      <c r="B775" t="s">
        <v>2327</v>
      </c>
      <c r="C775">
        <v>385</v>
      </c>
      <c r="D775" t="s">
        <v>2328</v>
      </c>
      <c r="E775" t="s">
        <v>2038</v>
      </c>
      <c r="F775">
        <v>202204</v>
      </c>
      <c r="G775" t="s">
        <v>2171</v>
      </c>
      <c r="H775">
        <v>290.39</v>
      </c>
    </row>
    <row r="776" spans="1:8">
      <c r="A776">
        <v>5366</v>
      </c>
      <c r="B776" t="s">
        <v>2327</v>
      </c>
      <c r="C776">
        <v>385</v>
      </c>
      <c r="D776" t="s">
        <v>2328</v>
      </c>
      <c r="E776" t="s">
        <v>2038</v>
      </c>
      <c r="F776">
        <v>202204</v>
      </c>
      <c r="G776" t="s">
        <v>2168</v>
      </c>
      <c r="H776">
        <v>12.63</v>
      </c>
    </row>
    <row r="777" spans="1:8">
      <c r="A777">
        <v>5366</v>
      </c>
      <c r="B777" t="s">
        <v>2327</v>
      </c>
      <c r="C777">
        <v>385</v>
      </c>
      <c r="D777" t="s">
        <v>2328</v>
      </c>
      <c r="E777" t="s">
        <v>2038</v>
      </c>
      <c r="F777">
        <v>202204</v>
      </c>
      <c r="G777" t="s">
        <v>2169</v>
      </c>
      <c r="H777">
        <v>19.809999999999999</v>
      </c>
    </row>
    <row r="778" spans="1:8">
      <c r="A778">
        <v>5366</v>
      </c>
      <c r="B778" t="s">
        <v>2327</v>
      </c>
      <c r="C778">
        <v>385</v>
      </c>
      <c r="D778" t="s">
        <v>2328</v>
      </c>
      <c r="E778" t="s">
        <v>2038</v>
      </c>
      <c r="F778">
        <v>202204</v>
      </c>
      <c r="G778" t="s">
        <v>2170</v>
      </c>
      <c r="H778">
        <v>14.98</v>
      </c>
    </row>
    <row r="779" spans="1:8">
      <c r="A779">
        <v>5366</v>
      </c>
      <c r="B779" t="s">
        <v>2327</v>
      </c>
      <c r="C779">
        <v>385</v>
      </c>
      <c r="D779" t="s">
        <v>2328</v>
      </c>
      <c r="E779" t="s">
        <v>2038</v>
      </c>
      <c r="F779">
        <v>202204</v>
      </c>
      <c r="G779" t="s">
        <v>2173</v>
      </c>
      <c r="H779">
        <v>65225.67</v>
      </c>
    </row>
    <row r="780" spans="1:8">
      <c r="A780">
        <v>5366</v>
      </c>
      <c r="B780" t="s">
        <v>2327</v>
      </c>
      <c r="C780">
        <v>385</v>
      </c>
      <c r="D780" t="s">
        <v>2328</v>
      </c>
      <c r="E780" t="s">
        <v>2038</v>
      </c>
      <c r="F780">
        <v>202204</v>
      </c>
      <c r="G780" t="s">
        <v>190</v>
      </c>
      <c r="H780">
        <v>339540</v>
      </c>
    </row>
    <row r="781" spans="1:8">
      <c r="A781">
        <v>5366</v>
      </c>
      <c r="B781" t="s">
        <v>2327</v>
      </c>
      <c r="C781">
        <v>385</v>
      </c>
      <c r="D781" t="s">
        <v>2328</v>
      </c>
      <c r="E781" t="s">
        <v>2038</v>
      </c>
      <c r="F781">
        <v>202204</v>
      </c>
      <c r="G781" t="s">
        <v>191</v>
      </c>
      <c r="H781">
        <v>43197</v>
      </c>
    </row>
    <row r="782" spans="1:8">
      <c r="A782">
        <v>5366</v>
      </c>
      <c r="B782" t="s">
        <v>2327</v>
      </c>
      <c r="C782">
        <v>385</v>
      </c>
      <c r="D782" t="s">
        <v>2328</v>
      </c>
      <c r="E782" t="s">
        <v>2038</v>
      </c>
      <c r="F782">
        <v>202204</v>
      </c>
      <c r="G782" t="s">
        <v>176</v>
      </c>
      <c r="H782">
        <v>0</v>
      </c>
    </row>
    <row r="783" spans="1:8">
      <c r="A783">
        <v>5366</v>
      </c>
      <c r="B783" t="s">
        <v>2327</v>
      </c>
      <c r="C783">
        <v>385</v>
      </c>
      <c r="D783" t="s">
        <v>2328</v>
      </c>
      <c r="E783" t="s">
        <v>2038</v>
      </c>
      <c r="F783">
        <v>202204</v>
      </c>
      <c r="G783" t="s">
        <v>178</v>
      </c>
      <c r="H783">
        <v>875.28</v>
      </c>
    </row>
    <row r="784" spans="1:8">
      <c r="A784">
        <v>5366</v>
      </c>
      <c r="B784" t="s">
        <v>2327</v>
      </c>
      <c r="C784">
        <v>385</v>
      </c>
      <c r="D784" t="s">
        <v>2328</v>
      </c>
      <c r="E784" t="s">
        <v>2038</v>
      </c>
      <c r="F784">
        <v>202204</v>
      </c>
      <c r="G784" t="s">
        <v>180</v>
      </c>
      <c r="H784">
        <v>799.68</v>
      </c>
    </row>
    <row r="785" spans="1:8">
      <c r="A785">
        <v>5366</v>
      </c>
      <c r="B785" t="s">
        <v>2327</v>
      </c>
      <c r="C785">
        <v>385</v>
      </c>
      <c r="D785" t="s">
        <v>2328</v>
      </c>
      <c r="E785" t="s">
        <v>2038</v>
      </c>
      <c r="F785">
        <v>202204</v>
      </c>
      <c r="G785" t="s">
        <v>182</v>
      </c>
      <c r="H785">
        <v>339540</v>
      </c>
    </row>
    <row r="786" spans="1:8">
      <c r="A786">
        <v>5366</v>
      </c>
      <c r="B786" t="s">
        <v>2327</v>
      </c>
      <c r="C786">
        <v>385</v>
      </c>
      <c r="D786" t="s">
        <v>2328</v>
      </c>
      <c r="E786" t="s">
        <v>2038</v>
      </c>
      <c r="F786">
        <v>202204</v>
      </c>
      <c r="G786" t="s">
        <v>184</v>
      </c>
      <c r="H786">
        <v>43197</v>
      </c>
    </row>
    <row r="787" spans="1:8">
      <c r="A787">
        <v>5366</v>
      </c>
      <c r="B787" t="s">
        <v>2327</v>
      </c>
      <c r="C787">
        <v>385</v>
      </c>
      <c r="D787" t="s">
        <v>2328</v>
      </c>
      <c r="E787" t="s">
        <v>2038</v>
      </c>
      <c r="F787">
        <v>202204</v>
      </c>
      <c r="G787" t="s">
        <v>192</v>
      </c>
      <c r="H787">
        <v>0</v>
      </c>
    </row>
    <row r="788" spans="1:8">
      <c r="A788">
        <v>5366</v>
      </c>
      <c r="B788" t="s">
        <v>2327</v>
      </c>
      <c r="C788">
        <v>385</v>
      </c>
      <c r="D788" t="s">
        <v>2328</v>
      </c>
      <c r="E788" t="s">
        <v>2038</v>
      </c>
      <c r="F788">
        <v>202204</v>
      </c>
      <c r="G788" t="s">
        <v>2172</v>
      </c>
      <c r="H788">
        <v>6569.98</v>
      </c>
    </row>
    <row r="789" spans="1:8">
      <c r="A789">
        <v>5366</v>
      </c>
      <c r="B789" t="s">
        <v>2327</v>
      </c>
      <c r="C789">
        <v>385</v>
      </c>
      <c r="D789" t="s">
        <v>2328</v>
      </c>
      <c r="E789" t="s">
        <v>2038</v>
      </c>
      <c r="F789">
        <v>202204</v>
      </c>
      <c r="G789" t="s">
        <v>186</v>
      </c>
      <c r="H789">
        <v>0</v>
      </c>
    </row>
    <row r="790" spans="1:8">
      <c r="A790">
        <v>5366</v>
      </c>
      <c r="B790" t="s">
        <v>2327</v>
      </c>
      <c r="C790">
        <v>385</v>
      </c>
      <c r="D790" t="s">
        <v>2328</v>
      </c>
      <c r="E790" t="s">
        <v>2038</v>
      </c>
      <c r="F790">
        <v>202204</v>
      </c>
      <c r="G790" t="s">
        <v>2171</v>
      </c>
      <c r="H790">
        <v>290.39</v>
      </c>
    </row>
    <row r="791" spans="1:8">
      <c r="A791">
        <v>5366</v>
      </c>
      <c r="B791" t="s">
        <v>2327</v>
      </c>
      <c r="C791">
        <v>385</v>
      </c>
      <c r="D791" t="s">
        <v>2328</v>
      </c>
      <c r="E791" t="s">
        <v>2038</v>
      </c>
      <c r="F791">
        <v>202204</v>
      </c>
      <c r="G791" t="s">
        <v>2168</v>
      </c>
      <c r="H791">
        <v>12.63</v>
      </c>
    </row>
    <row r="792" spans="1:8">
      <c r="A792">
        <v>5366</v>
      </c>
      <c r="B792" t="s">
        <v>2327</v>
      </c>
      <c r="C792">
        <v>385</v>
      </c>
      <c r="D792" t="s">
        <v>2328</v>
      </c>
      <c r="E792" t="s">
        <v>2038</v>
      </c>
      <c r="F792">
        <v>202204</v>
      </c>
      <c r="G792" t="s">
        <v>2169</v>
      </c>
      <c r="H792">
        <v>19.809999999999999</v>
      </c>
    </row>
    <row r="793" spans="1:8">
      <c r="A793">
        <v>5366</v>
      </c>
      <c r="B793" t="s">
        <v>2327</v>
      </c>
      <c r="C793">
        <v>385</v>
      </c>
      <c r="D793" t="s">
        <v>2328</v>
      </c>
      <c r="E793" t="s">
        <v>2038</v>
      </c>
      <c r="F793">
        <v>202204</v>
      </c>
      <c r="G793" t="s">
        <v>2170</v>
      </c>
      <c r="H793">
        <v>14.98</v>
      </c>
    </row>
    <row r="794" spans="1:8">
      <c r="A794">
        <v>5366</v>
      </c>
      <c r="B794" t="s">
        <v>2327</v>
      </c>
      <c r="C794">
        <v>385</v>
      </c>
      <c r="D794" t="s">
        <v>2328</v>
      </c>
      <c r="E794" t="s">
        <v>2038</v>
      </c>
      <c r="F794">
        <v>202204</v>
      </c>
      <c r="G794" t="s">
        <v>2173</v>
      </c>
      <c r="H794">
        <v>150342.79999999999</v>
      </c>
    </row>
    <row r="795" spans="1:8">
      <c r="A795">
        <v>5366</v>
      </c>
      <c r="B795" t="s">
        <v>2327</v>
      </c>
      <c r="C795">
        <v>385</v>
      </c>
      <c r="D795" t="s">
        <v>2328</v>
      </c>
      <c r="E795" t="s">
        <v>2038</v>
      </c>
      <c r="F795">
        <v>202204</v>
      </c>
      <c r="G795" t="s">
        <v>190</v>
      </c>
      <c r="H795">
        <v>72381</v>
      </c>
    </row>
    <row r="796" spans="1:8">
      <c r="A796">
        <v>5366</v>
      </c>
      <c r="B796" t="s">
        <v>2327</v>
      </c>
      <c r="C796">
        <v>385</v>
      </c>
      <c r="D796" t="s">
        <v>2328</v>
      </c>
      <c r="E796" t="s">
        <v>2038</v>
      </c>
      <c r="F796">
        <v>202204</v>
      </c>
      <c r="G796" t="s">
        <v>191</v>
      </c>
      <c r="H796">
        <v>9007</v>
      </c>
    </row>
    <row r="797" spans="1:8">
      <c r="A797">
        <v>5366</v>
      </c>
      <c r="B797" t="s">
        <v>2327</v>
      </c>
      <c r="C797">
        <v>385</v>
      </c>
      <c r="D797" t="s">
        <v>2328</v>
      </c>
      <c r="E797" t="s">
        <v>2038</v>
      </c>
      <c r="F797">
        <v>202204</v>
      </c>
      <c r="G797" t="s">
        <v>176</v>
      </c>
      <c r="H797">
        <v>0</v>
      </c>
    </row>
    <row r="798" spans="1:8">
      <c r="A798">
        <v>5366</v>
      </c>
      <c r="B798" t="s">
        <v>2327</v>
      </c>
      <c r="C798">
        <v>385</v>
      </c>
      <c r="D798" t="s">
        <v>2328</v>
      </c>
      <c r="E798" t="s">
        <v>2038</v>
      </c>
      <c r="F798">
        <v>202204</v>
      </c>
      <c r="G798" t="s">
        <v>178</v>
      </c>
      <c r="H798">
        <v>220.75</v>
      </c>
    </row>
    <row r="799" spans="1:8">
      <c r="A799">
        <v>5366</v>
      </c>
      <c r="B799" t="s">
        <v>2327</v>
      </c>
      <c r="C799">
        <v>385</v>
      </c>
      <c r="D799" t="s">
        <v>2328</v>
      </c>
      <c r="E799" t="s">
        <v>2038</v>
      </c>
      <c r="F799">
        <v>202204</v>
      </c>
      <c r="G799" t="s">
        <v>180</v>
      </c>
      <c r="H799">
        <v>177.91</v>
      </c>
    </row>
    <row r="800" spans="1:8">
      <c r="A800">
        <v>5366</v>
      </c>
      <c r="B800" t="s">
        <v>2327</v>
      </c>
      <c r="C800">
        <v>385</v>
      </c>
      <c r="D800" t="s">
        <v>2328</v>
      </c>
      <c r="E800" t="s">
        <v>2038</v>
      </c>
      <c r="F800">
        <v>202204</v>
      </c>
      <c r="G800" t="s">
        <v>182</v>
      </c>
      <c r="H800">
        <v>72381</v>
      </c>
    </row>
    <row r="801" spans="1:8">
      <c r="A801">
        <v>5366</v>
      </c>
      <c r="B801" t="s">
        <v>2327</v>
      </c>
      <c r="C801">
        <v>385</v>
      </c>
      <c r="D801" t="s">
        <v>2328</v>
      </c>
      <c r="E801" t="s">
        <v>2038</v>
      </c>
      <c r="F801">
        <v>202204</v>
      </c>
      <c r="G801" t="s">
        <v>184</v>
      </c>
      <c r="H801">
        <v>9007</v>
      </c>
    </row>
    <row r="802" spans="1:8">
      <c r="A802">
        <v>5366</v>
      </c>
      <c r="B802" t="s">
        <v>2327</v>
      </c>
      <c r="C802">
        <v>385</v>
      </c>
      <c r="D802" t="s">
        <v>2328</v>
      </c>
      <c r="E802" t="s">
        <v>2038</v>
      </c>
      <c r="F802">
        <v>202204</v>
      </c>
      <c r="G802" t="s">
        <v>192</v>
      </c>
      <c r="H802">
        <v>0</v>
      </c>
    </row>
    <row r="803" spans="1:8">
      <c r="A803">
        <v>5366</v>
      </c>
      <c r="B803" t="s">
        <v>2327</v>
      </c>
      <c r="C803">
        <v>385</v>
      </c>
      <c r="D803" t="s">
        <v>2328</v>
      </c>
      <c r="E803" t="s">
        <v>2038</v>
      </c>
      <c r="F803">
        <v>202204</v>
      </c>
      <c r="G803" t="s">
        <v>2172</v>
      </c>
      <c r="H803">
        <v>1563.34</v>
      </c>
    </row>
    <row r="804" spans="1:8">
      <c r="A804">
        <v>5366</v>
      </c>
      <c r="B804" t="s">
        <v>2327</v>
      </c>
      <c r="C804">
        <v>385</v>
      </c>
      <c r="D804" t="s">
        <v>2328</v>
      </c>
      <c r="E804" t="s">
        <v>2038</v>
      </c>
      <c r="F804">
        <v>202204</v>
      </c>
      <c r="G804" t="s">
        <v>186</v>
      </c>
      <c r="H804">
        <v>0</v>
      </c>
    </row>
    <row r="805" spans="1:8">
      <c r="A805">
        <v>5366</v>
      </c>
      <c r="B805" t="s">
        <v>2327</v>
      </c>
      <c r="C805">
        <v>385</v>
      </c>
      <c r="D805" t="s">
        <v>2328</v>
      </c>
      <c r="E805" t="s">
        <v>2038</v>
      </c>
      <c r="F805">
        <v>202204</v>
      </c>
      <c r="G805" t="s">
        <v>2171</v>
      </c>
      <c r="H805">
        <v>290.39</v>
      </c>
    </row>
    <row r="806" spans="1:8">
      <c r="A806">
        <v>5366</v>
      </c>
      <c r="B806" t="s">
        <v>2327</v>
      </c>
      <c r="C806">
        <v>385</v>
      </c>
      <c r="D806" t="s">
        <v>2328</v>
      </c>
      <c r="E806" t="s">
        <v>2038</v>
      </c>
      <c r="F806">
        <v>202204</v>
      </c>
      <c r="G806" t="s">
        <v>2168</v>
      </c>
      <c r="H806">
        <v>12.63</v>
      </c>
    </row>
    <row r="807" spans="1:8">
      <c r="A807">
        <v>5366</v>
      </c>
      <c r="B807" t="s">
        <v>2327</v>
      </c>
      <c r="C807">
        <v>385</v>
      </c>
      <c r="D807" t="s">
        <v>2328</v>
      </c>
      <c r="E807" t="s">
        <v>2038</v>
      </c>
      <c r="F807">
        <v>202204</v>
      </c>
      <c r="G807" t="s">
        <v>2169</v>
      </c>
      <c r="H807">
        <v>19.809999999999999</v>
      </c>
    </row>
    <row r="808" spans="1:8">
      <c r="A808">
        <v>5366</v>
      </c>
      <c r="B808" t="s">
        <v>2327</v>
      </c>
      <c r="C808">
        <v>385</v>
      </c>
      <c r="D808" t="s">
        <v>2328</v>
      </c>
      <c r="E808" t="s">
        <v>2038</v>
      </c>
      <c r="F808">
        <v>202204</v>
      </c>
      <c r="G808" t="s">
        <v>2170</v>
      </c>
      <c r="H808">
        <v>14.98</v>
      </c>
    </row>
    <row r="809" spans="1:8">
      <c r="A809">
        <v>5366</v>
      </c>
      <c r="B809" t="s">
        <v>2327</v>
      </c>
      <c r="C809">
        <v>385</v>
      </c>
      <c r="D809" t="s">
        <v>2328</v>
      </c>
      <c r="E809" t="s">
        <v>2038</v>
      </c>
      <c r="F809">
        <v>202204</v>
      </c>
      <c r="G809" t="s">
        <v>2173</v>
      </c>
      <c r="H809">
        <v>35774.42</v>
      </c>
    </row>
    <row r="810" spans="1:8">
      <c r="A810">
        <v>5366</v>
      </c>
      <c r="B810" t="s">
        <v>2327</v>
      </c>
      <c r="C810">
        <v>385</v>
      </c>
      <c r="D810" t="s">
        <v>2328</v>
      </c>
      <c r="E810" t="s">
        <v>2038</v>
      </c>
      <c r="F810">
        <v>202204</v>
      </c>
      <c r="G810" t="s">
        <v>190</v>
      </c>
      <c r="H810">
        <v>357488</v>
      </c>
    </row>
    <row r="811" spans="1:8">
      <c r="A811">
        <v>5366</v>
      </c>
      <c r="B811" t="s">
        <v>2327</v>
      </c>
      <c r="C811">
        <v>385</v>
      </c>
      <c r="D811" t="s">
        <v>2328</v>
      </c>
      <c r="E811" t="s">
        <v>2038</v>
      </c>
      <c r="F811">
        <v>202204</v>
      </c>
      <c r="G811" t="s">
        <v>191</v>
      </c>
      <c r="H811">
        <v>36432</v>
      </c>
    </row>
    <row r="812" spans="1:8">
      <c r="A812">
        <v>5366</v>
      </c>
      <c r="B812" t="s">
        <v>2327</v>
      </c>
      <c r="C812">
        <v>385</v>
      </c>
      <c r="D812" t="s">
        <v>2328</v>
      </c>
      <c r="E812" t="s">
        <v>2038</v>
      </c>
      <c r="F812">
        <v>202204</v>
      </c>
      <c r="G812" t="s">
        <v>176</v>
      </c>
      <c r="H812">
        <v>0</v>
      </c>
    </row>
    <row r="813" spans="1:8">
      <c r="A813">
        <v>5366</v>
      </c>
      <c r="B813" t="s">
        <v>2327</v>
      </c>
      <c r="C813">
        <v>385</v>
      </c>
      <c r="D813" t="s">
        <v>2328</v>
      </c>
      <c r="E813" t="s">
        <v>2038</v>
      </c>
      <c r="F813">
        <v>202204</v>
      </c>
      <c r="G813" t="s">
        <v>178</v>
      </c>
      <c r="H813">
        <v>2604</v>
      </c>
    </row>
    <row r="814" spans="1:8">
      <c r="A814">
        <v>5366</v>
      </c>
      <c r="B814" t="s">
        <v>2327</v>
      </c>
      <c r="C814">
        <v>385</v>
      </c>
      <c r="D814" t="s">
        <v>2328</v>
      </c>
      <c r="E814" t="s">
        <v>2038</v>
      </c>
      <c r="F814">
        <v>202204</v>
      </c>
      <c r="G814" t="s">
        <v>180</v>
      </c>
      <c r="H814">
        <v>2305</v>
      </c>
    </row>
    <row r="815" spans="1:8">
      <c r="A815">
        <v>5366</v>
      </c>
      <c r="B815" t="s">
        <v>2327</v>
      </c>
      <c r="C815">
        <v>385</v>
      </c>
      <c r="D815" t="s">
        <v>2328</v>
      </c>
      <c r="E815" t="s">
        <v>2038</v>
      </c>
      <c r="F815">
        <v>202204</v>
      </c>
      <c r="G815" t="s">
        <v>182</v>
      </c>
      <c r="H815">
        <v>1213548</v>
      </c>
    </row>
    <row r="816" spans="1:8">
      <c r="A816">
        <v>5366</v>
      </c>
      <c r="B816" t="s">
        <v>2327</v>
      </c>
      <c r="C816">
        <v>385</v>
      </c>
      <c r="D816" t="s">
        <v>2328</v>
      </c>
      <c r="E816" t="s">
        <v>2038</v>
      </c>
      <c r="F816">
        <v>202204</v>
      </c>
      <c r="G816" t="s">
        <v>184</v>
      </c>
      <c r="H816">
        <v>122558</v>
      </c>
    </row>
    <row r="817" spans="1:8">
      <c r="A817">
        <v>5366</v>
      </c>
      <c r="B817" t="s">
        <v>2327</v>
      </c>
      <c r="C817">
        <v>385</v>
      </c>
      <c r="D817" t="s">
        <v>2328</v>
      </c>
      <c r="E817" t="s">
        <v>2038</v>
      </c>
      <c r="F817">
        <v>202204</v>
      </c>
      <c r="G817" t="s">
        <v>192</v>
      </c>
      <c r="H817">
        <v>0</v>
      </c>
    </row>
    <row r="818" spans="1:8">
      <c r="A818">
        <v>5366</v>
      </c>
      <c r="B818" t="s">
        <v>2327</v>
      </c>
      <c r="C818">
        <v>385</v>
      </c>
      <c r="D818" t="s">
        <v>2328</v>
      </c>
      <c r="E818" t="s">
        <v>2038</v>
      </c>
      <c r="F818">
        <v>202204</v>
      </c>
      <c r="G818" t="s">
        <v>2172</v>
      </c>
      <c r="H818">
        <v>9731.75</v>
      </c>
    </row>
    <row r="819" spans="1:8">
      <c r="A819">
        <v>5366</v>
      </c>
      <c r="B819" t="s">
        <v>2327</v>
      </c>
      <c r="C819">
        <v>385</v>
      </c>
      <c r="D819" t="s">
        <v>2328</v>
      </c>
      <c r="E819" t="s">
        <v>2038</v>
      </c>
      <c r="F819">
        <v>202204</v>
      </c>
      <c r="G819" t="s">
        <v>186</v>
      </c>
      <c r="H819">
        <v>0</v>
      </c>
    </row>
    <row r="820" spans="1:8">
      <c r="A820">
        <v>5366</v>
      </c>
      <c r="B820" t="s">
        <v>2327</v>
      </c>
      <c r="C820">
        <v>385</v>
      </c>
      <c r="D820" t="s">
        <v>2328</v>
      </c>
      <c r="E820" t="s">
        <v>2038</v>
      </c>
      <c r="F820">
        <v>202204</v>
      </c>
      <c r="G820" t="s">
        <v>2171</v>
      </c>
      <c r="H820">
        <v>290.39</v>
      </c>
    </row>
    <row r="821" spans="1:8">
      <c r="A821">
        <v>5366</v>
      </c>
      <c r="B821" t="s">
        <v>2327</v>
      </c>
      <c r="C821">
        <v>385</v>
      </c>
      <c r="D821" t="s">
        <v>2328</v>
      </c>
      <c r="E821" t="s">
        <v>2038</v>
      </c>
      <c r="F821">
        <v>202204</v>
      </c>
      <c r="G821" t="s">
        <v>2168</v>
      </c>
      <c r="H821">
        <v>12.63</v>
      </c>
    </row>
    <row r="822" spans="1:8">
      <c r="A822">
        <v>5366</v>
      </c>
      <c r="B822" t="s">
        <v>2327</v>
      </c>
      <c r="C822">
        <v>385</v>
      </c>
      <c r="D822" t="s">
        <v>2328</v>
      </c>
      <c r="E822" t="s">
        <v>2038</v>
      </c>
      <c r="F822">
        <v>202204</v>
      </c>
      <c r="G822" t="s">
        <v>2169</v>
      </c>
      <c r="H822">
        <v>19.809999999999999</v>
      </c>
    </row>
    <row r="823" spans="1:8">
      <c r="A823">
        <v>5366</v>
      </c>
      <c r="B823" t="s">
        <v>2327</v>
      </c>
      <c r="C823">
        <v>385</v>
      </c>
      <c r="D823" t="s">
        <v>2328</v>
      </c>
      <c r="E823" t="s">
        <v>2038</v>
      </c>
      <c r="F823">
        <v>202204</v>
      </c>
      <c r="G823" t="s">
        <v>2170</v>
      </c>
      <c r="H823">
        <v>14.98</v>
      </c>
    </row>
    <row r="824" spans="1:8">
      <c r="A824">
        <v>5366</v>
      </c>
      <c r="B824" t="s">
        <v>2327</v>
      </c>
      <c r="C824">
        <v>385</v>
      </c>
      <c r="D824" t="s">
        <v>2328</v>
      </c>
      <c r="E824" t="s">
        <v>2038</v>
      </c>
      <c r="F824">
        <v>202204</v>
      </c>
      <c r="G824" t="s">
        <v>2173</v>
      </c>
      <c r="H824">
        <v>222694.39999999999</v>
      </c>
    </row>
    <row r="825" spans="1:8">
      <c r="A825">
        <v>5366</v>
      </c>
      <c r="B825" t="s">
        <v>2327</v>
      </c>
      <c r="C825">
        <v>385</v>
      </c>
      <c r="D825" t="s">
        <v>2328</v>
      </c>
      <c r="E825" t="s">
        <v>2038</v>
      </c>
      <c r="F825">
        <v>202205</v>
      </c>
      <c r="G825" t="s">
        <v>190</v>
      </c>
      <c r="H825">
        <v>139599</v>
      </c>
    </row>
    <row r="826" spans="1:8">
      <c r="A826">
        <v>5366</v>
      </c>
      <c r="B826" t="s">
        <v>2327</v>
      </c>
      <c r="C826">
        <v>385</v>
      </c>
      <c r="D826" t="s">
        <v>2328</v>
      </c>
      <c r="E826" t="s">
        <v>2038</v>
      </c>
      <c r="F826">
        <v>202205</v>
      </c>
      <c r="G826" t="s">
        <v>191</v>
      </c>
      <c r="H826">
        <v>15108</v>
      </c>
    </row>
    <row r="827" spans="1:8">
      <c r="A827">
        <v>5366</v>
      </c>
      <c r="B827" t="s">
        <v>2327</v>
      </c>
      <c r="C827">
        <v>385</v>
      </c>
      <c r="D827" t="s">
        <v>2328</v>
      </c>
      <c r="E827" t="s">
        <v>2038</v>
      </c>
      <c r="F827">
        <v>202205</v>
      </c>
      <c r="G827" t="s">
        <v>176</v>
      </c>
      <c r="H827">
        <v>0</v>
      </c>
    </row>
    <row r="828" spans="1:8">
      <c r="A828">
        <v>5366</v>
      </c>
      <c r="B828" t="s">
        <v>2327</v>
      </c>
      <c r="C828">
        <v>385</v>
      </c>
      <c r="D828" t="s">
        <v>2328</v>
      </c>
      <c r="E828" t="s">
        <v>2038</v>
      </c>
      <c r="F828">
        <v>202205</v>
      </c>
      <c r="G828" t="s">
        <v>178</v>
      </c>
      <c r="H828">
        <v>348.76</v>
      </c>
    </row>
    <row r="829" spans="1:8">
      <c r="A829">
        <v>5366</v>
      </c>
      <c r="B829" t="s">
        <v>2327</v>
      </c>
      <c r="C829">
        <v>385</v>
      </c>
      <c r="D829" t="s">
        <v>2328</v>
      </c>
      <c r="E829" t="s">
        <v>2038</v>
      </c>
      <c r="F829">
        <v>202205</v>
      </c>
      <c r="G829" t="s">
        <v>180</v>
      </c>
      <c r="H829">
        <v>342.38</v>
      </c>
    </row>
    <row r="830" spans="1:8">
      <c r="A830">
        <v>5366</v>
      </c>
      <c r="B830" t="s">
        <v>2327</v>
      </c>
      <c r="C830">
        <v>385</v>
      </c>
      <c r="D830" t="s">
        <v>2328</v>
      </c>
      <c r="E830" t="s">
        <v>2038</v>
      </c>
      <c r="F830">
        <v>202205</v>
      </c>
      <c r="G830" t="s">
        <v>182</v>
      </c>
      <c r="H830">
        <v>139599</v>
      </c>
    </row>
    <row r="831" spans="1:8">
      <c r="A831">
        <v>5366</v>
      </c>
      <c r="B831" t="s">
        <v>2327</v>
      </c>
      <c r="C831">
        <v>385</v>
      </c>
      <c r="D831" t="s">
        <v>2328</v>
      </c>
      <c r="E831" t="s">
        <v>2038</v>
      </c>
      <c r="F831">
        <v>202205</v>
      </c>
      <c r="G831" t="s">
        <v>184</v>
      </c>
      <c r="H831">
        <v>15108</v>
      </c>
    </row>
    <row r="832" spans="1:8">
      <c r="A832">
        <v>5366</v>
      </c>
      <c r="B832" t="s">
        <v>2327</v>
      </c>
      <c r="C832">
        <v>385</v>
      </c>
      <c r="D832" t="s">
        <v>2328</v>
      </c>
      <c r="E832" t="s">
        <v>2038</v>
      </c>
      <c r="F832">
        <v>202205</v>
      </c>
      <c r="G832" t="s">
        <v>192</v>
      </c>
      <c r="H832">
        <v>0</v>
      </c>
    </row>
    <row r="833" spans="1:8">
      <c r="A833">
        <v>5366</v>
      </c>
      <c r="B833" t="s">
        <v>2327</v>
      </c>
      <c r="C833">
        <v>385</v>
      </c>
      <c r="D833" t="s">
        <v>2328</v>
      </c>
      <c r="E833" t="s">
        <v>2038</v>
      </c>
      <c r="F833">
        <v>202205</v>
      </c>
      <c r="G833" t="s">
        <v>2172</v>
      </c>
      <c r="H833">
        <v>3479.37</v>
      </c>
    </row>
    <row r="834" spans="1:8">
      <c r="A834">
        <v>5366</v>
      </c>
      <c r="B834" t="s">
        <v>2327</v>
      </c>
      <c r="C834">
        <v>385</v>
      </c>
      <c r="D834" t="s">
        <v>2328</v>
      </c>
      <c r="E834" t="s">
        <v>2038</v>
      </c>
      <c r="F834">
        <v>202205</v>
      </c>
      <c r="G834" t="s">
        <v>186</v>
      </c>
      <c r="H834">
        <v>0</v>
      </c>
    </row>
    <row r="835" spans="1:8">
      <c r="A835">
        <v>5366</v>
      </c>
      <c r="B835" t="s">
        <v>2327</v>
      </c>
      <c r="C835">
        <v>385</v>
      </c>
      <c r="D835" t="s">
        <v>2328</v>
      </c>
      <c r="E835" t="s">
        <v>2038</v>
      </c>
      <c r="F835">
        <v>202205</v>
      </c>
      <c r="G835" t="s">
        <v>2171</v>
      </c>
      <c r="H835">
        <v>290.39</v>
      </c>
    </row>
    <row r="836" spans="1:8">
      <c r="A836">
        <v>5366</v>
      </c>
      <c r="B836" t="s">
        <v>2327</v>
      </c>
      <c r="C836">
        <v>385</v>
      </c>
      <c r="D836" t="s">
        <v>2328</v>
      </c>
      <c r="E836" t="s">
        <v>2038</v>
      </c>
      <c r="F836">
        <v>202205</v>
      </c>
      <c r="G836" t="s">
        <v>2168</v>
      </c>
      <c r="H836">
        <v>12.63</v>
      </c>
    </row>
    <row r="837" spans="1:8">
      <c r="A837">
        <v>5366</v>
      </c>
      <c r="B837" t="s">
        <v>2327</v>
      </c>
      <c r="C837">
        <v>385</v>
      </c>
      <c r="D837" t="s">
        <v>2328</v>
      </c>
      <c r="E837" t="s">
        <v>2038</v>
      </c>
      <c r="F837">
        <v>202205</v>
      </c>
      <c r="G837" t="s">
        <v>2169</v>
      </c>
      <c r="H837">
        <v>19.809999999999999</v>
      </c>
    </row>
    <row r="838" spans="1:8">
      <c r="A838">
        <v>5366</v>
      </c>
      <c r="B838" t="s">
        <v>2327</v>
      </c>
      <c r="C838">
        <v>385</v>
      </c>
      <c r="D838" t="s">
        <v>2328</v>
      </c>
      <c r="E838" t="s">
        <v>2038</v>
      </c>
      <c r="F838">
        <v>202205</v>
      </c>
      <c r="G838" t="s">
        <v>2170</v>
      </c>
      <c r="H838">
        <v>14.98</v>
      </c>
    </row>
    <row r="839" spans="1:8">
      <c r="A839">
        <v>5366</v>
      </c>
      <c r="B839" t="s">
        <v>2327</v>
      </c>
      <c r="C839">
        <v>385</v>
      </c>
      <c r="D839" t="s">
        <v>2328</v>
      </c>
      <c r="E839" t="s">
        <v>2038</v>
      </c>
      <c r="F839">
        <v>202205</v>
      </c>
      <c r="G839" t="s">
        <v>2173</v>
      </c>
      <c r="H839">
        <v>61910.73</v>
      </c>
    </row>
    <row r="840" spans="1:8">
      <c r="A840">
        <v>5366</v>
      </c>
      <c r="B840" t="s">
        <v>2327</v>
      </c>
      <c r="C840">
        <v>385</v>
      </c>
      <c r="D840" t="s">
        <v>2328</v>
      </c>
      <c r="E840" t="s">
        <v>2038</v>
      </c>
      <c r="F840">
        <v>202205</v>
      </c>
      <c r="G840" t="s">
        <v>190</v>
      </c>
      <c r="H840">
        <v>177892</v>
      </c>
    </row>
    <row r="841" spans="1:8">
      <c r="A841">
        <v>5366</v>
      </c>
      <c r="B841" t="s">
        <v>2327</v>
      </c>
      <c r="C841">
        <v>385</v>
      </c>
      <c r="D841" t="s">
        <v>2328</v>
      </c>
      <c r="E841" t="s">
        <v>2038</v>
      </c>
      <c r="F841">
        <v>202205</v>
      </c>
      <c r="G841" t="s">
        <v>191</v>
      </c>
      <c r="H841">
        <v>26327</v>
      </c>
    </row>
    <row r="842" spans="1:8">
      <c r="A842">
        <v>5366</v>
      </c>
      <c r="B842" t="s">
        <v>2327</v>
      </c>
      <c r="C842">
        <v>385</v>
      </c>
      <c r="D842" t="s">
        <v>2328</v>
      </c>
      <c r="E842" t="s">
        <v>2038</v>
      </c>
      <c r="F842">
        <v>202205</v>
      </c>
      <c r="G842" t="s">
        <v>176</v>
      </c>
      <c r="H842">
        <v>0</v>
      </c>
    </row>
    <row r="843" spans="1:8">
      <c r="A843">
        <v>5366</v>
      </c>
      <c r="B843" t="s">
        <v>2327</v>
      </c>
      <c r="C843">
        <v>385</v>
      </c>
      <c r="D843" t="s">
        <v>2328</v>
      </c>
      <c r="E843" t="s">
        <v>2038</v>
      </c>
      <c r="F843">
        <v>202205</v>
      </c>
      <c r="G843" t="s">
        <v>178</v>
      </c>
      <c r="H843">
        <v>584.64</v>
      </c>
    </row>
    <row r="844" spans="1:8">
      <c r="A844">
        <v>5366</v>
      </c>
      <c r="B844" t="s">
        <v>2327</v>
      </c>
      <c r="C844">
        <v>385</v>
      </c>
      <c r="D844" t="s">
        <v>2328</v>
      </c>
      <c r="E844" t="s">
        <v>2038</v>
      </c>
      <c r="F844">
        <v>202205</v>
      </c>
      <c r="G844" t="s">
        <v>180</v>
      </c>
      <c r="H844">
        <v>572.54</v>
      </c>
    </row>
    <row r="845" spans="1:8">
      <c r="A845">
        <v>5366</v>
      </c>
      <c r="B845" t="s">
        <v>2327</v>
      </c>
      <c r="C845">
        <v>385</v>
      </c>
      <c r="D845" t="s">
        <v>2328</v>
      </c>
      <c r="E845" t="s">
        <v>2038</v>
      </c>
      <c r="F845">
        <v>202205</v>
      </c>
      <c r="G845" t="s">
        <v>182</v>
      </c>
      <c r="H845">
        <v>208619</v>
      </c>
    </row>
    <row r="846" spans="1:8">
      <c r="A846">
        <v>5366</v>
      </c>
      <c r="B846" t="s">
        <v>2327</v>
      </c>
      <c r="C846">
        <v>385</v>
      </c>
      <c r="D846" t="s">
        <v>2328</v>
      </c>
      <c r="E846" t="s">
        <v>2038</v>
      </c>
      <c r="F846">
        <v>202205</v>
      </c>
      <c r="G846" t="s">
        <v>184</v>
      </c>
      <c r="H846">
        <v>26327</v>
      </c>
    </row>
    <row r="847" spans="1:8">
      <c r="A847">
        <v>5366</v>
      </c>
      <c r="B847" t="s">
        <v>2327</v>
      </c>
      <c r="C847">
        <v>385</v>
      </c>
      <c r="D847" t="s">
        <v>2328</v>
      </c>
      <c r="E847" t="s">
        <v>2038</v>
      </c>
      <c r="F847">
        <v>202205</v>
      </c>
      <c r="G847" t="s">
        <v>192</v>
      </c>
      <c r="H847">
        <v>0</v>
      </c>
    </row>
    <row r="848" spans="1:8">
      <c r="A848">
        <v>5366</v>
      </c>
      <c r="B848" t="s">
        <v>2327</v>
      </c>
      <c r="C848">
        <v>385</v>
      </c>
      <c r="D848" t="s">
        <v>2328</v>
      </c>
      <c r="E848" t="s">
        <v>2038</v>
      </c>
      <c r="F848">
        <v>202205</v>
      </c>
      <c r="G848" t="s">
        <v>2172</v>
      </c>
      <c r="H848">
        <v>4855.92</v>
      </c>
    </row>
    <row r="849" spans="1:8">
      <c r="A849">
        <v>5366</v>
      </c>
      <c r="B849" t="s">
        <v>2327</v>
      </c>
      <c r="C849">
        <v>385</v>
      </c>
      <c r="D849" t="s">
        <v>2328</v>
      </c>
      <c r="E849" t="s">
        <v>2038</v>
      </c>
      <c r="F849">
        <v>202205</v>
      </c>
      <c r="G849" t="s">
        <v>186</v>
      </c>
      <c r="H849">
        <v>30727</v>
      </c>
    </row>
    <row r="850" spans="1:8">
      <c r="A850">
        <v>5366</v>
      </c>
      <c r="B850" t="s">
        <v>2327</v>
      </c>
      <c r="C850">
        <v>385</v>
      </c>
      <c r="D850" t="s">
        <v>2328</v>
      </c>
      <c r="E850" t="s">
        <v>2038</v>
      </c>
      <c r="F850">
        <v>202205</v>
      </c>
      <c r="G850" t="s">
        <v>2171</v>
      </c>
      <c r="H850">
        <v>290.39</v>
      </c>
    </row>
    <row r="851" spans="1:8">
      <c r="A851">
        <v>5366</v>
      </c>
      <c r="B851" t="s">
        <v>2327</v>
      </c>
      <c r="C851">
        <v>385</v>
      </c>
      <c r="D851" t="s">
        <v>2328</v>
      </c>
      <c r="E851" t="s">
        <v>2038</v>
      </c>
      <c r="F851">
        <v>202205</v>
      </c>
      <c r="G851" t="s">
        <v>2168</v>
      </c>
      <c r="H851">
        <v>12.63</v>
      </c>
    </row>
    <row r="852" spans="1:8">
      <c r="A852">
        <v>5366</v>
      </c>
      <c r="B852" t="s">
        <v>2327</v>
      </c>
      <c r="C852">
        <v>385</v>
      </c>
      <c r="D852" t="s">
        <v>2328</v>
      </c>
      <c r="E852" t="s">
        <v>2038</v>
      </c>
      <c r="F852">
        <v>202205</v>
      </c>
      <c r="G852" t="s">
        <v>2169</v>
      </c>
      <c r="H852">
        <v>19.809999999999999</v>
      </c>
    </row>
    <row r="853" spans="1:8">
      <c r="A853">
        <v>5366</v>
      </c>
      <c r="B853" t="s">
        <v>2327</v>
      </c>
      <c r="C853">
        <v>385</v>
      </c>
      <c r="D853" t="s">
        <v>2328</v>
      </c>
      <c r="E853" t="s">
        <v>2038</v>
      </c>
      <c r="F853">
        <v>202205</v>
      </c>
      <c r="G853" t="s">
        <v>2170</v>
      </c>
      <c r="H853">
        <v>14.98</v>
      </c>
    </row>
    <row r="854" spans="1:8">
      <c r="A854">
        <v>5366</v>
      </c>
      <c r="B854" t="s">
        <v>2327</v>
      </c>
      <c r="C854">
        <v>385</v>
      </c>
      <c r="D854" t="s">
        <v>2328</v>
      </c>
      <c r="E854" t="s">
        <v>2038</v>
      </c>
      <c r="F854">
        <v>202205</v>
      </c>
      <c r="G854" t="s">
        <v>2173</v>
      </c>
      <c r="H854">
        <v>86404.55</v>
      </c>
    </row>
    <row r="855" spans="1:8">
      <c r="A855">
        <v>5366</v>
      </c>
      <c r="B855" t="s">
        <v>2327</v>
      </c>
      <c r="C855">
        <v>385</v>
      </c>
      <c r="D855" t="s">
        <v>2328</v>
      </c>
      <c r="E855" t="s">
        <v>2038</v>
      </c>
      <c r="F855">
        <v>202205</v>
      </c>
      <c r="G855" t="s">
        <v>190</v>
      </c>
      <c r="H855">
        <v>63700</v>
      </c>
    </row>
    <row r="856" spans="1:8">
      <c r="A856">
        <v>5366</v>
      </c>
      <c r="B856" t="s">
        <v>2327</v>
      </c>
      <c r="C856">
        <v>385</v>
      </c>
      <c r="D856" t="s">
        <v>2328</v>
      </c>
      <c r="E856" t="s">
        <v>2038</v>
      </c>
      <c r="F856">
        <v>202205</v>
      </c>
      <c r="G856" t="s">
        <v>191</v>
      </c>
      <c r="H856">
        <v>7638</v>
      </c>
    </row>
    <row r="857" spans="1:8">
      <c r="A857">
        <v>5366</v>
      </c>
      <c r="B857" t="s">
        <v>2327</v>
      </c>
      <c r="C857">
        <v>385</v>
      </c>
      <c r="D857" t="s">
        <v>2328</v>
      </c>
      <c r="E857" t="s">
        <v>2038</v>
      </c>
      <c r="F857">
        <v>202205</v>
      </c>
      <c r="G857" t="s">
        <v>176</v>
      </c>
      <c r="H857">
        <v>0</v>
      </c>
    </row>
    <row r="858" spans="1:8">
      <c r="A858">
        <v>5366</v>
      </c>
      <c r="B858" t="s">
        <v>2327</v>
      </c>
      <c r="C858">
        <v>385</v>
      </c>
      <c r="D858" t="s">
        <v>2328</v>
      </c>
      <c r="E858" t="s">
        <v>2038</v>
      </c>
      <c r="F858">
        <v>202205</v>
      </c>
      <c r="G858" t="s">
        <v>178</v>
      </c>
      <c r="H858">
        <v>223.27</v>
      </c>
    </row>
    <row r="859" spans="1:8">
      <c r="A859">
        <v>5366</v>
      </c>
      <c r="B859" t="s">
        <v>2327</v>
      </c>
      <c r="C859">
        <v>385</v>
      </c>
      <c r="D859" t="s">
        <v>2328</v>
      </c>
      <c r="E859" t="s">
        <v>2038</v>
      </c>
      <c r="F859">
        <v>202205</v>
      </c>
      <c r="G859" t="s">
        <v>180</v>
      </c>
      <c r="H859">
        <v>230.83</v>
      </c>
    </row>
    <row r="860" spans="1:8">
      <c r="A860">
        <v>5366</v>
      </c>
      <c r="B860" t="s">
        <v>2327</v>
      </c>
      <c r="C860">
        <v>385</v>
      </c>
      <c r="D860" t="s">
        <v>2328</v>
      </c>
      <c r="E860" t="s">
        <v>2038</v>
      </c>
      <c r="F860">
        <v>202205</v>
      </c>
      <c r="G860" t="s">
        <v>182</v>
      </c>
      <c r="H860">
        <v>63700</v>
      </c>
    </row>
    <row r="861" spans="1:8">
      <c r="A861">
        <v>5366</v>
      </c>
      <c r="B861" t="s">
        <v>2327</v>
      </c>
      <c r="C861">
        <v>385</v>
      </c>
      <c r="D861" t="s">
        <v>2328</v>
      </c>
      <c r="E861" t="s">
        <v>2038</v>
      </c>
      <c r="F861">
        <v>202205</v>
      </c>
      <c r="G861" t="s">
        <v>184</v>
      </c>
      <c r="H861">
        <v>7638</v>
      </c>
    </row>
    <row r="862" spans="1:8">
      <c r="A862">
        <v>5366</v>
      </c>
      <c r="B862" t="s">
        <v>2327</v>
      </c>
      <c r="C862">
        <v>385</v>
      </c>
      <c r="D862" t="s">
        <v>2328</v>
      </c>
      <c r="E862" t="s">
        <v>2038</v>
      </c>
      <c r="F862">
        <v>202205</v>
      </c>
      <c r="G862" t="s">
        <v>192</v>
      </c>
      <c r="H862">
        <v>0</v>
      </c>
    </row>
    <row r="863" spans="1:8">
      <c r="A863">
        <v>5366</v>
      </c>
      <c r="B863" t="s">
        <v>2327</v>
      </c>
      <c r="C863">
        <v>385</v>
      </c>
      <c r="D863" t="s">
        <v>2328</v>
      </c>
      <c r="E863" t="s">
        <v>2038</v>
      </c>
      <c r="F863">
        <v>202205</v>
      </c>
      <c r="G863" t="s">
        <v>2172</v>
      </c>
      <c r="H863">
        <v>1879.56</v>
      </c>
    </row>
    <row r="864" spans="1:8">
      <c r="A864">
        <v>5366</v>
      </c>
      <c r="B864" t="s">
        <v>2327</v>
      </c>
      <c r="C864">
        <v>385</v>
      </c>
      <c r="D864" t="s">
        <v>2328</v>
      </c>
      <c r="E864" t="s">
        <v>2038</v>
      </c>
      <c r="F864">
        <v>202205</v>
      </c>
      <c r="G864" t="s">
        <v>186</v>
      </c>
      <c r="H864">
        <v>0</v>
      </c>
    </row>
    <row r="865" spans="1:8">
      <c r="A865">
        <v>5366</v>
      </c>
      <c r="B865" t="s">
        <v>2327</v>
      </c>
      <c r="C865">
        <v>385</v>
      </c>
      <c r="D865" t="s">
        <v>2328</v>
      </c>
      <c r="E865" t="s">
        <v>2038</v>
      </c>
      <c r="F865">
        <v>202205</v>
      </c>
      <c r="G865" t="s">
        <v>2171</v>
      </c>
      <c r="H865">
        <v>290.39</v>
      </c>
    </row>
    <row r="866" spans="1:8">
      <c r="A866">
        <v>5366</v>
      </c>
      <c r="B866" t="s">
        <v>2327</v>
      </c>
      <c r="C866">
        <v>385</v>
      </c>
      <c r="D866" t="s">
        <v>2328</v>
      </c>
      <c r="E866" t="s">
        <v>2038</v>
      </c>
      <c r="F866">
        <v>202205</v>
      </c>
      <c r="G866" t="s">
        <v>2168</v>
      </c>
      <c r="H866">
        <v>12.63</v>
      </c>
    </row>
    <row r="867" spans="1:8">
      <c r="A867">
        <v>5366</v>
      </c>
      <c r="B867" t="s">
        <v>2327</v>
      </c>
      <c r="C867">
        <v>385</v>
      </c>
      <c r="D867" t="s">
        <v>2328</v>
      </c>
      <c r="E867" t="s">
        <v>2038</v>
      </c>
      <c r="F867">
        <v>202205</v>
      </c>
      <c r="G867" t="s">
        <v>2169</v>
      </c>
      <c r="H867">
        <v>19.809999999999999</v>
      </c>
    </row>
    <row r="868" spans="1:8">
      <c r="A868">
        <v>5366</v>
      </c>
      <c r="B868" t="s">
        <v>2327</v>
      </c>
      <c r="C868">
        <v>385</v>
      </c>
      <c r="D868" t="s">
        <v>2328</v>
      </c>
      <c r="E868" t="s">
        <v>2038</v>
      </c>
      <c r="F868">
        <v>202205</v>
      </c>
      <c r="G868" t="s">
        <v>2170</v>
      </c>
      <c r="H868">
        <v>14.98</v>
      </c>
    </row>
    <row r="869" spans="1:8">
      <c r="A869">
        <v>5366</v>
      </c>
      <c r="B869" t="s">
        <v>2327</v>
      </c>
      <c r="C869">
        <v>385</v>
      </c>
      <c r="D869" t="s">
        <v>2328</v>
      </c>
      <c r="E869" t="s">
        <v>2038</v>
      </c>
      <c r="F869">
        <v>202205</v>
      </c>
      <c r="G869" t="s">
        <v>2173</v>
      </c>
      <c r="H869">
        <v>33444.050000000003</v>
      </c>
    </row>
    <row r="870" spans="1:8">
      <c r="A870">
        <v>5366</v>
      </c>
      <c r="B870" t="s">
        <v>2327</v>
      </c>
      <c r="C870">
        <v>385</v>
      </c>
      <c r="D870" t="s">
        <v>2328</v>
      </c>
      <c r="E870" t="s">
        <v>2038</v>
      </c>
      <c r="F870">
        <v>202205</v>
      </c>
      <c r="G870" t="s">
        <v>190</v>
      </c>
      <c r="H870">
        <v>302350</v>
      </c>
    </row>
    <row r="871" spans="1:8">
      <c r="A871">
        <v>5366</v>
      </c>
      <c r="B871" t="s">
        <v>2327</v>
      </c>
      <c r="C871">
        <v>385</v>
      </c>
      <c r="D871" t="s">
        <v>2328</v>
      </c>
      <c r="E871" t="s">
        <v>2038</v>
      </c>
      <c r="F871">
        <v>202205</v>
      </c>
      <c r="G871" t="s">
        <v>191</v>
      </c>
      <c r="H871">
        <v>37761</v>
      </c>
    </row>
    <row r="872" spans="1:8">
      <c r="A872">
        <v>5366</v>
      </c>
      <c r="B872" t="s">
        <v>2327</v>
      </c>
      <c r="C872">
        <v>385</v>
      </c>
      <c r="D872" t="s">
        <v>2328</v>
      </c>
      <c r="E872" t="s">
        <v>2038</v>
      </c>
      <c r="F872">
        <v>202205</v>
      </c>
      <c r="G872" t="s">
        <v>176</v>
      </c>
      <c r="H872">
        <v>0</v>
      </c>
    </row>
    <row r="873" spans="1:8">
      <c r="A873">
        <v>5366</v>
      </c>
      <c r="B873" t="s">
        <v>2327</v>
      </c>
      <c r="C873">
        <v>385</v>
      </c>
      <c r="D873" t="s">
        <v>2328</v>
      </c>
      <c r="E873" t="s">
        <v>2038</v>
      </c>
      <c r="F873">
        <v>202205</v>
      </c>
      <c r="G873" t="s">
        <v>178</v>
      </c>
      <c r="H873">
        <v>939.12</v>
      </c>
    </row>
    <row r="874" spans="1:8">
      <c r="A874">
        <v>5366</v>
      </c>
      <c r="B874" t="s">
        <v>2327</v>
      </c>
      <c r="C874">
        <v>385</v>
      </c>
      <c r="D874" t="s">
        <v>2328</v>
      </c>
      <c r="E874" t="s">
        <v>2038</v>
      </c>
      <c r="F874">
        <v>202205</v>
      </c>
      <c r="G874" t="s">
        <v>180</v>
      </c>
      <c r="H874">
        <v>953.4</v>
      </c>
    </row>
    <row r="875" spans="1:8">
      <c r="A875">
        <v>5366</v>
      </c>
      <c r="B875" t="s">
        <v>2327</v>
      </c>
      <c r="C875">
        <v>385</v>
      </c>
      <c r="D875" t="s">
        <v>2328</v>
      </c>
      <c r="E875" t="s">
        <v>2038</v>
      </c>
      <c r="F875">
        <v>202205</v>
      </c>
      <c r="G875" t="s">
        <v>182</v>
      </c>
      <c r="H875">
        <v>302350</v>
      </c>
    </row>
    <row r="876" spans="1:8">
      <c r="A876">
        <v>5366</v>
      </c>
      <c r="B876" t="s">
        <v>2327</v>
      </c>
      <c r="C876">
        <v>385</v>
      </c>
      <c r="D876" t="s">
        <v>2328</v>
      </c>
      <c r="E876" t="s">
        <v>2038</v>
      </c>
      <c r="F876">
        <v>202205</v>
      </c>
      <c r="G876" t="s">
        <v>184</v>
      </c>
      <c r="H876">
        <v>37761</v>
      </c>
    </row>
    <row r="877" spans="1:8">
      <c r="A877">
        <v>5366</v>
      </c>
      <c r="B877" t="s">
        <v>2327</v>
      </c>
      <c r="C877">
        <v>385</v>
      </c>
      <c r="D877" t="s">
        <v>2328</v>
      </c>
      <c r="E877" t="s">
        <v>2038</v>
      </c>
      <c r="F877">
        <v>202205</v>
      </c>
      <c r="G877" t="s">
        <v>192</v>
      </c>
      <c r="H877">
        <v>0</v>
      </c>
    </row>
    <row r="878" spans="1:8">
      <c r="A878">
        <v>5366</v>
      </c>
      <c r="B878" t="s">
        <v>2327</v>
      </c>
      <c r="C878">
        <v>385</v>
      </c>
      <c r="D878" t="s">
        <v>2328</v>
      </c>
      <c r="E878" t="s">
        <v>2038</v>
      </c>
      <c r="F878">
        <v>202205</v>
      </c>
      <c r="G878" t="s">
        <v>2172</v>
      </c>
      <c r="H878">
        <v>8015.4</v>
      </c>
    </row>
    <row r="879" spans="1:8">
      <c r="A879">
        <v>5366</v>
      </c>
      <c r="B879" t="s">
        <v>2327</v>
      </c>
      <c r="C879">
        <v>385</v>
      </c>
      <c r="D879" t="s">
        <v>2328</v>
      </c>
      <c r="E879" t="s">
        <v>2038</v>
      </c>
      <c r="F879">
        <v>202205</v>
      </c>
      <c r="G879" t="s">
        <v>186</v>
      </c>
      <c r="H879">
        <v>0</v>
      </c>
    </row>
    <row r="880" spans="1:8">
      <c r="A880">
        <v>5366</v>
      </c>
      <c r="B880" t="s">
        <v>2327</v>
      </c>
      <c r="C880">
        <v>385</v>
      </c>
      <c r="D880" t="s">
        <v>2328</v>
      </c>
      <c r="E880" t="s">
        <v>2038</v>
      </c>
      <c r="F880">
        <v>202205</v>
      </c>
      <c r="G880" t="s">
        <v>2171</v>
      </c>
      <c r="H880">
        <v>290.39</v>
      </c>
    </row>
    <row r="881" spans="1:8">
      <c r="A881">
        <v>5366</v>
      </c>
      <c r="B881" t="s">
        <v>2327</v>
      </c>
      <c r="C881">
        <v>385</v>
      </c>
      <c r="D881" t="s">
        <v>2328</v>
      </c>
      <c r="E881" t="s">
        <v>2038</v>
      </c>
      <c r="F881">
        <v>202205</v>
      </c>
      <c r="G881" t="s">
        <v>2168</v>
      </c>
      <c r="H881">
        <v>12.63</v>
      </c>
    </row>
    <row r="882" spans="1:8">
      <c r="A882">
        <v>5366</v>
      </c>
      <c r="B882" t="s">
        <v>2327</v>
      </c>
      <c r="C882">
        <v>385</v>
      </c>
      <c r="D882" t="s">
        <v>2328</v>
      </c>
      <c r="E882" t="s">
        <v>2038</v>
      </c>
      <c r="F882">
        <v>202205</v>
      </c>
      <c r="G882" t="s">
        <v>2169</v>
      </c>
      <c r="H882">
        <v>19.809999999999999</v>
      </c>
    </row>
    <row r="883" spans="1:8">
      <c r="A883">
        <v>5366</v>
      </c>
      <c r="B883" t="s">
        <v>2327</v>
      </c>
      <c r="C883">
        <v>385</v>
      </c>
      <c r="D883" t="s">
        <v>2328</v>
      </c>
      <c r="E883" t="s">
        <v>2038</v>
      </c>
      <c r="F883">
        <v>202205</v>
      </c>
      <c r="G883" t="s">
        <v>2170</v>
      </c>
      <c r="H883">
        <v>14.98</v>
      </c>
    </row>
    <row r="884" spans="1:8">
      <c r="A884">
        <v>5366</v>
      </c>
      <c r="B884" t="s">
        <v>2327</v>
      </c>
      <c r="C884">
        <v>385</v>
      </c>
      <c r="D884" t="s">
        <v>2328</v>
      </c>
      <c r="E884" t="s">
        <v>2038</v>
      </c>
      <c r="F884">
        <v>202205</v>
      </c>
      <c r="G884" t="s">
        <v>2173</v>
      </c>
      <c r="H884">
        <v>142622.98000000001</v>
      </c>
    </row>
    <row r="885" spans="1:8">
      <c r="A885">
        <v>5366</v>
      </c>
      <c r="B885" t="s">
        <v>2327</v>
      </c>
      <c r="C885">
        <v>385</v>
      </c>
      <c r="D885" t="s">
        <v>2328</v>
      </c>
      <c r="E885" t="s">
        <v>2038</v>
      </c>
      <c r="F885">
        <v>202205</v>
      </c>
      <c r="G885" t="s">
        <v>190</v>
      </c>
      <c r="H885">
        <v>343394</v>
      </c>
    </row>
    <row r="886" spans="1:8">
      <c r="A886">
        <v>5366</v>
      </c>
      <c r="B886" t="s">
        <v>2327</v>
      </c>
      <c r="C886">
        <v>385</v>
      </c>
      <c r="D886" t="s">
        <v>2328</v>
      </c>
      <c r="E886" t="s">
        <v>2038</v>
      </c>
      <c r="F886">
        <v>202205</v>
      </c>
      <c r="G886" t="s">
        <v>191</v>
      </c>
      <c r="H886">
        <v>18687</v>
      </c>
    </row>
    <row r="887" spans="1:8">
      <c r="A887">
        <v>5366</v>
      </c>
      <c r="B887" t="s">
        <v>2327</v>
      </c>
      <c r="C887">
        <v>385</v>
      </c>
      <c r="D887" t="s">
        <v>2328</v>
      </c>
      <c r="E887" t="s">
        <v>2038</v>
      </c>
      <c r="F887">
        <v>202205</v>
      </c>
      <c r="G887" t="s">
        <v>176</v>
      </c>
      <c r="H887">
        <v>0</v>
      </c>
    </row>
    <row r="888" spans="1:8">
      <c r="A888">
        <v>5366</v>
      </c>
      <c r="B888" t="s">
        <v>2327</v>
      </c>
      <c r="C888">
        <v>385</v>
      </c>
      <c r="D888" t="s">
        <v>2328</v>
      </c>
      <c r="E888" t="s">
        <v>2038</v>
      </c>
      <c r="F888">
        <v>202205</v>
      </c>
      <c r="G888" t="s">
        <v>178</v>
      </c>
      <c r="H888">
        <v>2365</v>
      </c>
    </row>
    <row r="889" spans="1:8">
      <c r="A889">
        <v>5366</v>
      </c>
      <c r="B889" t="s">
        <v>2327</v>
      </c>
      <c r="C889">
        <v>385</v>
      </c>
      <c r="D889" t="s">
        <v>2328</v>
      </c>
      <c r="E889" t="s">
        <v>2038</v>
      </c>
      <c r="F889">
        <v>202205</v>
      </c>
      <c r="G889" t="s">
        <v>180</v>
      </c>
      <c r="H889">
        <v>2187</v>
      </c>
    </row>
    <row r="890" spans="1:8">
      <c r="A890">
        <v>5366</v>
      </c>
      <c r="B890" t="s">
        <v>2327</v>
      </c>
      <c r="C890">
        <v>385</v>
      </c>
      <c r="D890" t="s">
        <v>2328</v>
      </c>
      <c r="E890" t="s">
        <v>2038</v>
      </c>
      <c r="F890">
        <v>202205</v>
      </c>
      <c r="G890" t="s">
        <v>182</v>
      </c>
      <c r="H890">
        <v>1141308</v>
      </c>
    </row>
    <row r="891" spans="1:8">
      <c r="A891">
        <v>5366</v>
      </c>
      <c r="B891" t="s">
        <v>2327</v>
      </c>
      <c r="C891">
        <v>385</v>
      </c>
      <c r="D891" t="s">
        <v>2328</v>
      </c>
      <c r="E891" t="s">
        <v>2038</v>
      </c>
      <c r="F891">
        <v>202205</v>
      </c>
      <c r="G891" t="s">
        <v>184</v>
      </c>
      <c r="H891">
        <v>96435</v>
      </c>
    </row>
    <row r="892" spans="1:8">
      <c r="A892">
        <v>5366</v>
      </c>
      <c r="B892" t="s">
        <v>2327</v>
      </c>
      <c r="C892">
        <v>385</v>
      </c>
      <c r="D892" t="s">
        <v>2328</v>
      </c>
      <c r="E892" t="s">
        <v>2038</v>
      </c>
      <c r="F892">
        <v>202205</v>
      </c>
      <c r="G892" t="s">
        <v>192</v>
      </c>
      <c r="H892">
        <v>0</v>
      </c>
    </row>
    <row r="893" spans="1:8">
      <c r="A893">
        <v>5366</v>
      </c>
      <c r="B893" t="s">
        <v>2327</v>
      </c>
      <c r="C893">
        <v>385</v>
      </c>
      <c r="D893" t="s">
        <v>2328</v>
      </c>
      <c r="E893" t="s">
        <v>2038</v>
      </c>
      <c r="F893">
        <v>202205</v>
      </c>
      <c r="G893" t="s">
        <v>2172</v>
      </c>
      <c r="H893">
        <v>11723.56</v>
      </c>
    </row>
    <row r="894" spans="1:8">
      <c r="A894">
        <v>5366</v>
      </c>
      <c r="B894" t="s">
        <v>2327</v>
      </c>
      <c r="C894">
        <v>385</v>
      </c>
      <c r="D894" t="s">
        <v>2328</v>
      </c>
      <c r="E894" t="s">
        <v>2038</v>
      </c>
      <c r="F894">
        <v>202205</v>
      </c>
      <c r="G894" t="s">
        <v>186</v>
      </c>
      <c r="H894">
        <v>0</v>
      </c>
    </row>
    <row r="895" spans="1:8">
      <c r="A895">
        <v>5366</v>
      </c>
      <c r="B895" t="s">
        <v>2327</v>
      </c>
      <c r="C895">
        <v>385</v>
      </c>
      <c r="D895" t="s">
        <v>2328</v>
      </c>
      <c r="E895" t="s">
        <v>2038</v>
      </c>
      <c r="F895">
        <v>202205</v>
      </c>
      <c r="G895" t="s">
        <v>2171</v>
      </c>
      <c r="H895">
        <v>290.39</v>
      </c>
    </row>
    <row r="896" spans="1:8">
      <c r="A896">
        <v>5366</v>
      </c>
      <c r="B896" t="s">
        <v>2327</v>
      </c>
      <c r="C896">
        <v>385</v>
      </c>
      <c r="D896" t="s">
        <v>2328</v>
      </c>
      <c r="E896" t="s">
        <v>2038</v>
      </c>
      <c r="F896">
        <v>202205</v>
      </c>
      <c r="G896" t="s">
        <v>2168</v>
      </c>
      <c r="H896">
        <v>12.63</v>
      </c>
    </row>
    <row r="897" spans="1:8">
      <c r="A897">
        <v>5366</v>
      </c>
      <c r="B897" t="s">
        <v>2327</v>
      </c>
      <c r="C897">
        <v>385</v>
      </c>
      <c r="D897" t="s">
        <v>2328</v>
      </c>
      <c r="E897" t="s">
        <v>2038</v>
      </c>
      <c r="F897">
        <v>202205</v>
      </c>
      <c r="G897" t="s">
        <v>2169</v>
      </c>
      <c r="H897">
        <v>19.809999999999999</v>
      </c>
    </row>
    <row r="898" spans="1:8">
      <c r="A898">
        <v>5366</v>
      </c>
      <c r="B898" t="s">
        <v>2327</v>
      </c>
      <c r="C898">
        <v>385</v>
      </c>
      <c r="D898" t="s">
        <v>2328</v>
      </c>
      <c r="E898" t="s">
        <v>2038</v>
      </c>
      <c r="F898">
        <v>202205</v>
      </c>
      <c r="G898" t="s">
        <v>2170</v>
      </c>
      <c r="H898">
        <v>14.98</v>
      </c>
    </row>
    <row r="899" spans="1:8">
      <c r="A899">
        <v>5366</v>
      </c>
      <c r="B899" t="s">
        <v>2327</v>
      </c>
      <c r="C899">
        <v>385</v>
      </c>
      <c r="D899" t="s">
        <v>2328</v>
      </c>
      <c r="E899" t="s">
        <v>2038</v>
      </c>
      <c r="F899">
        <v>202205</v>
      </c>
      <c r="G899" t="s">
        <v>2173</v>
      </c>
      <c r="H899">
        <v>208604.05</v>
      </c>
    </row>
    <row r="900" spans="1:8">
      <c r="A900">
        <v>5366</v>
      </c>
      <c r="B900" t="s">
        <v>2327</v>
      </c>
      <c r="C900">
        <v>385</v>
      </c>
      <c r="D900" t="s">
        <v>2328</v>
      </c>
      <c r="E900" t="s">
        <v>2038</v>
      </c>
      <c r="F900">
        <v>202206</v>
      </c>
      <c r="G900" t="s">
        <v>190</v>
      </c>
      <c r="H900">
        <v>132142</v>
      </c>
    </row>
    <row r="901" spans="1:8">
      <c r="A901">
        <v>5366</v>
      </c>
      <c r="B901" t="s">
        <v>2327</v>
      </c>
      <c r="C901">
        <v>385</v>
      </c>
      <c r="D901" t="s">
        <v>2328</v>
      </c>
      <c r="E901" t="s">
        <v>2038</v>
      </c>
      <c r="F901">
        <v>202206</v>
      </c>
      <c r="G901" t="s">
        <v>191</v>
      </c>
      <c r="H901">
        <v>16767</v>
      </c>
    </row>
    <row r="902" spans="1:8">
      <c r="A902">
        <v>5366</v>
      </c>
      <c r="B902" t="s">
        <v>2327</v>
      </c>
      <c r="C902">
        <v>385</v>
      </c>
      <c r="D902" t="s">
        <v>2328</v>
      </c>
      <c r="E902" t="s">
        <v>2038</v>
      </c>
      <c r="F902">
        <v>202206</v>
      </c>
      <c r="G902" t="s">
        <v>176</v>
      </c>
      <c r="H902">
        <v>0</v>
      </c>
    </row>
    <row r="903" spans="1:8">
      <c r="A903">
        <v>5366</v>
      </c>
      <c r="B903" t="s">
        <v>2327</v>
      </c>
      <c r="C903">
        <v>385</v>
      </c>
      <c r="D903" t="s">
        <v>2328</v>
      </c>
      <c r="E903" t="s">
        <v>2038</v>
      </c>
      <c r="F903">
        <v>202206</v>
      </c>
      <c r="G903" t="s">
        <v>178</v>
      </c>
      <c r="H903">
        <v>329.95</v>
      </c>
    </row>
    <row r="904" spans="1:8">
      <c r="A904">
        <v>5366</v>
      </c>
      <c r="B904" t="s">
        <v>2327</v>
      </c>
      <c r="C904">
        <v>385</v>
      </c>
      <c r="D904" t="s">
        <v>2328</v>
      </c>
      <c r="E904" t="s">
        <v>2038</v>
      </c>
      <c r="F904">
        <v>202206</v>
      </c>
      <c r="G904" t="s">
        <v>180</v>
      </c>
      <c r="H904">
        <v>312.14</v>
      </c>
    </row>
    <row r="905" spans="1:8">
      <c r="A905">
        <v>5366</v>
      </c>
      <c r="B905" t="s">
        <v>2327</v>
      </c>
      <c r="C905">
        <v>385</v>
      </c>
      <c r="D905" t="s">
        <v>2328</v>
      </c>
      <c r="E905" t="s">
        <v>2038</v>
      </c>
      <c r="F905">
        <v>202206</v>
      </c>
      <c r="G905" t="s">
        <v>182</v>
      </c>
      <c r="H905">
        <v>132142</v>
      </c>
    </row>
    <row r="906" spans="1:8">
      <c r="A906">
        <v>5366</v>
      </c>
      <c r="B906" t="s">
        <v>2327</v>
      </c>
      <c r="C906">
        <v>385</v>
      </c>
      <c r="D906" t="s">
        <v>2328</v>
      </c>
      <c r="E906" t="s">
        <v>2038</v>
      </c>
      <c r="F906">
        <v>202206</v>
      </c>
      <c r="G906" t="s">
        <v>184</v>
      </c>
      <c r="H906">
        <v>16767</v>
      </c>
    </row>
    <row r="907" spans="1:8">
      <c r="A907">
        <v>5366</v>
      </c>
      <c r="B907" t="s">
        <v>2327</v>
      </c>
      <c r="C907">
        <v>385</v>
      </c>
      <c r="D907" t="s">
        <v>2328</v>
      </c>
      <c r="E907" t="s">
        <v>2038</v>
      </c>
      <c r="F907">
        <v>202206</v>
      </c>
      <c r="G907" t="s">
        <v>192</v>
      </c>
      <c r="H907">
        <v>0</v>
      </c>
    </row>
    <row r="908" spans="1:8">
      <c r="A908">
        <v>5366</v>
      </c>
      <c r="B908" t="s">
        <v>2327</v>
      </c>
      <c r="C908">
        <v>385</v>
      </c>
      <c r="D908" t="s">
        <v>2328</v>
      </c>
      <c r="E908" t="s">
        <v>2038</v>
      </c>
      <c r="F908">
        <v>202206</v>
      </c>
      <c r="G908" t="s">
        <v>2172</v>
      </c>
      <c r="H908">
        <v>1881.21</v>
      </c>
    </row>
    <row r="909" spans="1:8">
      <c r="A909">
        <v>5366</v>
      </c>
      <c r="B909" t="s">
        <v>2327</v>
      </c>
      <c r="C909">
        <v>385</v>
      </c>
      <c r="D909" t="s">
        <v>2328</v>
      </c>
      <c r="E909" t="s">
        <v>2038</v>
      </c>
      <c r="F909">
        <v>202206</v>
      </c>
      <c r="G909" t="s">
        <v>186</v>
      </c>
      <c r="H909">
        <v>0</v>
      </c>
    </row>
    <row r="910" spans="1:8">
      <c r="A910">
        <v>5366</v>
      </c>
      <c r="B910" t="s">
        <v>2327</v>
      </c>
      <c r="C910">
        <v>385</v>
      </c>
      <c r="D910" t="s">
        <v>2328</v>
      </c>
      <c r="E910" t="s">
        <v>2038</v>
      </c>
      <c r="F910">
        <v>202206</v>
      </c>
      <c r="G910" t="s">
        <v>2171</v>
      </c>
      <c r="H910">
        <v>290.39</v>
      </c>
    </row>
    <row r="911" spans="1:8">
      <c r="A911">
        <v>5366</v>
      </c>
      <c r="B911" t="s">
        <v>2327</v>
      </c>
      <c r="C911">
        <v>385</v>
      </c>
      <c r="D911" t="s">
        <v>2328</v>
      </c>
      <c r="E911" t="s">
        <v>2038</v>
      </c>
      <c r="F911">
        <v>202206</v>
      </c>
      <c r="G911" t="s">
        <v>2168</v>
      </c>
      <c r="H911">
        <v>12.63</v>
      </c>
    </row>
    <row r="912" spans="1:8">
      <c r="A912">
        <v>5366</v>
      </c>
      <c r="B912" t="s">
        <v>2327</v>
      </c>
      <c r="C912">
        <v>385</v>
      </c>
      <c r="D912" t="s">
        <v>2328</v>
      </c>
      <c r="E912" t="s">
        <v>2038</v>
      </c>
      <c r="F912">
        <v>202206</v>
      </c>
      <c r="G912" t="s">
        <v>2169</v>
      </c>
      <c r="H912">
        <v>19.809999999999999</v>
      </c>
    </row>
    <row r="913" spans="1:8">
      <c r="A913">
        <v>5366</v>
      </c>
      <c r="B913" t="s">
        <v>2327</v>
      </c>
      <c r="C913">
        <v>385</v>
      </c>
      <c r="D913" t="s">
        <v>2328</v>
      </c>
      <c r="E913" t="s">
        <v>2038</v>
      </c>
      <c r="F913">
        <v>202206</v>
      </c>
      <c r="G913" t="s">
        <v>2170</v>
      </c>
      <c r="H913">
        <v>14.98</v>
      </c>
    </row>
    <row r="914" spans="1:8">
      <c r="A914">
        <v>5366</v>
      </c>
      <c r="B914" t="s">
        <v>2327</v>
      </c>
      <c r="C914">
        <v>385</v>
      </c>
      <c r="D914" t="s">
        <v>2328</v>
      </c>
      <c r="E914" t="s">
        <v>2038</v>
      </c>
      <c r="F914">
        <v>202206</v>
      </c>
      <c r="G914" t="s">
        <v>2173</v>
      </c>
      <c r="H914">
        <v>57706.239999999998</v>
      </c>
    </row>
    <row r="915" spans="1:8">
      <c r="A915">
        <v>5366</v>
      </c>
      <c r="B915" t="s">
        <v>2327</v>
      </c>
      <c r="C915">
        <v>385</v>
      </c>
      <c r="D915" t="s">
        <v>2328</v>
      </c>
      <c r="E915" t="s">
        <v>2038</v>
      </c>
      <c r="F915">
        <v>202206</v>
      </c>
      <c r="G915" t="s">
        <v>190</v>
      </c>
      <c r="H915">
        <v>275022</v>
      </c>
    </row>
    <row r="916" spans="1:8">
      <c r="A916">
        <v>5366</v>
      </c>
      <c r="B916" t="s">
        <v>2327</v>
      </c>
      <c r="C916">
        <v>385</v>
      </c>
      <c r="D916" t="s">
        <v>2328</v>
      </c>
      <c r="E916" t="s">
        <v>2038</v>
      </c>
      <c r="F916">
        <v>202206</v>
      </c>
      <c r="G916" t="s">
        <v>191</v>
      </c>
      <c r="H916">
        <v>41589</v>
      </c>
    </row>
    <row r="917" spans="1:8">
      <c r="A917">
        <v>5366</v>
      </c>
      <c r="B917" t="s">
        <v>2327</v>
      </c>
      <c r="C917">
        <v>385</v>
      </c>
      <c r="D917" t="s">
        <v>2328</v>
      </c>
      <c r="E917" t="s">
        <v>2038</v>
      </c>
      <c r="F917">
        <v>202206</v>
      </c>
      <c r="G917" t="s">
        <v>176</v>
      </c>
      <c r="H917">
        <v>0</v>
      </c>
    </row>
    <row r="918" spans="1:8">
      <c r="A918">
        <v>5366</v>
      </c>
      <c r="B918" t="s">
        <v>2327</v>
      </c>
      <c r="C918">
        <v>385</v>
      </c>
      <c r="D918" t="s">
        <v>2328</v>
      </c>
      <c r="E918" t="s">
        <v>2038</v>
      </c>
      <c r="F918">
        <v>202206</v>
      </c>
      <c r="G918" t="s">
        <v>178</v>
      </c>
      <c r="H918">
        <v>832.44</v>
      </c>
    </row>
    <row r="919" spans="1:8">
      <c r="A919">
        <v>5366</v>
      </c>
      <c r="B919" t="s">
        <v>2327</v>
      </c>
      <c r="C919">
        <v>385</v>
      </c>
      <c r="D919" t="s">
        <v>2328</v>
      </c>
      <c r="E919" t="s">
        <v>2038</v>
      </c>
      <c r="F919">
        <v>202206</v>
      </c>
      <c r="G919" t="s">
        <v>180</v>
      </c>
      <c r="H919">
        <v>757.68</v>
      </c>
    </row>
    <row r="920" spans="1:8">
      <c r="A920">
        <v>5366</v>
      </c>
      <c r="B920" t="s">
        <v>2327</v>
      </c>
      <c r="C920">
        <v>385</v>
      </c>
      <c r="D920" t="s">
        <v>2328</v>
      </c>
      <c r="E920" t="s">
        <v>2038</v>
      </c>
      <c r="F920">
        <v>202206</v>
      </c>
      <c r="G920" t="s">
        <v>182</v>
      </c>
      <c r="H920">
        <v>275022</v>
      </c>
    </row>
    <row r="921" spans="1:8">
      <c r="A921">
        <v>5366</v>
      </c>
      <c r="B921" t="s">
        <v>2327</v>
      </c>
      <c r="C921">
        <v>385</v>
      </c>
      <c r="D921" t="s">
        <v>2328</v>
      </c>
      <c r="E921" t="s">
        <v>2038</v>
      </c>
      <c r="F921">
        <v>202206</v>
      </c>
      <c r="G921" t="s">
        <v>184</v>
      </c>
      <c r="H921">
        <v>41589</v>
      </c>
    </row>
    <row r="922" spans="1:8">
      <c r="A922">
        <v>5366</v>
      </c>
      <c r="B922" t="s">
        <v>2327</v>
      </c>
      <c r="C922">
        <v>385</v>
      </c>
      <c r="D922" t="s">
        <v>2328</v>
      </c>
      <c r="E922" t="s">
        <v>2038</v>
      </c>
      <c r="F922">
        <v>202206</v>
      </c>
      <c r="G922" t="s">
        <v>192</v>
      </c>
      <c r="H922">
        <v>0</v>
      </c>
    </row>
    <row r="923" spans="1:8">
      <c r="A923">
        <v>5366</v>
      </c>
      <c r="B923" t="s">
        <v>2327</v>
      </c>
      <c r="C923">
        <v>385</v>
      </c>
      <c r="D923" t="s">
        <v>2328</v>
      </c>
      <c r="E923" t="s">
        <v>2038</v>
      </c>
      <c r="F923">
        <v>202206</v>
      </c>
      <c r="G923" t="s">
        <v>2172</v>
      </c>
      <c r="H923">
        <v>4138.1899999999996</v>
      </c>
    </row>
    <row r="924" spans="1:8">
      <c r="A924">
        <v>5366</v>
      </c>
      <c r="B924" t="s">
        <v>2327</v>
      </c>
      <c r="C924">
        <v>385</v>
      </c>
      <c r="D924" t="s">
        <v>2328</v>
      </c>
      <c r="E924" t="s">
        <v>2038</v>
      </c>
      <c r="F924">
        <v>202206</v>
      </c>
      <c r="G924" t="s">
        <v>186</v>
      </c>
      <c r="H924">
        <v>0</v>
      </c>
    </row>
    <row r="925" spans="1:8">
      <c r="A925">
        <v>5366</v>
      </c>
      <c r="B925" t="s">
        <v>2327</v>
      </c>
      <c r="C925">
        <v>385</v>
      </c>
      <c r="D925" t="s">
        <v>2328</v>
      </c>
      <c r="E925" t="s">
        <v>2038</v>
      </c>
      <c r="F925">
        <v>202206</v>
      </c>
      <c r="G925" t="s">
        <v>2171</v>
      </c>
      <c r="H925">
        <v>290.39</v>
      </c>
    </row>
    <row r="926" spans="1:8">
      <c r="A926">
        <v>5366</v>
      </c>
      <c r="B926" t="s">
        <v>2327</v>
      </c>
      <c r="C926">
        <v>385</v>
      </c>
      <c r="D926" t="s">
        <v>2328</v>
      </c>
      <c r="E926" t="s">
        <v>2038</v>
      </c>
      <c r="F926">
        <v>202206</v>
      </c>
      <c r="G926" t="s">
        <v>2168</v>
      </c>
      <c r="H926">
        <v>12.63</v>
      </c>
    </row>
    <row r="927" spans="1:8">
      <c r="A927">
        <v>5366</v>
      </c>
      <c r="B927" t="s">
        <v>2327</v>
      </c>
      <c r="C927">
        <v>385</v>
      </c>
      <c r="D927" t="s">
        <v>2328</v>
      </c>
      <c r="E927" t="s">
        <v>2038</v>
      </c>
      <c r="F927">
        <v>202206</v>
      </c>
      <c r="G927" t="s">
        <v>2169</v>
      </c>
      <c r="H927">
        <v>19.809999999999999</v>
      </c>
    </row>
    <row r="928" spans="1:8">
      <c r="A928">
        <v>5366</v>
      </c>
      <c r="B928" t="s">
        <v>2327</v>
      </c>
      <c r="C928">
        <v>385</v>
      </c>
      <c r="D928" t="s">
        <v>2328</v>
      </c>
      <c r="E928" t="s">
        <v>2038</v>
      </c>
      <c r="F928">
        <v>202206</v>
      </c>
      <c r="G928" t="s">
        <v>2170</v>
      </c>
      <c r="H928">
        <v>14.98</v>
      </c>
    </row>
    <row r="929" spans="1:8">
      <c r="A929">
        <v>5366</v>
      </c>
      <c r="B929" t="s">
        <v>2327</v>
      </c>
      <c r="C929">
        <v>385</v>
      </c>
      <c r="D929" t="s">
        <v>2328</v>
      </c>
      <c r="E929" t="s">
        <v>2038</v>
      </c>
      <c r="F929">
        <v>202206</v>
      </c>
      <c r="G929" t="s">
        <v>2173</v>
      </c>
      <c r="H929">
        <v>126938.04</v>
      </c>
    </row>
    <row r="930" spans="1:8">
      <c r="A930">
        <v>5366</v>
      </c>
      <c r="B930" t="s">
        <v>2327</v>
      </c>
      <c r="C930">
        <v>385</v>
      </c>
      <c r="D930" t="s">
        <v>2328</v>
      </c>
      <c r="E930" t="s">
        <v>2038</v>
      </c>
      <c r="F930">
        <v>202206</v>
      </c>
      <c r="G930" t="s">
        <v>190</v>
      </c>
      <c r="H930">
        <v>58509</v>
      </c>
    </row>
    <row r="931" spans="1:8">
      <c r="A931">
        <v>5366</v>
      </c>
      <c r="B931" t="s">
        <v>2327</v>
      </c>
      <c r="C931">
        <v>385</v>
      </c>
      <c r="D931" t="s">
        <v>2328</v>
      </c>
      <c r="E931" t="s">
        <v>2038</v>
      </c>
      <c r="F931">
        <v>202206</v>
      </c>
      <c r="G931" t="s">
        <v>191</v>
      </c>
      <c r="H931">
        <v>6881</v>
      </c>
    </row>
    <row r="932" spans="1:8">
      <c r="A932">
        <v>5366</v>
      </c>
      <c r="B932" t="s">
        <v>2327</v>
      </c>
      <c r="C932">
        <v>385</v>
      </c>
      <c r="D932" t="s">
        <v>2328</v>
      </c>
      <c r="E932" t="s">
        <v>2038</v>
      </c>
      <c r="F932">
        <v>202206</v>
      </c>
      <c r="G932" t="s">
        <v>176</v>
      </c>
      <c r="H932">
        <v>0</v>
      </c>
    </row>
    <row r="933" spans="1:8">
      <c r="A933">
        <v>5366</v>
      </c>
      <c r="B933" t="s">
        <v>2327</v>
      </c>
      <c r="C933">
        <v>385</v>
      </c>
      <c r="D933" t="s">
        <v>2328</v>
      </c>
      <c r="E933" t="s">
        <v>2038</v>
      </c>
      <c r="F933">
        <v>202206</v>
      </c>
      <c r="G933" t="s">
        <v>178</v>
      </c>
      <c r="H933">
        <v>170</v>
      </c>
    </row>
    <row r="934" spans="1:8">
      <c r="A934">
        <v>5366</v>
      </c>
      <c r="B934" t="s">
        <v>2327</v>
      </c>
      <c r="C934">
        <v>385</v>
      </c>
      <c r="D934" t="s">
        <v>2328</v>
      </c>
      <c r="E934" t="s">
        <v>2038</v>
      </c>
      <c r="F934">
        <v>202206</v>
      </c>
      <c r="G934" t="s">
        <v>180</v>
      </c>
      <c r="H934">
        <v>173</v>
      </c>
    </row>
    <row r="935" spans="1:8">
      <c r="A935">
        <v>5366</v>
      </c>
      <c r="B935" t="s">
        <v>2327</v>
      </c>
      <c r="C935">
        <v>385</v>
      </c>
      <c r="D935" t="s">
        <v>2328</v>
      </c>
      <c r="E935" t="s">
        <v>2038</v>
      </c>
      <c r="F935">
        <v>202206</v>
      </c>
      <c r="G935" t="s">
        <v>182</v>
      </c>
      <c r="H935">
        <v>58509</v>
      </c>
    </row>
    <row r="936" spans="1:8">
      <c r="A936">
        <v>5366</v>
      </c>
      <c r="B936" t="s">
        <v>2327</v>
      </c>
      <c r="C936">
        <v>385</v>
      </c>
      <c r="D936" t="s">
        <v>2328</v>
      </c>
      <c r="E936" t="s">
        <v>2038</v>
      </c>
      <c r="F936">
        <v>202206</v>
      </c>
      <c r="G936" t="s">
        <v>184</v>
      </c>
      <c r="H936">
        <v>6881</v>
      </c>
    </row>
    <row r="937" spans="1:8">
      <c r="A937">
        <v>5366</v>
      </c>
      <c r="B937" t="s">
        <v>2327</v>
      </c>
      <c r="C937">
        <v>385</v>
      </c>
      <c r="D937" t="s">
        <v>2328</v>
      </c>
      <c r="E937" t="s">
        <v>2038</v>
      </c>
      <c r="F937">
        <v>202206</v>
      </c>
      <c r="G937" t="s">
        <v>192</v>
      </c>
      <c r="H937">
        <v>0</v>
      </c>
    </row>
    <row r="938" spans="1:8">
      <c r="A938">
        <v>5366</v>
      </c>
      <c r="B938" t="s">
        <v>2327</v>
      </c>
      <c r="C938">
        <v>385</v>
      </c>
      <c r="D938" t="s">
        <v>2328</v>
      </c>
      <c r="E938" t="s">
        <v>2038</v>
      </c>
      <c r="F938">
        <v>202206</v>
      </c>
      <c r="G938" t="s">
        <v>2172</v>
      </c>
      <c r="H938">
        <v>934.77</v>
      </c>
    </row>
    <row r="939" spans="1:8">
      <c r="A939">
        <v>5366</v>
      </c>
      <c r="B939" t="s">
        <v>2327</v>
      </c>
      <c r="C939">
        <v>385</v>
      </c>
      <c r="D939" t="s">
        <v>2328</v>
      </c>
      <c r="E939" t="s">
        <v>2038</v>
      </c>
      <c r="F939">
        <v>202206</v>
      </c>
      <c r="G939" t="s">
        <v>186</v>
      </c>
      <c r="H939">
        <v>0</v>
      </c>
    </row>
    <row r="940" spans="1:8">
      <c r="A940">
        <v>5366</v>
      </c>
      <c r="B940" t="s">
        <v>2327</v>
      </c>
      <c r="C940">
        <v>385</v>
      </c>
      <c r="D940" t="s">
        <v>2328</v>
      </c>
      <c r="E940" t="s">
        <v>2038</v>
      </c>
      <c r="F940">
        <v>202206</v>
      </c>
      <c r="G940" t="s">
        <v>2171</v>
      </c>
      <c r="H940">
        <v>290.39</v>
      </c>
    </row>
    <row r="941" spans="1:8">
      <c r="A941">
        <v>5366</v>
      </c>
      <c r="B941" t="s">
        <v>2327</v>
      </c>
      <c r="C941">
        <v>385</v>
      </c>
      <c r="D941" t="s">
        <v>2328</v>
      </c>
      <c r="E941" t="s">
        <v>2038</v>
      </c>
      <c r="F941">
        <v>202206</v>
      </c>
      <c r="G941" t="s">
        <v>2168</v>
      </c>
      <c r="H941">
        <v>12.63</v>
      </c>
    </row>
    <row r="942" spans="1:8">
      <c r="A942">
        <v>5366</v>
      </c>
      <c r="B942" t="s">
        <v>2327</v>
      </c>
      <c r="C942">
        <v>385</v>
      </c>
      <c r="D942" t="s">
        <v>2328</v>
      </c>
      <c r="E942" t="s">
        <v>2038</v>
      </c>
      <c r="F942">
        <v>202206</v>
      </c>
      <c r="G942" t="s">
        <v>2169</v>
      </c>
      <c r="H942">
        <v>19.809999999999999</v>
      </c>
    </row>
    <row r="943" spans="1:8">
      <c r="A943">
        <v>5366</v>
      </c>
      <c r="B943" t="s">
        <v>2327</v>
      </c>
      <c r="C943">
        <v>385</v>
      </c>
      <c r="D943" t="s">
        <v>2328</v>
      </c>
      <c r="E943" t="s">
        <v>2038</v>
      </c>
      <c r="F943">
        <v>202206</v>
      </c>
      <c r="G943" t="s">
        <v>2170</v>
      </c>
      <c r="H943">
        <v>14.98</v>
      </c>
    </row>
    <row r="944" spans="1:8">
      <c r="A944">
        <v>5366</v>
      </c>
      <c r="B944" t="s">
        <v>2327</v>
      </c>
      <c r="C944">
        <v>385</v>
      </c>
      <c r="D944" t="s">
        <v>2328</v>
      </c>
      <c r="E944" t="s">
        <v>2038</v>
      </c>
      <c r="F944">
        <v>202206</v>
      </c>
      <c r="G944" t="s">
        <v>2173</v>
      </c>
      <c r="H944">
        <v>28673.9</v>
      </c>
    </row>
    <row r="945" spans="1:8">
      <c r="A945">
        <v>5366</v>
      </c>
      <c r="B945" t="s">
        <v>2327</v>
      </c>
      <c r="C945">
        <v>385</v>
      </c>
      <c r="D945" t="s">
        <v>2328</v>
      </c>
      <c r="E945" t="s">
        <v>2038</v>
      </c>
      <c r="F945">
        <v>202206</v>
      </c>
      <c r="G945" t="s">
        <v>190</v>
      </c>
      <c r="H945">
        <v>162155</v>
      </c>
    </row>
    <row r="946" spans="1:8">
      <c r="A946">
        <v>5366</v>
      </c>
      <c r="B946" t="s">
        <v>2327</v>
      </c>
      <c r="C946">
        <v>385</v>
      </c>
      <c r="D946" t="s">
        <v>2328</v>
      </c>
      <c r="E946" t="s">
        <v>2038</v>
      </c>
      <c r="F946">
        <v>202206</v>
      </c>
      <c r="G946" t="s">
        <v>191</v>
      </c>
      <c r="H946">
        <v>29239</v>
      </c>
    </row>
    <row r="947" spans="1:8">
      <c r="A947">
        <v>5366</v>
      </c>
      <c r="B947" t="s">
        <v>2327</v>
      </c>
      <c r="C947">
        <v>385</v>
      </c>
      <c r="D947" t="s">
        <v>2328</v>
      </c>
      <c r="E947" t="s">
        <v>2038</v>
      </c>
      <c r="F947">
        <v>202206</v>
      </c>
      <c r="G947" t="s">
        <v>176</v>
      </c>
      <c r="H947">
        <v>0</v>
      </c>
    </row>
    <row r="948" spans="1:8">
      <c r="A948">
        <v>5366</v>
      </c>
      <c r="B948" t="s">
        <v>2327</v>
      </c>
      <c r="C948">
        <v>385</v>
      </c>
      <c r="D948" t="s">
        <v>2328</v>
      </c>
      <c r="E948" t="s">
        <v>2038</v>
      </c>
      <c r="F948">
        <v>202206</v>
      </c>
      <c r="G948" t="s">
        <v>178</v>
      </c>
      <c r="H948">
        <v>542.79999999999995</v>
      </c>
    </row>
    <row r="949" spans="1:8">
      <c r="A949">
        <v>5366</v>
      </c>
      <c r="B949" t="s">
        <v>2327</v>
      </c>
      <c r="C949">
        <v>385</v>
      </c>
      <c r="D949" t="s">
        <v>2328</v>
      </c>
      <c r="E949" t="s">
        <v>2038</v>
      </c>
      <c r="F949">
        <v>202206</v>
      </c>
      <c r="G949" t="s">
        <v>180</v>
      </c>
      <c r="H949">
        <v>515.08000000000004</v>
      </c>
    </row>
    <row r="950" spans="1:8">
      <c r="A950">
        <v>5366</v>
      </c>
      <c r="B950" t="s">
        <v>2327</v>
      </c>
      <c r="C950">
        <v>385</v>
      </c>
      <c r="D950" t="s">
        <v>2328</v>
      </c>
      <c r="E950" t="s">
        <v>2038</v>
      </c>
      <c r="F950">
        <v>202206</v>
      </c>
      <c r="G950" t="s">
        <v>182</v>
      </c>
      <c r="H950">
        <v>192861</v>
      </c>
    </row>
    <row r="951" spans="1:8">
      <c r="A951">
        <v>5366</v>
      </c>
      <c r="B951" t="s">
        <v>2327</v>
      </c>
      <c r="C951">
        <v>385</v>
      </c>
      <c r="D951" t="s">
        <v>2328</v>
      </c>
      <c r="E951" t="s">
        <v>2038</v>
      </c>
      <c r="F951">
        <v>202206</v>
      </c>
      <c r="G951" t="s">
        <v>184</v>
      </c>
      <c r="H951">
        <v>29239</v>
      </c>
    </row>
    <row r="952" spans="1:8">
      <c r="A952">
        <v>5366</v>
      </c>
      <c r="B952" t="s">
        <v>2327</v>
      </c>
      <c r="C952">
        <v>385</v>
      </c>
      <c r="D952" t="s">
        <v>2328</v>
      </c>
      <c r="E952" t="s">
        <v>2038</v>
      </c>
      <c r="F952">
        <v>202206</v>
      </c>
      <c r="G952" t="s">
        <v>192</v>
      </c>
      <c r="H952">
        <v>0</v>
      </c>
    </row>
    <row r="953" spans="1:8">
      <c r="A953">
        <v>5366</v>
      </c>
      <c r="B953" t="s">
        <v>2327</v>
      </c>
      <c r="C953">
        <v>385</v>
      </c>
      <c r="D953" t="s">
        <v>2328</v>
      </c>
      <c r="E953" t="s">
        <v>2038</v>
      </c>
      <c r="F953">
        <v>202206</v>
      </c>
      <c r="G953" t="s">
        <v>2172</v>
      </c>
      <c r="H953">
        <v>2559.91</v>
      </c>
    </row>
    <row r="954" spans="1:8">
      <c r="A954">
        <v>5366</v>
      </c>
      <c r="B954" t="s">
        <v>2327</v>
      </c>
      <c r="C954">
        <v>385</v>
      </c>
      <c r="D954" t="s">
        <v>2328</v>
      </c>
      <c r="E954" t="s">
        <v>2038</v>
      </c>
      <c r="F954">
        <v>202206</v>
      </c>
      <c r="G954" t="s">
        <v>186</v>
      </c>
      <c r="H954">
        <v>30706</v>
      </c>
    </row>
    <row r="955" spans="1:8">
      <c r="A955">
        <v>5366</v>
      </c>
      <c r="B955" t="s">
        <v>2327</v>
      </c>
      <c r="C955">
        <v>385</v>
      </c>
      <c r="D955" t="s">
        <v>2328</v>
      </c>
      <c r="E955" t="s">
        <v>2038</v>
      </c>
      <c r="F955">
        <v>202206</v>
      </c>
      <c r="G955" t="s">
        <v>2171</v>
      </c>
      <c r="H955">
        <v>290.39</v>
      </c>
    </row>
    <row r="956" spans="1:8">
      <c r="A956">
        <v>5366</v>
      </c>
      <c r="B956" t="s">
        <v>2327</v>
      </c>
      <c r="C956">
        <v>385</v>
      </c>
      <c r="D956" t="s">
        <v>2328</v>
      </c>
      <c r="E956" t="s">
        <v>2038</v>
      </c>
      <c r="F956">
        <v>202206</v>
      </c>
      <c r="G956" t="s">
        <v>2168</v>
      </c>
      <c r="H956">
        <v>12.63</v>
      </c>
    </row>
    <row r="957" spans="1:8">
      <c r="A957">
        <v>5366</v>
      </c>
      <c r="B957" t="s">
        <v>2327</v>
      </c>
      <c r="C957">
        <v>385</v>
      </c>
      <c r="D957" t="s">
        <v>2328</v>
      </c>
      <c r="E957" t="s">
        <v>2038</v>
      </c>
      <c r="F957">
        <v>202206</v>
      </c>
      <c r="G957" t="s">
        <v>2169</v>
      </c>
      <c r="H957">
        <v>19.809999999999999</v>
      </c>
    </row>
    <row r="958" spans="1:8">
      <c r="A958">
        <v>5366</v>
      </c>
      <c r="B958" t="s">
        <v>2327</v>
      </c>
      <c r="C958">
        <v>385</v>
      </c>
      <c r="D958" t="s">
        <v>2328</v>
      </c>
      <c r="E958" t="s">
        <v>2038</v>
      </c>
      <c r="F958">
        <v>202206</v>
      </c>
      <c r="G958" t="s">
        <v>2170</v>
      </c>
      <c r="H958">
        <v>14.98</v>
      </c>
    </row>
    <row r="959" spans="1:8">
      <c r="A959">
        <v>5366</v>
      </c>
      <c r="B959" t="s">
        <v>2327</v>
      </c>
      <c r="C959">
        <v>385</v>
      </c>
      <c r="D959" t="s">
        <v>2328</v>
      </c>
      <c r="E959" t="s">
        <v>2038</v>
      </c>
      <c r="F959">
        <v>202206</v>
      </c>
      <c r="G959" t="s">
        <v>2173</v>
      </c>
      <c r="H959">
        <v>78525.149999999994</v>
      </c>
    </row>
    <row r="960" spans="1:8">
      <c r="A960">
        <v>5366</v>
      </c>
      <c r="B960" t="s">
        <v>2327</v>
      </c>
      <c r="C960">
        <v>385</v>
      </c>
      <c r="D960" t="s">
        <v>2328</v>
      </c>
      <c r="E960" t="s">
        <v>2038</v>
      </c>
      <c r="F960">
        <v>202206</v>
      </c>
      <c r="G960" t="s">
        <v>190</v>
      </c>
      <c r="H960">
        <v>365135</v>
      </c>
    </row>
    <row r="961" spans="1:8">
      <c r="A961">
        <v>5366</v>
      </c>
      <c r="B961" t="s">
        <v>2327</v>
      </c>
      <c r="C961">
        <v>385</v>
      </c>
      <c r="D961" t="s">
        <v>2328</v>
      </c>
      <c r="E961" t="s">
        <v>2038</v>
      </c>
      <c r="F961">
        <v>202206</v>
      </c>
      <c r="G961" t="s">
        <v>191</v>
      </c>
      <c r="H961">
        <v>22599</v>
      </c>
    </row>
    <row r="962" spans="1:8">
      <c r="A962">
        <v>5366</v>
      </c>
      <c r="B962" t="s">
        <v>2327</v>
      </c>
      <c r="C962">
        <v>385</v>
      </c>
      <c r="D962" t="s">
        <v>2328</v>
      </c>
      <c r="E962" t="s">
        <v>2038</v>
      </c>
      <c r="F962">
        <v>202206</v>
      </c>
      <c r="G962" t="s">
        <v>176</v>
      </c>
      <c r="H962">
        <v>0</v>
      </c>
    </row>
    <row r="963" spans="1:8">
      <c r="A963">
        <v>5366</v>
      </c>
      <c r="B963" t="s">
        <v>2327</v>
      </c>
      <c r="C963">
        <v>385</v>
      </c>
      <c r="D963" t="s">
        <v>2328</v>
      </c>
      <c r="E963" t="s">
        <v>2038</v>
      </c>
      <c r="F963">
        <v>202206</v>
      </c>
      <c r="G963" t="s">
        <v>178</v>
      </c>
      <c r="H963">
        <v>3964.8</v>
      </c>
    </row>
    <row r="964" spans="1:8">
      <c r="A964">
        <v>5366</v>
      </c>
      <c r="B964" t="s">
        <v>2327</v>
      </c>
      <c r="C964">
        <v>385</v>
      </c>
      <c r="D964" t="s">
        <v>2328</v>
      </c>
      <c r="E964" t="s">
        <v>2038</v>
      </c>
      <c r="F964">
        <v>202206</v>
      </c>
      <c r="G964" t="s">
        <v>180</v>
      </c>
      <c r="H964">
        <v>2059.6799999999998</v>
      </c>
    </row>
    <row r="965" spans="1:8">
      <c r="A965">
        <v>5366</v>
      </c>
      <c r="B965" t="s">
        <v>2327</v>
      </c>
      <c r="C965">
        <v>385</v>
      </c>
      <c r="D965" t="s">
        <v>2328</v>
      </c>
      <c r="E965" t="s">
        <v>2038</v>
      </c>
      <c r="F965">
        <v>202206</v>
      </c>
      <c r="G965" t="s">
        <v>182</v>
      </c>
      <c r="H965">
        <v>1187088</v>
      </c>
    </row>
    <row r="966" spans="1:8">
      <c r="A966">
        <v>5366</v>
      </c>
      <c r="B966" t="s">
        <v>2327</v>
      </c>
      <c r="C966">
        <v>385</v>
      </c>
      <c r="D966" t="s">
        <v>2328</v>
      </c>
      <c r="E966" t="s">
        <v>2038</v>
      </c>
      <c r="F966">
        <v>202206</v>
      </c>
      <c r="G966" t="s">
        <v>184</v>
      </c>
      <c r="H966">
        <v>108638</v>
      </c>
    </row>
    <row r="967" spans="1:8">
      <c r="A967">
        <v>5366</v>
      </c>
      <c r="B967" t="s">
        <v>2327</v>
      </c>
      <c r="C967">
        <v>385</v>
      </c>
      <c r="D967" t="s">
        <v>2328</v>
      </c>
      <c r="E967" t="s">
        <v>2038</v>
      </c>
      <c r="F967">
        <v>202206</v>
      </c>
      <c r="G967" t="s">
        <v>192</v>
      </c>
      <c r="H967">
        <v>0</v>
      </c>
    </row>
    <row r="968" spans="1:8">
      <c r="A968">
        <v>5366</v>
      </c>
      <c r="B968" t="s">
        <v>2327</v>
      </c>
      <c r="C968">
        <v>385</v>
      </c>
      <c r="D968" t="s">
        <v>2328</v>
      </c>
      <c r="E968" t="s">
        <v>2038</v>
      </c>
      <c r="F968">
        <v>202206</v>
      </c>
      <c r="G968" t="s">
        <v>2172</v>
      </c>
      <c r="H968">
        <v>7510.79</v>
      </c>
    </row>
    <row r="969" spans="1:8">
      <c r="A969">
        <v>5366</v>
      </c>
      <c r="B969" t="s">
        <v>2327</v>
      </c>
      <c r="C969">
        <v>385</v>
      </c>
      <c r="D969" t="s">
        <v>2328</v>
      </c>
      <c r="E969" t="s">
        <v>2038</v>
      </c>
      <c r="F969">
        <v>202206</v>
      </c>
      <c r="G969" t="s">
        <v>186</v>
      </c>
      <c r="H969">
        <v>0</v>
      </c>
    </row>
    <row r="970" spans="1:8">
      <c r="A970">
        <v>5366</v>
      </c>
      <c r="B970" t="s">
        <v>2327</v>
      </c>
      <c r="C970">
        <v>385</v>
      </c>
      <c r="D970" t="s">
        <v>2328</v>
      </c>
      <c r="E970" t="s">
        <v>2038</v>
      </c>
      <c r="F970">
        <v>202206</v>
      </c>
      <c r="G970" t="s">
        <v>2171</v>
      </c>
      <c r="H970">
        <v>290.39</v>
      </c>
    </row>
    <row r="971" spans="1:8">
      <c r="A971">
        <v>5366</v>
      </c>
      <c r="B971" t="s">
        <v>2327</v>
      </c>
      <c r="C971">
        <v>385</v>
      </c>
      <c r="D971" t="s">
        <v>2328</v>
      </c>
      <c r="E971" t="s">
        <v>2038</v>
      </c>
      <c r="F971">
        <v>202206</v>
      </c>
      <c r="G971" t="s">
        <v>2168</v>
      </c>
      <c r="H971">
        <v>12.63</v>
      </c>
    </row>
    <row r="972" spans="1:8">
      <c r="A972">
        <v>5366</v>
      </c>
      <c r="B972" t="s">
        <v>2327</v>
      </c>
      <c r="C972">
        <v>385</v>
      </c>
      <c r="D972" t="s">
        <v>2328</v>
      </c>
      <c r="E972" t="s">
        <v>2038</v>
      </c>
      <c r="F972">
        <v>202206</v>
      </c>
      <c r="G972" t="s">
        <v>2169</v>
      </c>
      <c r="H972">
        <v>19.809999999999999</v>
      </c>
    </row>
    <row r="973" spans="1:8">
      <c r="A973">
        <v>5366</v>
      </c>
      <c r="B973" t="s">
        <v>2327</v>
      </c>
      <c r="C973">
        <v>385</v>
      </c>
      <c r="D973" t="s">
        <v>2328</v>
      </c>
      <c r="E973" t="s">
        <v>2038</v>
      </c>
      <c r="F973">
        <v>202206</v>
      </c>
      <c r="G973" t="s">
        <v>2170</v>
      </c>
      <c r="H973">
        <v>14.98</v>
      </c>
    </row>
    <row r="974" spans="1:8">
      <c r="A974">
        <v>5366</v>
      </c>
      <c r="B974" t="s">
        <v>2327</v>
      </c>
      <c r="C974">
        <v>385</v>
      </c>
      <c r="D974" t="s">
        <v>2328</v>
      </c>
      <c r="E974" t="s">
        <v>2038</v>
      </c>
      <c r="F974">
        <v>202206</v>
      </c>
      <c r="G974" t="s">
        <v>2173</v>
      </c>
      <c r="H974">
        <v>230392.5</v>
      </c>
    </row>
    <row r="975" spans="1:8">
      <c r="A975">
        <v>5366</v>
      </c>
      <c r="B975" t="s">
        <v>2327</v>
      </c>
      <c r="C975">
        <v>385</v>
      </c>
      <c r="D975" t="s">
        <v>2328</v>
      </c>
      <c r="E975" t="s">
        <v>2038</v>
      </c>
      <c r="F975">
        <v>202207</v>
      </c>
      <c r="G975" t="s">
        <v>190</v>
      </c>
      <c r="H975">
        <v>152522</v>
      </c>
    </row>
    <row r="976" spans="1:8">
      <c r="A976">
        <v>5366</v>
      </c>
      <c r="B976" t="s">
        <v>2327</v>
      </c>
      <c r="C976">
        <v>385</v>
      </c>
      <c r="D976" t="s">
        <v>2328</v>
      </c>
      <c r="E976" t="s">
        <v>2038</v>
      </c>
      <c r="F976">
        <v>202207</v>
      </c>
      <c r="G976" t="s">
        <v>191</v>
      </c>
      <c r="H976">
        <v>28562</v>
      </c>
    </row>
    <row r="977" spans="1:8">
      <c r="A977">
        <v>5366</v>
      </c>
      <c r="B977" t="s">
        <v>2327</v>
      </c>
      <c r="C977">
        <v>385</v>
      </c>
      <c r="D977" t="s">
        <v>2328</v>
      </c>
      <c r="E977" t="s">
        <v>2038</v>
      </c>
      <c r="F977">
        <v>202207</v>
      </c>
      <c r="G977" t="s">
        <v>176</v>
      </c>
      <c r="H977">
        <v>0</v>
      </c>
    </row>
    <row r="978" spans="1:8">
      <c r="A978">
        <v>5366</v>
      </c>
      <c r="B978" t="s">
        <v>2327</v>
      </c>
      <c r="C978">
        <v>385</v>
      </c>
      <c r="D978" t="s">
        <v>2328</v>
      </c>
      <c r="E978" t="s">
        <v>2038</v>
      </c>
      <c r="F978">
        <v>202207</v>
      </c>
      <c r="G978" t="s">
        <v>178</v>
      </c>
      <c r="H978">
        <v>546.84</v>
      </c>
    </row>
    <row r="979" spans="1:8">
      <c r="A979">
        <v>5366</v>
      </c>
      <c r="B979" t="s">
        <v>2327</v>
      </c>
      <c r="C979">
        <v>385</v>
      </c>
      <c r="D979" t="s">
        <v>2328</v>
      </c>
      <c r="E979" t="s">
        <v>2038</v>
      </c>
      <c r="F979">
        <v>202207</v>
      </c>
      <c r="G979" t="s">
        <v>180</v>
      </c>
      <c r="H979">
        <v>560.44000000000005</v>
      </c>
    </row>
    <row r="980" spans="1:8">
      <c r="A980">
        <v>5366</v>
      </c>
      <c r="B980" t="s">
        <v>2327</v>
      </c>
      <c r="C980">
        <v>385</v>
      </c>
      <c r="D980" t="s">
        <v>2328</v>
      </c>
      <c r="E980" t="s">
        <v>2038</v>
      </c>
      <c r="F980">
        <v>202207</v>
      </c>
      <c r="G980" t="s">
        <v>182</v>
      </c>
      <c r="H980">
        <v>184337</v>
      </c>
    </row>
    <row r="981" spans="1:8">
      <c r="A981">
        <v>5366</v>
      </c>
      <c r="B981" t="s">
        <v>2327</v>
      </c>
      <c r="C981">
        <v>385</v>
      </c>
      <c r="D981" t="s">
        <v>2328</v>
      </c>
      <c r="E981" t="s">
        <v>2038</v>
      </c>
      <c r="F981">
        <v>202207</v>
      </c>
      <c r="G981" t="s">
        <v>184</v>
      </c>
      <c r="H981">
        <v>28562</v>
      </c>
    </row>
    <row r="982" spans="1:8">
      <c r="A982">
        <v>5366</v>
      </c>
      <c r="B982" t="s">
        <v>2327</v>
      </c>
      <c r="C982">
        <v>385</v>
      </c>
      <c r="D982" t="s">
        <v>2328</v>
      </c>
      <c r="E982" t="s">
        <v>2038</v>
      </c>
      <c r="F982">
        <v>202207</v>
      </c>
      <c r="G982" t="s">
        <v>192</v>
      </c>
      <c r="H982">
        <v>0</v>
      </c>
    </row>
    <row r="983" spans="1:8">
      <c r="A983">
        <v>5366</v>
      </c>
      <c r="B983" t="s">
        <v>2327</v>
      </c>
      <c r="C983">
        <v>385</v>
      </c>
      <c r="D983" t="s">
        <v>2328</v>
      </c>
      <c r="E983" t="s">
        <v>2038</v>
      </c>
      <c r="F983">
        <v>202207</v>
      </c>
      <c r="G983" t="s">
        <v>2172</v>
      </c>
      <c r="H983">
        <v>3355.54</v>
      </c>
    </row>
    <row r="984" spans="1:8">
      <c r="A984">
        <v>5366</v>
      </c>
      <c r="B984" t="s">
        <v>2327</v>
      </c>
      <c r="C984">
        <v>385</v>
      </c>
      <c r="D984" t="s">
        <v>2328</v>
      </c>
      <c r="E984" t="s">
        <v>2038</v>
      </c>
      <c r="F984">
        <v>202207</v>
      </c>
      <c r="G984" t="s">
        <v>186</v>
      </c>
      <c r="H984">
        <v>31815</v>
      </c>
    </row>
    <row r="985" spans="1:8">
      <c r="A985">
        <v>5366</v>
      </c>
      <c r="B985" t="s">
        <v>2327</v>
      </c>
      <c r="C985">
        <v>385</v>
      </c>
      <c r="D985" t="s">
        <v>2328</v>
      </c>
      <c r="E985" t="s">
        <v>2038</v>
      </c>
      <c r="F985">
        <v>202207</v>
      </c>
      <c r="G985" t="s">
        <v>2171</v>
      </c>
      <c r="H985">
        <v>290.39</v>
      </c>
    </row>
    <row r="986" spans="1:8">
      <c r="A986">
        <v>5366</v>
      </c>
      <c r="B986" t="s">
        <v>2327</v>
      </c>
      <c r="C986">
        <v>385</v>
      </c>
      <c r="D986" t="s">
        <v>2328</v>
      </c>
      <c r="E986" t="s">
        <v>2038</v>
      </c>
      <c r="F986">
        <v>202207</v>
      </c>
      <c r="G986" t="s">
        <v>2168</v>
      </c>
      <c r="H986">
        <v>12.63</v>
      </c>
    </row>
    <row r="987" spans="1:8">
      <c r="A987">
        <v>5366</v>
      </c>
      <c r="B987" t="s">
        <v>2327</v>
      </c>
      <c r="C987">
        <v>385</v>
      </c>
      <c r="D987" t="s">
        <v>2328</v>
      </c>
      <c r="E987" t="s">
        <v>2038</v>
      </c>
      <c r="F987">
        <v>202207</v>
      </c>
      <c r="G987" t="s">
        <v>2169</v>
      </c>
      <c r="H987">
        <v>19.809999999999999</v>
      </c>
    </row>
    <row r="988" spans="1:8">
      <c r="A988">
        <v>5366</v>
      </c>
      <c r="B988" t="s">
        <v>2327</v>
      </c>
      <c r="C988">
        <v>385</v>
      </c>
      <c r="D988" t="s">
        <v>2328</v>
      </c>
      <c r="E988" t="s">
        <v>2038</v>
      </c>
      <c r="F988">
        <v>202207</v>
      </c>
      <c r="G988" t="s">
        <v>2170</v>
      </c>
      <c r="H988">
        <v>14.98</v>
      </c>
    </row>
    <row r="989" spans="1:8">
      <c r="A989">
        <v>5366</v>
      </c>
      <c r="B989" t="s">
        <v>2327</v>
      </c>
      <c r="C989">
        <v>385</v>
      </c>
      <c r="D989" t="s">
        <v>2328</v>
      </c>
      <c r="E989" t="s">
        <v>2038</v>
      </c>
      <c r="F989">
        <v>202207</v>
      </c>
      <c r="G989" t="s">
        <v>2173</v>
      </c>
      <c r="H989">
        <v>77138.61</v>
      </c>
    </row>
    <row r="990" spans="1:8">
      <c r="A990">
        <v>5366</v>
      </c>
      <c r="B990" t="s">
        <v>2327</v>
      </c>
      <c r="C990">
        <v>385</v>
      </c>
      <c r="D990" t="s">
        <v>2328</v>
      </c>
      <c r="E990" t="s">
        <v>2038</v>
      </c>
      <c r="F990">
        <v>202207</v>
      </c>
      <c r="G990" t="s">
        <v>190</v>
      </c>
      <c r="H990">
        <v>55267</v>
      </c>
    </row>
    <row r="991" spans="1:8">
      <c r="A991">
        <v>5366</v>
      </c>
      <c r="B991" t="s">
        <v>2327</v>
      </c>
      <c r="C991">
        <v>385</v>
      </c>
      <c r="D991" t="s">
        <v>2328</v>
      </c>
      <c r="E991" t="s">
        <v>2038</v>
      </c>
      <c r="F991">
        <v>202207</v>
      </c>
      <c r="G991" t="s">
        <v>191</v>
      </c>
      <c r="H991">
        <v>8040</v>
      </c>
    </row>
    <row r="992" spans="1:8">
      <c r="A992">
        <v>5366</v>
      </c>
      <c r="B992" t="s">
        <v>2327</v>
      </c>
      <c r="C992">
        <v>385</v>
      </c>
      <c r="D992" t="s">
        <v>2328</v>
      </c>
      <c r="E992" t="s">
        <v>2038</v>
      </c>
      <c r="F992">
        <v>202207</v>
      </c>
      <c r="G992" t="s">
        <v>176</v>
      </c>
      <c r="H992">
        <v>0</v>
      </c>
    </row>
    <row r="993" spans="1:8">
      <c r="A993">
        <v>5366</v>
      </c>
      <c r="B993" t="s">
        <v>2327</v>
      </c>
      <c r="C993">
        <v>385</v>
      </c>
      <c r="D993" t="s">
        <v>2328</v>
      </c>
      <c r="E993" t="s">
        <v>2038</v>
      </c>
      <c r="F993">
        <v>202207</v>
      </c>
      <c r="G993" t="s">
        <v>178</v>
      </c>
      <c r="H993">
        <v>198.57</v>
      </c>
    </row>
    <row r="994" spans="1:8">
      <c r="A994">
        <v>5366</v>
      </c>
      <c r="B994" t="s">
        <v>2327</v>
      </c>
      <c r="C994">
        <v>385</v>
      </c>
      <c r="D994" t="s">
        <v>2328</v>
      </c>
      <c r="E994" t="s">
        <v>2038</v>
      </c>
      <c r="F994">
        <v>202207</v>
      </c>
      <c r="G994" t="s">
        <v>180</v>
      </c>
      <c r="H994">
        <v>198.57</v>
      </c>
    </row>
    <row r="995" spans="1:8">
      <c r="A995">
        <v>5366</v>
      </c>
      <c r="B995" t="s">
        <v>2327</v>
      </c>
      <c r="C995">
        <v>385</v>
      </c>
      <c r="D995" t="s">
        <v>2328</v>
      </c>
      <c r="E995" t="s">
        <v>2038</v>
      </c>
      <c r="F995">
        <v>202207</v>
      </c>
      <c r="G995" t="s">
        <v>182</v>
      </c>
      <c r="H995">
        <v>55267</v>
      </c>
    </row>
    <row r="996" spans="1:8">
      <c r="A996">
        <v>5366</v>
      </c>
      <c r="B996" t="s">
        <v>2327</v>
      </c>
      <c r="C996">
        <v>385</v>
      </c>
      <c r="D996" t="s">
        <v>2328</v>
      </c>
      <c r="E996" t="s">
        <v>2038</v>
      </c>
      <c r="F996">
        <v>202207</v>
      </c>
      <c r="G996" t="s">
        <v>184</v>
      </c>
      <c r="H996">
        <v>8040</v>
      </c>
    </row>
    <row r="997" spans="1:8">
      <c r="A997">
        <v>5366</v>
      </c>
      <c r="B997" t="s">
        <v>2327</v>
      </c>
      <c r="C997">
        <v>385</v>
      </c>
      <c r="D997" t="s">
        <v>2328</v>
      </c>
      <c r="E997" t="s">
        <v>2038</v>
      </c>
      <c r="F997">
        <v>202207</v>
      </c>
      <c r="G997" t="s">
        <v>192</v>
      </c>
      <c r="H997">
        <v>0</v>
      </c>
    </row>
    <row r="998" spans="1:8">
      <c r="A998">
        <v>5366</v>
      </c>
      <c r="B998" t="s">
        <v>2327</v>
      </c>
      <c r="C998">
        <v>385</v>
      </c>
      <c r="D998" t="s">
        <v>2328</v>
      </c>
      <c r="E998" t="s">
        <v>2038</v>
      </c>
      <c r="F998">
        <v>202207</v>
      </c>
      <c r="G998" t="s">
        <v>2172</v>
      </c>
      <c r="H998">
        <v>1234.8800000000001</v>
      </c>
    </row>
    <row r="999" spans="1:8">
      <c r="A999">
        <v>5366</v>
      </c>
      <c r="B999" t="s">
        <v>2327</v>
      </c>
      <c r="C999">
        <v>385</v>
      </c>
      <c r="D999" t="s">
        <v>2328</v>
      </c>
      <c r="E999" t="s">
        <v>2038</v>
      </c>
      <c r="F999">
        <v>202207</v>
      </c>
      <c r="G999" t="s">
        <v>186</v>
      </c>
      <c r="H999">
        <v>0</v>
      </c>
    </row>
    <row r="1000" spans="1:8">
      <c r="A1000">
        <v>5366</v>
      </c>
      <c r="B1000" t="s">
        <v>2327</v>
      </c>
      <c r="C1000">
        <v>385</v>
      </c>
      <c r="D1000" t="s">
        <v>2328</v>
      </c>
      <c r="E1000" t="s">
        <v>2038</v>
      </c>
      <c r="F1000">
        <v>202207</v>
      </c>
      <c r="G1000" t="s">
        <v>2171</v>
      </c>
      <c r="H1000">
        <v>290.39</v>
      </c>
    </row>
    <row r="1001" spans="1:8">
      <c r="A1001">
        <v>5366</v>
      </c>
      <c r="B1001" t="s">
        <v>2327</v>
      </c>
      <c r="C1001">
        <v>385</v>
      </c>
      <c r="D1001" t="s">
        <v>2328</v>
      </c>
      <c r="E1001" t="s">
        <v>2038</v>
      </c>
      <c r="F1001">
        <v>202207</v>
      </c>
      <c r="G1001" t="s">
        <v>2168</v>
      </c>
      <c r="H1001">
        <v>12.63</v>
      </c>
    </row>
    <row r="1002" spans="1:8">
      <c r="A1002">
        <v>5366</v>
      </c>
      <c r="B1002" t="s">
        <v>2327</v>
      </c>
      <c r="C1002">
        <v>385</v>
      </c>
      <c r="D1002" t="s">
        <v>2328</v>
      </c>
      <c r="E1002" t="s">
        <v>2038</v>
      </c>
      <c r="F1002">
        <v>202207</v>
      </c>
      <c r="G1002" t="s">
        <v>2169</v>
      </c>
      <c r="H1002">
        <v>19.809999999999999</v>
      </c>
    </row>
    <row r="1003" spans="1:8">
      <c r="A1003">
        <v>5366</v>
      </c>
      <c r="B1003" t="s">
        <v>2327</v>
      </c>
      <c r="C1003">
        <v>385</v>
      </c>
      <c r="D1003" t="s">
        <v>2328</v>
      </c>
      <c r="E1003" t="s">
        <v>2038</v>
      </c>
      <c r="F1003">
        <v>202207</v>
      </c>
      <c r="G1003" t="s">
        <v>2170</v>
      </c>
      <c r="H1003">
        <v>14.98</v>
      </c>
    </row>
    <row r="1004" spans="1:8">
      <c r="A1004">
        <v>5366</v>
      </c>
      <c r="B1004" t="s">
        <v>2327</v>
      </c>
      <c r="C1004">
        <v>385</v>
      </c>
      <c r="D1004" t="s">
        <v>2328</v>
      </c>
      <c r="E1004" t="s">
        <v>2038</v>
      </c>
      <c r="F1004">
        <v>202207</v>
      </c>
      <c r="G1004" t="s">
        <v>2173</v>
      </c>
      <c r="H1004">
        <v>28388</v>
      </c>
    </row>
    <row r="1005" spans="1:8">
      <c r="A1005">
        <v>5366</v>
      </c>
      <c r="B1005" t="s">
        <v>2327</v>
      </c>
      <c r="C1005">
        <v>385</v>
      </c>
      <c r="D1005" t="s">
        <v>2328</v>
      </c>
      <c r="E1005" t="s">
        <v>2038</v>
      </c>
      <c r="F1005">
        <v>202207</v>
      </c>
      <c r="G1005" t="s">
        <v>190</v>
      </c>
      <c r="H1005">
        <v>130568</v>
      </c>
    </row>
    <row r="1006" spans="1:8">
      <c r="A1006">
        <v>5366</v>
      </c>
      <c r="B1006" t="s">
        <v>2327</v>
      </c>
      <c r="C1006">
        <v>385</v>
      </c>
      <c r="D1006" t="s">
        <v>2328</v>
      </c>
      <c r="E1006" t="s">
        <v>2038</v>
      </c>
      <c r="F1006">
        <v>202207</v>
      </c>
      <c r="G1006" t="s">
        <v>191</v>
      </c>
      <c r="H1006">
        <v>16372</v>
      </c>
    </row>
    <row r="1007" spans="1:8">
      <c r="A1007">
        <v>5366</v>
      </c>
      <c r="B1007" t="s">
        <v>2327</v>
      </c>
      <c r="C1007">
        <v>385</v>
      </c>
      <c r="D1007" t="s">
        <v>2328</v>
      </c>
      <c r="E1007" t="s">
        <v>2038</v>
      </c>
      <c r="F1007">
        <v>202207</v>
      </c>
      <c r="G1007" t="s">
        <v>176</v>
      </c>
      <c r="H1007">
        <v>0</v>
      </c>
    </row>
    <row r="1008" spans="1:8">
      <c r="A1008">
        <v>5366</v>
      </c>
      <c r="B1008" t="s">
        <v>2327</v>
      </c>
      <c r="C1008">
        <v>385</v>
      </c>
      <c r="D1008" t="s">
        <v>2328</v>
      </c>
      <c r="E1008" t="s">
        <v>2038</v>
      </c>
      <c r="F1008">
        <v>202207</v>
      </c>
      <c r="G1008" t="s">
        <v>178</v>
      </c>
      <c r="H1008">
        <v>368.92</v>
      </c>
    </row>
    <row r="1009" spans="1:8">
      <c r="A1009">
        <v>5366</v>
      </c>
      <c r="B1009" t="s">
        <v>2327</v>
      </c>
      <c r="C1009">
        <v>385</v>
      </c>
      <c r="D1009" t="s">
        <v>2328</v>
      </c>
      <c r="E1009" t="s">
        <v>2038</v>
      </c>
      <c r="F1009">
        <v>202207</v>
      </c>
      <c r="G1009" t="s">
        <v>180</v>
      </c>
      <c r="H1009">
        <v>353.13</v>
      </c>
    </row>
    <row r="1010" spans="1:8">
      <c r="A1010">
        <v>5366</v>
      </c>
      <c r="B1010" t="s">
        <v>2327</v>
      </c>
      <c r="C1010">
        <v>385</v>
      </c>
      <c r="D1010" t="s">
        <v>2328</v>
      </c>
      <c r="E1010" t="s">
        <v>2038</v>
      </c>
      <c r="F1010">
        <v>202207</v>
      </c>
      <c r="G1010" t="s">
        <v>182</v>
      </c>
      <c r="H1010">
        <v>130568</v>
      </c>
    </row>
    <row r="1011" spans="1:8">
      <c r="A1011">
        <v>5366</v>
      </c>
      <c r="B1011" t="s">
        <v>2327</v>
      </c>
      <c r="C1011">
        <v>385</v>
      </c>
      <c r="D1011" t="s">
        <v>2328</v>
      </c>
      <c r="E1011" t="s">
        <v>2038</v>
      </c>
      <c r="F1011">
        <v>202207</v>
      </c>
      <c r="G1011" t="s">
        <v>184</v>
      </c>
      <c r="H1011">
        <v>16372</v>
      </c>
    </row>
    <row r="1012" spans="1:8">
      <c r="A1012">
        <v>5366</v>
      </c>
      <c r="B1012" t="s">
        <v>2327</v>
      </c>
      <c r="C1012">
        <v>385</v>
      </c>
      <c r="D1012" t="s">
        <v>2328</v>
      </c>
      <c r="E1012" t="s">
        <v>2038</v>
      </c>
      <c r="F1012">
        <v>202207</v>
      </c>
      <c r="G1012" t="s">
        <v>192</v>
      </c>
      <c r="H1012">
        <v>0</v>
      </c>
    </row>
    <row r="1013" spans="1:8">
      <c r="A1013">
        <v>5366</v>
      </c>
      <c r="B1013" t="s">
        <v>2327</v>
      </c>
      <c r="C1013">
        <v>385</v>
      </c>
      <c r="D1013" t="s">
        <v>2328</v>
      </c>
      <c r="E1013" t="s">
        <v>2038</v>
      </c>
      <c r="F1013">
        <v>202207</v>
      </c>
      <c r="G1013" t="s">
        <v>2172</v>
      </c>
      <c r="H1013">
        <v>2570.7199999999998</v>
      </c>
    </row>
    <row r="1014" spans="1:8">
      <c r="A1014">
        <v>5366</v>
      </c>
      <c r="B1014" t="s">
        <v>2327</v>
      </c>
      <c r="C1014">
        <v>385</v>
      </c>
      <c r="D1014" t="s">
        <v>2328</v>
      </c>
      <c r="E1014" t="s">
        <v>2038</v>
      </c>
      <c r="F1014">
        <v>202207</v>
      </c>
      <c r="G1014" t="s">
        <v>186</v>
      </c>
      <c r="H1014">
        <v>0</v>
      </c>
    </row>
    <row r="1015" spans="1:8">
      <c r="A1015">
        <v>5366</v>
      </c>
      <c r="B1015" t="s">
        <v>2327</v>
      </c>
      <c r="C1015">
        <v>385</v>
      </c>
      <c r="D1015" t="s">
        <v>2328</v>
      </c>
      <c r="E1015" t="s">
        <v>2038</v>
      </c>
      <c r="F1015">
        <v>202207</v>
      </c>
      <c r="G1015" t="s">
        <v>2171</v>
      </c>
      <c r="H1015">
        <v>290.39</v>
      </c>
    </row>
    <row r="1016" spans="1:8">
      <c r="A1016">
        <v>5366</v>
      </c>
      <c r="B1016" t="s">
        <v>2327</v>
      </c>
      <c r="C1016">
        <v>385</v>
      </c>
      <c r="D1016" t="s">
        <v>2328</v>
      </c>
      <c r="E1016" t="s">
        <v>2038</v>
      </c>
      <c r="F1016">
        <v>202207</v>
      </c>
      <c r="G1016" t="s">
        <v>2168</v>
      </c>
      <c r="H1016">
        <v>12.63</v>
      </c>
    </row>
    <row r="1017" spans="1:8">
      <c r="A1017">
        <v>5366</v>
      </c>
      <c r="B1017" t="s">
        <v>2327</v>
      </c>
      <c r="C1017">
        <v>385</v>
      </c>
      <c r="D1017" t="s">
        <v>2328</v>
      </c>
      <c r="E1017" t="s">
        <v>2038</v>
      </c>
      <c r="F1017">
        <v>202207</v>
      </c>
      <c r="G1017" t="s">
        <v>2169</v>
      </c>
      <c r="H1017">
        <v>19.809999999999999</v>
      </c>
    </row>
    <row r="1018" spans="1:8">
      <c r="A1018">
        <v>5366</v>
      </c>
      <c r="B1018" t="s">
        <v>2327</v>
      </c>
      <c r="C1018">
        <v>385</v>
      </c>
      <c r="D1018" t="s">
        <v>2328</v>
      </c>
      <c r="E1018" t="s">
        <v>2038</v>
      </c>
      <c r="F1018">
        <v>202207</v>
      </c>
      <c r="G1018" t="s">
        <v>2170</v>
      </c>
      <c r="H1018">
        <v>14.98</v>
      </c>
    </row>
    <row r="1019" spans="1:8">
      <c r="A1019">
        <v>5366</v>
      </c>
      <c r="B1019" t="s">
        <v>2327</v>
      </c>
      <c r="C1019">
        <v>385</v>
      </c>
      <c r="D1019" t="s">
        <v>2328</v>
      </c>
      <c r="E1019" t="s">
        <v>2038</v>
      </c>
      <c r="F1019">
        <v>202207</v>
      </c>
      <c r="G1019" t="s">
        <v>2173</v>
      </c>
      <c r="H1019">
        <v>59096.72</v>
      </c>
    </row>
    <row r="1020" spans="1:8">
      <c r="A1020">
        <v>5366</v>
      </c>
      <c r="B1020" t="s">
        <v>2327</v>
      </c>
      <c r="C1020">
        <v>385</v>
      </c>
      <c r="D1020" t="s">
        <v>2328</v>
      </c>
      <c r="E1020" t="s">
        <v>2038</v>
      </c>
      <c r="F1020">
        <v>202207</v>
      </c>
      <c r="G1020" t="s">
        <v>190</v>
      </c>
      <c r="H1020">
        <v>262451</v>
      </c>
    </row>
    <row r="1021" spans="1:8">
      <c r="A1021">
        <v>5366</v>
      </c>
      <c r="B1021" t="s">
        <v>2327</v>
      </c>
      <c r="C1021">
        <v>385</v>
      </c>
      <c r="D1021" t="s">
        <v>2328</v>
      </c>
      <c r="E1021" t="s">
        <v>2038</v>
      </c>
      <c r="F1021">
        <v>202207</v>
      </c>
      <c r="G1021" t="s">
        <v>191</v>
      </c>
      <c r="H1021">
        <v>40179</v>
      </c>
    </row>
    <row r="1022" spans="1:8">
      <c r="A1022">
        <v>5366</v>
      </c>
      <c r="B1022" t="s">
        <v>2327</v>
      </c>
      <c r="C1022">
        <v>385</v>
      </c>
      <c r="D1022" t="s">
        <v>2328</v>
      </c>
      <c r="E1022" t="s">
        <v>2038</v>
      </c>
      <c r="F1022">
        <v>202207</v>
      </c>
      <c r="G1022" t="s">
        <v>176</v>
      </c>
      <c r="H1022">
        <v>0</v>
      </c>
    </row>
    <row r="1023" spans="1:8">
      <c r="A1023">
        <v>5366</v>
      </c>
      <c r="B1023" t="s">
        <v>2327</v>
      </c>
      <c r="C1023">
        <v>385</v>
      </c>
      <c r="D1023" t="s">
        <v>2328</v>
      </c>
      <c r="E1023" t="s">
        <v>2038</v>
      </c>
      <c r="F1023">
        <v>202207</v>
      </c>
      <c r="G1023" t="s">
        <v>178</v>
      </c>
      <c r="H1023">
        <v>838.32</v>
      </c>
    </row>
    <row r="1024" spans="1:8">
      <c r="A1024">
        <v>5366</v>
      </c>
      <c r="B1024" t="s">
        <v>2327</v>
      </c>
      <c r="C1024">
        <v>385</v>
      </c>
      <c r="D1024" t="s">
        <v>2328</v>
      </c>
      <c r="E1024" t="s">
        <v>2038</v>
      </c>
      <c r="F1024">
        <v>202207</v>
      </c>
      <c r="G1024" t="s">
        <v>180</v>
      </c>
      <c r="H1024">
        <v>910.56</v>
      </c>
    </row>
    <row r="1025" spans="1:8">
      <c r="A1025">
        <v>5366</v>
      </c>
      <c r="B1025" t="s">
        <v>2327</v>
      </c>
      <c r="C1025">
        <v>385</v>
      </c>
      <c r="D1025" t="s">
        <v>2328</v>
      </c>
      <c r="E1025" t="s">
        <v>2038</v>
      </c>
      <c r="F1025">
        <v>202207</v>
      </c>
      <c r="G1025" t="s">
        <v>182</v>
      </c>
      <c r="H1025">
        <v>262451</v>
      </c>
    </row>
    <row r="1026" spans="1:8">
      <c r="A1026">
        <v>5366</v>
      </c>
      <c r="B1026" t="s">
        <v>2327</v>
      </c>
      <c r="C1026">
        <v>385</v>
      </c>
      <c r="D1026" t="s">
        <v>2328</v>
      </c>
      <c r="E1026" t="s">
        <v>2038</v>
      </c>
      <c r="F1026">
        <v>202207</v>
      </c>
      <c r="G1026" t="s">
        <v>184</v>
      </c>
      <c r="H1026">
        <v>40179</v>
      </c>
    </row>
    <row r="1027" spans="1:8">
      <c r="A1027">
        <v>5366</v>
      </c>
      <c r="B1027" t="s">
        <v>2327</v>
      </c>
      <c r="C1027">
        <v>385</v>
      </c>
      <c r="D1027" t="s">
        <v>2328</v>
      </c>
      <c r="E1027" t="s">
        <v>2038</v>
      </c>
      <c r="F1027">
        <v>202207</v>
      </c>
      <c r="G1027" t="s">
        <v>192</v>
      </c>
      <c r="H1027">
        <v>0</v>
      </c>
    </row>
    <row r="1028" spans="1:8">
      <c r="A1028">
        <v>5366</v>
      </c>
      <c r="B1028" t="s">
        <v>2327</v>
      </c>
      <c r="C1028">
        <v>385</v>
      </c>
      <c r="D1028" t="s">
        <v>2328</v>
      </c>
      <c r="E1028" t="s">
        <v>2038</v>
      </c>
      <c r="F1028">
        <v>202207</v>
      </c>
      <c r="G1028" t="s">
        <v>2172</v>
      </c>
      <c r="H1028">
        <v>5532.28</v>
      </c>
    </row>
    <row r="1029" spans="1:8">
      <c r="A1029">
        <v>5366</v>
      </c>
      <c r="B1029" t="s">
        <v>2327</v>
      </c>
      <c r="C1029">
        <v>385</v>
      </c>
      <c r="D1029" t="s">
        <v>2328</v>
      </c>
      <c r="E1029" t="s">
        <v>2038</v>
      </c>
      <c r="F1029">
        <v>202207</v>
      </c>
      <c r="G1029" t="s">
        <v>186</v>
      </c>
      <c r="H1029">
        <v>0</v>
      </c>
    </row>
    <row r="1030" spans="1:8">
      <c r="A1030">
        <v>5366</v>
      </c>
      <c r="B1030" t="s">
        <v>2327</v>
      </c>
      <c r="C1030">
        <v>385</v>
      </c>
      <c r="D1030" t="s">
        <v>2328</v>
      </c>
      <c r="E1030" t="s">
        <v>2038</v>
      </c>
      <c r="F1030">
        <v>202207</v>
      </c>
      <c r="G1030" t="s">
        <v>2171</v>
      </c>
      <c r="H1030">
        <v>290.39</v>
      </c>
    </row>
    <row r="1031" spans="1:8">
      <c r="A1031">
        <v>5366</v>
      </c>
      <c r="B1031" t="s">
        <v>2327</v>
      </c>
      <c r="C1031">
        <v>385</v>
      </c>
      <c r="D1031" t="s">
        <v>2328</v>
      </c>
      <c r="E1031" t="s">
        <v>2038</v>
      </c>
      <c r="F1031">
        <v>202207</v>
      </c>
      <c r="G1031" t="s">
        <v>2168</v>
      </c>
      <c r="H1031">
        <v>12.63</v>
      </c>
    </row>
    <row r="1032" spans="1:8">
      <c r="A1032">
        <v>5366</v>
      </c>
      <c r="B1032" t="s">
        <v>2327</v>
      </c>
      <c r="C1032">
        <v>385</v>
      </c>
      <c r="D1032" t="s">
        <v>2328</v>
      </c>
      <c r="E1032" t="s">
        <v>2038</v>
      </c>
      <c r="F1032">
        <v>202207</v>
      </c>
      <c r="G1032" t="s">
        <v>2169</v>
      </c>
      <c r="H1032">
        <v>19.809999999999999</v>
      </c>
    </row>
    <row r="1033" spans="1:8">
      <c r="A1033">
        <v>5366</v>
      </c>
      <c r="B1033" t="s">
        <v>2327</v>
      </c>
      <c r="C1033">
        <v>385</v>
      </c>
      <c r="D1033" t="s">
        <v>2328</v>
      </c>
      <c r="E1033" t="s">
        <v>2038</v>
      </c>
      <c r="F1033">
        <v>202207</v>
      </c>
      <c r="G1033" t="s">
        <v>2170</v>
      </c>
      <c r="H1033">
        <v>14.98</v>
      </c>
    </row>
    <row r="1034" spans="1:8">
      <c r="A1034">
        <v>5366</v>
      </c>
      <c r="B1034" t="s">
        <v>2327</v>
      </c>
      <c r="C1034">
        <v>385</v>
      </c>
      <c r="D1034" t="s">
        <v>2328</v>
      </c>
      <c r="E1034" t="s">
        <v>2038</v>
      </c>
      <c r="F1034">
        <v>202207</v>
      </c>
      <c r="G1034" t="s">
        <v>2173</v>
      </c>
      <c r="H1034">
        <v>127178.59</v>
      </c>
    </row>
    <row r="1035" spans="1:8">
      <c r="A1035">
        <v>5366</v>
      </c>
      <c r="B1035" t="s">
        <v>2327</v>
      </c>
      <c r="C1035">
        <v>385</v>
      </c>
      <c r="D1035" t="s">
        <v>2328</v>
      </c>
      <c r="E1035" t="s">
        <v>2038</v>
      </c>
      <c r="F1035">
        <v>202207</v>
      </c>
      <c r="G1035" t="s">
        <v>190</v>
      </c>
      <c r="H1035">
        <v>326162</v>
      </c>
    </row>
    <row r="1036" spans="1:8">
      <c r="A1036">
        <v>5366</v>
      </c>
      <c r="B1036" t="s">
        <v>2327</v>
      </c>
      <c r="C1036">
        <v>385</v>
      </c>
      <c r="D1036" t="s">
        <v>2328</v>
      </c>
      <c r="E1036" t="s">
        <v>2038</v>
      </c>
      <c r="F1036">
        <v>202207</v>
      </c>
      <c r="G1036" t="s">
        <v>191</v>
      </c>
      <c r="H1036">
        <v>37124</v>
      </c>
    </row>
    <row r="1037" spans="1:8">
      <c r="A1037">
        <v>5366</v>
      </c>
      <c r="B1037" t="s">
        <v>2327</v>
      </c>
      <c r="C1037">
        <v>385</v>
      </c>
      <c r="D1037" t="s">
        <v>2328</v>
      </c>
      <c r="E1037" t="s">
        <v>2038</v>
      </c>
      <c r="F1037">
        <v>202207</v>
      </c>
      <c r="G1037" t="s">
        <v>176</v>
      </c>
      <c r="H1037">
        <v>0</v>
      </c>
    </row>
    <row r="1038" spans="1:8">
      <c r="A1038">
        <v>5366</v>
      </c>
      <c r="B1038" t="s">
        <v>2327</v>
      </c>
      <c r="C1038">
        <v>385</v>
      </c>
      <c r="D1038" t="s">
        <v>2328</v>
      </c>
      <c r="E1038" t="s">
        <v>2038</v>
      </c>
      <c r="F1038">
        <v>202207</v>
      </c>
      <c r="G1038" t="s">
        <v>178</v>
      </c>
      <c r="H1038">
        <v>2338.56</v>
      </c>
    </row>
    <row r="1039" spans="1:8">
      <c r="A1039">
        <v>5366</v>
      </c>
      <c r="B1039" t="s">
        <v>2327</v>
      </c>
      <c r="C1039">
        <v>385</v>
      </c>
      <c r="D1039" t="s">
        <v>2328</v>
      </c>
      <c r="E1039" t="s">
        <v>2038</v>
      </c>
      <c r="F1039">
        <v>202207</v>
      </c>
      <c r="G1039" t="s">
        <v>180</v>
      </c>
      <c r="H1039">
        <v>2153.7600000000002</v>
      </c>
    </row>
    <row r="1040" spans="1:8">
      <c r="A1040">
        <v>5366</v>
      </c>
      <c r="B1040" t="s">
        <v>2327</v>
      </c>
      <c r="C1040">
        <v>385</v>
      </c>
      <c r="D1040" t="s">
        <v>2328</v>
      </c>
      <c r="E1040" t="s">
        <v>2038</v>
      </c>
      <c r="F1040">
        <v>202207</v>
      </c>
      <c r="G1040" t="s">
        <v>182</v>
      </c>
      <c r="H1040">
        <v>1108716</v>
      </c>
    </row>
    <row r="1041" spans="1:8">
      <c r="A1041">
        <v>5366</v>
      </c>
      <c r="B1041" t="s">
        <v>2327</v>
      </c>
      <c r="C1041">
        <v>385</v>
      </c>
      <c r="D1041" t="s">
        <v>2328</v>
      </c>
      <c r="E1041" t="s">
        <v>2038</v>
      </c>
      <c r="F1041">
        <v>202207</v>
      </c>
      <c r="G1041" t="s">
        <v>184</v>
      </c>
      <c r="H1041">
        <v>119149</v>
      </c>
    </row>
    <row r="1042" spans="1:8">
      <c r="A1042">
        <v>5366</v>
      </c>
      <c r="B1042" t="s">
        <v>2327</v>
      </c>
      <c r="C1042">
        <v>385</v>
      </c>
      <c r="D1042" t="s">
        <v>2328</v>
      </c>
      <c r="E1042" t="s">
        <v>2038</v>
      </c>
      <c r="F1042">
        <v>202207</v>
      </c>
      <c r="G1042" t="s">
        <v>192</v>
      </c>
      <c r="H1042">
        <v>0</v>
      </c>
    </row>
    <row r="1043" spans="1:8">
      <c r="A1043">
        <v>5366</v>
      </c>
      <c r="B1043" t="s">
        <v>2327</v>
      </c>
      <c r="C1043">
        <v>385</v>
      </c>
      <c r="D1043" t="s">
        <v>2328</v>
      </c>
      <c r="E1043" t="s">
        <v>2038</v>
      </c>
      <c r="F1043">
        <v>202207</v>
      </c>
      <c r="G1043" t="s">
        <v>2172</v>
      </c>
      <c r="H1043">
        <v>8917.84</v>
      </c>
    </row>
    <row r="1044" spans="1:8">
      <c r="A1044">
        <v>5366</v>
      </c>
      <c r="B1044" t="s">
        <v>2327</v>
      </c>
      <c r="C1044">
        <v>385</v>
      </c>
      <c r="D1044" t="s">
        <v>2328</v>
      </c>
      <c r="E1044" t="s">
        <v>2038</v>
      </c>
      <c r="F1044">
        <v>202207</v>
      </c>
      <c r="G1044" t="s">
        <v>186</v>
      </c>
      <c r="H1044">
        <v>0</v>
      </c>
    </row>
    <row r="1045" spans="1:8">
      <c r="A1045">
        <v>5366</v>
      </c>
      <c r="B1045" t="s">
        <v>2327</v>
      </c>
      <c r="C1045">
        <v>385</v>
      </c>
      <c r="D1045" t="s">
        <v>2328</v>
      </c>
      <c r="E1045" t="s">
        <v>2038</v>
      </c>
      <c r="F1045">
        <v>202207</v>
      </c>
      <c r="G1045" t="s">
        <v>2171</v>
      </c>
      <c r="H1045">
        <v>290.39</v>
      </c>
    </row>
    <row r="1046" spans="1:8">
      <c r="A1046">
        <v>5366</v>
      </c>
      <c r="B1046" t="s">
        <v>2327</v>
      </c>
      <c r="C1046">
        <v>385</v>
      </c>
      <c r="D1046" t="s">
        <v>2328</v>
      </c>
      <c r="E1046" t="s">
        <v>2038</v>
      </c>
      <c r="F1046">
        <v>202207</v>
      </c>
      <c r="G1046" t="s">
        <v>2168</v>
      </c>
      <c r="H1046">
        <v>12.63</v>
      </c>
    </row>
    <row r="1047" spans="1:8">
      <c r="A1047">
        <v>5366</v>
      </c>
      <c r="B1047" t="s">
        <v>2327</v>
      </c>
      <c r="C1047">
        <v>385</v>
      </c>
      <c r="D1047" t="s">
        <v>2328</v>
      </c>
      <c r="E1047" t="s">
        <v>2038</v>
      </c>
      <c r="F1047">
        <v>202207</v>
      </c>
      <c r="G1047" t="s">
        <v>2169</v>
      </c>
      <c r="H1047">
        <v>19.809999999999999</v>
      </c>
    </row>
    <row r="1048" spans="1:8">
      <c r="A1048">
        <v>5366</v>
      </c>
      <c r="B1048" t="s">
        <v>2327</v>
      </c>
      <c r="C1048">
        <v>385</v>
      </c>
      <c r="D1048" t="s">
        <v>2328</v>
      </c>
      <c r="E1048" t="s">
        <v>2038</v>
      </c>
      <c r="F1048">
        <v>202207</v>
      </c>
      <c r="G1048" t="s">
        <v>2170</v>
      </c>
      <c r="H1048">
        <v>14.98</v>
      </c>
    </row>
    <row r="1049" spans="1:8">
      <c r="A1049">
        <v>5366</v>
      </c>
      <c r="B1049" t="s">
        <v>2327</v>
      </c>
      <c r="C1049">
        <v>385</v>
      </c>
      <c r="D1049" t="s">
        <v>2328</v>
      </c>
      <c r="E1049" t="s">
        <v>2038</v>
      </c>
      <c r="F1049">
        <v>202207</v>
      </c>
      <c r="G1049" t="s">
        <v>2173</v>
      </c>
      <c r="H1049">
        <v>205007.85</v>
      </c>
    </row>
    <row r="1050" spans="1:8">
      <c r="A1050">
        <v>5366</v>
      </c>
      <c r="B1050" t="s">
        <v>2327</v>
      </c>
      <c r="C1050">
        <v>385</v>
      </c>
      <c r="D1050" t="s">
        <v>2328</v>
      </c>
      <c r="E1050" t="s">
        <v>2038</v>
      </c>
      <c r="F1050">
        <v>202208</v>
      </c>
      <c r="G1050" t="s">
        <v>190</v>
      </c>
      <c r="H1050">
        <v>391934</v>
      </c>
    </row>
    <row r="1051" spans="1:8">
      <c r="A1051">
        <v>5366</v>
      </c>
      <c r="B1051" t="s">
        <v>2327</v>
      </c>
      <c r="C1051">
        <v>385</v>
      </c>
      <c r="D1051" t="s">
        <v>2328</v>
      </c>
      <c r="E1051" t="s">
        <v>2038</v>
      </c>
      <c r="F1051">
        <v>202208</v>
      </c>
      <c r="G1051" t="s">
        <v>191</v>
      </c>
      <c r="H1051">
        <v>29713</v>
      </c>
    </row>
    <row r="1052" spans="1:8">
      <c r="A1052">
        <v>5366</v>
      </c>
      <c r="B1052" t="s">
        <v>2327</v>
      </c>
      <c r="C1052">
        <v>385</v>
      </c>
      <c r="D1052" t="s">
        <v>2328</v>
      </c>
      <c r="E1052" t="s">
        <v>2038</v>
      </c>
      <c r="F1052">
        <v>202208</v>
      </c>
      <c r="G1052" t="s">
        <v>176</v>
      </c>
      <c r="H1052">
        <v>0</v>
      </c>
    </row>
    <row r="1053" spans="1:8">
      <c r="A1053">
        <v>5366</v>
      </c>
      <c r="B1053" t="s">
        <v>2327</v>
      </c>
      <c r="C1053">
        <v>385</v>
      </c>
      <c r="D1053" t="s">
        <v>2328</v>
      </c>
      <c r="E1053" t="s">
        <v>2038</v>
      </c>
      <c r="F1053">
        <v>202208</v>
      </c>
      <c r="G1053" t="s">
        <v>178</v>
      </c>
      <c r="H1053">
        <v>2142</v>
      </c>
    </row>
    <row r="1054" spans="1:8">
      <c r="A1054">
        <v>5366</v>
      </c>
      <c r="B1054" t="s">
        <v>2327</v>
      </c>
      <c r="C1054">
        <v>385</v>
      </c>
      <c r="D1054" t="s">
        <v>2328</v>
      </c>
      <c r="E1054" t="s">
        <v>2038</v>
      </c>
      <c r="F1054">
        <v>202208</v>
      </c>
      <c r="G1054" t="s">
        <v>180</v>
      </c>
      <c r="H1054">
        <v>2321.7600000000002</v>
      </c>
    </row>
    <row r="1055" spans="1:8">
      <c r="A1055">
        <v>5366</v>
      </c>
      <c r="B1055" t="s">
        <v>2327</v>
      </c>
      <c r="C1055">
        <v>385</v>
      </c>
      <c r="D1055" t="s">
        <v>2328</v>
      </c>
      <c r="E1055" t="s">
        <v>2038</v>
      </c>
      <c r="F1055">
        <v>202208</v>
      </c>
      <c r="G1055" t="s">
        <v>182</v>
      </c>
      <c r="H1055">
        <v>1289232</v>
      </c>
    </row>
    <row r="1056" spans="1:8">
      <c r="A1056">
        <v>5366</v>
      </c>
      <c r="B1056" t="s">
        <v>2327</v>
      </c>
      <c r="C1056">
        <v>385</v>
      </c>
      <c r="D1056" t="s">
        <v>2328</v>
      </c>
      <c r="E1056" t="s">
        <v>2038</v>
      </c>
      <c r="F1056">
        <v>202208</v>
      </c>
      <c r="G1056" t="s">
        <v>184</v>
      </c>
      <c r="H1056">
        <v>119279</v>
      </c>
    </row>
    <row r="1057" spans="1:8">
      <c r="A1057">
        <v>5366</v>
      </c>
      <c r="B1057" t="s">
        <v>2327</v>
      </c>
      <c r="C1057">
        <v>385</v>
      </c>
      <c r="D1057" t="s">
        <v>2328</v>
      </c>
      <c r="E1057" t="s">
        <v>2038</v>
      </c>
      <c r="F1057">
        <v>202208</v>
      </c>
      <c r="G1057" t="s">
        <v>192</v>
      </c>
      <c r="H1057">
        <v>0</v>
      </c>
    </row>
    <row r="1058" spans="1:8">
      <c r="A1058">
        <v>5366</v>
      </c>
      <c r="B1058" t="s">
        <v>2327</v>
      </c>
      <c r="C1058">
        <v>385</v>
      </c>
      <c r="D1058" t="s">
        <v>2328</v>
      </c>
      <c r="E1058" t="s">
        <v>2038</v>
      </c>
      <c r="F1058">
        <v>202208</v>
      </c>
      <c r="G1058" t="s">
        <v>2172</v>
      </c>
      <c r="H1058">
        <v>11647.85</v>
      </c>
    </row>
    <row r="1059" spans="1:8">
      <c r="A1059">
        <v>5366</v>
      </c>
      <c r="B1059" t="s">
        <v>2327</v>
      </c>
      <c r="C1059">
        <v>385</v>
      </c>
      <c r="D1059" t="s">
        <v>2328</v>
      </c>
      <c r="E1059" t="s">
        <v>2038</v>
      </c>
      <c r="F1059">
        <v>202208</v>
      </c>
      <c r="G1059" t="s">
        <v>186</v>
      </c>
      <c r="H1059">
        <v>0</v>
      </c>
    </row>
    <row r="1060" spans="1:8">
      <c r="A1060">
        <v>5366</v>
      </c>
      <c r="B1060" t="s">
        <v>2327</v>
      </c>
      <c r="C1060">
        <v>385</v>
      </c>
      <c r="D1060" t="s">
        <v>2328</v>
      </c>
      <c r="E1060" t="s">
        <v>2038</v>
      </c>
      <c r="F1060">
        <v>202208</v>
      </c>
      <c r="G1060" t="s">
        <v>2171</v>
      </c>
      <c r="H1060">
        <v>290.39</v>
      </c>
    </row>
    <row r="1061" spans="1:8">
      <c r="A1061">
        <v>5366</v>
      </c>
      <c r="B1061" t="s">
        <v>2327</v>
      </c>
      <c r="C1061">
        <v>385</v>
      </c>
      <c r="D1061" t="s">
        <v>2328</v>
      </c>
      <c r="E1061" t="s">
        <v>2038</v>
      </c>
      <c r="F1061">
        <v>202208</v>
      </c>
      <c r="G1061" t="s">
        <v>2168</v>
      </c>
      <c r="H1061">
        <v>12.63</v>
      </c>
    </row>
    <row r="1062" spans="1:8">
      <c r="A1062">
        <v>5366</v>
      </c>
      <c r="B1062" t="s">
        <v>2327</v>
      </c>
      <c r="C1062">
        <v>385</v>
      </c>
      <c r="D1062" t="s">
        <v>2328</v>
      </c>
      <c r="E1062" t="s">
        <v>2038</v>
      </c>
      <c r="F1062">
        <v>202208</v>
      </c>
      <c r="G1062" t="s">
        <v>2169</v>
      </c>
      <c r="H1062">
        <v>19.809999999999999</v>
      </c>
    </row>
    <row r="1063" spans="1:8">
      <c r="A1063">
        <v>5366</v>
      </c>
      <c r="B1063" t="s">
        <v>2327</v>
      </c>
      <c r="C1063">
        <v>385</v>
      </c>
      <c r="D1063" t="s">
        <v>2328</v>
      </c>
      <c r="E1063" t="s">
        <v>2038</v>
      </c>
      <c r="F1063">
        <v>202208</v>
      </c>
      <c r="G1063" t="s">
        <v>2170</v>
      </c>
      <c r="H1063">
        <v>14.98</v>
      </c>
    </row>
    <row r="1064" spans="1:8">
      <c r="A1064">
        <v>5366</v>
      </c>
      <c r="B1064" t="s">
        <v>2327</v>
      </c>
      <c r="C1064">
        <v>385</v>
      </c>
      <c r="D1064" t="s">
        <v>2328</v>
      </c>
      <c r="E1064" t="s">
        <v>2038</v>
      </c>
      <c r="F1064">
        <v>202208</v>
      </c>
      <c r="G1064" t="s">
        <v>2173</v>
      </c>
      <c r="H1064">
        <v>229740.56</v>
      </c>
    </row>
    <row r="1065" spans="1:8">
      <c r="A1065">
        <v>5366</v>
      </c>
      <c r="B1065" t="s">
        <v>2327</v>
      </c>
      <c r="C1065">
        <v>385</v>
      </c>
      <c r="D1065" t="s">
        <v>2328</v>
      </c>
      <c r="E1065" t="s">
        <v>2038</v>
      </c>
      <c r="F1065">
        <v>202208</v>
      </c>
      <c r="G1065" t="s">
        <v>190</v>
      </c>
      <c r="H1065">
        <v>163728</v>
      </c>
    </row>
    <row r="1066" spans="1:8">
      <c r="A1066">
        <v>5366</v>
      </c>
      <c r="B1066" t="s">
        <v>2327</v>
      </c>
      <c r="C1066">
        <v>385</v>
      </c>
      <c r="D1066" t="s">
        <v>2328</v>
      </c>
      <c r="E1066" t="s">
        <v>2038</v>
      </c>
      <c r="F1066">
        <v>202208</v>
      </c>
      <c r="G1066" t="s">
        <v>191</v>
      </c>
      <c r="H1066">
        <v>29980</v>
      </c>
    </row>
    <row r="1067" spans="1:8">
      <c r="A1067">
        <v>5366</v>
      </c>
      <c r="B1067" t="s">
        <v>2327</v>
      </c>
      <c r="C1067">
        <v>385</v>
      </c>
      <c r="D1067" t="s">
        <v>2328</v>
      </c>
      <c r="E1067" t="s">
        <v>2038</v>
      </c>
      <c r="F1067">
        <v>202208</v>
      </c>
      <c r="G1067" t="s">
        <v>176</v>
      </c>
      <c r="H1067">
        <v>0</v>
      </c>
    </row>
    <row r="1068" spans="1:8">
      <c r="A1068">
        <v>5366</v>
      </c>
      <c r="B1068" t="s">
        <v>2327</v>
      </c>
      <c r="C1068">
        <v>385</v>
      </c>
      <c r="D1068" t="s">
        <v>2328</v>
      </c>
      <c r="E1068" t="s">
        <v>2038</v>
      </c>
      <c r="F1068">
        <v>202208</v>
      </c>
      <c r="G1068" t="s">
        <v>178</v>
      </c>
      <c r="H1068">
        <v>605.29999999999995</v>
      </c>
    </row>
    <row r="1069" spans="1:8">
      <c r="A1069">
        <v>5366</v>
      </c>
      <c r="B1069" t="s">
        <v>2327</v>
      </c>
      <c r="C1069">
        <v>385</v>
      </c>
      <c r="D1069" t="s">
        <v>2328</v>
      </c>
      <c r="E1069" t="s">
        <v>2038</v>
      </c>
      <c r="F1069">
        <v>202208</v>
      </c>
      <c r="G1069" t="s">
        <v>180</v>
      </c>
      <c r="H1069">
        <v>583.12</v>
      </c>
    </row>
    <row r="1070" spans="1:8">
      <c r="A1070">
        <v>5366</v>
      </c>
      <c r="B1070" t="s">
        <v>2327</v>
      </c>
      <c r="C1070">
        <v>385</v>
      </c>
      <c r="D1070" t="s">
        <v>2328</v>
      </c>
      <c r="E1070" t="s">
        <v>2038</v>
      </c>
      <c r="F1070">
        <v>202208</v>
      </c>
      <c r="G1070" t="s">
        <v>182</v>
      </c>
      <c r="H1070">
        <v>197777</v>
      </c>
    </row>
    <row r="1071" spans="1:8">
      <c r="A1071">
        <v>5366</v>
      </c>
      <c r="B1071" t="s">
        <v>2327</v>
      </c>
      <c r="C1071">
        <v>385</v>
      </c>
      <c r="D1071" t="s">
        <v>2328</v>
      </c>
      <c r="E1071" t="s">
        <v>2038</v>
      </c>
      <c r="F1071">
        <v>202208</v>
      </c>
      <c r="G1071" t="s">
        <v>184</v>
      </c>
      <c r="H1071">
        <v>29980</v>
      </c>
    </row>
    <row r="1072" spans="1:8">
      <c r="A1072">
        <v>5366</v>
      </c>
      <c r="B1072" t="s">
        <v>2327</v>
      </c>
      <c r="C1072">
        <v>385</v>
      </c>
      <c r="D1072" t="s">
        <v>2328</v>
      </c>
      <c r="E1072" t="s">
        <v>2038</v>
      </c>
      <c r="F1072">
        <v>202208</v>
      </c>
      <c r="G1072" t="s">
        <v>192</v>
      </c>
      <c r="H1072">
        <v>0</v>
      </c>
    </row>
    <row r="1073" spans="1:8">
      <c r="A1073">
        <v>5366</v>
      </c>
      <c r="B1073" t="s">
        <v>2327</v>
      </c>
      <c r="C1073">
        <v>385</v>
      </c>
      <c r="D1073" t="s">
        <v>2328</v>
      </c>
      <c r="E1073" t="s">
        <v>2038</v>
      </c>
      <c r="F1073">
        <v>202208</v>
      </c>
      <c r="G1073" t="s">
        <v>2172</v>
      </c>
      <c r="H1073">
        <v>4211.7</v>
      </c>
    </row>
    <row r="1074" spans="1:8">
      <c r="A1074">
        <v>5366</v>
      </c>
      <c r="B1074" t="s">
        <v>2327</v>
      </c>
      <c r="C1074">
        <v>385</v>
      </c>
      <c r="D1074" t="s">
        <v>2328</v>
      </c>
      <c r="E1074" t="s">
        <v>2038</v>
      </c>
      <c r="F1074">
        <v>202208</v>
      </c>
      <c r="G1074" t="s">
        <v>186</v>
      </c>
      <c r="H1074">
        <v>34049</v>
      </c>
    </row>
    <row r="1075" spans="1:8">
      <c r="A1075">
        <v>5366</v>
      </c>
      <c r="B1075" t="s">
        <v>2327</v>
      </c>
      <c r="C1075">
        <v>385</v>
      </c>
      <c r="D1075" t="s">
        <v>2328</v>
      </c>
      <c r="E1075" t="s">
        <v>2038</v>
      </c>
      <c r="F1075">
        <v>202208</v>
      </c>
      <c r="G1075" t="s">
        <v>2171</v>
      </c>
      <c r="H1075">
        <v>290.39</v>
      </c>
    </row>
    <row r="1076" spans="1:8">
      <c r="A1076">
        <v>5366</v>
      </c>
      <c r="B1076" t="s">
        <v>2327</v>
      </c>
      <c r="C1076">
        <v>385</v>
      </c>
      <c r="D1076" t="s">
        <v>2328</v>
      </c>
      <c r="E1076" t="s">
        <v>2038</v>
      </c>
      <c r="F1076">
        <v>202208</v>
      </c>
      <c r="G1076" t="s">
        <v>2168</v>
      </c>
      <c r="H1076">
        <v>12.63</v>
      </c>
    </row>
    <row r="1077" spans="1:8">
      <c r="A1077">
        <v>5366</v>
      </c>
      <c r="B1077" t="s">
        <v>2327</v>
      </c>
      <c r="C1077">
        <v>385</v>
      </c>
      <c r="D1077" t="s">
        <v>2328</v>
      </c>
      <c r="E1077" t="s">
        <v>2038</v>
      </c>
      <c r="F1077">
        <v>202208</v>
      </c>
      <c r="G1077" t="s">
        <v>2169</v>
      </c>
      <c r="H1077">
        <v>19.809999999999999</v>
      </c>
    </row>
    <row r="1078" spans="1:8">
      <c r="A1078">
        <v>5366</v>
      </c>
      <c r="B1078" t="s">
        <v>2327</v>
      </c>
      <c r="C1078">
        <v>385</v>
      </c>
      <c r="D1078" t="s">
        <v>2328</v>
      </c>
      <c r="E1078" t="s">
        <v>2038</v>
      </c>
      <c r="F1078">
        <v>202208</v>
      </c>
      <c r="G1078" t="s">
        <v>2170</v>
      </c>
      <c r="H1078">
        <v>14.98</v>
      </c>
    </row>
    <row r="1079" spans="1:8">
      <c r="A1079">
        <v>5366</v>
      </c>
      <c r="B1079" t="s">
        <v>2327</v>
      </c>
      <c r="C1079">
        <v>385</v>
      </c>
      <c r="D1079" t="s">
        <v>2328</v>
      </c>
      <c r="E1079" t="s">
        <v>2038</v>
      </c>
      <c r="F1079">
        <v>202208</v>
      </c>
      <c r="G1079" t="s">
        <v>2173</v>
      </c>
      <c r="H1079">
        <v>83070.880000000005</v>
      </c>
    </row>
    <row r="1080" spans="1:8">
      <c r="A1080">
        <v>5366</v>
      </c>
      <c r="B1080" t="s">
        <v>2327</v>
      </c>
      <c r="C1080">
        <v>385</v>
      </c>
      <c r="D1080" t="s">
        <v>2328</v>
      </c>
      <c r="E1080" t="s">
        <v>2038</v>
      </c>
      <c r="F1080">
        <v>202208</v>
      </c>
      <c r="G1080" t="s">
        <v>190</v>
      </c>
      <c r="H1080">
        <v>128757</v>
      </c>
    </row>
    <row r="1081" spans="1:8">
      <c r="A1081">
        <v>5366</v>
      </c>
      <c r="B1081" t="s">
        <v>2327</v>
      </c>
      <c r="C1081">
        <v>385</v>
      </c>
      <c r="D1081" t="s">
        <v>2328</v>
      </c>
      <c r="E1081" t="s">
        <v>2038</v>
      </c>
      <c r="F1081">
        <v>202208</v>
      </c>
      <c r="G1081" t="s">
        <v>191</v>
      </c>
      <c r="H1081">
        <v>15880</v>
      </c>
    </row>
    <row r="1082" spans="1:8">
      <c r="A1082">
        <v>5366</v>
      </c>
      <c r="B1082" t="s">
        <v>2327</v>
      </c>
      <c r="C1082">
        <v>385</v>
      </c>
      <c r="D1082" t="s">
        <v>2328</v>
      </c>
      <c r="E1082" t="s">
        <v>2038</v>
      </c>
      <c r="F1082">
        <v>202208</v>
      </c>
      <c r="G1082" t="s">
        <v>176</v>
      </c>
      <c r="H1082">
        <v>0</v>
      </c>
    </row>
    <row r="1083" spans="1:8">
      <c r="A1083">
        <v>5366</v>
      </c>
      <c r="B1083" t="s">
        <v>2327</v>
      </c>
      <c r="C1083">
        <v>385</v>
      </c>
      <c r="D1083" t="s">
        <v>2328</v>
      </c>
      <c r="E1083" t="s">
        <v>2038</v>
      </c>
      <c r="F1083">
        <v>202208</v>
      </c>
      <c r="G1083" t="s">
        <v>178</v>
      </c>
      <c r="H1083">
        <v>330.28</v>
      </c>
    </row>
    <row r="1084" spans="1:8">
      <c r="A1084">
        <v>5366</v>
      </c>
      <c r="B1084" t="s">
        <v>2327</v>
      </c>
      <c r="C1084">
        <v>385</v>
      </c>
      <c r="D1084" t="s">
        <v>2328</v>
      </c>
      <c r="E1084" t="s">
        <v>2038</v>
      </c>
      <c r="F1084">
        <v>202208</v>
      </c>
      <c r="G1084" t="s">
        <v>180</v>
      </c>
      <c r="H1084">
        <v>334.65</v>
      </c>
    </row>
    <row r="1085" spans="1:8">
      <c r="A1085">
        <v>5366</v>
      </c>
      <c r="B1085" t="s">
        <v>2327</v>
      </c>
      <c r="C1085">
        <v>385</v>
      </c>
      <c r="D1085" t="s">
        <v>2328</v>
      </c>
      <c r="E1085" t="s">
        <v>2038</v>
      </c>
      <c r="F1085">
        <v>202208</v>
      </c>
      <c r="G1085" t="s">
        <v>182</v>
      </c>
      <c r="H1085">
        <v>128757</v>
      </c>
    </row>
    <row r="1086" spans="1:8">
      <c r="A1086">
        <v>5366</v>
      </c>
      <c r="B1086" t="s">
        <v>2327</v>
      </c>
      <c r="C1086">
        <v>385</v>
      </c>
      <c r="D1086" t="s">
        <v>2328</v>
      </c>
      <c r="E1086" t="s">
        <v>2038</v>
      </c>
      <c r="F1086">
        <v>202208</v>
      </c>
      <c r="G1086" t="s">
        <v>184</v>
      </c>
      <c r="H1086">
        <v>15880</v>
      </c>
    </row>
    <row r="1087" spans="1:8">
      <c r="A1087">
        <v>5366</v>
      </c>
      <c r="B1087" t="s">
        <v>2327</v>
      </c>
      <c r="C1087">
        <v>385</v>
      </c>
      <c r="D1087" t="s">
        <v>2328</v>
      </c>
      <c r="E1087" t="s">
        <v>2038</v>
      </c>
      <c r="F1087">
        <v>202208</v>
      </c>
      <c r="G1087" t="s">
        <v>192</v>
      </c>
      <c r="H1087">
        <v>0</v>
      </c>
    </row>
    <row r="1088" spans="1:8">
      <c r="A1088">
        <v>5366</v>
      </c>
      <c r="B1088" t="s">
        <v>2327</v>
      </c>
      <c r="C1088">
        <v>385</v>
      </c>
      <c r="D1088" t="s">
        <v>2328</v>
      </c>
      <c r="E1088" t="s">
        <v>2038</v>
      </c>
      <c r="F1088">
        <v>202208</v>
      </c>
      <c r="G1088" t="s">
        <v>2172</v>
      </c>
      <c r="H1088">
        <v>2936.44</v>
      </c>
    </row>
    <row r="1089" spans="1:8">
      <c r="A1089">
        <v>5366</v>
      </c>
      <c r="B1089" t="s">
        <v>2327</v>
      </c>
      <c r="C1089">
        <v>385</v>
      </c>
      <c r="D1089" t="s">
        <v>2328</v>
      </c>
      <c r="E1089" t="s">
        <v>2038</v>
      </c>
      <c r="F1089">
        <v>202208</v>
      </c>
      <c r="G1089" t="s">
        <v>186</v>
      </c>
      <c r="H1089">
        <v>0</v>
      </c>
    </row>
    <row r="1090" spans="1:8">
      <c r="A1090">
        <v>5366</v>
      </c>
      <c r="B1090" t="s">
        <v>2327</v>
      </c>
      <c r="C1090">
        <v>385</v>
      </c>
      <c r="D1090" t="s">
        <v>2328</v>
      </c>
      <c r="E1090" t="s">
        <v>2038</v>
      </c>
      <c r="F1090">
        <v>202208</v>
      </c>
      <c r="G1090" t="s">
        <v>2171</v>
      </c>
      <c r="H1090">
        <v>290.39</v>
      </c>
    </row>
    <row r="1091" spans="1:8">
      <c r="A1091">
        <v>5366</v>
      </c>
      <c r="B1091" t="s">
        <v>2327</v>
      </c>
      <c r="C1091">
        <v>385</v>
      </c>
      <c r="D1091" t="s">
        <v>2328</v>
      </c>
      <c r="E1091" t="s">
        <v>2038</v>
      </c>
      <c r="F1091">
        <v>202208</v>
      </c>
      <c r="G1091" t="s">
        <v>2168</v>
      </c>
      <c r="H1091">
        <v>12.63</v>
      </c>
    </row>
    <row r="1092" spans="1:8">
      <c r="A1092">
        <v>5366</v>
      </c>
      <c r="B1092" t="s">
        <v>2327</v>
      </c>
      <c r="C1092">
        <v>385</v>
      </c>
      <c r="D1092" t="s">
        <v>2328</v>
      </c>
      <c r="E1092" t="s">
        <v>2038</v>
      </c>
      <c r="F1092">
        <v>202208</v>
      </c>
      <c r="G1092" t="s">
        <v>2169</v>
      </c>
      <c r="H1092">
        <v>19.809999999999999</v>
      </c>
    </row>
    <row r="1093" spans="1:8">
      <c r="A1093">
        <v>5366</v>
      </c>
      <c r="B1093" t="s">
        <v>2327</v>
      </c>
      <c r="C1093">
        <v>385</v>
      </c>
      <c r="D1093" t="s">
        <v>2328</v>
      </c>
      <c r="E1093" t="s">
        <v>2038</v>
      </c>
      <c r="F1093">
        <v>202208</v>
      </c>
      <c r="G1093" t="s">
        <v>2170</v>
      </c>
      <c r="H1093">
        <v>14.98</v>
      </c>
    </row>
    <row r="1094" spans="1:8">
      <c r="A1094">
        <v>5366</v>
      </c>
      <c r="B1094" t="s">
        <v>2327</v>
      </c>
      <c r="C1094">
        <v>385</v>
      </c>
      <c r="D1094" t="s">
        <v>2328</v>
      </c>
      <c r="E1094" t="s">
        <v>2038</v>
      </c>
      <c r="F1094">
        <v>202208</v>
      </c>
      <c r="G1094" t="s">
        <v>2173</v>
      </c>
      <c r="H1094">
        <v>57917.78</v>
      </c>
    </row>
    <row r="1095" spans="1:8">
      <c r="A1095">
        <v>5366</v>
      </c>
      <c r="B1095" t="s">
        <v>2327</v>
      </c>
      <c r="C1095">
        <v>385</v>
      </c>
      <c r="D1095" t="s">
        <v>2328</v>
      </c>
      <c r="E1095" t="s">
        <v>2038</v>
      </c>
      <c r="F1095">
        <v>202208</v>
      </c>
      <c r="G1095" t="s">
        <v>190</v>
      </c>
      <c r="H1095">
        <v>280602</v>
      </c>
    </row>
    <row r="1096" spans="1:8">
      <c r="A1096">
        <v>5366</v>
      </c>
      <c r="B1096" t="s">
        <v>2327</v>
      </c>
      <c r="C1096">
        <v>385</v>
      </c>
      <c r="D1096" t="s">
        <v>2328</v>
      </c>
      <c r="E1096" t="s">
        <v>2038</v>
      </c>
      <c r="F1096">
        <v>202208</v>
      </c>
      <c r="G1096" t="s">
        <v>191</v>
      </c>
      <c r="H1096">
        <v>45807</v>
      </c>
    </row>
    <row r="1097" spans="1:8">
      <c r="A1097">
        <v>5366</v>
      </c>
      <c r="B1097" t="s">
        <v>2327</v>
      </c>
      <c r="C1097">
        <v>385</v>
      </c>
      <c r="D1097" t="s">
        <v>2328</v>
      </c>
      <c r="E1097" t="s">
        <v>2038</v>
      </c>
      <c r="F1097">
        <v>202208</v>
      </c>
      <c r="G1097" t="s">
        <v>176</v>
      </c>
      <c r="H1097">
        <v>-167.92</v>
      </c>
    </row>
    <row r="1098" spans="1:8">
      <c r="A1098">
        <v>5366</v>
      </c>
      <c r="B1098" t="s">
        <v>2327</v>
      </c>
      <c r="C1098">
        <v>385</v>
      </c>
      <c r="D1098" t="s">
        <v>2328</v>
      </c>
      <c r="E1098" t="s">
        <v>2038</v>
      </c>
      <c r="F1098">
        <v>202208</v>
      </c>
      <c r="G1098" t="s">
        <v>178</v>
      </c>
      <c r="H1098">
        <v>848.4</v>
      </c>
    </row>
    <row r="1099" spans="1:8">
      <c r="A1099">
        <v>5366</v>
      </c>
      <c r="B1099" t="s">
        <v>2327</v>
      </c>
      <c r="C1099">
        <v>385</v>
      </c>
      <c r="D1099" t="s">
        <v>2328</v>
      </c>
      <c r="E1099" t="s">
        <v>2038</v>
      </c>
      <c r="F1099">
        <v>202208</v>
      </c>
      <c r="G1099" t="s">
        <v>180</v>
      </c>
      <c r="H1099">
        <v>895.44</v>
      </c>
    </row>
    <row r="1100" spans="1:8">
      <c r="A1100">
        <v>5366</v>
      </c>
      <c r="B1100" t="s">
        <v>2327</v>
      </c>
      <c r="C1100">
        <v>385</v>
      </c>
      <c r="D1100" t="s">
        <v>2328</v>
      </c>
      <c r="E1100" t="s">
        <v>2038</v>
      </c>
      <c r="F1100">
        <v>202208</v>
      </c>
      <c r="G1100" t="s">
        <v>182</v>
      </c>
      <c r="H1100">
        <v>280602</v>
      </c>
    </row>
    <row r="1101" spans="1:8">
      <c r="A1101">
        <v>5366</v>
      </c>
      <c r="B1101" t="s">
        <v>2327</v>
      </c>
      <c r="C1101">
        <v>385</v>
      </c>
      <c r="D1101" t="s">
        <v>2328</v>
      </c>
      <c r="E1101" t="s">
        <v>2038</v>
      </c>
      <c r="F1101">
        <v>202208</v>
      </c>
      <c r="G1101" t="s">
        <v>184</v>
      </c>
      <c r="H1101">
        <v>45807</v>
      </c>
    </row>
    <row r="1102" spans="1:8">
      <c r="A1102">
        <v>5366</v>
      </c>
      <c r="B1102" t="s">
        <v>2327</v>
      </c>
      <c r="C1102">
        <v>385</v>
      </c>
      <c r="D1102" t="s">
        <v>2328</v>
      </c>
      <c r="E1102" t="s">
        <v>2038</v>
      </c>
      <c r="F1102">
        <v>202208</v>
      </c>
      <c r="G1102" t="s">
        <v>192</v>
      </c>
      <c r="H1102">
        <v>0</v>
      </c>
    </row>
    <row r="1103" spans="1:8">
      <c r="A1103">
        <v>5366</v>
      </c>
      <c r="B1103" t="s">
        <v>2327</v>
      </c>
      <c r="C1103">
        <v>385</v>
      </c>
      <c r="D1103" t="s">
        <v>2328</v>
      </c>
      <c r="E1103" t="s">
        <v>2038</v>
      </c>
      <c r="F1103">
        <v>202208</v>
      </c>
      <c r="G1103" t="s">
        <v>2172</v>
      </c>
      <c r="H1103">
        <v>6910.66</v>
      </c>
    </row>
    <row r="1104" spans="1:8">
      <c r="A1104">
        <v>5366</v>
      </c>
      <c r="B1104" t="s">
        <v>2327</v>
      </c>
      <c r="C1104">
        <v>385</v>
      </c>
      <c r="D1104" t="s">
        <v>2328</v>
      </c>
      <c r="E1104" t="s">
        <v>2038</v>
      </c>
      <c r="F1104">
        <v>202208</v>
      </c>
      <c r="G1104" t="s">
        <v>186</v>
      </c>
      <c r="H1104">
        <v>0</v>
      </c>
    </row>
    <row r="1105" spans="1:8">
      <c r="A1105">
        <v>5366</v>
      </c>
      <c r="B1105" t="s">
        <v>2327</v>
      </c>
      <c r="C1105">
        <v>385</v>
      </c>
      <c r="D1105" t="s">
        <v>2328</v>
      </c>
      <c r="E1105" t="s">
        <v>2038</v>
      </c>
      <c r="F1105">
        <v>202208</v>
      </c>
      <c r="G1105" t="s">
        <v>2171</v>
      </c>
      <c r="H1105">
        <v>290.39</v>
      </c>
    </row>
    <row r="1106" spans="1:8">
      <c r="A1106">
        <v>5366</v>
      </c>
      <c r="B1106" t="s">
        <v>2327</v>
      </c>
      <c r="C1106">
        <v>385</v>
      </c>
      <c r="D1106" t="s">
        <v>2328</v>
      </c>
      <c r="E1106" t="s">
        <v>2038</v>
      </c>
      <c r="F1106">
        <v>202208</v>
      </c>
      <c r="G1106" t="s">
        <v>2168</v>
      </c>
      <c r="H1106">
        <v>12.63</v>
      </c>
    </row>
    <row r="1107" spans="1:8">
      <c r="A1107">
        <v>5366</v>
      </c>
      <c r="B1107" t="s">
        <v>2327</v>
      </c>
      <c r="C1107">
        <v>385</v>
      </c>
      <c r="D1107" t="s">
        <v>2328</v>
      </c>
      <c r="E1107" t="s">
        <v>2038</v>
      </c>
      <c r="F1107">
        <v>202208</v>
      </c>
      <c r="G1107" t="s">
        <v>2169</v>
      </c>
      <c r="H1107">
        <v>19.809999999999999</v>
      </c>
    </row>
    <row r="1108" spans="1:8">
      <c r="A1108">
        <v>5366</v>
      </c>
      <c r="B1108" t="s">
        <v>2327</v>
      </c>
      <c r="C1108">
        <v>385</v>
      </c>
      <c r="D1108" t="s">
        <v>2328</v>
      </c>
      <c r="E1108" t="s">
        <v>2038</v>
      </c>
      <c r="F1108">
        <v>202208</v>
      </c>
      <c r="G1108" t="s">
        <v>2170</v>
      </c>
      <c r="H1108">
        <v>14.98</v>
      </c>
    </row>
    <row r="1109" spans="1:8">
      <c r="A1109">
        <v>5366</v>
      </c>
      <c r="B1109" t="s">
        <v>2327</v>
      </c>
      <c r="C1109">
        <v>385</v>
      </c>
      <c r="D1109" t="s">
        <v>2328</v>
      </c>
      <c r="E1109" t="s">
        <v>2038</v>
      </c>
      <c r="F1109">
        <v>202208</v>
      </c>
      <c r="G1109" t="s">
        <v>2173</v>
      </c>
      <c r="H1109">
        <v>136137.14000000001</v>
      </c>
    </row>
    <row r="1110" spans="1:8">
      <c r="A1110">
        <v>5366</v>
      </c>
      <c r="B1110" t="s">
        <v>2327</v>
      </c>
      <c r="C1110">
        <v>385</v>
      </c>
      <c r="D1110" t="s">
        <v>2328</v>
      </c>
      <c r="E1110" t="s">
        <v>2038</v>
      </c>
      <c r="F1110">
        <v>202208</v>
      </c>
      <c r="G1110" t="s">
        <v>190</v>
      </c>
      <c r="H1110">
        <v>65352</v>
      </c>
    </row>
    <row r="1111" spans="1:8">
      <c r="A1111">
        <v>5366</v>
      </c>
      <c r="B1111" t="s">
        <v>2327</v>
      </c>
      <c r="C1111">
        <v>385</v>
      </c>
      <c r="D1111" t="s">
        <v>2328</v>
      </c>
      <c r="E1111" t="s">
        <v>2038</v>
      </c>
      <c r="F1111">
        <v>202208</v>
      </c>
      <c r="G1111" t="s">
        <v>191</v>
      </c>
      <c r="H1111">
        <v>5567</v>
      </c>
    </row>
    <row r="1112" spans="1:8">
      <c r="A1112">
        <v>5366</v>
      </c>
      <c r="B1112" t="s">
        <v>2327</v>
      </c>
      <c r="C1112">
        <v>385</v>
      </c>
      <c r="D1112" t="s">
        <v>2328</v>
      </c>
      <c r="E1112" t="s">
        <v>2038</v>
      </c>
      <c r="F1112">
        <v>202208</v>
      </c>
      <c r="G1112" t="s">
        <v>176</v>
      </c>
      <c r="H1112">
        <v>0</v>
      </c>
    </row>
    <row r="1113" spans="1:8">
      <c r="A1113">
        <v>5366</v>
      </c>
      <c r="B1113" t="s">
        <v>2327</v>
      </c>
      <c r="C1113">
        <v>385</v>
      </c>
      <c r="D1113" t="s">
        <v>2328</v>
      </c>
      <c r="E1113" t="s">
        <v>2038</v>
      </c>
      <c r="F1113">
        <v>202208</v>
      </c>
      <c r="G1113" t="s">
        <v>178</v>
      </c>
      <c r="H1113">
        <v>304.92</v>
      </c>
    </row>
    <row r="1114" spans="1:8">
      <c r="A1114">
        <v>5366</v>
      </c>
      <c r="B1114" t="s">
        <v>2327</v>
      </c>
      <c r="C1114">
        <v>385</v>
      </c>
      <c r="D1114" t="s">
        <v>2328</v>
      </c>
      <c r="E1114" t="s">
        <v>2038</v>
      </c>
      <c r="F1114">
        <v>202208</v>
      </c>
      <c r="G1114" t="s">
        <v>180</v>
      </c>
      <c r="H1114">
        <v>207.64</v>
      </c>
    </row>
    <row r="1115" spans="1:8">
      <c r="A1115">
        <v>5366</v>
      </c>
      <c r="B1115" t="s">
        <v>2327</v>
      </c>
      <c r="C1115">
        <v>385</v>
      </c>
      <c r="D1115" t="s">
        <v>2328</v>
      </c>
      <c r="E1115" t="s">
        <v>2038</v>
      </c>
      <c r="F1115">
        <v>202208</v>
      </c>
      <c r="G1115" t="s">
        <v>182</v>
      </c>
      <c r="H1115">
        <v>65352</v>
      </c>
    </row>
    <row r="1116" spans="1:8">
      <c r="A1116">
        <v>5366</v>
      </c>
      <c r="B1116" t="s">
        <v>2327</v>
      </c>
      <c r="C1116">
        <v>385</v>
      </c>
      <c r="D1116" t="s">
        <v>2328</v>
      </c>
      <c r="E1116" t="s">
        <v>2038</v>
      </c>
      <c r="F1116">
        <v>202208</v>
      </c>
      <c r="G1116" t="s">
        <v>184</v>
      </c>
      <c r="H1116">
        <v>5567</v>
      </c>
    </row>
    <row r="1117" spans="1:8">
      <c r="A1117">
        <v>5366</v>
      </c>
      <c r="B1117" t="s">
        <v>2327</v>
      </c>
      <c r="C1117">
        <v>385</v>
      </c>
      <c r="D1117" t="s">
        <v>2328</v>
      </c>
      <c r="E1117" t="s">
        <v>2038</v>
      </c>
      <c r="F1117">
        <v>202208</v>
      </c>
      <c r="G1117" t="s">
        <v>192</v>
      </c>
      <c r="H1117">
        <v>0</v>
      </c>
    </row>
    <row r="1118" spans="1:8">
      <c r="A1118">
        <v>5366</v>
      </c>
      <c r="B1118" t="s">
        <v>2327</v>
      </c>
      <c r="C1118">
        <v>385</v>
      </c>
      <c r="D1118" t="s">
        <v>2328</v>
      </c>
      <c r="E1118" t="s">
        <v>2038</v>
      </c>
      <c r="F1118">
        <v>202208</v>
      </c>
      <c r="G1118" t="s">
        <v>2172</v>
      </c>
      <c r="H1118">
        <v>1668.15</v>
      </c>
    </row>
    <row r="1119" spans="1:8">
      <c r="A1119">
        <v>5366</v>
      </c>
      <c r="B1119" t="s">
        <v>2327</v>
      </c>
      <c r="C1119">
        <v>385</v>
      </c>
      <c r="D1119" t="s">
        <v>2328</v>
      </c>
      <c r="E1119" t="s">
        <v>2038</v>
      </c>
      <c r="F1119">
        <v>202208</v>
      </c>
      <c r="G1119" t="s">
        <v>186</v>
      </c>
      <c r="H1119">
        <v>0</v>
      </c>
    </row>
    <row r="1120" spans="1:8">
      <c r="A1120">
        <v>5366</v>
      </c>
      <c r="B1120" t="s">
        <v>2327</v>
      </c>
      <c r="C1120">
        <v>385</v>
      </c>
      <c r="D1120" t="s">
        <v>2328</v>
      </c>
      <c r="E1120" t="s">
        <v>2038</v>
      </c>
      <c r="F1120">
        <v>202208</v>
      </c>
      <c r="G1120" t="s">
        <v>2171</v>
      </c>
      <c r="H1120">
        <v>290.39</v>
      </c>
    </row>
    <row r="1121" spans="1:8">
      <c r="A1121">
        <v>5366</v>
      </c>
      <c r="B1121" t="s">
        <v>2327</v>
      </c>
      <c r="C1121">
        <v>385</v>
      </c>
      <c r="D1121" t="s">
        <v>2328</v>
      </c>
      <c r="E1121" t="s">
        <v>2038</v>
      </c>
      <c r="F1121">
        <v>202208</v>
      </c>
      <c r="G1121" t="s">
        <v>2168</v>
      </c>
      <c r="H1121">
        <v>12.63</v>
      </c>
    </row>
    <row r="1122" spans="1:8">
      <c r="A1122">
        <v>5366</v>
      </c>
      <c r="B1122" t="s">
        <v>2327</v>
      </c>
      <c r="C1122">
        <v>385</v>
      </c>
      <c r="D1122" t="s">
        <v>2328</v>
      </c>
      <c r="E1122" t="s">
        <v>2038</v>
      </c>
      <c r="F1122">
        <v>202208</v>
      </c>
      <c r="G1122" t="s">
        <v>2169</v>
      </c>
      <c r="H1122">
        <v>19.809999999999999</v>
      </c>
    </row>
    <row r="1123" spans="1:8">
      <c r="A1123">
        <v>5366</v>
      </c>
      <c r="B1123" t="s">
        <v>2327</v>
      </c>
      <c r="C1123">
        <v>385</v>
      </c>
      <c r="D1123" t="s">
        <v>2328</v>
      </c>
      <c r="E1123" t="s">
        <v>2038</v>
      </c>
      <c r="F1123">
        <v>202208</v>
      </c>
      <c r="G1123" t="s">
        <v>2170</v>
      </c>
      <c r="H1123">
        <v>14.98</v>
      </c>
    </row>
    <row r="1124" spans="1:8">
      <c r="A1124">
        <v>5366</v>
      </c>
      <c r="B1124" t="s">
        <v>2327</v>
      </c>
      <c r="C1124">
        <v>385</v>
      </c>
      <c r="D1124" t="s">
        <v>2328</v>
      </c>
      <c r="E1124" t="s">
        <v>2038</v>
      </c>
      <c r="F1124">
        <v>202208</v>
      </c>
      <c r="G1124" t="s">
        <v>2173</v>
      </c>
      <c r="H1124">
        <v>32902.5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topLeftCell="A4" zoomScale="115" zoomScaleNormal="115" workbookViewId="0">
      <pane xSplit="1" topLeftCell="H1" activePane="topRight" state="frozen"/>
      <selection activeCell="A7" sqref="A7"/>
      <selection pane="topRight" activeCell="O12" sqref="O12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18.42578125" customWidth="1"/>
    <col min="8" max="8" width="17.140625" customWidth="1"/>
    <col min="9" max="9" width="23.28515625" customWidth="1"/>
    <col min="10" max="10" width="14" customWidth="1"/>
    <col min="11" max="11" width="21.85546875" customWidth="1"/>
    <col min="12" max="12" width="19.2851562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26.8554687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2" bestFit="1" customWidth="1"/>
    <col min="46" max="46" width="14.5703125" bestFit="1" customWidth="1"/>
    <col min="49" max="49" width="18.7109375" bestFit="1" customWidth="1"/>
    <col min="50" max="50" width="14" style="232" bestFit="1" customWidth="1"/>
  </cols>
  <sheetData>
    <row r="1" spans="1:50">
      <c r="A1" s="9" t="s">
        <v>193</v>
      </c>
    </row>
    <row r="2" spans="1:50">
      <c r="A2" s="63" t="s">
        <v>194</v>
      </c>
      <c r="AI2" t="s">
        <v>2024</v>
      </c>
    </row>
    <row r="3" spans="1:50">
      <c r="A3" s="63" t="s">
        <v>195</v>
      </c>
      <c r="AI3" t="s">
        <v>2025</v>
      </c>
    </row>
    <row r="4" spans="1:50">
      <c r="A4" s="63" t="s">
        <v>196</v>
      </c>
    </row>
    <row r="7" spans="1:50">
      <c r="A7" s="626" t="s">
        <v>197</v>
      </c>
      <c r="M7" t="s">
        <v>2023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01" t="s">
        <v>198</v>
      </c>
      <c r="B9" s="501" t="s">
        <v>199</v>
      </c>
      <c r="C9" s="501" t="s">
        <v>200</v>
      </c>
      <c r="D9" s="501" t="s">
        <v>201</v>
      </c>
      <c r="E9" s="501" t="s">
        <v>202</v>
      </c>
      <c r="F9" s="501" t="s">
        <v>203</v>
      </c>
      <c r="G9" s="501" t="s">
        <v>210</v>
      </c>
      <c r="H9" s="502" t="s">
        <v>211</v>
      </c>
      <c r="I9" s="1728" t="s">
        <v>2287</v>
      </c>
      <c r="J9" s="501" t="s">
        <v>204</v>
      </c>
      <c r="K9" s="501" t="s">
        <v>205</v>
      </c>
      <c r="L9" s="501" t="s">
        <v>206</v>
      </c>
      <c r="M9" s="501" t="s">
        <v>207</v>
      </c>
      <c r="N9" s="501" t="s">
        <v>208</v>
      </c>
      <c r="O9" s="501" t="s">
        <v>212</v>
      </c>
      <c r="P9" s="502" t="s">
        <v>215</v>
      </c>
      <c r="Q9" s="502" t="s">
        <v>216</v>
      </c>
      <c r="R9" s="502" t="s">
        <v>217</v>
      </c>
      <c r="S9" s="502" t="s">
        <v>218</v>
      </c>
      <c r="T9" s="502" t="s">
        <v>2286</v>
      </c>
      <c r="X9" s="774" t="s">
        <v>198</v>
      </c>
      <c r="Y9" s="775" t="s">
        <v>219</v>
      </c>
      <c r="AB9" t="s">
        <v>198</v>
      </c>
      <c r="AC9" t="s">
        <v>2288</v>
      </c>
      <c r="AD9" s="232"/>
      <c r="AS9"/>
      <c r="AX9"/>
    </row>
    <row r="10" spans="1:50" s="9" customFormat="1" ht="31.5">
      <c r="A10" s="613" t="s">
        <v>220</v>
      </c>
      <c r="B10" s="613" t="s">
        <v>221</v>
      </c>
      <c r="C10" s="613">
        <v>5381</v>
      </c>
      <c r="D10" s="613" t="s">
        <v>222</v>
      </c>
      <c r="E10" s="613" t="s">
        <v>223</v>
      </c>
      <c r="F10" s="613" t="s">
        <v>224</v>
      </c>
      <c r="G10" s="613" t="s">
        <v>226</v>
      </c>
      <c r="H10" s="710" t="s">
        <v>227</v>
      </c>
      <c r="I10" s="1729">
        <v>44895</v>
      </c>
      <c r="J10" s="613">
        <v>8.1942000000000001E-2</v>
      </c>
      <c r="K10" s="613" t="s">
        <v>225</v>
      </c>
      <c r="L10" s="613">
        <v>104</v>
      </c>
      <c r="M10" s="613" t="s">
        <v>136</v>
      </c>
      <c r="N10" s="613">
        <v>145</v>
      </c>
      <c r="O10" s="613">
        <v>2024</v>
      </c>
      <c r="P10" s="1454">
        <v>0</v>
      </c>
      <c r="Q10" s="613"/>
      <c r="R10" s="710">
        <v>42613</v>
      </c>
      <c r="S10" s="710" t="s">
        <v>229</v>
      </c>
      <c r="T10" s="710"/>
      <c r="U10" s="233"/>
      <c r="V10" s="17"/>
      <c r="X10" s="778" t="s">
        <v>230</v>
      </c>
      <c r="Y10" s="233"/>
      <c r="Z10" s="233"/>
      <c r="AB10" s="9" t="s">
        <v>220</v>
      </c>
      <c r="AC10" s="17">
        <v>44895</v>
      </c>
      <c r="AD10" s="233"/>
    </row>
    <row r="11" spans="1:50" s="9" customFormat="1" ht="31.5">
      <c r="A11" s="613" t="s">
        <v>153</v>
      </c>
      <c r="B11" s="613" t="s">
        <v>231</v>
      </c>
      <c r="C11" s="613">
        <v>5366</v>
      </c>
      <c r="D11" s="613" t="s">
        <v>232</v>
      </c>
      <c r="E11" s="613" t="s">
        <v>233</v>
      </c>
      <c r="F11" s="613" t="s">
        <v>224</v>
      </c>
      <c r="G11" s="613" t="s">
        <v>234</v>
      </c>
      <c r="H11" s="710" t="s">
        <v>235</v>
      </c>
      <c r="I11" s="1729">
        <v>44834</v>
      </c>
      <c r="J11" s="613">
        <v>8.1942000000000001E-2</v>
      </c>
      <c r="K11" s="613" t="s">
        <v>136</v>
      </c>
      <c r="L11" s="613">
        <v>145</v>
      </c>
      <c r="M11" s="613"/>
      <c r="N11" s="613"/>
      <c r="O11" s="613">
        <v>2024</v>
      </c>
      <c r="P11" s="1454">
        <v>0</v>
      </c>
      <c r="Q11" s="613"/>
      <c r="R11" s="710">
        <v>42613</v>
      </c>
      <c r="S11" s="710" t="s">
        <v>229</v>
      </c>
      <c r="T11" s="710"/>
      <c r="U11" s="233"/>
      <c r="V11" s="17"/>
      <c r="X11" s="778" t="s">
        <v>220</v>
      </c>
      <c r="Y11" s="233"/>
      <c r="Z11" s="233"/>
      <c r="AB11" s="9" t="s">
        <v>153</v>
      </c>
      <c r="AC11" s="17">
        <v>44834</v>
      </c>
      <c r="AD11" s="233"/>
    </row>
    <row r="12" spans="1:50" s="9" customFormat="1" ht="31.5">
      <c r="A12" s="613" t="s">
        <v>236</v>
      </c>
      <c r="B12" s="613" t="s">
        <v>237</v>
      </c>
      <c r="C12" s="613">
        <v>5386</v>
      </c>
      <c r="D12" s="613" t="s">
        <v>238</v>
      </c>
      <c r="E12" s="613" t="s">
        <v>239</v>
      </c>
      <c r="F12" s="613" t="s">
        <v>224</v>
      </c>
      <c r="G12" s="613" t="s">
        <v>240</v>
      </c>
      <c r="H12" s="710" t="s">
        <v>235</v>
      </c>
      <c r="I12" s="1729">
        <v>44895</v>
      </c>
      <c r="J12" s="613">
        <v>8.1942000000000001E-2</v>
      </c>
      <c r="K12" s="613" t="s">
        <v>146</v>
      </c>
      <c r="L12" s="613">
        <v>135</v>
      </c>
      <c r="M12" s="613"/>
      <c r="N12" s="613"/>
      <c r="O12" s="613">
        <v>2024</v>
      </c>
      <c r="P12" s="1454">
        <v>0</v>
      </c>
      <c r="Q12" s="613"/>
      <c r="R12" s="710">
        <v>42673</v>
      </c>
      <c r="S12" s="710" t="s">
        <v>229</v>
      </c>
      <c r="T12" s="710"/>
      <c r="U12" s="233"/>
      <c r="V12" s="17"/>
      <c r="X12" s="778" t="s">
        <v>153</v>
      </c>
      <c r="Y12" s="233"/>
      <c r="Z12" s="233"/>
      <c r="AB12" s="9" t="s">
        <v>252</v>
      </c>
      <c r="AC12" s="17">
        <v>44834</v>
      </c>
      <c r="AD12" s="233"/>
    </row>
    <row r="13" spans="1:50" s="9" customFormat="1" ht="31.5">
      <c r="A13" s="613" t="s">
        <v>241</v>
      </c>
      <c r="B13" s="613" t="s">
        <v>242</v>
      </c>
      <c r="C13" s="613">
        <v>5378</v>
      </c>
      <c r="D13" s="613" t="s">
        <v>243</v>
      </c>
      <c r="E13" s="613" t="s">
        <v>244</v>
      </c>
      <c r="F13" s="613" t="s">
        <v>224</v>
      </c>
      <c r="G13" s="613" t="s">
        <v>245</v>
      </c>
      <c r="H13" s="710" t="s">
        <v>235</v>
      </c>
      <c r="I13" s="1729">
        <v>44680</v>
      </c>
      <c r="J13" s="613">
        <v>8.1942000000000001E-2</v>
      </c>
      <c r="K13" s="613" t="s">
        <v>166</v>
      </c>
      <c r="L13" s="613">
        <v>166</v>
      </c>
      <c r="M13" s="613" t="s">
        <v>136</v>
      </c>
      <c r="N13" s="613">
        <v>145</v>
      </c>
      <c r="O13" s="613">
        <v>2024</v>
      </c>
      <c r="P13" s="1454">
        <v>0</v>
      </c>
      <c r="Q13" s="613"/>
      <c r="R13" s="710">
        <v>42410</v>
      </c>
      <c r="S13" s="710" t="s">
        <v>229</v>
      </c>
      <c r="T13" s="710"/>
      <c r="U13" s="233"/>
      <c r="V13" s="17"/>
      <c r="X13" s="778" t="s">
        <v>152</v>
      </c>
      <c r="Y13" s="233"/>
      <c r="Z13" s="233"/>
      <c r="AB13" s="9" t="s">
        <v>9</v>
      </c>
      <c r="AC13" s="17">
        <v>44917</v>
      </c>
      <c r="AD13" s="233"/>
    </row>
    <row r="14" spans="1:50" s="9" customFormat="1" ht="31.5">
      <c r="A14" s="613" t="s">
        <v>246</v>
      </c>
      <c r="B14" s="613" t="s">
        <v>247</v>
      </c>
      <c r="C14" s="613">
        <v>5382</v>
      </c>
      <c r="D14" s="613" t="s">
        <v>248</v>
      </c>
      <c r="E14" s="613" t="s">
        <v>249</v>
      </c>
      <c r="F14" s="613" t="s">
        <v>224</v>
      </c>
      <c r="G14" s="613" t="s">
        <v>251</v>
      </c>
      <c r="H14" s="710" t="s">
        <v>235</v>
      </c>
      <c r="I14" s="1729">
        <v>44772</v>
      </c>
      <c r="J14" s="613">
        <v>8.1942000000000001E-2</v>
      </c>
      <c r="K14" s="613" t="s">
        <v>250</v>
      </c>
      <c r="L14" s="613">
        <v>148</v>
      </c>
      <c r="M14" s="613"/>
      <c r="N14" s="613"/>
      <c r="O14" s="613">
        <v>2024</v>
      </c>
      <c r="P14" s="1454">
        <v>0</v>
      </c>
      <c r="Q14" s="613"/>
      <c r="R14" s="710">
        <v>42562</v>
      </c>
      <c r="S14" s="710" t="s">
        <v>229</v>
      </c>
      <c r="T14" s="710"/>
      <c r="U14" s="233"/>
      <c r="V14" s="17"/>
      <c r="X14" s="778" t="s">
        <v>252</v>
      </c>
      <c r="Y14" s="233"/>
      <c r="Z14" s="233"/>
      <c r="AB14" s="9" t="s">
        <v>276</v>
      </c>
      <c r="AC14" s="17">
        <v>44834</v>
      </c>
      <c r="AD14" s="233"/>
    </row>
    <row r="15" spans="1:50" s="9" customFormat="1" ht="31.5">
      <c r="A15" s="613" t="s">
        <v>253</v>
      </c>
      <c r="B15" s="613" t="s">
        <v>254</v>
      </c>
      <c r="C15" s="613">
        <v>6610</v>
      </c>
      <c r="D15" s="613" t="s">
        <v>255</v>
      </c>
      <c r="E15" s="613" t="s">
        <v>256</v>
      </c>
      <c r="F15" s="613" t="s">
        <v>224</v>
      </c>
      <c r="G15" s="613" t="s">
        <v>257</v>
      </c>
      <c r="H15" s="710" t="s">
        <v>227</v>
      </c>
      <c r="I15" s="1729">
        <v>44895</v>
      </c>
      <c r="J15" s="613">
        <v>8.1942000000000001E-2</v>
      </c>
      <c r="K15" s="613" t="s">
        <v>225</v>
      </c>
      <c r="L15" s="613">
        <v>104</v>
      </c>
      <c r="M15" s="613"/>
      <c r="N15" s="613"/>
      <c r="O15" s="613">
        <v>2024</v>
      </c>
      <c r="P15" s="1454">
        <v>0</v>
      </c>
      <c r="Q15" s="613"/>
      <c r="R15" s="710">
        <v>42673</v>
      </c>
      <c r="S15" s="710" t="s">
        <v>229</v>
      </c>
      <c r="T15" s="710"/>
      <c r="U15" s="233"/>
      <c r="V15" s="17"/>
      <c r="X15" s="778" t="s">
        <v>258</v>
      </c>
      <c r="Y15" s="233"/>
      <c r="Z15" s="233"/>
      <c r="AB15" s="9" t="s">
        <v>150</v>
      </c>
      <c r="AC15" s="17">
        <v>44895</v>
      </c>
      <c r="AD15" s="233"/>
    </row>
    <row r="16" spans="1:50" s="9" customFormat="1" ht="31.5">
      <c r="A16" s="613" t="s">
        <v>259</v>
      </c>
      <c r="B16" s="613" t="s">
        <v>260</v>
      </c>
      <c r="C16" s="613">
        <v>6609</v>
      </c>
      <c r="D16" s="613" t="s">
        <v>261</v>
      </c>
      <c r="E16" s="613" t="s">
        <v>262</v>
      </c>
      <c r="F16" s="613" t="s">
        <v>224</v>
      </c>
      <c r="G16" s="613" t="s">
        <v>263</v>
      </c>
      <c r="H16" s="710" t="s">
        <v>264</v>
      </c>
      <c r="I16" s="1729">
        <v>44772</v>
      </c>
      <c r="J16" s="613">
        <v>8.1942000000000001E-2</v>
      </c>
      <c r="K16" s="613" t="s">
        <v>111</v>
      </c>
      <c r="L16" s="613">
        <v>165</v>
      </c>
      <c r="M16" s="613"/>
      <c r="N16" s="613"/>
      <c r="O16" s="613">
        <v>2024</v>
      </c>
      <c r="P16" s="1454">
        <v>0</v>
      </c>
      <c r="Q16" s="613"/>
      <c r="R16" s="710">
        <v>42507</v>
      </c>
      <c r="S16" s="710" t="s">
        <v>229</v>
      </c>
      <c r="T16" s="710"/>
      <c r="U16" s="233"/>
      <c r="V16" s="17"/>
      <c r="X16" s="778" t="s">
        <v>265</v>
      </c>
      <c r="Y16" s="233"/>
      <c r="Z16" s="233"/>
      <c r="AB16" s="9" t="s">
        <v>294</v>
      </c>
      <c r="AC16" s="17">
        <v>44772</v>
      </c>
      <c r="AD16" s="233"/>
    </row>
    <row r="17" spans="1:30" s="9" customFormat="1" ht="31.5">
      <c r="A17" s="613" t="s">
        <v>266</v>
      </c>
      <c r="B17" s="613" t="s">
        <v>267</v>
      </c>
      <c r="C17" s="613">
        <v>5384</v>
      </c>
      <c r="D17" s="613" t="s">
        <v>268</v>
      </c>
      <c r="E17" s="613" t="s">
        <v>269</v>
      </c>
      <c r="F17" s="613" t="s">
        <v>224</v>
      </c>
      <c r="G17" s="613" t="s">
        <v>270</v>
      </c>
      <c r="H17" s="710" t="s">
        <v>235</v>
      </c>
      <c r="I17" s="1729">
        <v>44710</v>
      </c>
      <c r="J17" s="613">
        <v>8.1942000000000001E-2</v>
      </c>
      <c r="K17" s="613" t="s">
        <v>125</v>
      </c>
      <c r="L17" s="613">
        <v>136</v>
      </c>
      <c r="M17" s="613"/>
      <c r="N17" s="613"/>
      <c r="O17" s="613">
        <v>2024</v>
      </c>
      <c r="P17" s="1454">
        <v>0</v>
      </c>
      <c r="Q17" s="613"/>
      <c r="R17" s="710">
        <v>42475</v>
      </c>
      <c r="S17" s="710" t="s">
        <v>229</v>
      </c>
      <c r="T17" s="710"/>
      <c r="U17" s="233"/>
      <c r="V17" s="17"/>
      <c r="X17" s="778" t="s">
        <v>9</v>
      </c>
      <c r="Y17" s="233"/>
      <c r="Z17" s="233"/>
      <c r="AB17" s="9" t="s">
        <v>299</v>
      </c>
      <c r="AC17" s="17">
        <v>44834</v>
      </c>
      <c r="AD17" s="233"/>
    </row>
    <row r="18" spans="1:30" s="9" customFormat="1" ht="31.5">
      <c r="A18" s="613" t="s">
        <v>271</v>
      </c>
      <c r="B18" s="613" t="s">
        <v>272</v>
      </c>
      <c r="C18" s="613">
        <v>5385</v>
      </c>
      <c r="D18" s="613" t="s">
        <v>273</v>
      </c>
      <c r="E18" s="613" t="s">
        <v>274</v>
      </c>
      <c r="F18" s="613" t="s">
        <v>224</v>
      </c>
      <c r="G18" s="613" t="s">
        <v>275</v>
      </c>
      <c r="H18" s="710" t="s">
        <v>264</v>
      </c>
      <c r="I18" s="1729">
        <v>44710</v>
      </c>
      <c r="J18" s="613">
        <v>8.1942000000000001E-2</v>
      </c>
      <c r="K18" s="613" t="s">
        <v>125</v>
      </c>
      <c r="L18" s="613">
        <v>136</v>
      </c>
      <c r="M18" s="613" t="s">
        <v>111</v>
      </c>
      <c r="N18" s="613">
        <v>165</v>
      </c>
      <c r="O18" s="613">
        <v>2024</v>
      </c>
      <c r="P18" s="1454">
        <v>0</v>
      </c>
      <c r="Q18" s="613"/>
      <c r="R18" s="710">
        <v>42475</v>
      </c>
      <c r="S18" s="710" t="s">
        <v>229</v>
      </c>
      <c r="T18" s="710"/>
      <c r="U18" s="233"/>
      <c r="V18" s="17"/>
      <c r="X18" s="778" t="s">
        <v>276</v>
      </c>
      <c r="Y18" s="233"/>
      <c r="Z18" s="233"/>
      <c r="AB18" s="9" t="s">
        <v>309</v>
      </c>
      <c r="AC18" s="17">
        <v>44710</v>
      </c>
      <c r="AD18" s="233"/>
    </row>
    <row r="19" spans="1:30" s="9" customFormat="1" ht="31.5">
      <c r="A19" s="613" t="s">
        <v>277</v>
      </c>
      <c r="B19" s="613" t="s">
        <v>278</v>
      </c>
      <c r="C19" s="613">
        <v>5379</v>
      </c>
      <c r="D19" s="613" t="s">
        <v>279</v>
      </c>
      <c r="E19" s="613" t="s">
        <v>280</v>
      </c>
      <c r="F19" s="613" t="s">
        <v>224</v>
      </c>
      <c r="G19" s="613" t="s">
        <v>281</v>
      </c>
      <c r="H19" s="710" t="s">
        <v>235</v>
      </c>
      <c r="I19" s="1729">
        <v>44895</v>
      </c>
      <c r="J19" s="613">
        <v>8.1942000000000001E-2</v>
      </c>
      <c r="K19" s="613" t="s">
        <v>146</v>
      </c>
      <c r="L19" s="613">
        <v>135</v>
      </c>
      <c r="M19" s="613" t="s">
        <v>136</v>
      </c>
      <c r="N19" s="613">
        <v>145</v>
      </c>
      <c r="O19" s="613">
        <v>2024</v>
      </c>
      <c r="P19" s="1454">
        <v>0</v>
      </c>
      <c r="Q19" s="613"/>
      <c r="R19" s="710">
        <v>42673</v>
      </c>
      <c r="S19" s="710" t="s">
        <v>229</v>
      </c>
      <c r="T19" s="710"/>
      <c r="U19" s="233"/>
      <c r="V19" s="17"/>
      <c r="X19" s="778" t="s">
        <v>150</v>
      </c>
      <c r="Y19" s="233"/>
      <c r="Z19" s="233"/>
      <c r="AB19" s="9" t="s">
        <v>310</v>
      </c>
      <c r="AC19" s="17">
        <v>44834</v>
      </c>
      <c r="AD19" s="233"/>
    </row>
    <row r="20" spans="1:30" s="9" customFormat="1" ht="31.5">
      <c r="A20" s="613" t="s">
        <v>252</v>
      </c>
      <c r="B20" s="613" t="s">
        <v>282</v>
      </c>
      <c r="C20" s="613">
        <v>5372</v>
      </c>
      <c r="D20" s="613" t="s">
        <v>283</v>
      </c>
      <c r="E20" s="613" t="s">
        <v>284</v>
      </c>
      <c r="F20" s="613" t="s">
        <v>285</v>
      </c>
      <c r="G20" s="613" t="s">
        <v>286</v>
      </c>
      <c r="H20" s="710" t="s">
        <v>287</v>
      </c>
      <c r="I20" s="1729">
        <v>44834</v>
      </c>
      <c r="J20" s="613">
        <v>8.1942000000000001E-2</v>
      </c>
      <c r="K20" s="613" t="s">
        <v>155</v>
      </c>
      <c r="L20" s="613">
        <v>111</v>
      </c>
      <c r="M20" s="613"/>
      <c r="N20" s="613"/>
      <c r="O20" s="613">
        <v>2024</v>
      </c>
      <c r="P20" s="1454">
        <v>0</v>
      </c>
      <c r="Q20" s="613"/>
      <c r="R20" s="710">
        <v>42641</v>
      </c>
      <c r="S20" s="710" t="s">
        <v>229</v>
      </c>
      <c r="T20" s="710"/>
      <c r="U20" s="233"/>
      <c r="V20" s="17"/>
      <c r="X20" s="778" t="s">
        <v>161</v>
      </c>
      <c r="Y20" s="233"/>
      <c r="Z20" s="233"/>
      <c r="AB20" s="9" t="s">
        <v>149</v>
      </c>
      <c r="AC20" s="17">
        <v>44680</v>
      </c>
      <c r="AD20" s="233"/>
    </row>
    <row r="21" spans="1:30" s="9" customFormat="1" ht="31.5">
      <c r="A21" s="613" t="s">
        <v>9</v>
      </c>
      <c r="B21" s="613" t="s">
        <v>288</v>
      </c>
      <c r="C21" s="613">
        <v>5367</v>
      </c>
      <c r="D21" s="613" t="s">
        <v>289</v>
      </c>
      <c r="E21" s="613" t="s">
        <v>290</v>
      </c>
      <c r="F21" s="613" t="s">
        <v>285</v>
      </c>
      <c r="G21" s="613" t="s">
        <v>292</v>
      </c>
      <c r="H21" s="710" t="s">
        <v>293</v>
      </c>
      <c r="I21" s="1729">
        <v>44917</v>
      </c>
      <c r="J21" s="613">
        <v>8.1942000000000001E-2</v>
      </c>
      <c r="K21" s="613" t="s">
        <v>155</v>
      </c>
      <c r="L21" s="613">
        <v>111</v>
      </c>
      <c r="M21" s="613" t="s">
        <v>291</v>
      </c>
      <c r="N21" s="613">
        <v>110</v>
      </c>
      <c r="O21" s="613">
        <v>2025</v>
      </c>
      <c r="P21" s="1454">
        <v>0</v>
      </c>
      <c r="Q21" s="613"/>
      <c r="R21" s="710">
        <v>42641</v>
      </c>
      <c r="S21" s="710" t="s">
        <v>229</v>
      </c>
      <c r="T21" s="710"/>
      <c r="U21" s="233"/>
      <c r="V21" s="17"/>
      <c r="X21" s="778" t="s">
        <v>294</v>
      </c>
      <c r="Y21" s="233"/>
      <c r="Z21" s="233"/>
      <c r="AB21" s="9" t="s">
        <v>151</v>
      </c>
      <c r="AC21" s="17">
        <v>44834</v>
      </c>
      <c r="AD21" s="233"/>
    </row>
    <row r="22" spans="1:30" s="9" customFormat="1" ht="31.5">
      <c r="A22" s="613" t="s">
        <v>276</v>
      </c>
      <c r="B22" s="613" t="s">
        <v>295</v>
      </c>
      <c r="C22" s="613">
        <v>6897</v>
      </c>
      <c r="D22" s="613" t="s">
        <v>296</v>
      </c>
      <c r="E22" s="613" t="s">
        <v>297</v>
      </c>
      <c r="F22" s="613" t="s">
        <v>285</v>
      </c>
      <c r="G22" s="613" t="s">
        <v>298</v>
      </c>
      <c r="H22" s="710" t="s">
        <v>287</v>
      </c>
      <c r="I22" s="1729">
        <v>44834</v>
      </c>
      <c r="J22" s="613">
        <v>8.1942000000000001E-2</v>
      </c>
      <c r="K22" s="613" t="s">
        <v>155</v>
      </c>
      <c r="L22" s="613">
        <v>111</v>
      </c>
      <c r="M22" s="613"/>
      <c r="N22" s="613"/>
      <c r="O22" s="613">
        <v>2024</v>
      </c>
      <c r="P22" s="1454">
        <v>0</v>
      </c>
      <c r="Q22" s="613"/>
      <c r="R22" s="710">
        <v>42641</v>
      </c>
      <c r="S22" s="710" t="s">
        <v>229</v>
      </c>
      <c r="T22" s="710"/>
      <c r="U22" s="233"/>
      <c r="V22" s="17"/>
      <c r="X22" s="778" t="s">
        <v>299</v>
      </c>
      <c r="Y22" s="233"/>
      <c r="Z22" s="233"/>
      <c r="AB22" s="9" t="s">
        <v>321</v>
      </c>
      <c r="AC22" s="17">
        <v>44834</v>
      </c>
      <c r="AD22" s="233"/>
    </row>
    <row r="23" spans="1:30" s="9" customFormat="1" ht="31.5">
      <c r="A23" s="613" t="s">
        <v>150</v>
      </c>
      <c r="B23" s="613" t="s">
        <v>300</v>
      </c>
      <c r="C23" s="613">
        <v>5351</v>
      </c>
      <c r="D23" s="613" t="s">
        <v>301</v>
      </c>
      <c r="E23" s="613" t="s">
        <v>302</v>
      </c>
      <c r="F23" s="613" t="s">
        <v>285</v>
      </c>
      <c r="G23" s="613" t="s">
        <v>303</v>
      </c>
      <c r="H23" s="710" t="s">
        <v>287</v>
      </c>
      <c r="I23" s="1729">
        <v>44895</v>
      </c>
      <c r="J23" s="613">
        <v>8.1942000000000001E-2</v>
      </c>
      <c r="K23" s="613" t="s">
        <v>299</v>
      </c>
      <c r="L23" s="613">
        <v>220</v>
      </c>
      <c r="M23" s="613"/>
      <c r="N23" s="613"/>
      <c r="O23" s="613">
        <v>2024</v>
      </c>
      <c r="P23" s="1454">
        <v>0</v>
      </c>
      <c r="Q23" s="613"/>
      <c r="R23" s="710">
        <v>42641</v>
      </c>
      <c r="S23" s="710" t="s">
        <v>229</v>
      </c>
      <c r="T23" s="710"/>
      <c r="U23" s="233"/>
      <c r="V23" s="17"/>
      <c r="X23" s="778" t="s">
        <v>304</v>
      </c>
      <c r="Y23" s="233"/>
      <c r="Z23" s="233"/>
      <c r="AB23" s="9" t="s">
        <v>328</v>
      </c>
      <c r="AC23" s="17">
        <v>44834</v>
      </c>
      <c r="AD23" s="233"/>
    </row>
    <row r="24" spans="1:30" s="9" customFormat="1" ht="31.5">
      <c r="A24" s="613" t="s">
        <v>299</v>
      </c>
      <c r="B24" s="613" t="s">
        <v>305</v>
      </c>
      <c r="C24" s="613">
        <v>6898</v>
      </c>
      <c r="D24" s="613" t="s">
        <v>306</v>
      </c>
      <c r="E24" s="613" t="s">
        <v>307</v>
      </c>
      <c r="F24" s="613" t="s">
        <v>285</v>
      </c>
      <c r="G24" s="613" t="s">
        <v>308</v>
      </c>
      <c r="H24" s="710" t="s">
        <v>287</v>
      </c>
      <c r="I24" s="1729">
        <v>44834</v>
      </c>
      <c r="J24" s="613">
        <v>8.1942000000000001E-2</v>
      </c>
      <c r="K24" s="613" t="s">
        <v>155</v>
      </c>
      <c r="L24" s="613">
        <v>111</v>
      </c>
      <c r="M24" s="613"/>
      <c r="N24" s="613"/>
      <c r="O24" s="613">
        <v>2024</v>
      </c>
      <c r="P24" s="1454">
        <v>0</v>
      </c>
      <c r="Q24" s="613"/>
      <c r="R24" s="710">
        <v>42641</v>
      </c>
      <c r="S24" s="710" t="s">
        <v>229</v>
      </c>
      <c r="T24" s="710"/>
      <c r="U24" s="233"/>
      <c r="V24" s="17"/>
      <c r="X24" s="778" t="s">
        <v>309</v>
      </c>
      <c r="Y24" s="233"/>
      <c r="Z24" s="233"/>
      <c r="AB24" s="9" t="s">
        <v>144</v>
      </c>
      <c r="AC24" s="17">
        <v>44772</v>
      </c>
      <c r="AD24" s="233"/>
    </row>
    <row r="25" spans="1:30" s="9" customFormat="1" ht="31.5">
      <c r="A25" s="613" t="s">
        <v>310</v>
      </c>
      <c r="B25" s="613" t="s">
        <v>311</v>
      </c>
      <c r="C25" s="613">
        <v>5352</v>
      </c>
      <c r="D25" s="613" t="s">
        <v>312</v>
      </c>
      <c r="E25" s="613" t="s">
        <v>313</v>
      </c>
      <c r="F25" s="613" t="s">
        <v>285</v>
      </c>
      <c r="G25" s="613" t="s">
        <v>314</v>
      </c>
      <c r="H25" s="710" t="s">
        <v>315</v>
      </c>
      <c r="I25" s="1729">
        <v>44834</v>
      </c>
      <c r="J25" s="613">
        <v>8.1942000000000001E-2</v>
      </c>
      <c r="K25" s="613" t="s">
        <v>155</v>
      </c>
      <c r="L25" s="613">
        <v>111</v>
      </c>
      <c r="M25" s="613"/>
      <c r="N25" s="613"/>
      <c r="O25" s="613">
        <v>2024</v>
      </c>
      <c r="P25" s="1454">
        <v>0</v>
      </c>
      <c r="Q25" s="613"/>
      <c r="R25" s="710">
        <v>42641</v>
      </c>
      <c r="S25" s="710" t="s">
        <v>229</v>
      </c>
      <c r="T25" s="710"/>
      <c r="U25" s="233"/>
      <c r="V25" s="17"/>
      <c r="X25" s="778" t="s">
        <v>310</v>
      </c>
      <c r="Y25" s="233"/>
      <c r="Z25" s="233"/>
      <c r="AB25" s="9" t="s">
        <v>236</v>
      </c>
      <c r="AC25" s="17">
        <v>44895</v>
      </c>
      <c r="AD25" s="233"/>
    </row>
    <row r="26" spans="1:30" s="9" customFormat="1" ht="31.5">
      <c r="A26" s="613" t="s">
        <v>151</v>
      </c>
      <c r="B26" s="613" t="s">
        <v>316</v>
      </c>
      <c r="C26" s="613">
        <v>5353</v>
      </c>
      <c r="D26" s="613" t="s">
        <v>317</v>
      </c>
      <c r="E26" s="613" t="s">
        <v>318</v>
      </c>
      <c r="F26" s="613" t="s">
        <v>285</v>
      </c>
      <c r="G26" s="613" t="s">
        <v>319</v>
      </c>
      <c r="H26" s="710" t="s">
        <v>320</v>
      </c>
      <c r="I26" s="1729">
        <v>44834</v>
      </c>
      <c r="J26" s="613">
        <v>8.1942000000000001E-2</v>
      </c>
      <c r="K26" s="613" t="s">
        <v>155</v>
      </c>
      <c r="L26" s="613">
        <v>111</v>
      </c>
      <c r="M26" s="613"/>
      <c r="N26" s="613"/>
      <c r="O26" s="613">
        <v>2024</v>
      </c>
      <c r="P26" s="1454">
        <v>0</v>
      </c>
      <c r="Q26" s="613"/>
      <c r="R26" s="710">
        <v>42641</v>
      </c>
      <c r="S26" s="710" t="s">
        <v>229</v>
      </c>
      <c r="T26" s="710"/>
      <c r="U26" s="233"/>
      <c r="V26" s="17"/>
      <c r="X26" s="778" t="s">
        <v>149</v>
      </c>
      <c r="Y26" s="233"/>
      <c r="Z26" s="233"/>
      <c r="AB26" s="9" t="s">
        <v>241</v>
      </c>
      <c r="AC26" s="17">
        <v>44680</v>
      </c>
      <c r="AD26" s="233"/>
    </row>
    <row r="27" spans="1:30" s="9" customFormat="1" ht="31.5">
      <c r="A27" s="613" t="s">
        <v>321</v>
      </c>
      <c r="B27" s="613" t="s">
        <v>322</v>
      </c>
      <c r="C27" s="613">
        <v>5355</v>
      </c>
      <c r="D27" s="613" t="s">
        <v>323</v>
      </c>
      <c r="E27" s="613" t="s">
        <v>324</v>
      </c>
      <c r="F27" s="613" t="s">
        <v>285</v>
      </c>
      <c r="G27" s="613" t="s">
        <v>325</v>
      </c>
      <c r="H27" s="710" t="s">
        <v>326</v>
      </c>
      <c r="I27" s="1729">
        <v>44834</v>
      </c>
      <c r="J27" s="613">
        <v>8.1942000000000001E-2</v>
      </c>
      <c r="K27" s="613" t="s">
        <v>155</v>
      </c>
      <c r="L27" s="613">
        <v>111</v>
      </c>
      <c r="M27" s="613"/>
      <c r="N27" s="613"/>
      <c r="O27" s="613">
        <v>2025</v>
      </c>
      <c r="P27" s="1454">
        <v>0</v>
      </c>
      <c r="Q27" s="613"/>
      <c r="R27" s="710">
        <v>42641</v>
      </c>
      <c r="S27" s="710" t="s">
        <v>229</v>
      </c>
      <c r="T27" s="710"/>
      <c r="U27" s="233"/>
      <c r="V27" s="17"/>
      <c r="X27" s="778" t="s">
        <v>327</v>
      </c>
      <c r="Y27" s="233"/>
      <c r="Z27" s="233"/>
      <c r="AB27" s="9" t="s">
        <v>246</v>
      </c>
      <c r="AC27" s="17">
        <v>44772</v>
      </c>
      <c r="AD27" s="233"/>
    </row>
    <row r="28" spans="1:30" s="9" customFormat="1" ht="31.5">
      <c r="A28" s="613" t="s">
        <v>328</v>
      </c>
      <c r="B28" s="613" t="s">
        <v>329</v>
      </c>
      <c r="C28" s="613">
        <v>5363</v>
      </c>
      <c r="D28" s="613" t="s">
        <v>330</v>
      </c>
      <c r="E28" s="613" t="s">
        <v>331</v>
      </c>
      <c r="F28" s="613" t="s">
        <v>285</v>
      </c>
      <c r="G28" s="613" t="s">
        <v>332</v>
      </c>
      <c r="H28" s="710" t="s">
        <v>287</v>
      </c>
      <c r="I28" s="1729">
        <v>44834</v>
      </c>
      <c r="J28" s="613">
        <v>8.1942000000000001E-2</v>
      </c>
      <c r="K28" s="613" t="s">
        <v>155</v>
      </c>
      <c r="L28" s="613">
        <v>111</v>
      </c>
      <c r="M28" s="613"/>
      <c r="N28" s="613"/>
      <c r="O28" s="613">
        <v>2024</v>
      </c>
      <c r="P28" s="1454">
        <v>0</v>
      </c>
      <c r="Q28" s="613"/>
      <c r="R28" s="710">
        <v>42641</v>
      </c>
      <c r="S28" s="710" t="s">
        <v>229</v>
      </c>
      <c r="T28" s="710"/>
      <c r="U28" s="233"/>
      <c r="V28" s="17"/>
      <c r="X28" s="778" t="s">
        <v>151</v>
      </c>
      <c r="Y28" s="233"/>
      <c r="Z28" s="233"/>
      <c r="AB28" s="9" t="s">
        <v>253</v>
      </c>
      <c r="AC28" s="17">
        <v>44895</v>
      </c>
      <c r="AD28" s="233"/>
    </row>
    <row r="29" spans="1:30" s="9" customFormat="1" ht="31.5">
      <c r="A29" s="613" t="s">
        <v>333</v>
      </c>
      <c r="B29" s="613" t="s">
        <v>334</v>
      </c>
      <c r="C29" s="613">
        <v>5364</v>
      </c>
      <c r="D29" s="613" t="s">
        <v>335</v>
      </c>
      <c r="E29" s="613" t="s">
        <v>336</v>
      </c>
      <c r="F29" s="613" t="s">
        <v>285</v>
      </c>
      <c r="G29" s="613" t="s">
        <v>337</v>
      </c>
      <c r="H29" s="710" t="s">
        <v>338</v>
      </c>
      <c r="I29" s="1729">
        <v>44834</v>
      </c>
      <c r="J29" s="613">
        <v>8.1942000000000001E-2</v>
      </c>
      <c r="K29" s="613" t="s">
        <v>155</v>
      </c>
      <c r="L29" s="613">
        <v>111</v>
      </c>
      <c r="M29" s="613"/>
      <c r="N29" s="613"/>
      <c r="O29" s="613">
        <v>2022</v>
      </c>
      <c r="P29" s="1454">
        <v>0</v>
      </c>
      <c r="Q29" s="613"/>
      <c r="R29" s="710">
        <v>42641</v>
      </c>
      <c r="S29" s="710" t="s">
        <v>229</v>
      </c>
      <c r="T29" s="710"/>
      <c r="U29" s="233"/>
      <c r="V29" s="17"/>
      <c r="X29" s="778" t="s">
        <v>321</v>
      </c>
      <c r="Y29" s="233"/>
      <c r="Z29" s="233"/>
      <c r="AB29" s="9" t="s">
        <v>375</v>
      </c>
      <c r="AC29" s="17">
        <v>44772</v>
      </c>
      <c r="AD29" s="233"/>
    </row>
    <row r="30" spans="1:30" s="9" customFormat="1" ht="31.5">
      <c r="A30" s="613" t="s">
        <v>339</v>
      </c>
      <c r="B30" s="613" t="s">
        <v>340</v>
      </c>
      <c r="C30" s="613">
        <v>5365</v>
      </c>
      <c r="D30" s="613" t="s">
        <v>341</v>
      </c>
      <c r="E30" s="613" t="s">
        <v>342</v>
      </c>
      <c r="F30" s="613" t="s">
        <v>285</v>
      </c>
      <c r="G30" s="613" t="s">
        <v>343</v>
      </c>
      <c r="H30" s="710" t="s">
        <v>287</v>
      </c>
      <c r="I30" s="1729">
        <v>44834</v>
      </c>
      <c r="J30" s="613">
        <v>8.1942000000000001E-2</v>
      </c>
      <c r="K30" s="613" t="s">
        <v>155</v>
      </c>
      <c r="L30" s="613">
        <v>111</v>
      </c>
      <c r="M30" s="613"/>
      <c r="N30" s="613"/>
      <c r="O30" s="613">
        <v>2024</v>
      </c>
      <c r="P30" s="1454">
        <v>0</v>
      </c>
      <c r="Q30" s="613"/>
      <c r="R30" s="710">
        <v>42641</v>
      </c>
      <c r="S30" s="710" t="s">
        <v>229</v>
      </c>
      <c r="T30" s="710"/>
      <c r="U30" s="233"/>
      <c r="V30" s="17"/>
      <c r="X30" s="778" t="s">
        <v>328</v>
      </c>
      <c r="Y30" s="233"/>
      <c r="Z30" s="233"/>
      <c r="AB30" s="9" t="s">
        <v>333</v>
      </c>
      <c r="AC30" s="17">
        <v>44834</v>
      </c>
      <c r="AD30" s="233"/>
    </row>
    <row r="31" spans="1:30" s="9" customFormat="1" ht="31.5">
      <c r="A31" s="613" t="s">
        <v>344</v>
      </c>
      <c r="B31" s="613" t="s">
        <v>345</v>
      </c>
      <c r="C31" s="613">
        <v>5368</v>
      </c>
      <c r="D31" s="613" t="s">
        <v>346</v>
      </c>
      <c r="E31" s="613" t="s">
        <v>347</v>
      </c>
      <c r="F31" s="613" t="s">
        <v>285</v>
      </c>
      <c r="G31" s="613" t="s">
        <v>348</v>
      </c>
      <c r="H31" s="710" t="s">
        <v>287</v>
      </c>
      <c r="I31" s="1729">
        <v>44834</v>
      </c>
      <c r="J31" s="613">
        <v>8.1942000000000001E-2</v>
      </c>
      <c r="K31" s="613" t="s">
        <v>155</v>
      </c>
      <c r="L31" s="613">
        <v>111</v>
      </c>
      <c r="M31" s="613"/>
      <c r="N31" s="613"/>
      <c r="O31" s="613">
        <v>2024</v>
      </c>
      <c r="P31" s="1454">
        <v>0</v>
      </c>
      <c r="Q31" s="613"/>
      <c r="R31" s="710">
        <v>42641</v>
      </c>
      <c r="S31" s="710" t="s">
        <v>229</v>
      </c>
      <c r="T31" s="710"/>
      <c r="U31" s="233"/>
      <c r="V31" s="17"/>
      <c r="X31" s="778" t="s">
        <v>144</v>
      </c>
      <c r="Y31" s="233"/>
      <c r="Z31" s="233"/>
      <c r="AB31" s="9" t="s">
        <v>259</v>
      </c>
      <c r="AC31" s="17">
        <v>44772</v>
      </c>
      <c r="AD31" s="233"/>
    </row>
    <row r="32" spans="1:30" s="9" customFormat="1" ht="31.5">
      <c r="A32" s="613" t="s">
        <v>349</v>
      </c>
      <c r="B32" s="613" t="s">
        <v>350</v>
      </c>
      <c r="C32" s="613">
        <v>5369</v>
      </c>
      <c r="D32" s="613" t="s">
        <v>351</v>
      </c>
      <c r="E32" s="613" t="s">
        <v>352</v>
      </c>
      <c r="F32" s="613" t="s">
        <v>285</v>
      </c>
      <c r="G32" s="613" t="s">
        <v>353</v>
      </c>
      <c r="H32" s="710" t="s">
        <v>326</v>
      </c>
      <c r="I32" s="1729">
        <v>44834</v>
      </c>
      <c r="J32" s="613">
        <v>8.1942000000000001E-2</v>
      </c>
      <c r="K32" s="613" t="s">
        <v>155</v>
      </c>
      <c r="L32" s="613">
        <v>111</v>
      </c>
      <c r="M32" s="613"/>
      <c r="N32" s="613"/>
      <c r="O32" s="613">
        <v>2025</v>
      </c>
      <c r="P32" s="1454">
        <v>0</v>
      </c>
      <c r="Q32" s="613"/>
      <c r="R32" s="710">
        <v>42641</v>
      </c>
      <c r="S32" s="710" t="s">
        <v>229</v>
      </c>
      <c r="T32" s="710"/>
      <c r="U32" s="233"/>
      <c r="V32" s="17"/>
      <c r="X32" s="778" t="s">
        <v>236</v>
      </c>
      <c r="Y32" s="233"/>
      <c r="Z32" s="233"/>
      <c r="AB32" s="9" t="s">
        <v>339</v>
      </c>
      <c r="AC32" s="17">
        <v>44834</v>
      </c>
      <c r="AD32" s="233"/>
    </row>
    <row r="33" spans="1:30" s="9" customFormat="1" ht="31.5">
      <c r="A33" s="613" t="s">
        <v>154</v>
      </c>
      <c r="B33" s="613" t="s">
        <v>354</v>
      </c>
      <c r="C33" s="613">
        <v>5370</v>
      </c>
      <c r="D33" s="613" t="s">
        <v>355</v>
      </c>
      <c r="E33" s="613" t="s">
        <v>356</v>
      </c>
      <c r="F33" s="613" t="s">
        <v>285</v>
      </c>
      <c r="G33" s="613" t="s">
        <v>357</v>
      </c>
      <c r="H33" s="710" t="s">
        <v>287</v>
      </c>
      <c r="I33" s="1729">
        <v>44834</v>
      </c>
      <c r="J33" s="613">
        <v>8.1942000000000001E-2</v>
      </c>
      <c r="K33" s="613" t="s">
        <v>155</v>
      </c>
      <c r="L33" s="613">
        <v>111</v>
      </c>
      <c r="M33" s="613"/>
      <c r="N33" s="613"/>
      <c r="O33" s="613">
        <v>2024</v>
      </c>
      <c r="P33" s="1454">
        <v>0</v>
      </c>
      <c r="Q33" s="613"/>
      <c r="R33" s="710">
        <v>42641</v>
      </c>
      <c r="S33" s="710" t="s">
        <v>229</v>
      </c>
      <c r="T33" s="710"/>
      <c r="U33" s="233"/>
      <c r="V33" s="17"/>
      <c r="X33" s="778" t="s">
        <v>241</v>
      </c>
      <c r="Y33" s="233"/>
      <c r="Z33" s="233"/>
      <c r="AB33" s="9" t="s">
        <v>266</v>
      </c>
      <c r="AC33" s="17">
        <v>44710</v>
      </c>
      <c r="AD33" s="233"/>
    </row>
    <row r="34" spans="1:30" s="9" customFormat="1" ht="31.5">
      <c r="A34" s="613" t="s">
        <v>358</v>
      </c>
      <c r="B34" s="613" t="s">
        <v>359</v>
      </c>
      <c r="C34" s="613">
        <v>5371</v>
      </c>
      <c r="D34" s="613" t="s">
        <v>360</v>
      </c>
      <c r="E34" s="613" t="s">
        <v>361</v>
      </c>
      <c r="F34" s="613" t="s">
        <v>285</v>
      </c>
      <c r="G34" s="613" t="s">
        <v>363</v>
      </c>
      <c r="H34" s="710" t="s">
        <v>364</v>
      </c>
      <c r="I34" s="1729">
        <v>44834</v>
      </c>
      <c r="J34" s="613">
        <v>8.1942000000000001E-2</v>
      </c>
      <c r="K34" s="613" t="s">
        <v>155</v>
      </c>
      <c r="L34" s="613">
        <v>111</v>
      </c>
      <c r="M34" s="613" t="s">
        <v>362</v>
      </c>
      <c r="N34" s="613">
        <v>144</v>
      </c>
      <c r="O34" s="613">
        <v>2022</v>
      </c>
      <c r="P34" s="1454">
        <v>0</v>
      </c>
      <c r="Q34" s="613"/>
      <c r="R34" s="710">
        <v>42641</v>
      </c>
      <c r="S34" s="710" t="s">
        <v>229</v>
      </c>
      <c r="T34" s="710"/>
      <c r="U34" s="233"/>
      <c r="V34" s="17"/>
      <c r="X34" s="778" t="s">
        <v>246</v>
      </c>
      <c r="Y34" s="233"/>
      <c r="Z34" s="233"/>
      <c r="AB34" s="9" t="s">
        <v>271</v>
      </c>
      <c r="AC34" s="17">
        <v>44710</v>
      </c>
      <c r="AD34" s="233"/>
    </row>
    <row r="35" spans="1:30" s="9" customFormat="1" ht="31.5">
      <c r="A35" s="613" t="s">
        <v>365</v>
      </c>
      <c r="B35" s="613" t="s">
        <v>366</v>
      </c>
      <c r="C35" s="613">
        <v>5373</v>
      </c>
      <c r="D35" s="613" t="s">
        <v>367</v>
      </c>
      <c r="E35" s="613" t="s">
        <v>368</v>
      </c>
      <c r="F35" s="613" t="s">
        <v>285</v>
      </c>
      <c r="G35" s="613" t="s">
        <v>369</v>
      </c>
      <c r="H35" s="710" t="s">
        <v>320</v>
      </c>
      <c r="I35" s="1729">
        <v>44834</v>
      </c>
      <c r="J35" s="613">
        <v>8.1942000000000001E-2</v>
      </c>
      <c r="K35" s="613" t="s">
        <v>155</v>
      </c>
      <c r="L35" s="613">
        <v>111</v>
      </c>
      <c r="M35" s="613"/>
      <c r="N35" s="613"/>
      <c r="O35" s="613">
        <v>2024</v>
      </c>
      <c r="P35" s="1454">
        <v>0</v>
      </c>
      <c r="Q35" s="613"/>
      <c r="R35" s="710">
        <v>42641</v>
      </c>
      <c r="S35" s="710" t="s">
        <v>229</v>
      </c>
      <c r="T35" s="710"/>
      <c r="U35" s="233"/>
      <c r="V35" s="17"/>
      <c r="X35" s="778" t="s">
        <v>253</v>
      </c>
      <c r="Y35" s="233"/>
      <c r="Z35" s="233"/>
      <c r="AB35" s="9" t="s">
        <v>344</v>
      </c>
      <c r="AC35" s="17">
        <v>44834</v>
      </c>
      <c r="AD35" s="233"/>
    </row>
    <row r="36" spans="1:30" s="9" customFormat="1" ht="31.5">
      <c r="A36" s="613" t="s">
        <v>370</v>
      </c>
      <c r="B36" s="613" t="s">
        <v>371</v>
      </c>
      <c r="C36" s="613">
        <v>7016</v>
      </c>
      <c r="D36" s="613" t="s">
        <v>372</v>
      </c>
      <c r="E36" s="613" t="s">
        <v>373</v>
      </c>
      <c r="F36" s="613" t="s">
        <v>285</v>
      </c>
      <c r="G36" s="613" t="s">
        <v>374</v>
      </c>
      <c r="H36" s="710" t="s">
        <v>287</v>
      </c>
      <c r="I36" s="1729">
        <v>44834</v>
      </c>
      <c r="J36" s="613">
        <v>8.1942000000000001E-2</v>
      </c>
      <c r="K36" s="613" t="s">
        <v>155</v>
      </c>
      <c r="L36" s="613">
        <v>111</v>
      </c>
      <c r="M36" s="613"/>
      <c r="N36" s="613"/>
      <c r="O36" s="613">
        <v>2024</v>
      </c>
      <c r="P36" s="1454">
        <v>0</v>
      </c>
      <c r="Q36" s="613"/>
      <c r="R36" s="710">
        <v>42641</v>
      </c>
      <c r="S36" s="710" t="s">
        <v>229</v>
      </c>
      <c r="T36" s="710"/>
      <c r="U36" s="233"/>
      <c r="V36" s="17"/>
      <c r="X36" s="778" t="s">
        <v>375</v>
      </c>
      <c r="Y36" s="233"/>
      <c r="Z36" s="233"/>
      <c r="AB36" s="9" t="s">
        <v>387</v>
      </c>
      <c r="AC36" s="17">
        <v>44772</v>
      </c>
      <c r="AD36" s="233"/>
    </row>
    <row r="37" spans="1:30" s="9" customFormat="1" ht="31.5">
      <c r="A37" s="613" t="s">
        <v>144</v>
      </c>
      <c r="B37" s="613" t="s">
        <v>376</v>
      </c>
      <c r="C37" s="613">
        <v>2763</v>
      </c>
      <c r="D37" s="613" t="s">
        <v>377</v>
      </c>
      <c r="E37" s="613" t="s">
        <v>378</v>
      </c>
      <c r="F37" s="613" t="s">
        <v>379</v>
      </c>
      <c r="G37" s="613" t="s">
        <v>380</v>
      </c>
      <c r="H37" s="710" t="s">
        <v>381</v>
      </c>
      <c r="I37" s="1729">
        <v>44772</v>
      </c>
      <c r="J37" s="613">
        <v>8.1942000000000001E-2</v>
      </c>
      <c r="K37" s="613" t="s">
        <v>167</v>
      </c>
      <c r="L37" s="613">
        <v>167</v>
      </c>
      <c r="M37" s="613"/>
      <c r="N37" s="613"/>
      <c r="O37" s="613">
        <v>2022</v>
      </c>
      <c r="P37" s="1454">
        <v>0</v>
      </c>
      <c r="Q37" s="613"/>
      <c r="R37" s="710">
        <v>42551</v>
      </c>
      <c r="S37" s="710" t="s">
        <v>229</v>
      </c>
      <c r="T37" s="710"/>
      <c r="U37" s="233"/>
      <c r="V37" s="17"/>
      <c r="X37" s="778" t="s">
        <v>333</v>
      </c>
      <c r="Y37" s="233"/>
      <c r="Z37" s="233"/>
      <c r="AB37" s="9" t="s">
        <v>165</v>
      </c>
      <c r="AC37" s="17">
        <v>44772</v>
      </c>
      <c r="AD37" s="233"/>
    </row>
    <row r="38" spans="1:30" s="9" customFormat="1" ht="31.5">
      <c r="A38" s="613" t="s">
        <v>375</v>
      </c>
      <c r="B38" s="613" t="s">
        <v>382</v>
      </c>
      <c r="C38" s="613">
        <v>2381</v>
      </c>
      <c r="D38" s="613" t="s">
        <v>383</v>
      </c>
      <c r="E38" s="613" t="s">
        <v>384</v>
      </c>
      <c r="F38" s="613" t="s">
        <v>379</v>
      </c>
      <c r="G38" s="613" t="s">
        <v>385</v>
      </c>
      <c r="H38" s="710" t="s">
        <v>386</v>
      </c>
      <c r="I38" s="1729">
        <v>44772</v>
      </c>
      <c r="J38" s="613">
        <v>8.1942000000000001E-2</v>
      </c>
      <c r="K38" s="613" t="s">
        <v>167</v>
      </c>
      <c r="L38" s="613">
        <v>167</v>
      </c>
      <c r="M38" s="613"/>
      <c r="N38" s="613"/>
      <c r="O38" s="613">
        <v>2025</v>
      </c>
      <c r="P38" s="1454">
        <v>69.23</v>
      </c>
      <c r="Q38" s="710">
        <v>42917</v>
      </c>
      <c r="R38" s="710">
        <v>42551</v>
      </c>
      <c r="S38" s="710" t="s">
        <v>229</v>
      </c>
      <c r="T38" s="710"/>
      <c r="U38" s="233"/>
      <c r="V38" s="17"/>
      <c r="X38" s="778" t="s">
        <v>259</v>
      </c>
      <c r="Y38" s="233"/>
      <c r="Z38" s="233"/>
      <c r="AB38" s="9" t="s">
        <v>349</v>
      </c>
      <c r="AC38" s="17">
        <v>44834</v>
      </c>
      <c r="AD38" s="233"/>
    </row>
    <row r="39" spans="1:30" s="9" customFormat="1" ht="31.5">
      <c r="A39" s="613" t="s">
        <v>387</v>
      </c>
      <c r="B39" s="613" t="s">
        <v>388</v>
      </c>
      <c r="C39" s="613">
        <v>3223</v>
      </c>
      <c r="D39" s="613" t="s">
        <v>389</v>
      </c>
      <c r="E39" s="613" t="s">
        <v>390</v>
      </c>
      <c r="F39" s="613" t="s">
        <v>379</v>
      </c>
      <c r="G39" s="613" t="s">
        <v>391</v>
      </c>
      <c r="H39" s="710" t="s">
        <v>392</v>
      </c>
      <c r="I39" s="1729">
        <v>44772</v>
      </c>
      <c r="J39" s="613">
        <v>8.1942000000000001E-2</v>
      </c>
      <c r="K39" s="613" t="s">
        <v>167</v>
      </c>
      <c r="L39" s="613">
        <v>167</v>
      </c>
      <c r="M39" s="613" t="s">
        <v>291</v>
      </c>
      <c r="N39" s="613">
        <v>110</v>
      </c>
      <c r="O39" s="613">
        <v>2025</v>
      </c>
      <c r="P39" s="1454">
        <v>0</v>
      </c>
      <c r="Q39" s="613"/>
      <c r="R39" s="710">
        <v>42486</v>
      </c>
      <c r="S39" s="710" t="s">
        <v>229</v>
      </c>
      <c r="T39" s="710"/>
      <c r="U39" s="233"/>
      <c r="V39" s="17"/>
      <c r="X39" s="778" t="s">
        <v>339</v>
      </c>
      <c r="Y39" s="233"/>
      <c r="Z39" s="233"/>
      <c r="AB39" s="9" t="s">
        <v>277</v>
      </c>
      <c r="AC39" s="17">
        <v>44895</v>
      </c>
      <c r="AD39" s="233"/>
    </row>
    <row r="40" spans="1:30" s="9" customFormat="1" ht="31.5">
      <c r="A40" s="613" t="s">
        <v>165</v>
      </c>
      <c r="B40" s="613" t="s">
        <v>393</v>
      </c>
      <c r="C40" s="613">
        <v>7371</v>
      </c>
      <c r="D40" s="613" t="s">
        <v>394</v>
      </c>
      <c r="E40" s="613" t="s">
        <v>395</v>
      </c>
      <c r="F40" s="613" t="s">
        <v>379</v>
      </c>
      <c r="G40" s="613" t="s">
        <v>396</v>
      </c>
      <c r="H40" s="710" t="s">
        <v>397</v>
      </c>
      <c r="I40" s="1729">
        <v>44772</v>
      </c>
      <c r="J40" s="613">
        <v>8.1942000000000001E-2</v>
      </c>
      <c r="K40" s="613" t="s">
        <v>167</v>
      </c>
      <c r="L40" s="613">
        <v>167</v>
      </c>
      <c r="M40" s="613"/>
      <c r="N40" s="613"/>
      <c r="O40" s="613">
        <v>2022</v>
      </c>
      <c r="P40" s="1454">
        <v>0</v>
      </c>
      <c r="Q40" s="613"/>
      <c r="R40" s="710">
        <v>42547</v>
      </c>
      <c r="S40" s="710" t="s">
        <v>229</v>
      </c>
      <c r="T40" s="710"/>
      <c r="U40" s="233"/>
      <c r="V40" s="17"/>
      <c r="X40" s="778" t="s">
        <v>266</v>
      </c>
      <c r="Y40" s="233"/>
      <c r="Z40" s="233"/>
      <c r="AB40" s="9" t="s">
        <v>154</v>
      </c>
      <c r="AC40" s="17">
        <v>44834</v>
      </c>
      <c r="AD40" s="233"/>
    </row>
    <row r="41" spans="1:30" s="9" customFormat="1" ht="31.5">
      <c r="A41" s="613" t="s">
        <v>398</v>
      </c>
      <c r="B41" s="613" t="s">
        <v>399</v>
      </c>
      <c r="C41" s="613">
        <v>3627</v>
      </c>
      <c r="D41" s="613" t="s">
        <v>400</v>
      </c>
      <c r="E41" s="613" t="s">
        <v>401</v>
      </c>
      <c r="F41" s="613" t="s">
        <v>379</v>
      </c>
      <c r="G41" s="613" t="s">
        <v>402</v>
      </c>
      <c r="H41" s="710" t="s">
        <v>397</v>
      </c>
      <c r="I41" s="1729">
        <v>44772</v>
      </c>
      <c r="J41" s="613">
        <v>8.1942000000000001E-2</v>
      </c>
      <c r="K41" s="613" t="s">
        <v>167</v>
      </c>
      <c r="L41" s="613">
        <v>167</v>
      </c>
      <c r="M41" s="613"/>
      <c r="N41" s="613"/>
      <c r="O41" s="613">
        <v>2025</v>
      </c>
      <c r="P41" s="1454">
        <v>0</v>
      </c>
      <c r="Q41" s="613"/>
      <c r="R41" s="710">
        <v>42551</v>
      </c>
      <c r="S41" s="710" t="s">
        <v>229</v>
      </c>
      <c r="T41" s="710"/>
      <c r="U41" s="233"/>
      <c r="V41" s="17"/>
      <c r="X41" s="778" t="s">
        <v>271</v>
      </c>
      <c r="Y41" s="233"/>
      <c r="Z41" s="233"/>
      <c r="AB41" s="9" t="s">
        <v>358</v>
      </c>
      <c r="AC41" s="17">
        <v>44834</v>
      </c>
      <c r="AD41" s="233"/>
    </row>
    <row r="42" spans="1:30" s="9" customFormat="1" ht="31.5">
      <c r="A42" s="613" t="s">
        <v>403</v>
      </c>
      <c r="B42" s="613" t="s">
        <v>404</v>
      </c>
      <c r="C42" s="613">
        <v>2351</v>
      </c>
      <c r="D42" s="613" t="s">
        <v>405</v>
      </c>
      <c r="E42" s="613" t="s">
        <v>406</v>
      </c>
      <c r="F42" s="613" t="s">
        <v>379</v>
      </c>
      <c r="G42" s="613" t="s">
        <v>407</v>
      </c>
      <c r="H42" s="710" t="s">
        <v>408</v>
      </c>
      <c r="I42" s="1729">
        <v>44772</v>
      </c>
      <c r="J42" s="613">
        <v>8.1942000000000001E-2</v>
      </c>
      <c r="K42" s="613" t="s">
        <v>167</v>
      </c>
      <c r="L42" s="613">
        <v>167</v>
      </c>
      <c r="M42" s="613"/>
      <c r="N42" s="613"/>
      <c r="O42" s="613">
        <v>2025</v>
      </c>
      <c r="P42" s="1454">
        <v>0</v>
      </c>
      <c r="Q42" s="613"/>
      <c r="R42" s="710">
        <v>42551</v>
      </c>
      <c r="S42" s="710" t="s">
        <v>229</v>
      </c>
      <c r="T42" s="710"/>
      <c r="U42" s="233"/>
      <c r="V42" s="17"/>
      <c r="X42" s="778" t="s">
        <v>409</v>
      </c>
      <c r="Y42" s="233"/>
      <c r="Z42" s="233"/>
      <c r="AB42" s="9" t="s">
        <v>398</v>
      </c>
      <c r="AC42" s="17">
        <v>44772</v>
      </c>
      <c r="AD42" s="233"/>
    </row>
    <row r="43" spans="1:30" s="9" customFormat="1" ht="31.5">
      <c r="A43" s="613" t="s">
        <v>143</v>
      </c>
      <c r="B43" s="613" t="s">
        <v>410</v>
      </c>
      <c r="C43" s="613">
        <v>598</v>
      </c>
      <c r="D43" s="613" t="s">
        <v>411</v>
      </c>
      <c r="E43" s="613" t="s">
        <v>412</v>
      </c>
      <c r="F43" s="613" t="s">
        <v>379</v>
      </c>
      <c r="G43" s="613" t="s">
        <v>413</v>
      </c>
      <c r="H43" s="710" t="s">
        <v>397</v>
      </c>
      <c r="I43" s="1729">
        <v>44772</v>
      </c>
      <c r="J43" s="613">
        <v>8.1942000000000001E-2</v>
      </c>
      <c r="K43" s="613" t="s">
        <v>167</v>
      </c>
      <c r="L43" s="613">
        <v>167</v>
      </c>
      <c r="M43" s="613"/>
      <c r="N43" s="613"/>
      <c r="O43" s="613">
        <v>2022</v>
      </c>
      <c r="P43" s="1454">
        <v>0</v>
      </c>
      <c r="Q43" s="613"/>
      <c r="R43" s="710">
        <v>42551</v>
      </c>
      <c r="S43" s="710" t="s">
        <v>229</v>
      </c>
      <c r="T43" s="710"/>
      <c r="U43" s="233"/>
      <c r="V43" s="17"/>
      <c r="X43" s="778" t="s">
        <v>344</v>
      </c>
      <c r="Y43" s="233"/>
      <c r="Z43" s="233"/>
      <c r="AB43" s="9" t="s">
        <v>365</v>
      </c>
      <c r="AC43" s="17">
        <v>44834</v>
      </c>
      <c r="AD43" s="233"/>
    </row>
    <row r="44" spans="1:30" s="9" customFormat="1" ht="31.5">
      <c r="A44" s="613" t="s">
        <v>414</v>
      </c>
      <c r="B44" s="613" t="s">
        <v>415</v>
      </c>
      <c r="C44" s="613">
        <v>2783</v>
      </c>
      <c r="D44" s="613" t="s">
        <v>416</v>
      </c>
      <c r="E44" s="613" t="s">
        <v>417</v>
      </c>
      <c r="F44" s="613" t="s">
        <v>379</v>
      </c>
      <c r="G44" s="613" t="s">
        <v>418</v>
      </c>
      <c r="H44" s="710" t="s">
        <v>397</v>
      </c>
      <c r="I44" s="1729">
        <v>44772</v>
      </c>
      <c r="J44" s="613">
        <v>8.1942000000000001E-2</v>
      </c>
      <c r="K44" s="613" t="s">
        <v>167</v>
      </c>
      <c r="L44" s="613">
        <v>167</v>
      </c>
      <c r="M44" s="613"/>
      <c r="N44" s="613"/>
      <c r="O44" s="613">
        <v>2022</v>
      </c>
      <c r="P44" s="1454">
        <v>0</v>
      </c>
      <c r="Q44" s="613"/>
      <c r="R44" s="710">
        <v>42551</v>
      </c>
      <c r="S44" s="710" t="s">
        <v>229</v>
      </c>
      <c r="T44" s="710"/>
      <c r="U44" s="233"/>
      <c r="V44" s="17"/>
      <c r="X44" s="778" t="s">
        <v>387</v>
      </c>
      <c r="Y44" s="233"/>
      <c r="Z44" s="233"/>
      <c r="AB44" s="9" t="s">
        <v>370</v>
      </c>
      <c r="AC44" s="17">
        <v>44834</v>
      </c>
      <c r="AD44" s="233"/>
    </row>
    <row r="45" spans="1:30" s="9" customFormat="1" ht="31.5">
      <c r="A45" s="613" t="s">
        <v>294</v>
      </c>
      <c r="B45" s="613" t="s">
        <v>419</v>
      </c>
      <c r="C45" s="613">
        <v>4248</v>
      </c>
      <c r="D45" s="613" t="s">
        <v>420</v>
      </c>
      <c r="E45" s="613" t="s">
        <v>421</v>
      </c>
      <c r="F45" s="613" t="s">
        <v>422</v>
      </c>
      <c r="G45" s="613" t="s">
        <v>424</v>
      </c>
      <c r="H45" s="710" t="s">
        <v>287</v>
      </c>
      <c r="I45" s="1729">
        <v>44772</v>
      </c>
      <c r="J45" s="613">
        <v>8.1942000000000001E-2</v>
      </c>
      <c r="K45" s="613" t="s">
        <v>423</v>
      </c>
      <c r="L45" s="613">
        <v>132</v>
      </c>
      <c r="M45" s="613"/>
      <c r="N45" s="613"/>
      <c r="O45" s="613">
        <v>2024</v>
      </c>
      <c r="P45" s="1454">
        <v>0</v>
      </c>
      <c r="Q45" s="613"/>
      <c r="R45" s="710">
        <v>42551</v>
      </c>
      <c r="S45" s="710" t="s">
        <v>229</v>
      </c>
      <c r="T45" s="710"/>
      <c r="U45" s="233"/>
      <c r="V45" s="17"/>
      <c r="X45" s="778" t="s">
        <v>165</v>
      </c>
      <c r="Y45" s="233"/>
      <c r="Z45" s="233"/>
      <c r="AB45" s="9" t="s">
        <v>403</v>
      </c>
      <c r="AC45" s="17">
        <v>44772</v>
      </c>
      <c r="AD45" s="233"/>
    </row>
    <row r="46" spans="1:30" s="9" customFormat="1" ht="31.5">
      <c r="A46" s="613" t="s">
        <v>149</v>
      </c>
      <c r="B46" s="613" t="s">
        <v>425</v>
      </c>
      <c r="C46" s="613">
        <v>5274</v>
      </c>
      <c r="D46" s="613" t="s">
        <v>426</v>
      </c>
      <c r="E46" s="613" t="s">
        <v>427</v>
      </c>
      <c r="F46" s="613" t="s">
        <v>428</v>
      </c>
      <c r="G46" s="613" t="s">
        <v>430</v>
      </c>
      <c r="H46" s="710" t="s">
        <v>227</v>
      </c>
      <c r="I46" s="1729">
        <v>44680</v>
      </c>
      <c r="J46" s="613">
        <v>8.1942000000000001E-2</v>
      </c>
      <c r="K46" s="613" t="s">
        <v>135</v>
      </c>
      <c r="L46" s="613">
        <v>103</v>
      </c>
      <c r="M46" s="613"/>
      <c r="N46" s="613"/>
      <c r="O46" s="613">
        <v>2024</v>
      </c>
      <c r="P46" s="1454">
        <v>0</v>
      </c>
      <c r="Q46" s="613"/>
      <c r="R46" s="710">
        <v>42451</v>
      </c>
      <c r="S46" s="710" t="s">
        <v>229</v>
      </c>
      <c r="T46" s="710"/>
      <c r="U46" s="233"/>
      <c r="V46" s="17"/>
      <c r="X46" s="778" t="s">
        <v>431</v>
      </c>
      <c r="Y46" s="233"/>
      <c r="Z46" s="233"/>
      <c r="AB46" s="9" t="s">
        <v>143</v>
      </c>
      <c r="AC46" s="17">
        <v>44772</v>
      </c>
      <c r="AD46" s="233"/>
    </row>
    <row r="47" spans="1:30" s="9" customFormat="1" ht="31.5">
      <c r="A47" s="613" t="s">
        <v>309</v>
      </c>
      <c r="B47" s="613" t="s">
        <v>432</v>
      </c>
      <c r="C47" s="613">
        <v>5377</v>
      </c>
      <c r="D47" s="613" t="s">
        <v>433</v>
      </c>
      <c r="E47" s="613" t="s">
        <v>434</v>
      </c>
      <c r="F47" s="613" t="s">
        <v>435</v>
      </c>
      <c r="G47" s="613" t="s">
        <v>437</v>
      </c>
      <c r="H47" s="710" t="s">
        <v>438</v>
      </c>
      <c r="I47" s="1729">
        <v>44710</v>
      </c>
      <c r="J47" s="613">
        <v>8.1942000000000001E-2</v>
      </c>
      <c r="K47" s="613" t="s">
        <v>436</v>
      </c>
      <c r="L47" s="613">
        <v>155</v>
      </c>
      <c r="M47" s="613"/>
      <c r="N47" s="613"/>
      <c r="O47" s="613">
        <v>2024</v>
      </c>
      <c r="P47" s="1454">
        <v>0</v>
      </c>
      <c r="Q47" s="613"/>
      <c r="R47" s="710">
        <v>42489</v>
      </c>
      <c r="S47" s="710" t="s">
        <v>229</v>
      </c>
      <c r="T47" s="710"/>
      <c r="U47" s="233"/>
      <c r="V47" s="17"/>
      <c r="X47" s="778" t="s">
        <v>349</v>
      </c>
      <c r="Y47" s="233"/>
      <c r="Z47" s="233"/>
      <c r="AB47" s="9" t="s">
        <v>414</v>
      </c>
      <c r="AC47" s="17">
        <v>44772</v>
      </c>
      <c r="AD47" s="233"/>
    </row>
    <row r="48" spans="1:30" s="9" customFormat="1" ht="31.5">
      <c r="A48" s="613" t="s">
        <v>304</v>
      </c>
      <c r="B48" s="613" t="s">
        <v>439</v>
      </c>
      <c r="C48" s="613">
        <v>5279</v>
      </c>
      <c r="D48" s="613" t="s">
        <v>440</v>
      </c>
      <c r="E48" s="613" t="s">
        <v>441</v>
      </c>
      <c r="F48" s="613" t="s">
        <v>428</v>
      </c>
      <c r="G48" s="1455" t="s">
        <v>442</v>
      </c>
      <c r="H48" s="710" t="s">
        <v>443</v>
      </c>
      <c r="I48" s="1729">
        <v>44680</v>
      </c>
      <c r="J48" s="613">
        <v>8.1942000000000001E-2</v>
      </c>
      <c r="K48" s="613" t="s">
        <v>135</v>
      </c>
      <c r="L48" s="613">
        <v>103</v>
      </c>
      <c r="M48" s="613"/>
      <c r="N48" s="613"/>
      <c r="O48" s="613">
        <v>2022</v>
      </c>
      <c r="P48" s="710" t="s">
        <v>444</v>
      </c>
      <c r="Q48" s="613"/>
      <c r="R48" s="710"/>
      <c r="S48" s="710" t="s">
        <v>445</v>
      </c>
      <c r="T48" s="710">
        <v>43374</v>
      </c>
      <c r="U48" s="233"/>
      <c r="V48" s="17"/>
      <c r="X48" s="778" t="s">
        <v>446</v>
      </c>
      <c r="Y48" s="233"/>
      <c r="Z48" s="233"/>
      <c r="AB48" s="9" t="s">
        <v>304</v>
      </c>
      <c r="AC48" s="17">
        <v>44680</v>
      </c>
      <c r="AD48" s="233"/>
    </row>
    <row r="49" spans="1:50" s="9" customFormat="1" ht="31.5">
      <c r="A49" s="613" t="s">
        <v>161</v>
      </c>
      <c r="B49" s="613" t="s">
        <v>447</v>
      </c>
      <c r="C49" s="613">
        <v>6603</v>
      </c>
      <c r="D49" s="613" t="s">
        <v>448</v>
      </c>
      <c r="E49" s="613" t="s">
        <v>449</v>
      </c>
      <c r="F49" s="613" t="s">
        <v>428</v>
      </c>
      <c r="G49" s="1455" t="s">
        <v>450</v>
      </c>
      <c r="H49" s="710" t="s">
        <v>451</v>
      </c>
      <c r="I49" s="1729">
        <v>44680</v>
      </c>
      <c r="J49" s="613">
        <v>8.1942000000000001E-2</v>
      </c>
      <c r="K49" s="613" t="s">
        <v>135</v>
      </c>
      <c r="L49" s="613">
        <v>103</v>
      </c>
      <c r="M49" s="613"/>
      <c r="N49" s="613"/>
      <c r="O49" s="613">
        <v>2022</v>
      </c>
      <c r="P49" s="710" t="s">
        <v>444</v>
      </c>
      <c r="Q49" s="613"/>
      <c r="R49" s="710"/>
      <c r="S49" s="710" t="s">
        <v>445</v>
      </c>
      <c r="T49" s="710">
        <v>43405</v>
      </c>
      <c r="U49" s="233"/>
      <c r="V49" s="17"/>
      <c r="X49" s="778" t="s">
        <v>277</v>
      </c>
      <c r="Y49" s="233"/>
      <c r="Z49" s="233"/>
      <c r="AB49" s="9" t="s">
        <v>161</v>
      </c>
      <c r="AC49" s="17">
        <v>44680</v>
      </c>
      <c r="AD49" s="233"/>
    </row>
    <row r="50" spans="1:50" s="9" customFormat="1" ht="31.5">
      <c r="A50" s="613" t="s">
        <v>327</v>
      </c>
      <c r="B50" s="613" t="s">
        <v>452</v>
      </c>
      <c r="C50" s="613">
        <v>504</v>
      </c>
      <c r="D50" s="613" t="s">
        <v>453</v>
      </c>
      <c r="E50" s="613" t="s">
        <v>454</v>
      </c>
      <c r="F50" s="613" t="s">
        <v>379</v>
      </c>
      <c r="G50" s="1455" t="s">
        <v>455</v>
      </c>
      <c r="H50" s="710" t="s">
        <v>456</v>
      </c>
      <c r="I50" s="1729">
        <v>44772</v>
      </c>
      <c r="J50" s="613">
        <v>8.1942000000000001E-2</v>
      </c>
      <c r="K50" s="613" t="s">
        <v>167</v>
      </c>
      <c r="L50" s="613">
        <v>167</v>
      </c>
      <c r="M50" s="613"/>
      <c r="N50" s="613"/>
      <c r="O50" s="613">
        <v>2022</v>
      </c>
      <c r="P50" s="710" t="s">
        <v>444</v>
      </c>
      <c r="Q50" s="613"/>
      <c r="R50" s="710"/>
      <c r="S50" s="710" t="s">
        <v>445</v>
      </c>
      <c r="T50" s="710">
        <v>43405</v>
      </c>
      <c r="U50" s="233"/>
      <c r="V50" s="17"/>
      <c r="X50" s="778" t="s">
        <v>457</v>
      </c>
      <c r="Y50" s="233"/>
      <c r="Z50" s="233"/>
      <c r="AB50" s="9" t="s">
        <v>327</v>
      </c>
      <c r="AC50" s="17">
        <v>44772</v>
      </c>
      <c r="AD50" s="233"/>
    </row>
    <row r="51" spans="1:50" s="9" customFormat="1" ht="31.5">
      <c r="A51" s="613" t="s">
        <v>431</v>
      </c>
      <c r="B51" s="613" t="s">
        <v>458</v>
      </c>
      <c r="C51" s="613">
        <v>527</v>
      </c>
      <c r="D51" s="613" t="s">
        <v>459</v>
      </c>
      <c r="E51" s="613" t="s">
        <v>460</v>
      </c>
      <c r="F51" s="613" t="s">
        <v>379</v>
      </c>
      <c r="G51" s="1455" t="s">
        <v>461</v>
      </c>
      <c r="H51" s="710" t="s">
        <v>462</v>
      </c>
      <c r="I51" s="1729">
        <v>44772</v>
      </c>
      <c r="J51" s="613">
        <v>8.1942000000000001E-2</v>
      </c>
      <c r="K51" s="613" t="s">
        <v>167</v>
      </c>
      <c r="L51" s="613">
        <v>167</v>
      </c>
      <c r="M51" s="613"/>
      <c r="N51" s="613"/>
      <c r="O51" s="613">
        <v>2022</v>
      </c>
      <c r="P51" s="710" t="s">
        <v>444</v>
      </c>
      <c r="Q51" s="613"/>
      <c r="R51" s="710"/>
      <c r="S51" s="710" t="s">
        <v>445</v>
      </c>
      <c r="T51" s="710">
        <v>43405</v>
      </c>
      <c r="U51" s="233"/>
      <c r="V51" s="17"/>
      <c r="X51" s="778" t="s">
        <v>154</v>
      </c>
      <c r="Y51" s="233"/>
      <c r="Z51" s="233"/>
      <c r="AB51" s="9" t="s">
        <v>431</v>
      </c>
      <c r="AC51" s="17">
        <v>44772</v>
      </c>
      <c r="AD51" s="233"/>
    </row>
    <row r="52" spans="1:50" s="9" customFormat="1" ht="31.5">
      <c r="A52" s="613" t="s">
        <v>230</v>
      </c>
      <c r="B52" s="613" t="s">
        <v>463</v>
      </c>
      <c r="C52" s="613">
        <v>11825</v>
      </c>
      <c r="D52" s="613" t="s">
        <v>464</v>
      </c>
      <c r="E52" s="613" t="s">
        <v>465</v>
      </c>
      <c r="F52" s="613" t="s">
        <v>422</v>
      </c>
      <c r="G52" s="1455" t="s">
        <v>467</v>
      </c>
      <c r="H52" s="710" t="s">
        <v>468</v>
      </c>
      <c r="I52" s="1729">
        <v>44772</v>
      </c>
      <c r="J52" s="613">
        <v>8.1942000000000001E-2</v>
      </c>
      <c r="K52" s="613" t="s">
        <v>466</v>
      </c>
      <c r="L52" s="613">
        <v>132</v>
      </c>
      <c r="M52" s="613"/>
      <c r="N52" s="613"/>
      <c r="O52" s="613">
        <v>2022</v>
      </c>
      <c r="P52" s="710" t="s">
        <v>444</v>
      </c>
      <c r="Q52" s="613"/>
      <c r="R52" s="710"/>
      <c r="S52" s="710" t="s">
        <v>445</v>
      </c>
      <c r="T52" s="710">
        <v>43405</v>
      </c>
      <c r="U52" s="233"/>
      <c r="V52" s="17"/>
      <c r="X52" s="778" t="s">
        <v>358</v>
      </c>
      <c r="Y52" s="233"/>
      <c r="Z52" s="233"/>
      <c r="AB52" s="9" t="s">
        <v>230</v>
      </c>
      <c r="AC52" s="17">
        <v>44772</v>
      </c>
      <c r="AD52" s="233"/>
    </row>
    <row r="53" spans="1:50" s="9" customFormat="1" ht="31.5">
      <c r="A53" s="613" t="s">
        <v>446</v>
      </c>
      <c r="B53" s="613" t="s">
        <v>469</v>
      </c>
      <c r="C53" s="613">
        <v>5375</v>
      </c>
      <c r="D53" s="613" t="s">
        <v>470</v>
      </c>
      <c r="E53" s="613" t="s">
        <v>471</v>
      </c>
      <c r="F53" s="613" t="s">
        <v>224</v>
      </c>
      <c r="G53" s="1455" t="s">
        <v>474</v>
      </c>
      <c r="H53" s="710" t="s">
        <v>475</v>
      </c>
      <c r="I53" s="1729">
        <v>44834</v>
      </c>
      <c r="J53" s="613">
        <v>8.1942000000000001E-2</v>
      </c>
      <c r="K53" s="613" t="s">
        <v>472</v>
      </c>
      <c r="L53" s="613">
        <v>145</v>
      </c>
      <c r="M53" s="613" t="s">
        <v>473</v>
      </c>
      <c r="N53" s="613">
        <v>136</v>
      </c>
      <c r="O53" s="613">
        <v>2022</v>
      </c>
      <c r="P53" s="710" t="s">
        <v>444</v>
      </c>
      <c r="Q53" s="613"/>
      <c r="R53" s="710"/>
      <c r="S53" s="710" t="s">
        <v>445</v>
      </c>
      <c r="T53" s="710">
        <v>43466</v>
      </c>
      <c r="U53" s="233"/>
      <c r="V53" s="17"/>
      <c r="X53" s="778" t="s">
        <v>398</v>
      </c>
      <c r="Y53" s="233"/>
      <c r="Z53" s="233"/>
      <c r="AB53" s="9" t="s">
        <v>446</v>
      </c>
      <c r="AC53" s="17">
        <v>44834</v>
      </c>
      <c r="AD53" s="233"/>
    </row>
    <row r="54" spans="1:50" s="9" customFormat="1" ht="31.5">
      <c r="A54" s="613" t="s">
        <v>152</v>
      </c>
      <c r="B54" s="613" t="s">
        <v>476</v>
      </c>
      <c r="C54" s="613">
        <v>5356</v>
      </c>
      <c r="D54" s="613" t="s">
        <v>477</v>
      </c>
      <c r="E54" s="613" t="s">
        <v>478</v>
      </c>
      <c r="F54" s="613" t="s">
        <v>285</v>
      </c>
      <c r="G54" s="1455" t="s">
        <v>480</v>
      </c>
      <c r="H54" s="710" t="s">
        <v>481</v>
      </c>
      <c r="I54" s="1729">
        <v>44834</v>
      </c>
      <c r="J54" s="613">
        <v>8.1942000000000001E-2</v>
      </c>
      <c r="K54" s="613" t="s">
        <v>479</v>
      </c>
      <c r="L54" s="613">
        <v>111</v>
      </c>
      <c r="M54" s="613"/>
      <c r="N54" s="613"/>
      <c r="O54" s="613">
        <v>2022</v>
      </c>
      <c r="P54" s="710" t="s">
        <v>444</v>
      </c>
      <c r="Q54" s="613"/>
      <c r="R54" s="710"/>
      <c r="S54" s="710" t="s">
        <v>445</v>
      </c>
      <c r="T54" s="710">
        <v>43435</v>
      </c>
      <c r="U54" s="233"/>
      <c r="V54" s="17"/>
      <c r="X54" s="778" t="s">
        <v>365</v>
      </c>
      <c r="Y54" s="233"/>
      <c r="Z54" s="233"/>
      <c r="AB54" s="9" t="s">
        <v>152</v>
      </c>
      <c r="AC54" s="17">
        <v>44834</v>
      </c>
      <c r="AD54" s="233"/>
    </row>
    <row r="55" spans="1:50" s="9" customFormat="1" ht="31.5">
      <c r="A55" s="613" t="s">
        <v>409</v>
      </c>
      <c r="B55" s="613" t="s">
        <v>482</v>
      </c>
      <c r="C55" s="613">
        <v>7883</v>
      </c>
      <c r="D55" s="613" t="s">
        <v>483</v>
      </c>
      <c r="E55" s="613" t="s">
        <v>484</v>
      </c>
      <c r="F55" s="613" t="s">
        <v>285</v>
      </c>
      <c r="G55" s="1455" t="s">
        <v>485</v>
      </c>
      <c r="H55" s="710" t="s">
        <v>486</v>
      </c>
      <c r="I55" s="1729">
        <v>44834</v>
      </c>
      <c r="J55" s="613">
        <v>8.1942000000000001E-2</v>
      </c>
      <c r="K55" s="613" t="s">
        <v>479</v>
      </c>
      <c r="L55" s="613">
        <v>111</v>
      </c>
      <c r="M55" s="613"/>
      <c r="N55" s="613"/>
      <c r="O55" s="613">
        <v>2022</v>
      </c>
      <c r="P55" s="710" t="s">
        <v>444</v>
      </c>
      <c r="Q55" s="613"/>
      <c r="R55" s="710"/>
      <c r="S55" s="710" t="s">
        <v>445</v>
      </c>
      <c r="T55" s="710">
        <v>43435</v>
      </c>
      <c r="U55" s="233"/>
      <c r="V55" s="17"/>
      <c r="X55" s="778" t="s">
        <v>11</v>
      </c>
      <c r="Y55" s="233"/>
      <c r="Z55" s="233"/>
      <c r="AB55" s="9" t="s">
        <v>409</v>
      </c>
      <c r="AC55" s="17">
        <v>44834</v>
      </c>
      <c r="AD55" s="233"/>
    </row>
    <row r="56" spans="1:50" s="9" customFormat="1" ht="31.5">
      <c r="A56" s="613" t="s">
        <v>457</v>
      </c>
      <c r="B56" s="613" t="s">
        <v>487</v>
      </c>
      <c r="C56" s="613">
        <v>11763</v>
      </c>
      <c r="D56" s="613" t="s">
        <v>488</v>
      </c>
      <c r="E56" s="613" t="s">
        <v>489</v>
      </c>
      <c r="F56" s="613" t="s">
        <v>285</v>
      </c>
      <c r="G56" s="1455" t="s">
        <v>490</v>
      </c>
      <c r="H56" s="710" t="s">
        <v>491</v>
      </c>
      <c r="I56" s="1729">
        <v>44834</v>
      </c>
      <c r="J56" s="613">
        <v>8.1942000000000001E-2</v>
      </c>
      <c r="K56" s="613" t="s">
        <v>479</v>
      </c>
      <c r="L56" s="613">
        <v>111</v>
      </c>
      <c r="M56" s="613"/>
      <c r="N56" s="613"/>
      <c r="O56" s="613">
        <v>2022</v>
      </c>
      <c r="P56" s="710" t="s">
        <v>444</v>
      </c>
      <c r="Q56" s="613"/>
      <c r="R56" s="710"/>
      <c r="S56" s="710" t="s">
        <v>445</v>
      </c>
      <c r="T56" s="710">
        <v>43466</v>
      </c>
      <c r="U56" s="233"/>
      <c r="V56" s="17"/>
      <c r="X56" s="613" t="s">
        <v>10</v>
      </c>
      <c r="Y56" s="233"/>
      <c r="Z56" s="233"/>
      <c r="AB56" s="9" t="s">
        <v>457</v>
      </c>
      <c r="AC56" s="17">
        <v>44834</v>
      </c>
      <c r="AD56" s="233"/>
    </row>
    <row r="57" spans="1:50" s="9" customFormat="1" ht="31.5">
      <c r="A57" s="613" t="s">
        <v>492</v>
      </c>
      <c r="B57" s="613" t="s">
        <v>493</v>
      </c>
      <c r="C57" s="613">
        <v>5374</v>
      </c>
      <c r="D57" s="613" t="s">
        <v>494</v>
      </c>
      <c r="E57" s="613" t="s">
        <v>495</v>
      </c>
      <c r="F57" s="613" t="s">
        <v>285</v>
      </c>
      <c r="G57" s="1455" t="s">
        <v>496</v>
      </c>
      <c r="H57" s="710" t="s">
        <v>497</v>
      </c>
      <c r="I57" s="1729">
        <v>44834</v>
      </c>
      <c r="J57" s="613">
        <v>8.1942000000000001E-2</v>
      </c>
      <c r="K57" s="613" t="s">
        <v>479</v>
      </c>
      <c r="L57" s="613">
        <v>111</v>
      </c>
      <c r="M57" s="613"/>
      <c r="N57" s="613"/>
      <c r="O57" s="613">
        <v>2022</v>
      </c>
      <c r="P57" s="710" t="s">
        <v>444</v>
      </c>
      <c r="Q57" s="613"/>
      <c r="R57" s="710"/>
      <c r="S57" s="710" t="s">
        <v>445</v>
      </c>
      <c r="T57" s="710">
        <v>43435</v>
      </c>
      <c r="U57" s="233"/>
      <c r="V57" s="17"/>
      <c r="X57" s="834" t="s">
        <v>498</v>
      </c>
      <c r="Y57" s="233"/>
      <c r="Z57" s="233"/>
      <c r="AB57" s="9" t="s">
        <v>492</v>
      </c>
      <c r="AC57" s="17">
        <v>44834</v>
      </c>
      <c r="AD57" s="233"/>
    </row>
    <row r="58" spans="1:50" s="9" customFormat="1" ht="31.5">
      <c r="A58" s="613" t="s">
        <v>10</v>
      </c>
      <c r="B58" s="613" t="s">
        <v>499</v>
      </c>
      <c r="C58" s="613">
        <v>5346</v>
      </c>
      <c r="D58" s="613" t="s">
        <v>500</v>
      </c>
      <c r="E58" s="613" t="s">
        <v>501</v>
      </c>
      <c r="F58" s="613" t="s">
        <v>379</v>
      </c>
      <c r="G58" s="613" t="s">
        <v>502</v>
      </c>
      <c r="H58" s="710" t="s">
        <v>503</v>
      </c>
      <c r="I58" s="1729">
        <v>44917</v>
      </c>
      <c r="J58" s="613">
        <v>8.1942000000000001E-2</v>
      </c>
      <c r="K58" s="613" t="s">
        <v>291</v>
      </c>
      <c r="L58" s="613">
        <v>110</v>
      </c>
      <c r="M58" s="613"/>
      <c r="N58" s="613"/>
      <c r="O58" s="613">
        <v>2022</v>
      </c>
      <c r="P58" s="710"/>
      <c r="Q58" s="613"/>
      <c r="R58" s="710"/>
      <c r="S58" s="710" t="s">
        <v>445</v>
      </c>
      <c r="T58" s="710">
        <v>43525</v>
      </c>
      <c r="U58" s="233"/>
      <c r="V58" s="17"/>
      <c r="X58" s="778" t="s">
        <v>370</v>
      </c>
      <c r="Y58" s="233"/>
      <c r="Z58" s="233"/>
      <c r="AB58" s="9" t="s">
        <v>10</v>
      </c>
      <c r="AC58" s="17">
        <v>44917</v>
      </c>
      <c r="AD58" s="233"/>
    </row>
    <row r="59" spans="1:50" s="9" customFormat="1" ht="31.5">
      <c r="A59" s="613" t="s">
        <v>11</v>
      </c>
      <c r="B59" s="613" t="s">
        <v>504</v>
      </c>
      <c r="C59" s="613">
        <v>5345</v>
      </c>
      <c r="D59" s="613" t="s">
        <v>505</v>
      </c>
      <c r="E59" s="613" t="s">
        <v>506</v>
      </c>
      <c r="F59" s="613" t="s">
        <v>379</v>
      </c>
      <c r="G59" s="613" t="s">
        <v>507</v>
      </c>
      <c r="H59" s="710" t="s">
        <v>508</v>
      </c>
      <c r="I59" s="1729">
        <v>44917</v>
      </c>
      <c r="J59" s="613">
        <v>8.1942000000000001E-2</v>
      </c>
      <c r="K59" s="613" t="s">
        <v>291</v>
      </c>
      <c r="L59" s="613">
        <v>110</v>
      </c>
      <c r="M59" s="613"/>
      <c r="N59" s="613"/>
      <c r="O59" s="613">
        <v>2022</v>
      </c>
      <c r="P59" s="710"/>
      <c r="Q59" s="613"/>
      <c r="R59" s="710"/>
      <c r="S59" s="710" t="s">
        <v>445</v>
      </c>
      <c r="T59" s="710">
        <v>43525</v>
      </c>
      <c r="U59" s="233"/>
      <c r="V59" s="17"/>
      <c r="X59" s="778" t="s">
        <v>403</v>
      </c>
      <c r="Y59" s="233"/>
      <c r="Z59" s="233"/>
      <c r="AB59" s="9" t="s">
        <v>11</v>
      </c>
      <c r="AC59" s="17">
        <v>44917</v>
      </c>
      <c r="AD59" s="233"/>
    </row>
    <row r="60" spans="1:50" s="9" customFormat="1" ht="31.5">
      <c r="A60" s="613" t="s">
        <v>265</v>
      </c>
      <c r="B60" s="613" t="s">
        <v>509</v>
      </c>
      <c r="C60" s="613">
        <v>7467</v>
      </c>
      <c r="D60" s="613" t="s">
        <v>510</v>
      </c>
      <c r="E60" s="613" t="s">
        <v>511</v>
      </c>
      <c r="F60" s="613" t="s">
        <v>224</v>
      </c>
      <c r="G60" s="613" t="s">
        <v>512</v>
      </c>
      <c r="H60" s="710" t="s">
        <v>513</v>
      </c>
      <c r="I60" s="1729">
        <v>44710</v>
      </c>
      <c r="J60" s="613">
        <v>8.1942000000000001E-2</v>
      </c>
      <c r="K60" s="613" t="s">
        <v>125</v>
      </c>
      <c r="L60" s="613">
        <v>136</v>
      </c>
      <c r="M60" s="613" t="s">
        <v>136</v>
      </c>
      <c r="N60" s="613">
        <v>145</v>
      </c>
      <c r="O60" s="613">
        <v>2023</v>
      </c>
      <c r="P60" s="710"/>
      <c r="Q60" s="613"/>
      <c r="R60" s="710"/>
      <c r="S60" s="710" t="s">
        <v>445</v>
      </c>
      <c r="T60" s="710">
        <v>43614</v>
      </c>
      <c r="X60" s="778" t="s">
        <v>143</v>
      </c>
      <c r="Y60" s="233"/>
      <c r="Z60" s="233"/>
      <c r="AB60" s="9" t="s">
        <v>265</v>
      </c>
      <c r="AC60" s="17">
        <v>44710</v>
      </c>
      <c r="AD60" s="233"/>
    </row>
    <row r="61" spans="1:50" ht="31.5">
      <c r="A61" s="496" t="s">
        <v>258</v>
      </c>
      <c r="B61" s="496" t="s">
        <v>514</v>
      </c>
      <c r="C61" s="496">
        <v>5343</v>
      </c>
      <c r="D61" s="613" t="s">
        <v>515</v>
      </c>
      <c r="E61" s="496" t="s">
        <v>516</v>
      </c>
      <c r="F61" s="496" t="s">
        <v>379</v>
      </c>
      <c r="G61" s="710">
        <v>43831</v>
      </c>
      <c r="H61" s="821" t="s">
        <v>518</v>
      </c>
      <c r="I61" s="1729">
        <v>44772</v>
      </c>
      <c r="J61" s="613">
        <v>8.1942000000000001E-2</v>
      </c>
      <c r="K61" s="496" t="s">
        <v>167</v>
      </c>
      <c r="L61" s="496">
        <v>167</v>
      </c>
      <c r="M61" s="496" t="s">
        <v>517</v>
      </c>
      <c r="N61" s="496">
        <v>164</v>
      </c>
      <c r="O61" s="496">
        <v>2022</v>
      </c>
      <c r="P61" s="496"/>
      <c r="Q61" s="821"/>
      <c r="R61" s="821"/>
      <c r="S61" s="710" t="s">
        <v>519</v>
      </c>
      <c r="T61" s="821">
        <v>44105</v>
      </c>
      <c r="X61" s="613" t="s">
        <v>414</v>
      </c>
      <c r="Y61" s="816"/>
      <c r="AB61" t="s">
        <v>258</v>
      </c>
      <c r="AC61" s="8">
        <v>44772</v>
      </c>
      <c r="AD61" s="816"/>
      <c r="AS61"/>
      <c r="AX61"/>
    </row>
    <row r="62" spans="1:50">
      <c r="AD62" s="748"/>
    </row>
    <row r="64" spans="1:50">
      <c r="B64">
        <v>6896</v>
      </c>
    </row>
    <row r="66" spans="1:14" hidden="1">
      <c r="A66" s="626" t="s">
        <v>520</v>
      </c>
    </row>
    <row r="67" spans="1:14" hidden="1"/>
    <row r="68" spans="1:14" hidden="1">
      <c r="A68" s="497" t="s">
        <v>521</v>
      </c>
      <c r="B68" s="497" t="s">
        <v>27</v>
      </c>
      <c r="C68" s="497" t="s">
        <v>522</v>
      </c>
      <c r="D68" s="497" t="s">
        <v>523</v>
      </c>
      <c r="E68" s="497" t="s">
        <v>524</v>
      </c>
      <c r="F68" s="497" t="s">
        <v>525</v>
      </c>
      <c r="G68" s="497" t="s">
        <v>526</v>
      </c>
      <c r="H68" s="497" t="s">
        <v>527</v>
      </c>
      <c r="I68" s="497" t="s">
        <v>528</v>
      </c>
      <c r="J68" s="497" t="s">
        <v>529</v>
      </c>
      <c r="K68" s="503" t="s">
        <v>530</v>
      </c>
      <c r="L68" s="497" t="s">
        <v>531</v>
      </c>
      <c r="M68" s="503" t="s">
        <v>532</v>
      </c>
      <c r="N68" s="503" t="s">
        <v>2028</v>
      </c>
    </row>
    <row r="69" spans="1:14" hidden="1">
      <c r="A69" s="468" t="s">
        <v>220</v>
      </c>
      <c r="B69" s="613" t="s">
        <v>225</v>
      </c>
      <c r="C69" s="468">
        <v>104</v>
      </c>
      <c r="D69" s="468">
        <v>391</v>
      </c>
      <c r="E69" s="468" t="s">
        <v>533</v>
      </c>
      <c r="F69" s="468" t="str">
        <f>CONCATENATE(DescontosTE[[#This Row],[Permissionária]],DescontosTE[[#This Row],[codsariSUP]],DescontosTE[[#This Row],[Classe]])</f>
        <v>Cedrap391A4</v>
      </c>
      <c r="G69" s="498">
        <v>0.85740000000000005</v>
      </c>
      <c r="H69" s="498">
        <v>0.64305000000000001</v>
      </c>
      <c r="I69" s="498">
        <v>0.33069999999999999</v>
      </c>
      <c r="J69" s="500">
        <v>0.33069999999999999</v>
      </c>
      <c r="K69" s="653">
        <v>0.26350000000000001</v>
      </c>
      <c r="L69" s="822">
        <v>0</v>
      </c>
      <c r="M69" s="822">
        <v>0</v>
      </c>
    </row>
    <row r="70" spans="1:14" hidden="1">
      <c r="A70" s="468" t="s">
        <v>220</v>
      </c>
      <c r="B70" s="468" t="s">
        <v>136</v>
      </c>
      <c r="C70" s="468">
        <v>145</v>
      </c>
      <c r="D70" s="468">
        <v>385</v>
      </c>
      <c r="E70" s="468" t="s">
        <v>533</v>
      </c>
      <c r="F70" s="468" t="str">
        <f>CONCATENATE(DescontosTE[[#This Row],[Permissionária]],DescontosTE[[#This Row],[codsariSUP]],DescontosTE[[#This Row],[Classe]])</f>
        <v>Cedrap385A4</v>
      </c>
      <c r="G70" s="498">
        <v>0.81920000000000004</v>
      </c>
      <c r="H70" s="498">
        <v>0.61440000000000006</v>
      </c>
      <c r="I70" s="498">
        <v>0.33069999999999999</v>
      </c>
      <c r="J70" s="500">
        <v>0.33069999999999999</v>
      </c>
      <c r="K70" s="653">
        <v>0.26350000000000001</v>
      </c>
      <c r="L70" s="822">
        <v>0</v>
      </c>
      <c r="M70" s="822">
        <v>0</v>
      </c>
    </row>
    <row r="71" spans="1:14" hidden="1">
      <c r="A71" s="468" t="s">
        <v>153</v>
      </c>
      <c r="B71" s="468" t="s">
        <v>136</v>
      </c>
      <c r="C71" s="468">
        <v>145</v>
      </c>
      <c r="D71" s="468">
        <v>385</v>
      </c>
      <c r="E71" s="468" t="s">
        <v>533</v>
      </c>
      <c r="F71" s="468" t="str">
        <f>CONCATENATE(DescontosTE[[#This Row],[Permissionária]],DescontosTE[[#This Row],[codsariSUP]],DescontosTE[[#This Row],[Classe]])</f>
        <v>Cedri385A4</v>
      </c>
      <c r="G71" s="498">
        <v>0.62490000000000001</v>
      </c>
      <c r="H71" s="498">
        <v>0.46867500000000001</v>
      </c>
      <c r="I71" s="498">
        <v>0.45379999999999998</v>
      </c>
      <c r="J71" s="500">
        <v>0.45379999999999998</v>
      </c>
      <c r="K71" s="653">
        <v>0</v>
      </c>
      <c r="L71" s="822">
        <v>0</v>
      </c>
      <c r="M71" s="822">
        <v>0</v>
      </c>
    </row>
    <row r="72" spans="1:14" hidden="1">
      <c r="A72" s="468" t="s">
        <v>252</v>
      </c>
      <c r="B72" s="468" t="s">
        <v>155</v>
      </c>
      <c r="C72" s="468">
        <v>111</v>
      </c>
      <c r="D72" s="468">
        <v>5697</v>
      </c>
      <c r="E72" s="468" t="s">
        <v>533</v>
      </c>
      <c r="F72" s="468" t="str">
        <f>CONCATENATE(DescontosTE[[#This Row],[Permissionária]],DescontosTE[[#This Row],[codsariSUP]],DescontosTE[[#This Row],[Classe]])</f>
        <v>Cejama5697A4</v>
      </c>
      <c r="G72" s="498">
        <v>0.53426551936078681</v>
      </c>
      <c r="H72" s="498">
        <v>0.40069913952059011</v>
      </c>
      <c r="I72" s="498">
        <v>0.40069913952059011</v>
      </c>
      <c r="J72" s="500">
        <v>0.4007</v>
      </c>
      <c r="K72" s="653">
        <v>0.22989999999999999</v>
      </c>
      <c r="L72" s="822">
        <v>0</v>
      </c>
      <c r="M72" s="822">
        <v>0</v>
      </c>
    </row>
    <row r="73" spans="1:14" hidden="1">
      <c r="A73" s="468" t="s">
        <v>252</v>
      </c>
      <c r="B73" s="474" t="s">
        <v>344</v>
      </c>
      <c r="C73" s="468">
        <v>228</v>
      </c>
      <c r="D73" s="468">
        <v>5368</v>
      </c>
      <c r="E73" s="468" t="s">
        <v>533</v>
      </c>
      <c r="F73" s="468" t="str">
        <f>CONCATENATE(DescontosTE[[#This Row],[Permissionária]],DescontosTE[[#This Row],[codsariSUP]],DescontosTE[[#This Row],[Classe]])</f>
        <v>Cejama5368A4</v>
      </c>
      <c r="G73" s="653">
        <v>0</v>
      </c>
      <c r="H73" s="653">
        <v>0</v>
      </c>
      <c r="I73" s="653">
        <v>0</v>
      </c>
      <c r="J73" s="499">
        <v>0</v>
      </c>
      <c r="K73" s="653">
        <v>0</v>
      </c>
      <c r="L73" s="822">
        <v>0</v>
      </c>
      <c r="M73" s="822">
        <v>0</v>
      </c>
    </row>
    <row r="74" spans="1:14" hidden="1">
      <c r="A74" s="468" t="s">
        <v>9</v>
      </c>
      <c r="B74" s="468" t="s">
        <v>534</v>
      </c>
      <c r="C74" s="468">
        <v>110</v>
      </c>
      <c r="D74" s="468">
        <v>5707</v>
      </c>
      <c r="E74" s="468" t="s">
        <v>533</v>
      </c>
      <c r="F74" s="468" t="str">
        <f>CONCATENATE(DescontosTE[[#This Row],[Permissionária]],DescontosTE[[#This Row],[codsariSUP]],DescontosTE[[#This Row],[Classe]])</f>
        <v>Ceprag5707A4</v>
      </c>
      <c r="G74" s="498">
        <v>0.57969814099024475</v>
      </c>
      <c r="H74" s="498">
        <v>0.57969814099024475</v>
      </c>
      <c r="I74" s="498">
        <v>0.57969814099024475</v>
      </c>
      <c r="J74" s="498">
        <v>0.57969814099024475</v>
      </c>
      <c r="K74" s="653">
        <v>0.30859999999999999</v>
      </c>
      <c r="L74" s="822">
        <v>0</v>
      </c>
      <c r="M74" s="1445">
        <v>0</v>
      </c>
    </row>
    <row r="75" spans="1:14" hidden="1">
      <c r="A75" s="468" t="s">
        <v>9</v>
      </c>
      <c r="B75" s="468" t="s">
        <v>155</v>
      </c>
      <c r="C75" s="468">
        <v>111</v>
      </c>
      <c r="D75" s="468">
        <v>5697</v>
      </c>
      <c r="E75" s="468" t="s">
        <v>535</v>
      </c>
      <c r="F75" s="468" t="str">
        <f>CONCATENATE(DescontosTE[[#This Row],[Permissionária]],DescontosTE[[#This Row],[codsariSUP]],DescontosTE[[#This Row],[Classe]])</f>
        <v>Ceprag5697A3</v>
      </c>
      <c r="G75" s="498">
        <v>0.54564975934838955</v>
      </c>
      <c r="H75" s="498">
        <v>0.54564975934838955</v>
      </c>
      <c r="I75" s="498">
        <v>0.54564975934838955</v>
      </c>
      <c r="J75" s="498">
        <v>0.54564975934838955</v>
      </c>
      <c r="K75" s="653">
        <v>0.30859999999999999</v>
      </c>
      <c r="L75" s="822">
        <v>0.29099999999999998</v>
      </c>
      <c r="M75" s="1446">
        <v>0</v>
      </c>
    </row>
    <row r="76" spans="1:14" hidden="1">
      <c r="A76" s="468" t="s">
        <v>276</v>
      </c>
      <c r="B76" s="468" t="s">
        <v>155</v>
      </c>
      <c r="C76" s="468">
        <v>111</v>
      </c>
      <c r="D76" s="468">
        <v>5697</v>
      </c>
      <c r="E76" s="468" t="s">
        <v>533</v>
      </c>
      <c r="F76" s="468" t="str">
        <f>CONCATENATE(DescontosTE[[#This Row],[Permissionária]],DescontosTE[[#This Row],[codsariSUP]],DescontosTE[[#This Row],[Classe]])</f>
        <v>Ceraçá5697A4</v>
      </c>
      <c r="G76" s="498">
        <v>0.89512907191149349</v>
      </c>
      <c r="H76" s="498">
        <v>0.67134680393362012</v>
      </c>
      <c r="I76" s="498">
        <v>0.67134680393362012</v>
      </c>
      <c r="J76" s="500">
        <v>0.65039999999999998</v>
      </c>
      <c r="K76" s="653">
        <v>0.57469999999999999</v>
      </c>
      <c r="L76" s="822">
        <v>0.56379999999999997</v>
      </c>
      <c r="M76" s="1446">
        <v>0.54410000000000003</v>
      </c>
    </row>
    <row r="77" spans="1:14" hidden="1">
      <c r="A77" s="468" t="s">
        <v>150</v>
      </c>
      <c r="B77" s="468" t="s">
        <v>299</v>
      </c>
      <c r="C77" s="468">
        <v>220</v>
      </c>
      <c r="D77" s="468">
        <v>6898</v>
      </c>
      <c r="E77" s="468" t="s">
        <v>533</v>
      </c>
      <c r="F77" s="468" t="str">
        <f>CONCATENATE(DescontosTE[[#This Row],[Permissionária]],DescontosTE[[#This Row],[codsariSUP]],DescontosTE[[#This Row],[Classe]])</f>
        <v>Ceral Anitápolis6898A4</v>
      </c>
      <c r="G77" s="498">
        <v>0.90610167159661548</v>
      </c>
      <c r="H77" s="498">
        <v>0.67957625369746166</v>
      </c>
      <c r="I77" s="498">
        <v>0.222</v>
      </c>
      <c r="J77" s="500">
        <v>0.1933</v>
      </c>
      <c r="K77" s="653">
        <v>0.1933</v>
      </c>
      <c r="L77" s="822">
        <v>0</v>
      </c>
      <c r="M77" s="822">
        <v>0</v>
      </c>
    </row>
    <row r="78" spans="1:14" hidden="1">
      <c r="A78" s="468" t="s">
        <v>294</v>
      </c>
      <c r="B78" s="468" t="s">
        <v>536</v>
      </c>
      <c r="C78" s="468">
        <v>132</v>
      </c>
      <c r="D78" s="468">
        <v>2866</v>
      </c>
      <c r="E78" s="468" t="s">
        <v>533</v>
      </c>
      <c r="F78" s="468" t="str">
        <f>CONCATENATE(DescontosTE[[#This Row],[Permissionária]],DescontosTE[[#This Row],[codsariSUP]],DescontosTE[[#This Row],[Classe]])</f>
        <v>Ceral Dis2866A4</v>
      </c>
      <c r="G78" s="498">
        <v>0.73094654242275625</v>
      </c>
      <c r="H78" s="498">
        <v>0.54820990681706716</v>
      </c>
      <c r="I78" s="498">
        <v>0.40820000000000001</v>
      </c>
      <c r="J78" s="500">
        <v>0.40816629218792566</v>
      </c>
      <c r="K78" s="653">
        <v>0.38150000000000001</v>
      </c>
      <c r="L78" s="822">
        <v>0.2326</v>
      </c>
      <c r="M78" s="1446">
        <v>0.2326</v>
      </c>
    </row>
    <row r="79" spans="1:14" hidden="1">
      <c r="A79" s="468" t="s">
        <v>294</v>
      </c>
      <c r="B79" s="468" t="s">
        <v>536</v>
      </c>
      <c r="C79" s="468">
        <v>132</v>
      </c>
      <c r="D79" s="468">
        <v>2866</v>
      </c>
      <c r="E79" s="468" t="s">
        <v>537</v>
      </c>
      <c r="F79" s="468" t="str">
        <f>CONCATENATE(DescontosTE[[#This Row],[Permissionária]],DescontosTE[[#This Row],[codsariSUP]],DescontosTE[[#This Row],[Classe]])</f>
        <v>Ceral Dis2866A3a</v>
      </c>
      <c r="G79" s="498">
        <v>0.73094654242275625</v>
      </c>
      <c r="H79" s="498">
        <v>0.54820990681706716</v>
      </c>
      <c r="I79" s="498">
        <v>0.40820000000000001</v>
      </c>
      <c r="J79" s="500">
        <v>0.40816629218792566</v>
      </c>
      <c r="K79" s="653">
        <v>0.38150000000000001</v>
      </c>
      <c r="L79" s="822">
        <v>0.2326</v>
      </c>
      <c r="M79" s="1446">
        <v>0.2326</v>
      </c>
    </row>
    <row r="80" spans="1:14" hidden="1">
      <c r="A80" s="468" t="s">
        <v>299</v>
      </c>
      <c r="B80" s="468" t="s">
        <v>155</v>
      </c>
      <c r="C80" s="468">
        <v>111</v>
      </c>
      <c r="D80" s="468">
        <v>5697</v>
      </c>
      <c r="E80" s="468" t="s">
        <v>538</v>
      </c>
      <c r="F80" s="468" t="str">
        <f>CONCATENATE(DescontosTE[[#This Row],[Permissionária]],DescontosTE[[#This Row],[codsariSUP]],DescontosTE[[#This Row],[Classe]])</f>
        <v>Cerbranorte5697A2</v>
      </c>
      <c r="G80" s="498">
        <v>0.47579901659496004</v>
      </c>
      <c r="H80" s="498">
        <v>0.35684926244622006</v>
      </c>
      <c r="I80" s="498">
        <v>0.35684926244622006</v>
      </c>
      <c r="J80" s="500">
        <v>0.34470000000000001</v>
      </c>
      <c r="K80" s="653">
        <v>0.1027</v>
      </c>
      <c r="L80" s="822">
        <v>9.9400000000000002E-2</v>
      </c>
      <c r="M80" s="1446">
        <v>0</v>
      </c>
    </row>
    <row r="81" spans="1:14" hidden="1">
      <c r="A81" s="468" t="s">
        <v>299</v>
      </c>
      <c r="B81" s="468" t="s">
        <v>155</v>
      </c>
      <c r="C81" s="468">
        <v>111</v>
      </c>
      <c r="D81" s="468">
        <v>5697</v>
      </c>
      <c r="E81" s="468" t="s">
        <v>533</v>
      </c>
      <c r="F81" s="468" t="str">
        <f>CONCATENATE(DescontosTE[[#This Row],[Permissionária]],DescontosTE[[#This Row],[codsariSUP]],DescontosTE[[#This Row],[Classe]])</f>
        <v>Cerbranorte5697A4</v>
      </c>
      <c r="G81" s="498">
        <v>0.47579901659496004</v>
      </c>
      <c r="H81" s="498">
        <v>0.35684926244622006</v>
      </c>
      <c r="I81" s="498">
        <v>0.35684926244622006</v>
      </c>
      <c r="J81" s="500">
        <v>0.34470000000000001</v>
      </c>
      <c r="K81" s="653">
        <v>0.1027</v>
      </c>
      <c r="L81" s="822">
        <v>9.9400000000000002E-2</v>
      </c>
      <c r="M81" s="1446">
        <v>0</v>
      </c>
    </row>
    <row r="82" spans="1:14" hidden="1">
      <c r="A82" s="468" t="s">
        <v>309</v>
      </c>
      <c r="B82" s="468" t="s">
        <v>539</v>
      </c>
      <c r="C82" s="468">
        <v>155</v>
      </c>
      <c r="D82" s="468">
        <v>6587</v>
      </c>
      <c r="E82" s="468" t="s">
        <v>533</v>
      </c>
      <c r="F82" s="468" t="str">
        <f>CONCATENATE(DescontosTE[[#This Row],[Permissionária]],DescontosTE[[#This Row],[codsariSUP]],DescontosTE[[#This Row],[Classe]])</f>
        <v>Cercos6587A4</v>
      </c>
      <c r="G82" s="498">
        <v>0.71649852236828693</v>
      </c>
      <c r="H82" s="498">
        <v>0.5373738917762152</v>
      </c>
      <c r="I82" s="498">
        <v>0.35820000000000002</v>
      </c>
      <c r="J82" s="500">
        <v>0</v>
      </c>
      <c r="K82" s="653">
        <v>0</v>
      </c>
      <c r="L82" s="822">
        <v>0</v>
      </c>
      <c r="M82" s="822">
        <v>0</v>
      </c>
    </row>
    <row r="83" spans="1:14" hidden="1">
      <c r="A83" s="468" t="s">
        <v>310</v>
      </c>
      <c r="B83" s="468" t="s">
        <v>155</v>
      </c>
      <c r="C83" s="468">
        <v>111</v>
      </c>
      <c r="D83" s="468">
        <v>5697</v>
      </c>
      <c r="E83" s="468" t="s">
        <v>533</v>
      </c>
      <c r="F83" s="468" t="str">
        <f>CONCATENATE(DescontosTE[[#This Row],[Permissionária]],DescontosTE[[#This Row],[codsariSUP]],DescontosTE[[#This Row],[Classe]])</f>
        <v>Cerej5697A4</v>
      </c>
      <c r="G83" s="498">
        <v>0.89474492931776273</v>
      </c>
      <c r="H83" s="498">
        <v>0.6710586969883221</v>
      </c>
      <c r="I83" s="498">
        <v>0.6710586969883221</v>
      </c>
      <c r="J83" s="500">
        <v>0.67110000000000003</v>
      </c>
      <c r="K83" s="653">
        <v>0.67110000000000003</v>
      </c>
      <c r="L83" s="822">
        <v>0.63749999999999996</v>
      </c>
      <c r="M83" s="1446">
        <v>0.41699999999999998</v>
      </c>
    </row>
    <row r="84" spans="1:14" hidden="1">
      <c r="A84" s="468" t="s">
        <v>149</v>
      </c>
      <c r="B84" s="474" t="s">
        <v>135</v>
      </c>
      <c r="C84" s="468">
        <v>103</v>
      </c>
      <c r="D84" s="468">
        <v>383</v>
      </c>
      <c r="E84" s="468" t="s">
        <v>533</v>
      </c>
      <c r="F84" s="468" t="str">
        <f>CONCATENATE(DescontosTE[[#This Row],[Permissionária]],DescontosTE[[#This Row],[codsariSUP]],DescontosTE[[#This Row],[Classe]])</f>
        <v>Ceres383A4</v>
      </c>
      <c r="G84" s="498">
        <v>0.87464280342908707</v>
      </c>
      <c r="H84" s="498">
        <v>0.65598210257181533</v>
      </c>
      <c r="I84" s="498">
        <v>0.43730000000000002</v>
      </c>
      <c r="J84" s="498">
        <v>0.43730000000000002</v>
      </c>
      <c r="K84" s="653">
        <v>0.43730000000000002</v>
      </c>
      <c r="L84" s="822">
        <f>DescontosTE[[#This Row],[2019]]</f>
        <v>0.43730000000000002</v>
      </c>
      <c r="M84" s="1447">
        <f>DescontosTE[[#This Row],[2020]]</f>
        <v>0.43730000000000002</v>
      </c>
      <c r="N84" s="1447">
        <f>DescontosTE[[#This Row],[2020]]</f>
        <v>0.43730000000000002</v>
      </c>
    </row>
    <row r="85" spans="1:14" hidden="1">
      <c r="A85" s="468" t="s">
        <v>151</v>
      </c>
      <c r="B85" s="468" t="s">
        <v>155</v>
      </c>
      <c r="C85" s="468">
        <v>111</v>
      </c>
      <c r="D85" s="468">
        <v>5697</v>
      </c>
      <c r="E85" s="468" t="s">
        <v>533</v>
      </c>
      <c r="F85" s="468" t="str">
        <f>CONCATENATE(DescontosTE[[#This Row],[Permissionária]],DescontosTE[[#This Row],[codsariSUP]],DescontosTE[[#This Row],[Classe]])</f>
        <v>Cergal5697A4</v>
      </c>
      <c r="G85" s="498">
        <v>0.72464658881376764</v>
      </c>
      <c r="H85" s="498">
        <v>0.54348494161032579</v>
      </c>
      <c r="I85" s="498">
        <v>0.54348494161032579</v>
      </c>
      <c r="J85" s="500">
        <v>0.54349999999999998</v>
      </c>
      <c r="K85" s="653">
        <v>0.33379999999999999</v>
      </c>
      <c r="L85" s="822">
        <v>0.25619999999999998</v>
      </c>
      <c r="M85" s="1446">
        <v>0.25619999999999998</v>
      </c>
    </row>
    <row r="86" spans="1:14" hidden="1">
      <c r="A86" s="468" t="s">
        <v>321</v>
      </c>
      <c r="B86" s="468" t="s">
        <v>155</v>
      </c>
      <c r="C86" s="468">
        <v>111</v>
      </c>
      <c r="D86" s="468">
        <v>5697</v>
      </c>
      <c r="E86" s="468" t="s">
        <v>533</v>
      </c>
      <c r="F86" s="468" t="str">
        <f>CONCATENATE(DescontosTE[[#This Row],[Permissionária]],DescontosTE[[#This Row],[codsariSUP]],DescontosTE[[#This Row],[Classe]])</f>
        <v>Cergapa5697A4</v>
      </c>
      <c r="G86" s="498">
        <v>0.69825990373935576</v>
      </c>
      <c r="H86" s="498">
        <v>0.69825990373935576</v>
      </c>
      <c r="I86" s="498">
        <v>0.54749999999999999</v>
      </c>
      <c r="J86" s="500">
        <v>0.48209999999999997</v>
      </c>
      <c r="K86" s="653">
        <v>0.42549999999999999</v>
      </c>
      <c r="L86" s="822">
        <v>0.37969999999999998</v>
      </c>
      <c r="M86" s="1446">
        <v>0.36749999999999999</v>
      </c>
    </row>
    <row r="87" spans="1:14" hidden="1">
      <c r="A87" s="468" t="s">
        <v>328</v>
      </c>
      <c r="B87" s="468" t="s">
        <v>155</v>
      </c>
      <c r="C87" s="468">
        <v>111</v>
      </c>
      <c r="D87" s="468">
        <v>5697</v>
      </c>
      <c r="E87" s="468" t="s">
        <v>533</v>
      </c>
      <c r="F87" s="468" t="str">
        <f>CONCATENATE(DescontosTE[[#This Row],[Permissionária]],DescontosTE[[#This Row],[codsariSUP]],DescontosTE[[#This Row],[Classe]])</f>
        <v>Cergral5697A4</v>
      </c>
      <c r="G87" s="498">
        <v>0.7833435771358328</v>
      </c>
      <c r="H87" s="498">
        <v>0.5875076828518746</v>
      </c>
      <c r="I87" s="498">
        <v>0.5875076828518746</v>
      </c>
      <c r="J87" s="500">
        <v>0.58750000000000002</v>
      </c>
      <c r="K87" s="653">
        <v>0.56830000000000003</v>
      </c>
      <c r="L87" s="822">
        <v>0.55110000000000003</v>
      </c>
      <c r="M87" s="1446">
        <v>0.48010000000000003</v>
      </c>
    </row>
    <row r="88" spans="1:14" hidden="1">
      <c r="A88" s="468" t="s">
        <v>144</v>
      </c>
      <c r="B88" s="468" t="s">
        <v>167</v>
      </c>
      <c r="C88" s="591">
        <v>167</v>
      </c>
      <c r="D88" s="591">
        <v>396</v>
      </c>
      <c r="E88" s="468" t="s">
        <v>535</v>
      </c>
      <c r="F88" s="468" t="str">
        <f>CONCATENATE(DescontosTE[[#This Row],[Permissionária]],DescontosTE[[#This Row],[codsariSUP]],DescontosTE[[#This Row],[Classe]])</f>
        <v>Ceriluz396A3</v>
      </c>
      <c r="G88" s="498">
        <v>0.82731282784930849</v>
      </c>
      <c r="H88" s="498">
        <v>0.82731282784930849</v>
      </c>
      <c r="I88" s="498">
        <v>0.82731282784930849</v>
      </c>
      <c r="J88" s="500">
        <v>0.2782</v>
      </c>
      <c r="K88" s="653">
        <v>0.2782</v>
      </c>
      <c r="L88" s="822">
        <v>0.2132</v>
      </c>
      <c r="M88" s="1446">
        <v>0.2132</v>
      </c>
    </row>
    <row r="89" spans="1:14" hidden="1">
      <c r="A89" s="468" t="s">
        <v>144</v>
      </c>
      <c r="B89" s="468" t="s">
        <v>167</v>
      </c>
      <c r="C89" s="591">
        <v>167</v>
      </c>
      <c r="D89" s="591">
        <v>396</v>
      </c>
      <c r="E89" s="468" t="s">
        <v>533</v>
      </c>
      <c r="F89" s="468" t="str">
        <f>CONCATENATE(DescontosTE[[#This Row],[Permissionária]],DescontosTE[[#This Row],[codsariSUP]],DescontosTE[[#This Row],[Classe]])</f>
        <v>Ceriluz396A4</v>
      </c>
      <c r="G89" s="498">
        <v>0.73575345731998087</v>
      </c>
      <c r="H89" s="498">
        <v>0.73575345731998087</v>
      </c>
      <c r="I89" s="498">
        <v>0.73575345731998087</v>
      </c>
      <c r="J89" s="500">
        <v>0.2782</v>
      </c>
      <c r="K89" s="653">
        <v>0.2782</v>
      </c>
      <c r="L89" s="822">
        <v>0.2132</v>
      </c>
      <c r="M89" s="1446">
        <v>0.2132</v>
      </c>
    </row>
    <row r="90" spans="1:14" hidden="1">
      <c r="A90" s="468" t="s">
        <v>144</v>
      </c>
      <c r="B90" s="468" t="s">
        <v>167</v>
      </c>
      <c r="C90" s="591">
        <v>167</v>
      </c>
      <c r="D90" s="591">
        <v>396</v>
      </c>
      <c r="E90" s="468" t="s">
        <v>540</v>
      </c>
      <c r="F90" s="468" t="str">
        <f>CONCATENATE(DescontosTE[[#This Row],[Permissionária]],DescontosTE[[#This Row],[codsariSUP]],DescontosTE[[#This Row],[Classe]])</f>
        <v>Ceriluz396B</v>
      </c>
      <c r="G90" s="498">
        <v>0.73033677201026148</v>
      </c>
      <c r="H90" s="498">
        <v>0.73033677201026148</v>
      </c>
      <c r="I90" s="498">
        <v>0.73033677201026148</v>
      </c>
      <c r="J90" s="500">
        <v>0.2782</v>
      </c>
      <c r="K90" s="653">
        <v>0.2782</v>
      </c>
      <c r="L90" s="822">
        <v>0.2132</v>
      </c>
      <c r="M90" s="1446">
        <v>0.2132</v>
      </c>
    </row>
    <row r="91" spans="1:14" hidden="1">
      <c r="A91" s="468" t="s">
        <v>236</v>
      </c>
      <c r="B91" s="468" t="s">
        <v>146</v>
      </c>
      <c r="C91" s="468">
        <v>135</v>
      </c>
      <c r="D91" s="468">
        <v>2937</v>
      </c>
      <c r="E91" s="468" t="s">
        <v>533</v>
      </c>
      <c r="F91" s="468" t="str">
        <f>CONCATENATE(DescontosTE[[#This Row],[Permissionária]],DescontosTE[[#This Row],[codsariSUP]],DescontosTE[[#This Row],[Classe]])</f>
        <v>Cerim2937A4</v>
      </c>
      <c r="G91" s="498">
        <v>0.63275249814187795</v>
      </c>
      <c r="H91" s="498">
        <v>0.47456437360640846</v>
      </c>
      <c r="I91" s="498">
        <v>0.3463</v>
      </c>
      <c r="J91" s="500">
        <v>0.33600000000000002</v>
      </c>
      <c r="K91" s="773">
        <v>5.0599999999999999E-2</v>
      </c>
      <c r="L91" s="822">
        <v>0</v>
      </c>
      <c r="M91" s="822">
        <v>0</v>
      </c>
    </row>
    <row r="92" spans="1:14" hidden="1">
      <c r="A92" s="468" t="s">
        <v>241</v>
      </c>
      <c r="B92" s="468" t="s">
        <v>136</v>
      </c>
      <c r="C92" s="468">
        <v>145</v>
      </c>
      <c r="D92" s="468">
        <v>385</v>
      </c>
      <c r="E92" s="468" t="s">
        <v>537</v>
      </c>
      <c r="F92" s="468" t="str">
        <f>CONCATENATE(DescontosTE[[#This Row],[Permissionária]],DescontosTE[[#This Row],[codsariSUP]],DescontosTE[[#This Row],[Classe]])</f>
        <v>Ceripa385A3a</v>
      </c>
      <c r="G92" s="498">
        <v>0.76371671876684266</v>
      </c>
      <c r="H92" s="498">
        <v>0.57278753907513202</v>
      </c>
      <c r="I92" s="498">
        <v>0.38190000000000002</v>
      </c>
      <c r="J92" s="500">
        <v>1.2E-2</v>
      </c>
      <c r="K92" s="777">
        <v>1.2E-2</v>
      </c>
      <c r="L92" s="822">
        <f>DescontosTE[[#This Row],[2019]]</f>
        <v>1.2E-2</v>
      </c>
      <c r="M92" s="500">
        <f>DescontosTE[[#This Row],[2020]]</f>
        <v>1.2E-2</v>
      </c>
      <c r="N92" s="247">
        <v>1.2E-2</v>
      </c>
    </row>
    <row r="93" spans="1:14" hidden="1">
      <c r="A93" s="468" t="s">
        <v>241</v>
      </c>
      <c r="B93" s="468" t="s">
        <v>136</v>
      </c>
      <c r="C93" s="468">
        <v>145</v>
      </c>
      <c r="D93" s="468">
        <v>385</v>
      </c>
      <c r="E93" s="468" t="s">
        <v>533</v>
      </c>
      <c r="F93" s="468" t="str">
        <f>CONCATENATE(DescontosTE[[#This Row],[Permissionária]],DescontosTE[[#This Row],[codsariSUP]],DescontosTE[[#This Row],[Classe]])</f>
        <v>Ceripa385A4</v>
      </c>
      <c r="G93" s="498">
        <v>0.76627856834842611</v>
      </c>
      <c r="H93" s="498">
        <v>0.57470892626131964</v>
      </c>
      <c r="I93" s="498">
        <v>0.3831</v>
      </c>
      <c r="J93" s="500">
        <v>1.2E-2</v>
      </c>
      <c r="K93" s="777">
        <v>1.2E-2</v>
      </c>
      <c r="L93" s="822">
        <f>DescontosTE[[#This Row],[2019]]</f>
        <v>1.2E-2</v>
      </c>
      <c r="M93" s="500">
        <f>DescontosTE[[#This Row],[2020]]</f>
        <v>1.2E-2</v>
      </c>
      <c r="N93" s="247">
        <v>1.2E-2</v>
      </c>
    </row>
    <row r="94" spans="1:14" hidden="1">
      <c r="A94" s="468" t="s">
        <v>241</v>
      </c>
      <c r="B94" s="468" t="s">
        <v>166</v>
      </c>
      <c r="C94" s="468">
        <v>166</v>
      </c>
      <c r="D94" s="468">
        <v>72</v>
      </c>
      <c r="E94" s="468" t="s">
        <v>535</v>
      </c>
      <c r="F94" s="468" t="str">
        <f>CONCATENATE(DescontosTE[[#This Row],[Permissionária]],DescontosTE[[#This Row],[codsariSUP]],DescontosTE[[#This Row],[Classe]])</f>
        <v>Ceripa72A3</v>
      </c>
      <c r="G94" s="498">
        <v>0.85982875805455028</v>
      </c>
      <c r="H94" s="498">
        <v>0.64487156854091277</v>
      </c>
      <c r="I94" s="498">
        <v>0.4299</v>
      </c>
      <c r="J94" s="500">
        <v>1.2E-2</v>
      </c>
      <c r="K94" s="777">
        <v>1.2E-2</v>
      </c>
      <c r="L94" s="822">
        <f>DescontosTE[[#This Row],[2019]]</f>
        <v>1.2E-2</v>
      </c>
      <c r="M94" s="500">
        <f>DescontosTE[[#This Row],[2020]]</f>
        <v>1.2E-2</v>
      </c>
      <c r="N94" s="247">
        <v>1.2E-2</v>
      </c>
    </row>
    <row r="95" spans="1:14" hidden="1">
      <c r="A95" s="468" t="s">
        <v>241</v>
      </c>
      <c r="B95" s="468" t="s">
        <v>166</v>
      </c>
      <c r="C95" s="468">
        <v>166</v>
      </c>
      <c r="D95" s="468">
        <v>72</v>
      </c>
      <c r="E95" s="468" t="s">
        <v>537</v>
      </c>
      <c r="F95" s="468" t="str">
        <f>CONCATENATE(DescontosTE[[#This Row],[Permissionária]],DescontosTE[[#This Row],[codsariSUP]],DescontosTE[[#This Row],[Classe]])</f>
        <v>Ceripa72A3a</v>
      </c>
      <c r="G95" s="498">
        <v>0.72071674463765556</v>
      </c>
      <c r="H95" s="498">
        <v>0.5405375584782417</v>
      </c>
      <c r="I95" s="498">
        <v>0.3604</v>
      </c>
      <c r="J95" s="500">
        <v>1.2E-2</v>
      </c>
      <c r="K95" s="777">
        <v>1.2E-2</v>
      </c>
      <c r="L95" s="822">
        <f>DescontosTE[[#This Row],[2019]]</f>
        <v>1.2E-2</v>
      </c>
      <c r="M95" s="500">
        <f>DescontosTE[[#This Row],[2020]]</f>
        <v>1.2E-2</v>
      </c>
      <c r="N95" s="247">
        <v>1.2E-2</v>
      </c>
    </row>
    <row r="96" spans="1:14" hidden="1">
      <c r="A96" s="468" t="s">
        <v>241</v>
      </c>
      <c r="B96" s="468" t="s">
        <v>166</v>
      </c>
      <c r="C96" s="468">
        <v>166</v>
      </c>
      <c r="D96" s="468">
        <v>72</v>
      </c>
      <c r="E96" s="468" t="s">
        <v>533</v>
      </c>
      <c r="F96" s="468" t="str">
        <f>CONCATENATE(DescontosTE[[#This Row],[Permissionária]],DescontosTE[[#This Row],[codsariSUP]],DescontosTE[[#This Row],[Classe]])</f>
        <v>Ceripa72A4</v>
      </c>
      <c r="G96" s="498">
        <v>0.69352987907140973</v>
      </c>
      <c r="H96" s="498">
        <v>0.5201474093035573</v>
      </c>
      <c r="I96" s="498">
        <v>0.3468</v>
      </c>
      <c r="J96" s="500">
        <v>1.2E-2</v>
      </c>
      <c r="K96" s="777">
        <v>1.2E-2</v>
      </c>
      <c r="L96" s="822">
        <f>DescontosTE[[#This Row],[2019]]</f>
        <v>1.2E-2</v>
      </c>
      <c r="M96" s="500">
        <f>DescontosTE[[#This Row],[2020]]</f>
        <v>1.2E-2</v>
      </c>
      <c r="N96" s="247">
        <v>1.2E-2</v>
      </c>
    </row>
    <row r="97" spans="1:13" hidden="1">
      <c r="A97" s="468" t="s">
        <v>246</v>
      </c>
      <c r="B97" s="468" t="s">
        <v>250</v>
      </c>
      <c r="C97" s="468">
        <v>148</v>
      </c>
      <c r="D97" s="468">
        <v>390</v>
      </c>
      <c r="E97" s="468" t="s">
        <v>533</v>
      </c>
      <c r="F97" s="468" t="str">
        <f>CONCATENATE(DescontosTE[[#This Row],[Permissionária]],DescontosTE[[#This Row],[codsariSUP]],DescontosTE[[#This Row],[Classe]])</f>
        <v>Ceris390A4</v>
      </c>
      <c r="G97" s="498">
        <v>0.88419999999999999</v>
      </c>
      <c r="H97" s="498">
        <v>0.66315000000000002</v>
      </c>
      <c r="I97" s="498">
        <v>0.61850000000000005</v>
      </c>
      <c r="J97" s="500">
        <v>0.59560000000000002</v>
      </c>
      <c r="K97" s="653">
        <v>0.58150000000000002</v>
      </c>
      <c r="L97" s="822">
        <v>0.58150000000000002</v>
      </c>
      <c r="M97" s="1446">
        <v>0.58150000000000002</v>
      </c>
    </row>
    <row r="98" spans="1:13" hidden="1">
      <c r="A98" s="468" t="s">
        <v>541</v>
      </c>
      <c r="B98" s="613" t="s">
        <v>225</v>
      </c>
      <c r="C98" s="468">
        <v>104</v>
      </c>
      <c r="D98" s="468">
        <v>391</v>
      </c>
      <c r="E98" s="468" t="s">
        <v>533</v>
      </c>
      <c r="F98" s="468" t="str">
        <f>CONCATENATE(DescontosTE[[#This Row],[Permissionária]],DescontosTE[[#This Row],[codsariSUP]],DescontosTE[[#This Row],[Classe]])</f>
        <v>Cermc391A4</v>
      </c>
      <c r="G98" s="498">
        <v>0.36708496982469596</v>
      </c>
      <c r="H98" s="498">
        <v>0.275313727368522</v>
      </c>
      <c r="I98" s="498">
        <v>0.275313727368522</v>
      </c>
      <c r="J98" s="500">
        <v>0.22059999999999999</v>
      </c>
      <c r="K98" s="653">
        <v>0</v>
      </c>
      <c r="L98" s="822">
        <v>0</v>
      </c>
      <c r="M98" s="822">
        <v>0</v>
      </c>
    </row>
    <row r="99" spans="1:13" hidden="1">
      <c r="A99" s="468" t="s">
        <v>375</v>
      </c>
      <c r="B99" s="468" t="s">
        <v>167</v>
      </c>
      <c r="C99" s="591">
        <v>167</v>
      </c>
      <c r="D99" s="591">
        <v>396</v>
      </c>
      <c r="E99" s="468" t="s">
        <v>535</v>
      </c>
      <c r="F99" s="468" t="str">
        <f>CONCATENATE(DescontosTE[[#This Row],[Permissionária]],DescontosTE[[#This Row],[codsariSUP]],DescontosTE[[#This Row],[Classe]])</f>
        <v>Cermissões396A3</v>
      </c>
      <c r="G99" s="498">
        <v>0.5923752369117381</v>
      </c>
      <c r="H99" s="498">
        <v>0.5923752369117381</v>
      </c>
      <c r="I99" s="498">
        <v>0.44429999999999997</v>
      </c>
      <c r="J99" s="500">
        <v>0</v>
      </c>
      <c r="K99" s="653">
        <v>0</v>
      </c>
      <c r="L99" s="822">
        <v>0</v>
      </c>
      <c r="M99" s="822">
        <v>0</v>
      </c>
    </row>
    <row r="100" spans="1:13" hidden="1">
      <c r="A100" s="468" t="s">
        <v>375</v>
      </c>
      <c r="B100" s="468" t="s">
        <v>167</v>
      </c>
      <c r="C100" s="591">
        <v>167</v>
      </c>
      <c r="D100" s="591">
        <v>396</v>
      </c>
      <c r="E100" s="468" t="s">
        <v>533</v>
      </c>
      <c r="F100" s="468" t="str">
        <f>CONCATENATE(DescontosTE[[#This Row],[Permissionária]],DescontosTE[[#This Row],[codsariSUP]],DescontosTE[[#This Row],[Classe]])</f>
        <v>Cermissões396A4</v>
      </c>
      <c r="G100" s="498">
        <v>0.5923752369117381</v>
      </c>
      <c r="H100" s="498">
        <v>0.5923752369117381</v>
      </c>
      <c r="I100" s="498">
        <v>0.44429999999999997</v>
      </c>
      <c r="J100" s="500">
        <v>0</v>
      </c>
      <c r="K100" s="653">
        <v>0</v>
      </c>
      <c r="L100" s="822">
        <v>0</v>
      </c>
      <c r="M100" s="822">
        <v>0</v>
      </c>
    </row>
    <row r="101" spans="1:13" hidden="1">
      <c r="A101" s="468" t="s">
        <v>375</v>
      </c>
      <c r="B101" s="468" t="s">
        <v>167</v>
      </c>
      <c r="C101" s="591">
        <v>167</v>
      </c>
      <c r="D101" s="591">
        <v>396</v>
      </c>
      <c r="E101" s="468" t="s">
        <v>540</v>
      </c>
      <c r="F101" s="468" t="str">
        <f>CONCATENATE(DescontosTE[[#This Row],[Permissionária]],DescontosTE[[#This Row],[codsariSUP]],DescontosTE[[#This Row],[Classe]])</f>
        <v>Cermissões396B</v>
      </c>
      <c r="G101" s="498">
        <v>8.6300000000000002E-2</v>
      </c>
      <c r="H101" s="498">
        <v>8.6300000000000002E-2</v>
      </c>
      <c r="I101" s="498">
        <v>6.4699999999999994E-2</v>
      </c>
      <c r="J101" s="500">
        <v>0</v>
      </c>
      <c r="K101" s="653">
        <v>0</v>
      </c>
      <c r="L101" s="822">
        <v>0</v>
      </c>
      <c r="M101" s="822">
        <v>0</v>
      </c>
    </row>
    <row r="102" spans="1:13" hidden="1">
      <c r="A102" s="468" t="s">
        <v>333</v>
      </c>
      <c r="B102" s="468" t="s">
        <v>155</v>
      </c>
      <c r="C102" s="468">
        <v>111</v>
      </c>
      <c r="D102" s="468">
        <v>5697</v>
      </c>
      <c r="E102" s="468" t="s">
        <v>535</v>
      </c>
      <c r="F102" s="468" t="str">
        <f>CONCATENATE(DescontosTE[[#This Row],[Permissionária]],DescontosTE[[#This Row],[codsariSUP]],DescontosTE[[#This Row],[Classe]])</f>
        <v>Cermoful5697A3</v>
      </c>
      <c r="G102" s="498">
        <v>0.71025546094039238</v>
      </c>
      <c r="H102" s="498">
        <v>0.71025546094039238</v>
      </c>
      <c r="I102" s="498">
        <v>0.71025546094039238</v>
      </c>
      <c r="J102" s="500">
        <v>0.67859999999999998</v>
      </c>
      <c r="K102" s="653">
        <v>0.61480000000000001</v>
      </c>
      <c r="L102" s="822">
        <v>0.55579999999999996</v>
      </c>
      <c r="M102" s="1446">
        <v>0.53969999999999996</v>
      </c>
    </row>
    <row r="103" spans="1:13" hidden="1">
      <c r="A103" s="468" t="s">
        <v>333</v>
      </c>
      <c r="B103" s="468" t="s">
        <v>155</v>
      </c>
      <c r="C103" s="468">
        <v>111</v>
      </c>
      <c r="D103" s="468">
        <v>5697</v>
      </c>
      <c r="E103" s="468" t="s">
        <v>533</v>
      </c>
      <c r="F103" s="468" t="str">
        <f>CONCATENATE(DescontosTE[[#This Row],[Permissionária]],DescontosTE[[#This Row],[codsariSUP]],DescontosTE[[#This Row],[Classe]])</f>
        <v>Cermoful5697A4</v>
      </c>
      <c r="G103" s="498">
        <v>0.71025546094039238</v>
      </c>
      <c r="H103" s="498">
        <v>0.71025546094039238</v>
      </c>
      <c r="I103" s="498">
        <v>0.71025546094039238</v>
      </c>
      <c r="J103" s="500">
        <v>0.67859999999999998</v>
      </c>
      <c r="K103" s="653">
        <v>0.61480000000000001</v>
      </c>
      <c r="L103" s="822">
        <v>0.55579999999999996</v>
      </c>
      <c r="M103" s="1446">
        <v>0.53969999999999996</v>
      </c>
    </row>
    <row r="104" spans="1:13" hidden="1">
      <c r="A104" s="468" t="s">
        <v>259</v>
      </c>
      <c r="B104" s="474" t="s">
        <v>111</v>
      </c>
      <c r="C104" s="468">
        <v>165</v>
      </c>
      <c r="D104" s="468">
        <v>5216</v>
      </c>
      <c r="E104" s="468" t="s">
        <v>533</v>
      </c>
      <c r="F104" s="468" t="str">
        <f>CONCATENATE(DescontosTE[[#This Row],[Permissionária]],DescontosTE[[#This Row],[codsariSUP]],DescontosTE[[#This Row],[Classe]])</f>
        <v>Cernhe5216A4</v>
      </c>
      <c r="G104" s="498">
        <v>0.90173092774063557</v>
      </c>
      <c r="H104" s="498">
        <v>0.67629819580547668</v>
      </c>
      <c r="I104" s="498">
        <v>0.45090000000000002</v>
      </c>
      <c r="J104" s="500">
        <v>0</v>
      </c>
      <c r="K104" s="653">
        <v>0</v>
      </c>
      <c r="L104" s="822">
        <v>0</v>
      </c>
      <c r="M104" s="822">
        <v>0</v>
      </c>
    </row>
    <row r="105" spans="1:13" hidden="1">
      <c r="A105" s="468" t="s">
        <v>339</v>
      </c>
      <c r="B105" s="468" t="s">
        <v>155</v>
      </c>
      <c r="C105" s="468">
        <v>111</v>
      </c>
      <c r="D105" s="468">
        <v>5697</v>
      </c>
      <c r="E105" s="468" t="s">
        <v>537</v>
      </c>
      <c r="F105" s="468" t="str">
        <f>CONCATENATE(DescontosTE[[#This Row],[Permissionária]],DescontosTE[[#This Row],[codsariSUP]],DescontosTE[[#This Row],[Classe]])</f>
        <v>Cerpalo5697A3a</v>
      </c>
      <c r="G105" s="498">
        <v>0.89981561155500922</v>
      </c>
      <c r="H105" s="498">
        <v>0.67486170866625694</v>
      </c>
      <c r="I105" s="498">
        <v>0.59530000000000005</v>
      </c>
      <c r="J105" s="500">
        <v>0.59530000000000005</v>
      </c>
      <c r="K105" s="653">
        <v>0.44540000000000002</v>
      </c>
      <c r="L105" s="822">
        <v>0.44540000000000002</v>
      </c>
      <c r="M105" s="1446">
        <v>0.31740000000000002</v>
      </c>
    </row>
    <row r="106" spans="1:13" hidden="1">
      <c r="A106" s="468" t="s">
        <v>266</v>
      </c>
      <c r="B106" s="468" t="s">
        <v>125</v>
      </c>
      <c r="C106" s="468">
        <v>136</v>
      </c>
      <c r="D106" s="468">
        <v>63</v>
      </c>
      <c r="E106" s="468" t="s">
        <v>533</v>
      </c>
      <c r="F106" s="468" t="str">
        <f>CONCATENATE(DescontosTE[[#This Row],[Permissionária]],DescontosTE[[#This Row],[codsariSUP]],DescontosTE[[#This Row],[Classe]])</f>
        <v>Cerpro63A4</v>
      </c>
      <c r="G106" s="498">
        <v>0.90147665925690701</v>
      </c>
      <c r="H106" s="498">
        <v>0.67610749444268026</v>
      </c>
      <c r="I106" s="498">
        <v>0.45069999999999999</v>
      </c>
      <c r="J106" s="709">
        <v>0</v>
      </c>
      <c r="K106" s="653">
        <v>0</v>
      </c>
      <c r="L106" s="822">
        <v>0</v>
      </c>
      <c r="M106" s="822">
        <v>0</v>
      </c>
    </row>
    <row r="107" spans="1:13" hidden="1">
      <c r="A107" s="468" t="s">
        <v>542</v>
      </c>
      <c r="B107" s="474" t="s">
        <v>111</v>
      </c>
      <c r="C107" s="468">
        <v>165</v>
      </c>
      <c r="D107" s="468">
        <v>5216</v>
      </c>
      <c r="E107" s="474" t="s">
        <v>533</v>
      </c>
      <c r="F107" s="468" t="str">
        <f>CONCATENATE(DescontosTE[[#This Row],[Permissionária]],DescontosTE[[#This Row],[codsariSUP]],DescontosTE[[#This Row],[Classe]])</f>
        <v>Cerrp5216A4</v>
      </c>
      <c r="G107" s="498">
        <v>0.74668009891015652</v>
      </c>
      <c r="H107" s="498">
        <v>0.56001007418261739</v>
      </c>
      <c r="I107" s="498">
        <v>0.37330000000000002</v>
      </c>
      <c r="J107" s="709">
        <v>0.31390000000000001</v>
      </c>
      <c r="K107" s="653">
        <v>0.31390000000000001</v>
      </c>
      <c r="L107" s="822">
        <v>7.5600000000000001E-2</v>
      </c>
      <c r="M107" s="1446">
        <v>6.0199999999999997E-2</v>
      </c>
    </row>
    <row r="108" spans="1:13" hidden="1">
      <c r="A108" s="468" t="s">
        <v>542</v>
      </c>
      <c r="B108" s="468" t="s">
        <v>125</v>
      </c>
      <c r="C108" s="468">
        <v>136</v>
      </c>
      <c r="D108" s="468">
        <v>63</v>
      </c>
      <c r="E108" s="468" t="s">
        <v>533</v>
      </c>
      <c r="F108" s="468" t="str">
        <f>CONCATENATE(DescontosTE[[#This Row],[Permissionária]],DescontosTE[[#This Row],[codsariSUP]],DescontosTE[[#This Row],[Classe]])</f>
        <v>Cerrp63A4</v>
      </c>
      <c r="G108" s="498">
        <v>0.7457129247380121</v>
      </c>
      <c r="H108" s="498">
        <v>0.55928469355350907</v>
      </c>
      <c r="I108" s="498">
        <v>0.37290000000000001</v>
      </c>
      <c r="J108" s="709">
        <v>0.31390000000000001</v>
      </c>
      <c r="K108" s="653">
        <v>0.31390000000000001</v>
      </c>
      <c r="L108" s="822">
        <v>7.5600000000000001E-2</v>
      </c>
      <c r="M108" s="1446">
        <v>6.0199999999999997E-2</v>
      </c>
    </row>
    <row r="109" spans="1:13" hidden="1">
      <c r="A109" s="468" t="s">
        <v>344</v>
      </c>
      <c r="B109" s="468" t="s">
        <v>155</v>
      </c>
      <c r="C109" s="468">
        <v>111</v>
      </c>
      <c r="D109" s="468">
        <v>5697</v>
      </c>
      <c r="E109" s="468" t="s">
        <v>533</v>
      </c>
      <c r="F109" s="468" t="str">
        <f>CONCATENATE(DescontosTE[[#This Row],[Permissionária]],DescontosTE[[#This Row],[codsariSUP]],DescontosTE[[#This Row],[Classe]])</f>
        <v>Cersul5697A4</v>
      </c>
      <c r="G109" s="498">
        <v>0.6419022741241549</v>
      </c>
      <c r="H109" s="498">
        <v>0.48142670559311618</v>
      </c>
      <c r="I109" s="498">
        <v>0.48139999999999999</v>
      </c>
      <c r="J109" s="500">
        <v>0.48139999999999999</v>
      </c>
      <c r="K109" s="653">
        <v>0.48139999999999999</v>
      </c>
      <c r="L109" s="822">
        <v>0.48139999999999999</v>
      </c>
      <c r="M109" s="1446">
        <v>0.48139999999999999</v>
      </c>
    </row>
    <row r="110" spans="1:13" hidden="1">
      <c r="A110" s="468" t="s">
        <v>344</v>
      </c>
      <c r="B110" s="468" t="s">
        <v>155</v>
      </c>
      <c r="C110" s="468">
        <v>111</v>
      </c>
      <c r="D110" s="468">
        <v>5697</v>
      </c>
      <c r="E110" s="468" t="s">
        <v>535</v>
      </c>
      <c r="F110" s="468" t="str">
        <f>CONCATENATE(DescontosTE[[#This Row],[Permissionária]],DescontosTE[[#This Row],[codsariSUP]],DescontosTE[[#This Row],[Classe]])</f>
        <v>Cersul5697A3</v>
      </c>
      <c r="G110" s="498">
        <v>0.83597111247695144</v>
      </c>
      <c r="H110" s="498">
        <v>0.62697833435771355</v>
      </c>
      <c r="I110" s="498">
        <v>0.59899999999999998</v>
      </c>
      <c r="J110" s="500">
        <v>0.59009999999999996</v>
      </c>
      <c r="K110" s="653">
        <v>0.59009999999999996</v>
      </c>
      <c r="L110" s="822">
        <v>0.55869999999999997</v>
      </c>
      <c r="M110" s="1446">
        <v>0.55869999999999997</v>
      </c>
    </row>
    <row r="111" spans="1:13" hidden="1">
      <c r="A111" s="468" t="s">
        <v>387</v>
      </c>
      <c r="B111" s="468" t="s">
        <v>167</v>
      </c>
      <c r="C111" s="591">
        <v>167</v>
      </c>
      <c r="D111" s="468">
        <v>396</v>
      </c>
      <c r="E111" s="468" t="s">
        <v>535</v>
      </c>
      <c r="F111" s="468" t="str">
        <f>CONCATENATE(DescontosTE[[#This Row],[Permissionária]],DescontosTE[[#This Row],[codsariSUP]],DescontosTE[[#This Row],[Classe]])</f>
        <v>Certaja396A3</v>
      </c>
      <c r="G111" s="498">
        <v>0.8415330252786084</v>
      </c>
      <c r="H111" s="498">
        <v>0.63114976895895625</v>
      </c>
      <c r="I111" s="498">
        <v>0.42080000000000001</v>
      </c>
      <c r="J111" s="500">
        <v>0.21149999999999999</v>
      </c>
      <c r="K111" s="653">
        <v>0</v>
      </c>
      <c r="L111" s="822">
        <v>0</v>
      </c>
      <c r="M111" s="822">
        <v>0</v>
      </c>
    </row>
    <row r="112" spans="1:13" hidden="1">
      <c r="A112" s="468" t="s">
        <v>387</v>
      </c>
      <c r="B112" s="468" t="s">
        <v>167</v>
      </c>
      <c r="C112" s="591">
        <v>167</v>
      </c>
      <c r="D112" s="468">
        <v>396</v>
      </c>
      <c r="E112" s="468" t="s">
        <v>533</v>
      </c>
      <c r="F112" s="468" t="str">
        <f>CONCATENATE(DescontosTE[[#This Row],[Permissionária]],DescontosTE[[#This Row],[codsariSUP]],DescontosTE[[#This Row],[Classe]])</f>
        <v>Certaja396A4</v>
      </c>
      <c r="G112" s="498">
        <v>0.8415330252786084</v>
      </c>
      <c r="H112" s="498">
        <v>0.63114976895895625</v>
      </c>
      <c r="I112" s="498">
        <v>0.42080000000000001</v>
      </c>
      <c r="J112" s="500">
        <v>0.21149999999999999</v>
      </c>
      <c r="K112" s="653">
        <v>0</v>
      </c>
      <c r="L112" s="822">
        <v>0</v>
      </c>
      <c r="M112" s="822">
        <v>0</v>
      </c>
    </row>
    <row r="113" spans="1:13" hidden="1">
      <c r="A113" s="468" t="s">
        <v>387</v>
      </c>
      <c r="B113" s="468" t="s">
        <v>291</v>
      </c>
      <c r="C113" s="468">
        <v>110</v>
      </c>
      <c r="D113" s="468">
        <v>5707</v>
      </c>
      <c r="E113" s="468" t="s">
        <v>533</v>
      </c>
      <c r="F113" s="468" t="str">
        <f>CONCATENATE(DescontosTE[[#This Row],[Permissionária]],DescontosTE[[#This Row],[codsariSUP]],DescontosTE[[#This Row],[Classe]])</f>
        <v>Certaja5707A4</v>
      </c>
      <c r="G113" s="498">
        <v>0.8239405071230177</v>
      </c>
      <c r="H113" s="498">
        <v>0.61795538034226327</v>
      </c>
      <c r="I113" s="498">
        <v>0.41199999999999998</v>
      </c>
      <c r="J113" s="500">
        <v>0.21149999999999999</v>
      </c>
      <c r="K113" s="653">
        <v>0</v>
      </c>
      <c r="L113" s="822">
        <v>0</v>
      </c>
      <c r="M113" s="822">
        <v>0</v>
      </c>
    </row>
    <row r="114" spans="1:13" hidden="1">
      <c r="A114" s="468" t="s">
        <v>165</v>
      </c>
      <c r="B114" s="468" t="s">
        <v>167</v>
      </c>
      <c r="C114" s="591">
        <v>167</v>
      </c>
      <c r="D114" s="468">
        <v>396</v>
      </c>
      <c r="E114" s="468" t="s">
        <v>535</v>
      </c>
      <c r="F114" s="468" t="str">
        <f>CONCATENATE(DescontosTE[[#This Row],[Permissionária]],DescontosTE[[#This Row],[codsariSUP]],DescontosTE[[#This Row],[Classe]])</f>
        <v>Certel396A3</v>
      </c>
      <c r="G114" s="498">
        <v>0.60488390712570062</v>
      </c>
      <c r="H114" s="498">
        <v>0.60488390712570062</v>
      </c>
      <c r="I114" s="498">
        <v>0.60488390712570062</v>
      </c>
      <c r="J114" s="500">
        <v>0.58309999999999995</v>
      </c>
      <c r="K114" s="653">
        <v>0.48330000000000001</v>
      </c>
      <c r="L114" s="822">
        <v>0.35730000000000001</v>
      </c>
      <c r="M114" s="1446">
        <v>0.32969999999999999</v>
      </c>
    </row>
    <row r="115" spans="1:13" hidden="1">
      <c r="A115" s="468" t="s">
        <v>165</v>
      </c>
      <c r="B115" s="468" t="s">
        <v>167</v>
      </c>
      <c r="C115" s="591">
        <v>167</v>
      </c>
      <c r="D115" s="591">
        <v>396</v>
      </c>
      <c r="E115" s="468" t="s">
        <v>533</v>
      </c>
      <c r="F115" s="468" t="str">
        <f>CONCATENATE(DescontosTE[[#This Row],[Permissionária]],DescontosTE[[#This Row],[codsariSUP]],DescontosTE[[#This Row],[Classe]])</f>
        <v>Certel396A4</v>
      </c>
      <c r="G115" s="498">
        <v>0.54613733905579398</v>
      </c>
      <c r="H115" s="498">
        <v>0.54613733905579398</v>
      </c>
      <c r="I115" s="498">
        <v>0.54613733905579398</v>
      </c>
      <c r="J115" s="500">
        <v>0.54610000000000003</v>
      </c>
      <c r="K115" s="653">
        <v>0.48330000000000001</v>
      </c>
      <c r="L115" s="822">
        <v>0.35730000000000001</v>
      </c>
      <c r="M115" s="1446">
        <v>0.32969999999999999</v>
      </c>
    </row>
    <row r="116" spans="1:13" hidden="1">
      <c r="A116" s="468" t="s">
        <v>349</v>
      </c>
      <c r="B116" s="468" t="s">
        <v>155</v>
      </c>
      <c r="C116" s="468">
        <v>111</v>
      </c>
      <c r="D116" s="468">
        <v>5697</v>
      </c>
      <c r="E116" s="468" t="s">
        <v>533</v>
      </c>
      <c r="F116" s="468" t="str">
        <f>CONCATENATE(DescontosTE[[#This Row],[Permissionária]],DescontosTE[[#This Row],[codsariSUP]],DescontosTE[[#This Row],[Classe]])</f>
        <v>Certrel5697A4</v>
      </c>
      <c r="G116" s="498">
        <v>0.88707885968159939</v>
      </c>
      <c r="H116" s="498">
        <v>0.88707885968159939</v>
      </c>
      <c r="I116" s="498">
        <v>0.88707885968159939</v>
      </c>
      <c r="J116" s="500">
        <v>0.81359999999999999</v>
      </c>
      <c r="K116" s="653">
        <v>0.81359999999999999</v>
      </c>
      <c r="L116" s="822">
        <v>0.81359999999999999</v>
      </c>
      <c r="M116" s="1446">
        <v>0.61460000000000004</v>
      </c>
    </row>
    <row r="117" spans="1:13" hidden="1">
      <c r="A117" s="468" t="s">
        <v>277</v>
      </c>
      <c r="B117" s="468" t="s">
        <v>146</v>
      </c>
      <c r="C117" s="468">
        <v>135</v>
      </c>
      <c r="D117" s="468">
        <v>2937</v>
      </c>
      <c r="E117" s="468" t="s">
        <v>533</v>
      </c>
      <c r="F117" s="468" t="str">
        <f>CONCATENATE(DescontosTE[[#This Row],[Permissionária]],DescontosTE[[#This Row],[codsariSUP]],DescontosTE[[#This Row],[Classe]])</f>
        <v>Cetril2937A4</v>
      </c>
      <c r="G117" s="498">
        <v>0.50648278140226277</v>
      </c>
      <c r="H117" s="498">
        <v>0.37986208605169708</v>
      </c>
      <c r="I117" s="498">
        <v>0.1396</v>
      </c>
      <c r="J117" s="500">
        <v>0.1396</v>
      </c>
      <c r="K117" s="653">
        <v>0</v>
      </c>
      <c r="L117" s="822">
        <v>0</v>
      </c>
      <c r="M117" s="822">
        <v>0</v>
      </c>
    </row>
    <row r="118" spans="1:13" hidden="1">
      <c r="A118" s="468" t="s">
        <v>277</v>
      </c>
      <c r="B118" s="468" t="s">
        <v>136</v>
      </c>
      <c r="C118" s="468">
        <v>145</v>
      </c>
      <c r="D118" s="468">
        <v>385</v>
      </c>
      <c r="E118" s="468" t="s">
        <v>533</v>
      </c>
      <c r="F118" s="468" t="str">
        <f>CONCATENATE(DescontosTE[[#This Row],[Permissionária]],DescontosTE[[#This Row],[codsariSUP]],DescontosTE[[#This Row],[Classe]])</f>
        <v>Cetril385A4</v>
      </c>
      <c r="G118" s="498">
        <v>0.66580422595946531</v>
      </c>
      <c r="H118" s="498">
        <v>0.49935316946959896</v>
      </c>
      <c r="I118" s="498">
        <v>0.1396</v>
      </c>
      <c r="J118" s="500">
        <v>0.1396</v>
      </c>
      <c r="K118" s="653">
        <v>0</v>
      </c>
      <c r="L118" s="822">
        <v>0</v>
      </c>
      <c r="M118" s="822">
        <v>0</v>
      </c>
    </row>
    <row r="119" spans="1:13" hidden="1">
      <c r="A119" s="468" t="s">
        <v>154</v>
      </c>
      <c r="B119" s="468" t="s">
        <v>155</v>
      </c>
      <c r="C119" s="468">
        <v>111</v>
      </c>
      <c r="D119" s="468">
        <v>5697</v>
      </c>
      <c r="E119" s="468" t="s">
        <v>535</v>
      </c>
      <c r="F119" s="468" t="str">
        <f>CONCATENATE(DescontosTE[[#This Row],[Permissionária]],DescontosTE[[#This Row],[codsariSUP]],DescontosTE[[#This Row],[Classe]])</f>
        <v>Coopera5697A3</v>
      </c>
      <c r="G119" s="498">
        <v>0.78664720344191763</v>
      </c>
      <c r="H119" s="498">
        <v>0.58998540258143817</v>
      </c>
      <c r="I119" s="498">
        <v>0.58998540258143817</v>
      </c>
      <c r="J119" s="500">
        <v>0.59</v>
      </c>
      <c r="K119" s="653">
        <v>0.59</v>
      </c>
      <c r="L119" s="822">
        <v>0.59</v>
      </c>
      <c r="M119" s="1446">
        <v>0.59</v>
      </c>
    </row>
    <row r="120" spans="1:13" hidden="1">
      <c r="A120" s="468" t="s">
        <v>358</v>
      </c>
      <c r="B120" s="468" t="s">
        <v>155</v>
      </c>
      <c r="C120" s="468">
        <v>111</v>
      </c>
      <c r="D120" s="468">
        <v>5697</v>
      </c>
      <c r="E120" s="468" t="s">
        <v>533</v>
      </c>
      <c r="F120" s="468" t="str">
        <f>CONCATENATE(DescontosTE[[#This Row],[Permissionária]],DescontosTE[[#This Row],[codsariSUP]],DescontosTE[[#This Row],[Classe]])</f>
        <v>Coopercocal5697A4</v>
      </c>
      <c r="G120" s="498">
        <v>0.43784572833435764</v>
      </c>
      <c r="H120" s="498">
        <v>0.43784572833435764</v>
      </c>
      <c r="I120" s="498">
        <v>0.43780000000000002</v>
      </c>
      <c r="J120" s="500">
        <v>0.43780000000000002</v>
      </c>
      <c r="K120" s="653">
        <v>0.43780000000000002</v>
      </c>
      <c r="L120" s="822">
        <v>0.42730000000000001</v>
      </c>
      <c r="M120" s="1446">
        <v>0.42730000000000001</v>
      </c>
    </row>
    <row r="121" spans="1:13" hidden="1">
      <c r="A121" s="468" t="s">
        <v>358</v>
      </c>
      <c r="B121" s="468" t="s">
        <v>155</v>
      </c>
      <c r="C121" s="468">
        <v>111</v>
      </c>
      <c r="D121" s="468">
        <v>5697</v>
      </c>
      <c r="E121" s="468" t="s">
        <v>535</v>
      </c>
      <c r="F121" s="468" t="str">
        <f>CONCATENATE(DescontosTE[[#This Row],[Permissionária]],DescontosTE[[#This Row],[codsariSUP]],DescontosTE[[#This Row],[Classe]])</f>
        <v>Coopercocal5697A3</v>
      </c>
      <c r="G121" s="498">
        <v>0.74423786109403811</v>
      </c>
      <c r="H121" s="498">
        <v>0.74423786109403811</v>
      </c>
      <c r="I121" s="498">
        <v>0.66139999999999999</v>
      </c>
      <c r="J121" s="500">
        <v>0.6452</v>
      </c>
      <c r="K121" s="653">
        <v>0.4995</v>
      </c>
      <c r="L121" s="822">
        <v>0.42730000000000001</v>
      </c>
      <c r="M121" s="1446">
        <v>0.42730000000000001</v>
      </c>
    </row>
    <row r="122" spans="1:13" hidden="1">
      <c r="A122" s="468" t="s">
        <v>358</v>
      </c>
      <c r="B122" s="496" t="s">
        <v>362</v>
      </c>
      <c r="C122" s="496">
        <v>144</v>
      </c>
      <c r="D122" s="496">
        <v>86</v>
      </c>
      <c r="E122" s="468" t="s">
        <v>533</v>
      </c>
      <c r="F122" s="468" t="str">
        <f>CONCATENATE(DescontosTE[[#This Row],[Permissionária]],DescontosTE[[#This Row],[codsariSUP]],DescontosTE[[#This Row],[Classe]])</f>
        <v>Coopercocal86A4</v>
      </c>
      <c r="G122" s="498">
        <v>0.75887474882786332</v>
      </c>
      <c r="H122" s="498">
        <v>0.75887474882786332</v>
      </c>
      <c r="I122" s="498">
        <v>0.66139999999999999</v>
      </c>
      <c r="J122" s="500">
        <v>0.6452</v>
      </c>
      <c r="K122" s="653">
        <v>0.4995</v>
      </c>
      <c r="L122" s="822">
        <v>0.42730000000000001</v>
      </c>
      <c r="M122" s="1446">
        <v>0.42730000000000001</v>
      </c>
    </row>
    <row r="123" spans="1:13" hidden="1">
      <c r="A123" s="468" t="s">
        <v>398</v>
      </c>
      <c r="B123" s="468" t="s">
        <v>167</v>
      </c>
      <c r="C123" s="591">
        <v>167</v>
      </c>
      <c r="D123" s="591">
        <v>396</v>
      </c>
      <c r="E123" s="468" t="s">
        <v>533</v>
      </c>
      <c r="F123" s="468" t="str">
        <f>CONCATENATE(DescontosTE[[#This Row],[Permissionária]],DescontosTE[[#This Row],[codsariSUP]],DescontosTE[[#This Row],[Classe]])</f>
        <v>Cooperluz396A4</v>
      </c>
      <c r="G123" s="498">
        <v>0.81789999999999996</v>
      </c>
      <c r="H123" s="498">
        <v>0.81789999999999996</v>
      </c>
      <c r="I123" s="498">
        <v>0.65900000000000003</v>
      </c>
      <c r="J123" s="500">
        <v>0</v>
      </c>
      <c r="K123" s="653">
        <v>0</v>
      </c>
      <c r="L123" s="822">
        <v>0</v>
      </c>
      <c r="M123" s="822">
        <v>0</v>
      </c>
    </row>
    <row r="124" spans="1:13" hidden="1">
      <c r="A124" s="468" t="s">
        <v>398</v>
      </c>
      <c r="B124" s="468" t="s">
        <v>167</v>
      </c>
      <c r="C124" s="591">
        <v>167</v>
      </c>
      <c r="D124" s="591">
        <v>396</v>
      </c>
      <c r="E124" s="468" t="s">
        <v>535</v>
      </c>
      <c r="F124" s="468" t="str">
        <f>CONCATENATE(DescontosTE[[#This Row],[Permissionária]],DescontosTE[[#This Row],[codsariSUP]],DescontosTE[[#This Row],[Classe]])</f>
        <v>Cooperluz396A3</v>
      </c>
      <c r="G124" s="498">
        <v>0.81789999999999996</v>
      </c>
      <c r="H124" s="498">
        <v>0.81789999999999996</v>
      </c>
      <c r="I124" s="498">
        <v>0.65900000000000003</v>
      </c>
      <c r="J124" s="500">
        <v>0</v>
      </c>
      <c r="K124" s="653">
        <v>0</v>
      </c>
      <c r="L124" s="822">
        <v>0</v>
      </c>
      <c r="M124" s="822">
        <v>0</v>
      </c>
    </row>
    <row r="125" spans="1:13" hidden="1">
      <c r="A125" s="468" t="s">
        <v>365</v>
      </c>
      <c r="B125" s="468" t="s">
        <v>155</v>
      </c>
      <c r="C125" s="468">
        <v>111</v>
      </c>
      <c r="D125" s="468">
        <v>5697</v>
      </c>
      <c r="E125" s="468" t="s">
        <v>533</v>
      </c>
      <c r="F125" s="468" t="str">
        <f>CONCATENATE(DescontosTE[[#This Row],[Permissionária]],DescontosTE[[#This Row],[codsariSUP]],DescontosTE[[#This Row],[Classe]])</f>
        <v>Coopermila5697A4</v>
      </c>
      <c r="G125" s="498">
        <v>0.53672403196066387</v>
      </c>
      <c r="H125" s="498">
        <v>0.4025430239704979</v>
      </c>
      <c r="I125" s="498">
        <v>0.38200000000000001</v>
      </c>
      <c r="J125" s="500">
        <v>0.35849999999999999</v>
      </c>
      <c r="K125" s="653">
        <v>4.9599999999999998E-2</v>
      </c>
      <c r="L125" s="822">
        <v>3.3399999999999999E-2</v>
      </c>
      <c r="M125" s="1446">
        <v>3.3399999999999999E-2</v>
      </c>
    </row>
    <row r="126" spans="1:13" hidden="1">
      <c r="A126" s="468" t="s">
        <v>370</v>
      </c>
      <c r="B126" s="468" t="s">
        <v>155</v>
      </c>
      <c r="C126" s="468">
        <v>111</v>
      </c>
      <c r="D126" s="468">
        <v>5697</v>
      </c>
      <c r="E126" s="468" t="s">
        <v>533</v>
      </c>
      <c r="F126" s="468" t="str">
        <f>CONCATENATE(DescontosTE[[#This Row],[Permissionária]],DescontosTE[[#This Row],[codsariSUP]],DescontosTE[[#This Row],[Classe]])</f>
        <v>Coorsel5697A4</v>
      </c>
      <c r="G126" s="498">
        <v>0.88667793484941604</v>
      </c>
      <c r="H126" s="498">
        <v>0.66500845113706197</v>
      </c>
      <c r="I126" s="498">
        <v>0.36559999999999998</v>
      </c>
      <c r="J126" s="500">
        <v>0.29060000000000002</v>
      </c>
      <c r="K126" s="653">
        <v>2.6599999999999999E-2</v>
      </c>
      <c r="L126" s="822">
        <v>0</v>
      </c>
      <c r="M126" s="822">
        <v>0</v>
      </c>
    </row>
    <row r="127" spans="1:13" hidden="1">
      <c r="A127" s="468" t="s">
        <v>403</v>
      </c>
      <c r="B127" s="468" t="s">
        <v>167</v>
      </c>
      <c r="C127" s="591">
        <v>167</v>
      </c>
      <c r="D127" s="591">
        <v>396</v>
      </c>
      <c r="E127" s="468" t="s">
        <v>538</v>
      </c>
      <c r="F127" s="468" t="str">
        <f>CONCATENATE(DescontosTE[[#This Row],[Permissionária]],DescontosTE[[#This Row],[codsariSUP]],DescontosTE[[#This Row],[Classe]])</f>
        <v>Coprel396A2</v>
      </c>
      <c r="G127" s="498">
        <v>0.63819999999999999</v>
      </c>
      <c r="H127" s="498">
        <v>0.63819999999999999</v>
      </c>
      <c r="I127" s="498">
        <v>0.44450000000000001</v>
      </c>
      <c r="J127" s="500">
        <v>0</v>
      </c>
      <c r="K127" s="653">
        <v>0</v>
      </c>
      <c r="L127" s="822">
        <v>0</v>
      </c>
      <c r="M127" s="822">
        <v>0</v>
      </c>
    </row>
    <row r="128" spans="1:13" hidden="1">
      <c r="A128" s="468" t="s">
        <v>403</v>
      </c>
      <c r="B128" s="468" t="s">
        <v>167</v>
      </c>
      <c r="C128" s="591">
        <v>167</v>
      </c>
      <c r="D128" s="591">
        <v>396</v>
      </c>
      <c r="E128" s="468" t="s">
        <v>535</v>
      </c>
      <c r="F128" s="468" t="str">
        <f>CONCATENATE(DescontosTE[[#This Row],[Permissionária]],DescontosTE[[#This Row],[codsariSUP]],DescontosTE[[#This Row],[Classe]])</f>
        <v>Coprel396A3</v>
      </c>
      <c r="G128" s="498">
        <v>0.63819999999999999</v>
      </c>
      <c r="H128" s="498">
        <v>0.63819999999999999</v>
      </c>
      <c r="I128" s="498">
        <v>0.47870000000000001</v>
      </c>
      <c r="J128" s="500">
        <v>0</v>
      </c>
      <c r="K128" s="653">
        <v>0</v>
      </c>
      <c r="L128" s="822">
        <v>0</v>
      </c>
      <c r="M128" s="822">
        <v>0</v>
      </c>
    </row>
    <row r="129" spans="1:14" hidden="1">
      <c r="A129" s="468" t="s">
        <v>403</v>
      </c>
      <c r="B129" s="468" t="s">
        <v>167</v>
      </c>
      <c r="C129" s="591">
        <v>167</v>
      </c>
      <c r="D129" s="591">
        <v>396</v>
      </c>
      <c r="E129" s="468" t="s">
        <v>533</v>
      </c>
      <c r="F129" s="468" t="str">
        <f>CONCATENATE(DescontosTE[[#This Row],[Permissionária]],DescontosTE[[#This Row],[codsariSUP]],DescontosTE[[#This Row],[Classe]])</f>
        <v>Coprel396A4</v>
      </c>
      <c r="G129" s="498">
        <v>0.53600000000000003</v>
      </c>
      <c r="H129" s="498">
        <v>0.53600000000000003</v>
      </c>
      <c r="I129" s="498">
        <v>0.40200000000000002</v>
      </c>
      <c r="J129" s="500">
        <v>0</v>
      </c>
      <c r="K129" s="653">
        <v>0</v>
      </c>
      <c r="L129" s="822">
        <v>0</v>
      </c>
      <c r="M129" s="822">
        <v>0</v>
      </c>
    </row>
    <row r="130" spans="1:14" hidden="1">
      <c r="A130" s="468" t="s">
        <v>143</v>
      </c>
      <c r="B130" s="468" t="s">
        <v>167</v>
      </c>
      <c r="C130" s="591">
        <v>167</v>
      </c>
      <c r="D130" s="591">
        <v>396</v>
      </c>
      <c r="E130" s="468" t="s">
        <v>533</v>
      </c>
      <c r="F130" s="468" t="str">
        <f>CONCATENATE(DescontosTE[[#This Row],[Permissionária]],DescontosTE[[#This Row],[codsariSUP]],DescontosTE[[#This Row],[Classe]])</f>
        <v>Creluz396A4</v>
      </c>
      <c r="G130" s="498">
        <v>0.83053171196948017</v>
      </c>
      <c r="H130" s="498">
        <v>0.83053171196948017</v>
      </c>
      <c r="I130" s="498">
        <v>0.83053171196948017</v>
      </c>
      <c r="J130" s="500">
        <v>0.34849999999999998</v>
      </c>
      <c r="K130" s="653">
        <v>0.34849999999999998</v>
      </c>
      <c r="L130" s="822">
        <v>0.28499999999999998</v>
      </c>
      <c r="M130" s="1446">
        <v>0.28499999999999998</v>
      </c>
    </row>
    <row r="131" spans="1:14" hidden="1">
      <c r="A131" s="468" t="s">
        <v>414</v>
      </c>
      <c r="B131" s="468" t="s">
        <v>167</v>
      </c>
      <c r="C131" s="591">
        <v>167</v>
      </c>
      <c r="D131" s="591">
        <v>396</v>
      </c>
      <c r="E131" s="468" t="s">
        <v>533</v>
      </c>
      <c r="F131" s="468" t="str">
        <f>CONCATENATE(DescontosTE[[#This Row],[Permissionária]],DescontosTE[[#This Row],[codsariSUP]],DescontosTE[[#This Row],[Classe]])</f>
        <v>Creral396A4</v>
      </c>
      <c r="G131" s="498">
        <v>0.76871721506914636</v>
      </c>
      <c r="H131" s="498">
        <v>0.76871721506914636</v>
      </c>
      <c r="I131" s="498">
        <v>0.76871721506914636</v>
      </c>
      <c r="J131" s="500">
        <v>0.46889999999999998</v>
      </c>
      <c r="K131" s="653">
        <v>0.46889999999999998</v>
      </c>
      <c r="L131" s="822">
        <v>0.214</v>
      </c>
      <c r="M131" s="1446">
        <v>0.214</v>
      </c>
    </row>
    <row r="132" spans="1:14" hidden="1">
      <c r="A132" s="468" t="s">
        <v>414</v>
      </c>
      <c r="B132" s="468" t="s">
        <v>167</v>
      </c>
      <c r="C132" s="591">
        <v>167</v>
      </c>
      <c r="D132" s="591">
        <v>396</v>
      </c>
      <c r="E132" s="468" t="s">
        <v>540</v>
      </c>
      <c r="F132" s="468" t="str">
        <f>CONCATENATE(DescontosTE[[#This Row],[Permissionária]],DescontosTE[[#This Row],[codsariSUP]],DescontosTE[[#This Row],[Classe]])</f>
        <v>Creral396B</v>
      </c>
      <c r="G132" s="498">
        <v>2.0743919885550688E-2</v>
      </c>
      <c r="H132" s="498">
        <v>2.0743919885550688E-2</v>
      </c>
      <c r="I132" s="498">
        <v>2.0743919885550688E-2</v>
      </c>
      <c r="J132" s="500">
        <v>2.07E-2</v>
      </c>
      <c r="K132" s="653">
        <v>2.07E-2</v>
      </c>
      <c r="L132" s="822">
        <v>2.07E-2</v>
      </c>
      <c r="M132" s="1446">
        <v>2.07E-2</v>
      </c>
    </row>
    <row r="133" spans="1:14" hidden="1">
      <c r="A133" s="468" t="s">
        <v>304</v>
      </c>
      <c r="B133" s="474" t="s">
        <v>135</v>
      </c>
      <c r="C133" s="468">
        <v>103</v>
      </c>
      <c r="D133" s="468">
        <v>383</v>
      </c>
      <c r="E133" s="468" t="s">
        <v>533</v>
      </c>
      <c r="F133" s="468" t="str">
        <f>CONCATENATE(DescontosTE[[#This Row],[Permissionária]],DescontosTE[[#This Row],[codsariSUP]],DescontosTE[[#This Row],[Classe]])</f>
        <v>Cerci383A4</v>
      </c>
      <c r="G133" s="498"/>
      <c r="H133" s="498"/>
      <c r="I133" s="498"/>
      <c r="J133" s="500">
        <v>0.38529999999999998</v>
      </c>
      <c r="K133" s="777">
        <v>0.38529999999999998</v>
      </c>
      <c r="L133" s="822">
        <f>DescontosTE[[#This Row],[2019]]</f>
        <v>0.38529999999999998</v>
      </c>
      <c r="M133" s="500">
        <f>DescontosTE[[#This Row],[2020]]</f>
        <v>0.38529999999999998</v>
      </c>
      <c r="N133" s="500">
        <f>DescontosTE[[#This Row],[2020]]</f>
        <v>0.38529999999999998</v>
      </c>
    </row>
    <row r="134" spans="1:14" hidden="1">
      <c r="A134" s="468" t="s">
        <v>161</v>
      </c>
      <c r="B134" s="474" t="s">
        <v>135</v>
      </c>
      <c r="C134" s="468">
        <v>103</v>
      </c>
      <c r="D134" s="468">
        <v>383</v>
      </c>
      <c r="E134" s="468" t="s">
        <v>533</v>
      </c>
      <c r="F134" s="468" t="str">
        <f>CONCATENATE(DescontosTE[[#This Row],[Permissionária]],DescontosTE[[#This Row],[codsariSUP]],DescontosTE[[#This Row],[Classe]])</f>
        <v>Ceral Araruama383A4</v>
      </c>
      <c r="G134" s="498"/>
      <c r="H134" s="498"/>
      <c r="I134" s="498"/>
      <c r="J134" s="500">
        <v>0.38529999999999998</v>
      </c>
      <c r="K134" s="777">
        <v>0.38030000000000003</v>
      </c>
      <c r="L134" s="822">
        <f>DescontosTE[[#This Row],[2019]]</f>
        <v>0.38030000000000003</v>
      </c>
      <c r="M134" s="498">
        <v>0.26430999999999999</v>
      </c>
      <c r="N134" s="498">
        <v>0.26430999999999999</v>
      </c>
    </row>
    <row r="135" spans="1:14" hidden="1">
      <c r="A135" s="468" t="s">
        <v>327</v>
      </c>
      <c r="B135" s="468" t="s">
        <v>167</v>
      </c>
      <c r="C135" s="591">
        <v>167</v>
      </c>
      <c r="D135" s="591">
        <v>396</v>
      </c>
      <c r="E135" s="468" t="s">
        <v>533</v>
      </c>
      <c r="F135" s="468" t="str">
        <f>CONCATENATE(DescontosTE[[#This Row],[Permissionária]],DescontosTE[[#This Row],[codsariSUP]],DescontosTE[[#This Row],[Classe]])</f>
        <v>Cerfox396A4</v>
      </c>
      <c r="G135" s="498"/>
      <c r="H135" s="498"/>
      <c r="I135" s="498"/>
      <c r="J135" s="500">
        <v>0.1401</v>
      </c>
      <c r="K135" s="777">
        <v>0.1401</v>
      </c>
      <c r="L135" s="822">
        <v>0.1401</v>
      </c>
      <c r="M135" s="1446">
        <v>0.1401</v>
      </c>
    </row>
    <row r="136" spans="1:14" hidden="1">
      <c r="A136" s="468" t="s">
        <v>431</v>
      </c>
      <c r="B136" s="468" t="s">
        <v>167</v>
      </c>
      <c r="C136" s="591">
        <v>167</v>
      </c>
      <c r="D136" s="591">
        <v>396</v>
      </c>
      <c r="E136" s="468" t="s">
        <v>533</v>
      </c>
      <c r="F136" s="468" t="str">
        <f>CONCATENATE(DescontosTE[[#This Row],[Permissionária]],DescontosTE[[#This Row],[codsariSUP]],DescontosTE[[#This Row],[Classe]])</f>
        <v>Certhil396A4</v>
      </c>
      <c r="G136" s="498"/>
      <c r="H136" s="498"/>
      <c r="I136" s="498"/>
      <c r="J136" s="500">
        <v>0.25359999999999999</v>
      </c>
      <c r="K136" s="777">
        <v>0.22370000000000001</v>
      </c>
      <c r="L136" s="822">
        <v>0.1273</v>
      </c>
      <c r="M136" s="1446">
        <v>0</v>
      </c>
    </row>
    <row r="137" spans="1:14" hidden="1">
      <c r="A137" s="468" t="s">
        <v>230</v>
      </c>
      <c r="B137" s="468" t="s">
        <v>543</v>
      </c>
      <c r="C137" s="468">
        <v>132</v>
      </c>
      <c r="D137" s="468">
        <v>2866</v>
      </c>
      <c r="E137" s="468" t="s">
        <v>537</v>
      </c>
      <c r="F137" s="468" t="str">
        <f>CONCATENATE(DescontosTE[[#This Row],[Permissionária]],DescontosTE[[#This Row],[codsariSUP]],DescontosTE[[#This Row],[Classe]])</f>
        <v>Castro Dis2866A3a</v>
      </c>
      <c r="G137" s="498"/>
      <c r="H137" s="498"/>
      <c r="I137" s="498"/>
      <c r="J137" s="500">
        <v>0.42030000000000001</v>
      </c>
      <c r="K137" s="777">
        <v>0.42030000000000001</v>
      </c>
      <c r="L137" s="822">
        <v>0.33839999999999998</v>
      </c>
      <c r="M137" s="1446">
        <v>0.33839999999999998</v>
      </c>
    </row>
    <row r="138" spans="1:14" hidden="1">
      <c r="A138" s="468" t="s">
        <v>230</v>
      </c>
      <c r="B138" s="468" t="s">
        <v>543</v>
      </c>
      <c r="C138" s="468">
        <v>132</v>
      </c>
      <c r="D138" s="468">
        <v>2866</v>
      </c>
      <c r="E138" s="468" t="s">
        <v>533</v>
      </c>
      <c r="F138" s="468" t="str">
        <f>CONCATENATE(DescontosTE[[#This Row],[Permissionária]],DescontosTE[[#This Row],[codsariSUP]],DescontosTE[[#This Row],[Classe]])</f>
        <v>Castro Dis2866A4</v>
      </c>
      <c r="G138" s="498"/>
      <c r="H138" s="498"/>
      <c r="I138" s="498"/>
      <c r="J138" s="500">
        <v>0.4153</v>
      </c>
      <c r="K138" s="777">
        <v>0.4153</v>
      </c>
      <c r="L138" s="822">
        <v>0.33839999999999998</v>
      </c>
      <c r="M138" s="1446">
        <v>0.33839999999999998</v>
      </c>
    </row>
    <row r="139" spans="1:14" hidden="1">
      <c r="A139" s="468" t="s">
        <v>446</v>
      </c>
      <c r="B139" s="468" t="s">
        <v>544</v>
      </c>
      <c r="C139" s="468">
        <v>145</v>
      </c>
      <c r="D139" s="468">
        <v>385</v>
      </c>
      <c r="E139" s="468" t="s">
        <v>533</v>
      </c>
      <c r="F139" s="468" t="str">
        <f>CONCATENATE(DescontosTE[[#This Row],[Permissionária]],DescontosTE[[#This Row],[codsariSUP]],DescontosTE[[#This Row],[Classe]])</f>
        <v>Cervam385A4</v>
      </c>
      <c r="G139" s="498"/>
      <c r="H139" s="498"/>
      <c r="I139" s="498"/>
      <c r="J139" s="500">
        <v>0.40989999999999999</v>
      </c>
      <c r="K139" s="777">
        <v>4.3299999999999998E-2</v>
      </c>
      <c r="L139" s="822">
        <v>0</v>
      </c>
      <c r="M139" s="822">
        <v>0</v>
      </c>
    </row>
    <row r="140" spans="1:14" hidden="1">
      <c r="A140" s="468" t="s">
        <v>446</v>
      </c>
      <c r="B140" s="468" t="s">
        <v>125</v>
      </c>
      <c r="C140" s="468">
        <v>136</v>
      </c>
      <c r="D140" s="468">
        <v>63</v>
      </c>
      <c r="E140" s="468" t="s">
        <v>533</v>
      </c>
      <c r="F140" s="468" t="str">
        <f>CONCATENATE(DescontosTE[[#This Row],[Permissionária]],DescontosTE[[#This Row],[codsariSUP]],DescontosTE[[#This Row],[Classe]])</f>
        <v>Cervam63A4</v>
      </c>
      <c r="G140" s="498"/>
      <c r="H140" s="498"/>
      <c r="I140" s="498"/>
      <c r="J140" s="500">
        <v>0.4103</v>
      </c>
      <c r="K140" s="777">
        <v>4.3299999999999998E-2</v>
      </c>
      <c r="L140" s="822">
        <v>0</v>
      </c>
      <c r="M140" s="822">
        <v>0</v>
      </c>
    </row>
    <row r="141" spans="1:14" hidden="1">
      <c r="A141" s="468" t="s">
        <v>152</v>
      </c>
      <c r="B141" s="468" t="s">
        <v>155</v>
      </c>
      <c r="C141" s="468">
        <v>111</v>
      </c>
      <c r="D141" s="468">
        <v>5697</v>
      </c>
      <c r="E141" s="468" t="s">
        <v>538</v>
      </c>
      <c r="F141" s="468" t="str">
        <f>CONCATENATE(DescontosTE[[#This Row],[Permissionária]],DescontosTE[[#This Row],[codsariSUP]],DescontosTE[[#This Row],[Classe]])</f>
        <v>Cegero5697A2</v>
      </c>
      <c r="G141" s="498"/>
      <c r="H141" s="498"/>
      <c r="I141" s="498"/>
      <c r="J141" s="500">
        <v>0.44009999999999999</v>
      </c>
      <c r="K141" s="777">
        <v>0.3735</v>
      </c>
      <c r="L141" s="822">
        <v>0.29289999999999999</v>
      </c>
      <c r="M141" s="1446">
        <v>0.29289999999999999</v>
      </c>
    </row>
    <row r="142" spans="1:14" hidden="1">
      <c r="A142" s="468" t="s">
        <v>409</v>
      </c>
      <c r="B142" s="468" t="s">
        <v>155</v>
      </c>
      <c r="C142" s="468">
        <v>111</v>
      </c>
      <c r="D142" s="468">
        <v>5697</v>
      </c>
      <c r="E142" s="468" t="s">
        <v>533</v>
      </c>
      <c r="F142" s="468" t="str">
        <f>CONCATENATE(DescontosTE[[#This Row],[Permissionária]],DescontosTE[[#This Row],[codsariSUP]],DescontosTE[[#This Row],[Classe]])</f>
        <v>Cersad5697A4</v>
      </c>
      <c r="G142" s="498"/>
      <c r="H142" s="498"/>
      <c r="I142" s="498"/>
      <c r="J142" s="500">
        <v>0.41320000000000001</v>
      </c>
      <c r="K142" s="777">
        <v>0.34079999999999999</v>
      </c>
      <c r="L142" s="822">
        <v>0.25679999999999997</v>
      </c>
      <c r="M142" s="1446">
        <v>0</v>
      </c>
    </row>
    <row r="143" spans="1:14" hidden="1">
      <c r="A143" s="468" t="s">
        <v>457</v>
      </c>
      <c r="B143" s="468" t="s">
        <v>155</v>
      </c>
      <c r="C143" s="468">
        <v>111</v>
      </c>
      <c r="D143" s="468">
        <v>5697</v>
      </c>
      <c r="E143" s="468" t="s">
        <v>538</v>
      </c>
      <c r="F143" s="468" t="str">
        <f>CONCATENATE(DescontosTE[[#This Row],[Permissionária]],DescontosTE[[#This Row],[codsariSUP]],DescontosTE[[#This Row],[Classe]])</f>
        <v>Codesam5697A2</v>
      </c>
      <c r="G143" s="498"/>
      <c r="H143" s="498"/>
      <c r="I143" s="498"/>
      <c r="J143" s="500">
        <v>0.44009999999999999</v>
      </c>
      <c r="K143" s="777">
        <v>0.28170000000000001</v>
      </c>
      <c r="L143" s="822">
        <v>0.25019999999999998</v>
      </c>
      <c r="M143" s="1446">
        <v>0.25019999999999998</v>
      </c>
    </row>
    <row r="144" spans="1:14" hidden="1">
      <c r="A144" s="468" t="s">
        <v>492</v>
      </c>
      <c r="B144" s="468" t="s">
        <v>155</v>
      </c>
      <c r="C144" s="468">
        <v>111</v>
      </c>
      <c r="D144" s="468">
        <v>5697</v>
      </c>
      <c r="E144" s="468" t="s">
        <v>533</v>
      </c>
      <c r="F144" s="468" t="str">
        <f>CONCATENATE(DescontosTE[[#This Row],[Permissionária]],DescontosTE[[#This Row],[codsariSUP]],DescontosTE[[#This Row],[Classe]])</f>
        <v>Cooperzem5697A4</v>
      </c>
      <c r="G144" s="498"/>
      <c r="H144" s="498"/>
      <c r="I144" s="498"/>
      <c r="J144" s="500">
        <v>0.41320000000000001</v>
      </c>
      <c r="K144" s="777">
        <v>0.16650000000000001</v>
      </c>
      <c r="L144" s="822">
        <v>0.1057</v>
      </c>
      <c r="M144" s="1446">
        <v>0.1057</v>
      </c>
    </row>
    <row r="145" spans="1:50" hidden="1">
      <c r="A145" s="468" t="s">
        <v>10</v>
      </c>
      <c r="B145" s="468" t="s">
        <v>291</v>
      </c>
      <c r="C145" s="468">
        <v>110</v>
      </c>
      <c r="D145" s="468">
        <v>5707</v>
      </c>
      <c r="E145" s="468" t="s">
        <v>533</v>
      </c>
      <c r="F145" s="468" t="str">
        <f>CONCATENATE(DescontosTE[[#This Row],[Permissionária]],DescontosTE[[#This Row],[codsariSUP]],DescontosTE[[#This Row],[Classe]])</f>
        <v>Coopersul5707A4</v>
      </c>
      <c r="G145" s="498"/>
      <c r="H145" s="498"/>
      <c r="I145" s="498"/>
      <c r="J145" s="500">
        <v>0.33779999999999999</v>
      </c>
      <c r="K145" s="777">
        <v>0.33779999999999999</v>
      </c>
      <c r="L145" s="822">
        <v>0.20419999999999999</v>
      </c>
      <c r="M145" s="1446">
        <v>9.0499999999999997E-2</v>
      </c>
    </row>
    <row r="146" spans="1:50" hidden="1">
      <c r="A146" s="468" t="s">
        <v>11</v>
      </c>
      <c r="B146" s="468" t="s">
        <v>291</v>
      </c>
      <c r="C146" s="468">
        <v>110</v>
      </c>
      <c r="D146" s="468">
        <v>5707</v>
      </c>
      <c r="E146" s="468" t="s">
        <v>533</v>
      </c>
      <c r="F146" s="468" t="str">
        <f>CONCATENATE(DescontosTE[[#This Row],[Permissionária]],DescontosTE[[#This Row],[codsariSUP]],DescontosTE[[#This Row],[Classe]])</f>
        <v>Coopernorte5707A4</v>
      </c>
      <c r="G146" s="498"/>
      <c r="H146" s="498"/>
      <c r="I146" s="498"/>
      <c r="J146" s="500">
        <v>0.49409999999999998</v>
      </c>
      <c r="K146" s="777">
        <v>0.48630000000000001</v>
      </c>
      <c r="L146" s="822">
        <v>0.37609999999999999</v>
      </c>
      <c r="M146" s="1446">
        <v>0.37609999999999999</v>
      </c>
    </row>
    <row r="147" spans="1:50" hidden="1">
      <c r="A147" s="468" t="s">
        <v>265</v>
      </c>
      <c r="B147" s="468" t="s">
        <v>125</v>
      </c>
      <c r="C147" s="468">
        <v>136</v>
      </c>
      <c r="D147" s="468">
        <v>63</v>
      </c>
      <c r="E147" s="468" t="s">
        <v>538</v>
      </c>
      <c r="F147" s="468" t="str">
        <f>CONCATENATE(DescontosTE[[#This Row],[Permissionária]],DescontosTE[[#This Row],[codsariSUP]],DescontosTE[[#This Row],[Classe]])</f>
        <v>Cemirim63A2</v>
      </c>
      <c r="G147" s="498"/>
      <c r="H147" s="498"/>
      <c r="I147" s="498"/>
      <c r="J147" s="500"/>
      <c r="K147" s="777">
        <v>0.18690000000000001</v>
      </c>
      <c r="L147" s="822">
        <v>0.1603</v>
      </c>
      <c r="M147" s="498">
        <v>0</v>
      </c>
    </row>
    <row r="148" spans="1:50" hidden="1">
      <c r="A148" s="468" t="s">
        <v>265</v>
      </c>
      <c r="B148" s="468" t="s">
        <v>136</v>
      </c>
      <c r="C148" s="468">
        <v>145</v>
      </c>
      <c r="D148" s="468">
        <v>385</v>
      </c>
      <c r="E148" s="468" t="s">
        <v>533</v>
      </c>
      <c r="F148" s="468" t="str">
        <f>CONCATENATE(DescontosTE[[#This Row],[Permissionária]],DescontosTE[[#This Row],[codsariSUP]],DescontosTE[[#This Row],[Classe]])</f>
        <v>Cemirim385A4</v>
      </c>
      <c r="G148" s="498"/>
      <c r="H148" s="498"/>
      <c r="I148" s="498"/>
      <c r="J148" s="500"/>
      <c r="K148" s="777">
        <v>0.18690000000000001</v>
      </c>
      <c r="L148" s="822">
        <v>0.1603</v>
      </c>
      <c r="M148" s="498">
        <v>0</v>
      </c>
    </row>
    <row r="149" spans="1:50" hidden="1">
      <c r="A149" s="468" t="s">
        <v>258</v>
      </c>
      <c r="B149" s="468" t="s">
        <v>167</v>
      </c>
      <c r="C149" s="468">
        <v>167</v>
      </c>
      <c r="D149" s="468">
        <v>396</v>
      </c>
      <c r="E149" s="468" t="s">
        <v>533</v>
      </c>
      <c r="F149" s="468" t="str">
        <f>CONCATENATE(DescontosTE[[#This Row],[Permissionária]],DescontosTE[[#This Row],[codsariSUP]],DescontosTE[[#This Row],[Classe]])</f>
        <v>Celetro396A4</v>
      </c>
      <c r="G149" s="823"/>
      <c r="H149" s="823"/>
      <c r="I149" s="823"/>
      <c r="J149" s="500"/>
      <c r="K149" s="777"/>
      <c r="L149" s="822">
        <v>0.1426</v>
      </c>
      <c r="M149" s="1446">
        <v>0.1426</v>
      </c>
      <c r="AS149" s="816"/>
      <c r="AX149" s="816"/>
    </row>
    <row r="150" spans="1:50" hidden="1">
      <c r="A150" s="468" t="s">
        <v>258</v>
      </c>
      <c r="B150" s="468" t="s">
        <v>545</v>
      </c>
      <c r="C150" s="468">
        <v>164</v>
      </c>
      <c r="D150" s="468">
        <v>400</v>
      </c>
      <c r="E150" s="468" t="s">
        <v>533</v>
      </c>
      <c r="F150" s="468" t="str">
        <f>CONCATENATE(DescontosTE[[#This Row],[Permissionária]],DescontosTE[[#This Row],[codsariSUP]],DescontosTE[[#This Row],[Classe]])</f>
        <v>Celetro400A4</v>
      </c>
      <c r="L150" s="500">
        <v>0.1426</v>
      </c>
      <c r="M150" s="1446">
        <v>0.1426</v>
      </c>
      <c r="AS150" s="816"/>
      <c r="AX150" s="816"/>
    </row>
    <row r="154" spans="1:50">
      <c r="A154" s="626" t="s">
        <v>546</v>
      </c>
    </row>
    <row r="156" spans="1:50">
      <c r="A156" s="9" t="s">
        <v>22</v>
      </c>
      <c r="B156" s="627" t="s">
        <v>198</v>
      </c>
      <c r="C156" t="s">
        <v>547</v>
      </c>
      <c r="D156" s="9" t="s">
        <v>548</v>
      </c>
      <c r="E156" s="9" t="s">
        <v>549</v>
      </c>
      <c r="F156" t="s">
        <v>550</v>
      </c>
      <c r="G156" t="s">
        <v>526</v>
      </c>
      <c r="H156" t="s">
        <v>527</v>
      </c>
      <c r="I156" t="s">
        <v>528</v>
      </c>
      <c r="J156" t="s">
        <v>529</v>
      </c>
      <c r="K156" t="s">
        <v>530</v>
      </c>
      <c r="L156" t="s">
        <v>531</v>
      </c>
      <c r="M156" t="s">
        <v>532</v>
      </c>
      <c r="N156" t="s">
        <v>2028</v>
      </c>
    </row>
    <row r="157" spans="1:50">
      <c r="A157" s="9" t="s">
        <v>521</v>
      </c>
      <c r="B157" s="628" t="s">
        <v>220</v>
      </c>
      <c r="C157" s="232">
        <v>477.54</v>
      </c>
      <c r="D157" s="232">
        <v>293.51</v>
      </c>
      <c r="E157" s="232">
        <v>285.53000000000003</v>
      </c>
      <c r="F157" s="232">
        <v>316.42</v>
      </c>
      <c r="G157" s="232">
        <v>400.42</v>
      </c>
      <c r="H157" s="232">
        <v>439.05</v>
      </c>
      <c r="I157">
        <v>464.07</v>
      </c>
      <c r="J157">
        <v>529.15</v>
      </c>
      <c r="K157" s="776">
        <v>585.49</v>
      </c>
      <c r="L157">
        <v>716.79000000000008</v>
      </c>
      <c r="M157" s="408">
        <v>802.08</v>
      </c>
    </row>
    <row r="158" spans="1:50">
      <c r="A158" s="9" t="s">
        <v>521</v>
      </c>
      <c r="B158" s="629" t="s">
        <v>153</v>
      </c>
      <c r="C158" s="232">
        <v>454.01</v>
      </c>
      <c r="D158" s="232">
        <v>372.29</v>
      </c>
      <c r="E158" s="232">
        <v>429.11</v>
      </c>
      <c r="F158" s="232">
        <v>488.63</v>
      </c>
      <c r="G158" s="232">
        <v>603.84</v>
      </c>
      <c r="H158" s="232">
        <v>662.82</v>
      </c>
      <c r="I158">
        <v>695.1</v>
      </c>
      <c r="J158">
        <v>784.40000000000009</v>
      </c>
      <c r="K158" s="776">
        <v>750.67</v>
      </c>
      <c r="L158">
        <v>694.52</v>
      </c>
      <c r="M158" s="408">
        <v>683.87</v>
      </c>
    </row>
    <row r="159" spans="1:50">
      <c r="A159" s="9" t="s">
        <v>521</v>
      </c>
      <c r="B159" s="628" t="s">
        <v>236</v>
      </c>
      <c r="C159" s="232">
        <v>422.89</v>
      </c>
      <c r="D159" s="232">
        <v>324.93</v>
      </c>
      <c r="E159" s="232">
        <v>330.32</v>
      </c>
      <c r="F159" s="232">
        <v>350.22</v>
      </c>
      <c r="G159" s="232">
        <v>461.39</v>
      </c>
      <c r="H159" s="232">
        <v>538.26</v>
      </c>
      <c r="I159">
        <v>573.74</v>
      </c>
      <c r="J159" s="232">
        <v>627.88</v>
      </c>
      <c r="K159" s="776">
        <v>687.25</v>
      </c>
      <c r="L159">
        <v>653.32000000000005</v>
      </c>
      <c r="M159" s="408">
        <v>636.51</v>
      </c>
    </row>
    <row r="160" spans="1:50">
      <c r="A160" s="9" t="s">
        <v>521</v>
      </c>
      <c r="B160" s="629" t="s">
        <v>241</v>
      </c>
      <c r="C160" s="232">
        <v>358.18</v>
      </c>
      <c r="D160" s="232">
        <v>201.09</v>
      </c>
      <c r="E160" s="232">
        <v>358.18</v>
      </c>
      <c r="F160" s="232">
        <v>285.40778770524361</v>
      </c>
      <c r="G160" s="232">
        <v>393.80621010002614</v>
      </c>
      <c r="H160" s="232">
        <v>393.80621010002614</v>
      </c>
      <c r="I160">
        <v>524.92999999999995</v>
      </c>
      <c r="J160" s="232">
        <v>473.15</v>
      </c>
      <c r="K160" s="776">
        <v>521.09</v>
      </c>
      <c r="L160">
        <v>586.86</v>
      </c>
      <c r="M160">
        <v>663.81999999999994</v>
      </c>
    </row>
    <row r="161" spans="1:13">
      <c r="A161" s="9" t="s">
        <v>521</v>
      </c>
      <c r="B161" s="628" t="s">
        <v>246</v>
      </c>
      <c r="C161" s="232">
        <v>364.27</v>
      </c>
      <c r="D161" s="232">
        <v>264.33</v>
      </c>
      <c r="E161" s="232">
        <v>322.36</v>
      </c>
      <c r="F161" s="232">
        <v>278.05753790328487</v>
      </c>
      <c r="G161" s="232">
        <v>365.46000000000004</v>
      </c>
      <c r="H161" s="232">
        <v>365.46000000000004</v>
      </c>
      <c r="I161">
        <v>441.3</v>
      </c>
      <c r="J161" s="232">
        <v>484.86</v>
      </c>
      <c r="K161" s="776">
        <v>531.81000000000006</v>
      </c>
      <c r="L161">
        <v>604.55999999999995</v>
      </c>
      <c r="M161" s="408">
        <v>688.71</v>
      </c>
    </row>
    <row r="162" spans="1:13">
      <c r="A162" s="9" t="s">
        <v>521</v>
      </c>
      <c r="B162" s="629" t="s">
        <v>253</v>
      </c>
      <c r="C162" s="232">
        <v>346.04</v>
      </c>
      <c r="D162" s="232">
        <v>244.04023455404769</v>
      </c>
      <c r="E162" s="232">
        <v>311.33999999999997</v>
      </c>
      <c r="F162" s="232">
        <v>357.41293987313691</v>
      </c>
      <c r="G162" s="232">
        <v>463.95000000000005</v>
      </c>
      <c r="H162" s="232">
        <v>461.19</v>
      </c>
      <c r="I162">
        <v>555.5</v>
      </c>
      <c r="J162" s="232">
        <v>607.63</v>
      </c>
      <c r="K162" s="776">
        <v>627.79</v>
      </c>
      <c r="L162">
        <f>419.13+242.86</f>
        <v>661.99</v>
      </c>
      <c r="M162" s="408">
        <v>820.92</v>
      </c>
    </row>
    <row r="163" spans="1:13">
      <c r="A163" s="9" t="s">
        <v>521</v>
      </c>
      <c r="B163" s="628" t="s">
        <v>259</v>
      </c>
      <c r="C163" s="232">
        <v>432.22</v>
      </c>
      <c r="D163" s="232">
        <v>334.28</v>
      </c>
      <c r="E163" s="232">
        <v>432.22</v>
      </c>
      <c r="F163" s="232">
        <v>406.19</v>
      </c>
      <c r="G163" s="232">
        <v>489.04</v>
      </c>
      <c r="H163" s="232">
        <v>489.04</v>
      </c>
      <c r="I163" s="232">
        <v>712.47</v>
      </c>
      <c r="J163" s="232">
        <v>461.91882050087406</v>
      </c>
      <c r="K163" s="776">
        <v>550.73</v>
      </c>
      <c r="L163">
        <f>343.12+245.73</f>
        <v>588.85</v>
      </c>
      <c r="M163" s="408">
        <v>603.04999999999995</v>
      </c>
    </row>
    <row r="164" spans="1:13">
      <c r="A164" s="9" t="s">
        <v>521</v>
      </c>
      <c r="B164" s="629" t="s">
        <v>266</v>
      </c>
      <c r="C164" s="232">
        <v>404.93</v>
      </c>
      <c r="D164" s="232">
        <v>237.94</v>
      </c>
      <c r="E164" s="232">
        <v>404.93</v>
      </c>
      <c r="F164" s="232">
        <v>263.02999999999997</v>
      </c>
      <c r="G164" s="232">
        <v>371.49669002205025</v>
      </c>
      <c r="H164" s="232">
        <v>371.5</v>
      </c>
      <c r="I164">
        <v>467.95</v>
      </c>
      <c r="J164" s="232">
        <v>504.95621166549836</v>
      </c>
      <c r="K164" s="776">
        <v>601.67000000000007</v>
      </c>
      <c r="L164">
        <f>319.9+262.18</f>
        <v>582.07999999999993</v>
      </c>
      <c r="M164" s="408">
        <v>613.14</v>
      </c>
    </row>
    <row r="165" spans="1:13">
      <c r="A165" s="9" t="s">
        <v>521</v>
      </c>
      <c r="B165" s="628" t="s">
        <v>271</v>
      </c>
      <c r="C165" s="232">
        <v>362.71</v>
      </c>
      <c r="D165" s="232">
        <v>216.37</v>
      </c>
      <c r="E165" s="232">
        <v>362.71</v>
      </c>
      <c r="F165" s="232">
        <v>259.14999999999998</v>
      </c>
      <c r="G165" s="232">
        <v>330.57</v>
      </c>
      <c r="H165" s="232">
        <v>330.57</v>
      </c>
      <c r="I165">
        <v>511.56</v>
      </c>
      <c r="J165" s="232">
        <v>538.42999999999995</v>
      </c>
      <c r="K165" s="776">
        <v>589.30000000000007</v>
      </c>
      <c r="L165">
        <v>631.75</v>
      </c>
      <c r="M165" s="408">
        <v>678.01</v>
      </c>
    </row>
    <row r="166" spans="1:13">
      <c r="A166" s="9" t="s">
        <v>521</v>
      </c>
      <c r="B166" s="629" t="s">
        <v>277</v>
      </c>
      <c r="C166" s="232">
        <v>435.97</v>
      </c>
      <c r="D166" s="232">
        <v>357.5</v>
      </c>
      <c r="E166" s="232">
        <v>388.25</v>
      </c>
      <c r="F166" s="232">
        <v>431.16</v>
      </c>
      <c r="G166" s="232">
        <v>543.15</v>
      </c>
      <c r="H166" s="232">
        <v>583.96</v>
      </c>
      <c r="I166">
        <v>636.54</v>
      </c>
      <c r="J166" s="232">
        <v>716.04</v>
      </c>
      <c r="K166" s="776">
        <v>697.1</v>
      </c>
      <c r="L166">
        <f>452.4+266.08</f>
        <v>718.48</v>
      </c>
      <c r="M166" s="408">
        <v>711.11</v>
      </c>
    </row>
    <row r="167" spans="1:13">
      <c r="A167" s="9" t="s">
        <v>521</v>
      </c>
      <c r="B167" s="628" t="s">
        <v>252</v>
      </c>
      <c r="C167" s="232">
        <v>388.16</v>
      </c>
      <c r="D167" s="232">
        <v>279.68</v>
      </c>
      <c r="E167" s="232">
        <v>301.51</v>
      </c>
      <c r="F167" s="232">
        <v>350.89</v>
      </c>
      <c r="G167" s="232">
        <v>436.4</v>
      </c>
      <c r="H167" s="232">
        <v>495.02000000000004</v>
      </c>
      <c r="I167">
        <v>556.74</v>
      </c>
      <c r="J167" s="232">
        <v>563.41</v>
      </c>
      <c r="K167" s="776">
        <v>616.29</v>
      </c>
      <c r="L167">
        <v>657.39</v>
      </c>
      <c r="M167" s="408">
        <v>548.54000000000008</v>
      </c>
    </row>
    <row r="168" spans="1:13">
      <c r="A168" s="9" t="s">
        <v>521</v>
      </c>
      <c r="B168" s="629" t="s">
        <v>9</v>
      </c>
      <c r="C168" s="232">
        <v>369.49</v>
      </c>
      <c r="D168" s="232">
        <v>306.07</v>
      </c>
      <c r="E168" s="232">
        <v>384.09999999999997</v>
      </c>
      <c r="F168" s="232">
        <v>430.41999999999996</v>
      </c>
      <c r="G168" s="232">
        <v>531.1</v>
      </c>
      <c r="H168" s="232">
        <v>507.00753569285177</v>
      </c>
      <c r="I168" s="232">
        <v>564.46713725793518</v>
      </c>
      <c r="J168" s="232">
        <v>626.71</v>
      </c>
      <c r="K168" s="776">
        <v>682.83</v>
      </c>
      <c r="L168">
        <v>725.14</v>
      </c>
      <c r="M168" s="408">
        <v>632.80000000000007</v>
      </c>
    </row>
    <row r="169" spans="1:13">
      <c r="A169" s="9" t="s">
        <v>521</v>
      </c>
      <c r="B169" s="628" t="s">
        <v>276</v>
      </c>
      <c r="C169" s="232">
        <v>366.87</v>
      </c>
      <c r="D169" s="232">
        <v>206.18</v>
      </c>
      <c r="E169" s="232">
        <v>252.23999999999998</v>
      </c>
      <c r="F169" s="232">
        <v>284.88</v>
      </c>
      <c r="G169" s="232">
        <v>353.59</v>
      </c>
      <c r="H169" s="232">
        <v>386.15</v>
      </c>
      <c r="I169">
        <v>430.76</v>
      </c>
      <c r="J169" s="232">
        <v>470.37</v>
      </c>
      <c r="K169" s="776">
        <v>496.86</v>
      </c>
      <c r="L169">
        <v>511.66</v>
      </c>
      <c r="M169" s="408">
        <v>518.32999999999993</v>
      </c>
    </row>
    <row r="170" spans="1:13">
      <c r="A170" s="9" t="s">
        <v>521</v>
      </c>
      <c r="B170" s="629" t="s">
        <v>150</v>
      </c>
      <c r="C170" s="232">
        <v>356.62</v>
      </c>
      <c r="D170" s="232">
        <v>292.43</v>
      </c>
      <c r="E170" s="232">
        <v>336.71</v>
      </c>
      <c r="F170" s="232">
        <v>369</v>
      </c>
      <c r="G170" s="232">
        <v>465.46000000000004</v>
      </c>
      <c r="H170" s="232">
        <v>512.65</v>
      </c>
      <c r="I170">
        <v>555.32000000000005</v>
      </c>
      <c r="J170" s="232">
        <v>609.02</v>
      </c>
      <c r="K170" s="776">
        <v>663.57999999999993</v>
      </c>
      <c r="L170">
        <v>677.53</v>
      </c>
      <c r="M170" s="408">
        <v>632.93999999999994</v>
      </c>
    </row>
    <row r="171" spans="1:13">
      <c r="A171" s="9" t="s">
        <v>521</v>
      </c>
      <c r="B171" s="628" t="s">
        <v>299</v>
      </c>
      <c r="C171" s="232">
        <v>319.74</v>
      </c>
      <c r="D171" s="232">
        <v>262.19</v>
      </c>
      <c r="E171" s="232">
        <v>308.73</v>
      </c>
      <c r="F171" s="232">
        <v>340.03</v>
      </c>
      <c r="G171" s="232">
        <v>401.97</v>
      </c>
      <c r="H171" s="232">
        <v>412.9</v>
      </c>
      <c r="I171">
        <v>460.64</v>
      </c>
      <c r="J171" s="232">
        <v>501.31</v>
      </c>
      <c r="K171" s="776">
        <v>544.1</v>
      </c>
      <c r="L171">
        <v>589.07999999999993</v>
      </c>
      <c r="M171" s="631">
        <v>561.9</v>
      </c>
    </row>
    <row r="172" spans="1:13">
      <c r="A172" s="9" t="s">
        <v>521</v>
      </c>
      <c r="B172" s="629" t="s">
        <v>310</v>
      </c>
      <c r="C172" s="232">
        <v>368.63</v>
      </c>
      <c r="D172" s="232">
        <v>302.27999999999997</v>
      </c>
      <c r="E172" s="232">
        <v>324.70000000000005</v>
      </c>
      <c r="F172" s="232">
        <v>370.55</v>
      </c>
      <c r="G172" s="232">
        <v>458.99</v>
      </c>
      <c r="H172" s="232">
        <v>456.67</v>
      </c>
      <c r="I172">
        <v>541.30999999999995</v>
      </c>
      <c r="J172" s="232">
        <v>543.35</v>
      </c>
      <c r="K172" s="776">
        <v>580.39</v>
      </c>
      <c r="L172">
        <v>610.34</v>
      </c>
      <c r="M172" s="408">
        <v>628.70000000000005</v>
      </c>
    </row>
    <row r="173" spans="1:13">
      <c r="A173" s="9" t="s">
        <v>521</v>
      </c>
      <c r="B173" s="628" t="s">
        <v>151</v>
      </c>
      <c r="C173" s="232">
        <v>346.91</v>
      </c>
      <c r="D173" s="232">
        <v>242</v>
      </c>
      <c r="E173" s="232">
        <v>289.56</v>
      </c>
      <c r="F173" s="232">
        <v>330.23</v>
      </c>
      <c r="G173" s="232">
        <v>413.18</v>
      </c>
      <c r="H173" s="232">
        <v>428.98</v>
      </c>
      <c r="I173">
        <v>522</v>
      </c>
      <c r="J173" s="232">
        <v>599.08000000000004</v>
      </c>
      <c r="K173" s="776">
        <v>655.47</v>
      </c>
      <c r="L173">
        <v>654.13</v>
      </c>
      <c r="M173" s="408">
        <v>721.68</v>
      </c>
    </row>
    <row r="174" spans="1:13">
      <c r="A174" s="9" t="s">
        <v>521</v>
      </c>
      <c r="B174" s="629" t="s">
        <v>321</v>
      </c>
      <c r="C174" s="232">
        <v>366.98</v>
      </c>
      <c r="D174" s="232">
        <v>251.82</v>
      </c>
      <c r="E174" s="232">
        <v>312.01</v>
      </c>
      <c r="F174" s="232">
        <v>335.83</v>
      </c>
      <c r="G174" s="232">
        <v>413.43</v>
      </c>
      <c r="H174" s="232">
        <v>401.35</v>
      </c>
      <c r="I174">
        <v>449.65</v>
      </c>
      <c r="J174" s="232">
        <v>491.34</v>
      </c>
      <c r="K174" s="776">
        <v>523.83000000000004</v>
      </c>
      <c r="L174">
        <v>545.07000000000005</v>
      </c>
      <c r="M174" s="408">
        <v>563.88</v>
      </c>
    </row>
    <row r="175" spans="1:13">
      <c r="A175" s="9" t="s">
        <v>521</v>
      </c>
      <c r="B175" s="628" t="s">
        <v>328</v>
      </c>
      <c r="C175" s="232">
        <v>344.09</v>
      </c>
      <c r="D175" s="232">
        <v>252.56</v>
      </c>
      <c r="E175" s="232">
        <v>299.25</v>
      </c>
      <c r="F175" s="232">
        <v>336.02</v>
      </c>
      <c r="G175" s="232">
        <v>412.58</v>
      </c>
      <c r="H175" s="232">
        <v>430.32</v>
      </c>
      <c r="I175">
        <v>464.97</v>
      </c>
      <c r="J175" s="232">
        <v>510.26</v>
      </c>
      <c r="K175" s="776">
        <v>559.04</v>
      </c>
      <c r="L175">
        <v>605.22</v>
      </c>
      <c r="M175" s="408">
        <v>641.27</v>
      </c>
    </row>
    <row r="176" spans="1:13">
      <c r="A176" s="9" t="s">
        <v>521</v>
      </c>
      <c r="B176" s="629" t="s">
        <v>333</v>
      </c>
      <c r="C176" s="232">
        <v>352.15</v>
      </c>
      <c r="D176" s="232">
        <v>313.41000000000003</v>
      </c>
      <c r="E176" s="232">
        <v>340.76</v>
      </c>
      <c r="F176" s="232">
        <v>300.83000000000004</v>
      </c>
      <c r="G176" s="232">
        <v>367.03999999999996</v>
      </c>
      <c r="H176" s="232">
        <v>352.81</v>
      </c>
      <c r="I176" s="232">
        <v>417.12369966554775</v>
      </c>
      <c r="J176" s="232">
        <v>507.4</v>
      </c>
      <c r="K176" s="776">
        <v>562.51</v>
      </c>
      <c r="L176">
        <v>608.16999999999996</v>
      </c>
      <c r="M176" s="408">
        <v>651.74</v>
      </c>
    </row>
    <row r="177" spans="1:13">
      <c r="A177" s="9" t="s">
        <v>521</v>
      </c>
      <c r="B177" s="628" t="s">
        <v>339</v>
      </c>
      <c r="C177" s="232">
        <v>363.15</v>
      </c>
      <c r="D177" s="232">
        <v>238.56</v>
      </c>
      <c r="E177" s="232">
        <v>279.66000000000003</v>
      </c>
      <c r="F177" s="232">
        <v>327.79999999999995</v>
      </c>
      <c r="G177" s="232">
        <v>404.02</v>
      </c>
      <c r="H177" s="232">
        <v>482.26</v>
      </c>
      <c r="I177">
        <v>521.36</v>
      </c>
      <c r="J177" s="232">
        <v>577.79</v>
      </c>
      <c r="K177" s="776">
        <v>633.44000000000005</v>
      </c>
      <c r="L177">
        <v>707.06999999999994</v>
      </c>
      <c r="M177" s="408">
        <v>705.72</v>
      </c>
    </row>
    <row r="178" spans="1:13">
      <c r="A178" s="9" t="s">
        <v>521</v>
      </c>
      <c r="B178" s="629" t="s">
        <v>344</v>
      </c>
      <c r="C178" s="232">
        <v>313.55</v>
      </c>
      <c r="D178" s="232">
        <v>208.01</v>
      </c>
      <c r="E178" s="232">
        <v>199.54</v>
      </c>
      <c r="F178" s="232">
        <v>227.81</v>
      </c>
      <c r="G178" s="232">
        <v>293.36</v>
      </c>
      <c r="H178" s="232">
        <v>330.82</v>
      </c>
      <c r="I178">
        <v>345.93</v>
      </c>
      <c r="J178" s="232">
        <v>375.68</v>
      </c>
      <c r="K178" s="776">
        <v>419.84</v>
      </c>
      <c r="L178">
        <v>440.52000000000004</v>
      </c>
      <c r="M178" s="408">
        <v>466</v>
      </c>
    </row>
    <row r="179" spans="1:13">
      <c r="A179" s="9" t="s">
        <v>521</v>
      </c>
      <c r="B179" s="628" t="s">
        <v>349</v>
      </c>
      <c r="C179" s="232">
        <v>368.84</v>
      </c>
      <c r="D179" s="232">
        <v>321.41000000000003</v>
      </c>
      <c r="E179" s="232">
        <v>293.41000000000003</v>
      </c>
      <c r="F179" s="232">
        <v>293.20000000000005</v>
      </c>
      <c r="G179" s="232">
        <v>369.56</v>
      </c>
      <c r="H179" s="232">
        <v>364.44</v>
      </c>
      <c r="I179">
        <v>507.27</v>
      </c>
      <c r="J179" s="232">
        <v>552.46</v>
      </c>
      <c r="K179" s="776">
        <v>620.12</v>
      </c>
      <c r="L179">
        <v>691.03000000000009</v>
      </c>
      <c r="M179" s="408">
        <v>729.03</v>
      </c>
    </row>
    <row r="180" spans="1:13">
      <c r="A180" s="9" t="s">
        <v>521</v>
      </c>
      <c r="B180" s="629" t="s">
        <v>154</v>
      </c>
      <c r="C180" s="232">
        <v>318.97000000000003</v>
      </c>
      <c r="D180" s="232">
        <v>222.08</v>
      </c>
      <c r="E180" s="232">
        <v>208.08</v>
      </c>
      <c r="F180" s="232">
        <v>214.45</v>
      </c>
      <c r="G180" s="232">
        <v>249.71</v>
      </c>
      <c r="H180" s="232">
        <v>296.18</v>
      </c>
      <c r="I180">
        <v>309.25</v>
      </c>
      <c r="J180" s="232">
        <v>338.07</v>
      </c>
      <c r="K180" s="776">
        <v>387.09</v>
      </c>
      <c r="L180">
        <v>395.17</v>
      </c>
      <c r="M180" s="408">
        <v>403.03</v>
      </c>
    </row>
    <row r="181" spans="1:13">
      <c r="A181" s="9" t="s">
        <v>521</v>
      </c>
      <c r="B181" s="628" t="s">
        <v>358</v>
      </c>
      <c r="C181" s="232">
        <v>310.13</v>
      </c>
      <c r="D181" s="232">
        <v>259.92</v>
      </c>
      <c r="E181" s="232">
        <v>296.12</v>
      </c>
      <c r="F181" s="232">
        <v>275.63</v>
      </c>
      <c r="G181" s="232">
        <v>347.7</v>
      </c>
      <c r="H181" s="232">
        <v>314.48</v>
      </c>
      <c r="I181">
        <v>356.72</v>
      </c>
      <c r="J181" s="232">
        <v>429.12</v>
      </c>
      <c r="K181" s="776">
        <v>468.2</v>
      </c>
      <c r="L181">
        <v>502.33000000000004</v>
      </c>
      <c r="M181" s="408">
        <v>550.72</v>
      </c>
    </row>
    <row r="182" spans="1:13">
      <c r="A182" s="9" t="s">
        <v>521</v>
      </c>
      <c r="B182" s="629" t="s">
        <v>365</v>
      </c>
      <c r="C182" s="232">
        <v>369.8</v>
      </c>
      <c r="D182" s="232">
        <v>231.9</v>
      </c>
      <c r="E182" s="232">
        <v>286.64999999999998</v>
      </c>
      <c r="F182" s="232">
        <v>323.81</v>
      </c>
      <c r="G182" s="232">
        <v>401.27</v>
      </c>
      <c r="H182" s="232">
        <v>420.08</v>
      </c>
      <c r="I182">
        <v>440.25</v>
      </c>
      <c r="J182" s="232">
        <v>475.41</v>
      </c>
      <c r="K182" s="776">
        <v>506.32999999999993</v>
      </c>
      <c r="L182">
        <v>538.1</v>
      </c>
      <c r="M182" s="408">
        <v>614.15</v>
      </c>
    </row>
    <row r="183" spans="1:13">
      <c r="A183" s="9" t="s">
        <v>521</v>
      </c>
      <c r="B183" s="628" t="s">
        <v>370</v>
      </c>
      <c r="C183" s="232">
        <v>364.86</v>
      </c>
      <c r="D183" s="232">
        <v>226.34</v>
      </c>
      <c r="E183" s="232">
        <v>282.91999999999996</v>
      </c>
      <c r="F183" s="232">
        <v>312.21999999999997</v>
      </c>
      <c r="G183" s="232">
        <v>384.17</v>
      </c>
      <c r="H183" s="232">
        <v>475.53</v>
      </c>
      <c r="I183">
        <v>505.03</v>
      </c>
      <c r="J183" s="232">
        <v>557.01</v>
      </c>
      <c r="K183" s="776">
        <v>592.26</v>
      </c>
      <c r="L183">
        <v>622.27</v>
      </c>
      <c r="M183" s="408">
        <v>648.42999999999995</v>
      </c>
    </row>
    <row r="184" spans="1:13">
      <c r="A184" s="9" t="s">
        <v>521</v>
      </c>
      <c r="B184" s="629" t="s">
        <v>144</v>
      </c>
      <c r="C184" s="232">
        <v>458.59</v>
      </c>
      <c r="D184" s="232">
        <v>323.39</v>
      </c>
      <c r="E184" s="232">
        <v>339.78</v>
      </c>
      <c r="F184" s="232">
        <v>301.13</v>
      </c>
      <c r="G184" s="232">
        <v>344.61</v>
      </c>
      <c r="H184" s="232">
        <v>363.7</v>
      </c>
      <c r="I184">
        <v>415.73</v>
      </c>
      <c r="J184" s="232">
        <v>454.61</v>
      </c>
      <c r="K184" s="776">
        <v>514.23</v>
      </c>
      <c r="L184">
        <v>496.95</v>
      </c>
      <c r="M184" s="408">
        <v>539.69000000000005</v>
      </c>
    </row>
    <row r="185" spans="1:13">
      <c r="A185" s="9" t="s">
        <v>521</v>
      </c>
      <c r="B185" s="628" t="s">
        <v>375</v>
      </c>
      <c r="C185" s="232">
        <v>482.42</v>
      </c>
      <c r="D185" s="232">
        <v>334.28</v>
      </c>
      <c r="E185" s="232">
        <v>369.17</v>
      </c>
      <c r="F185" s="232">
        <v>405.12</v>
      </c>
      <c r="G185" s="232">
        <v>495.76</v>
      </c>
      <c r="H185" s="232">
        <v>469.76</v>
      </c>
      <c r="I185" s="232">
        <v>537.92999999999995</v>
      </c>
      <c r="J185" s="232">
        <v>568.73030731554422</v>
      </c>
      <c r="K185" s="776">
        <v>666.96</v>
      </c>
      <c r="L185">
        <v>631.15</v>
      </c>
      <c r="M185" s="408">
        <v>604.07000000000005</v>
      </c>
    </row>
    <row r="186" spans="1:13">
      <c r="A186" s="9" t="s">
        <v>521</v>
      </c>
      <c r="B186" s="629" t="s">
        <v>387</v>
      </c>
      <c r="C186" s="232">
        <v>404.46</v>
      </c>
      <c r="D186" s="232">
        <v>265.99</v>
      </c>
      <c r="E186" s="232">
        <v>404.46</v>
      </c>
      <c r="F186" s="232">
        <v>305.14</v>
      </c>
      <c r="G186" s="232">
        <v>393.10271432926857</v>
      </c>
      <c r="H186" s="232">
        <v>393.1</v>
      </c>
      <c r="I186">
        <v>551.04</v>
      </c>
      <c r="J186" s="232">
        <v>595.99</v>
      </c>
      <c r="K186" s="776">
        <v>616.19999999999993</v>
      </c>
      <c r="L186">
        <f>357.43+226.05</f>
        <v>583.48</v>
      </c>
      <c r="M186" s="408">
        <v>521.44999999999993</v>
      </c>
    </row>
    <row r="187" spans="1:13">
      <c r="A187" s="9" t="s">
        <v>521</v>
      </c>
      <c r="B187" s="628" t="s">
        <v>165</v>
      </c>
      <c r="C187" s="232">
        <v>369.38</v>
      </c>
      <c r="D187" s="232">
        <v>287.44</v>
      </c>
      <c r="E187" s="232">
        <v>297.12</v>
      </c>
      <c r="F187" s="232">
        <v>269.27</v>
      </c>
      <c r="G187" s="232">
        <v>373.22999999999996</v>
      </c>
      <c r="H187" s="232">
        <v>358.46</v>
      </c>
      <c r="I187">
        <v>384</v>
      </c>
      <c r="J187">
        <v>422.87</v>
      </c>
      <c r="K187" s="776">
        <v>458.66</v>
      </c>
      <c r="L187">
        <v>484.06</v>
      </c>
      <c r="M187" s="408">
        <v>508.88999999999993</v>
      </c>
    </row>
    <row r="188" spans="1:13">
      <c r="A188" s="9" t="s">
        <v>521</v>
      </c>
      <c r="B188" s="629" t="s">
        <v>398</v>
      </c>
      <c r="C188" s="232">
        <v>449.12</v>
      </c>
      <c r="D188" s="232">
        <v>302.11</v>
      </c>
      <c r="E188" s="232">
        <v>344.88</v>
      </c>
      <c r="F188" s="232">
        <v>366.2</v>
      </c>
      <c r="G188" s="232">
        <v>450.46000000000004</v>
      </c>
      <c r="H188" s="232">
        <v>424.82695202870184</v>
      </c>
      <c r="I188">
        <v>507.06</v>
      </c>
      <c r="J188">
        <v>452.06</v>
      </c>
      <c r="K188" s="776">
        <v>503.84</v>
      </c>
      <c r="L188">
        <v>506.04</v>
      </c>
      <c r="M188" s="408">
        <v>514.01</v>
      </c>
    </row>
    <row r="189" spans="1:13">
      <c r="A189" s="9" t="s">
        <v>521</v>
      </c>
      <c r="B189" s="628" t="s">
        <v>403</v>
      </c>
      <c r="C189" s="232">
        <v>405.06</v>
      </c>
      <c r="D189" s="232">
        <v>283</v>
      </c>
      <c r="E189" s="232">
        <v>323.12</v>
      </c>
      <c r="F189" s="232">
        <v>325.23</v>
      </c>
      <c r="G189" s="232">
        <v>414.44</v>
      </c>
      <c r="H189" s="232">
        <v>402.86</v>
      </c>
      <c r="I189">
        <v>497.26</v>
      </c>
      <c r="J189">
        <v>525.89</v>
      </c>
      <c r="K189" s="776">
        <v>571.18000000000006</v>
      </c>
      <c r="L189">
        <f>279.82+218.08</f>
        <v>497.9</v>
      </c>
      <c r="M189" s="408">
        <v>458.09</v>
      </c>
    </row>
    <row r="190" spans="1:13">
      <c r="A190" s="9" t="s">
        <v>521</v>
      </c>
      <c r="B190" s="629" t="s">
        <v>143</v>
      </c>
      <c r="C190" s="232">
        <v>449.12</v>
      </c>
      <c r="D190" s="232">
        <v>302.11</v>
      </c>
      <c r="E190" s="232">
        <v>344.88</v>
      </c>
      <c r="F190" s="232">
        <v>366.2</v>
      </c>
      <c r="G190" s="232">
        <v>471.76</v>
      </c>
      <c r="H190" s="232">
        <v>434.78</v>
      </c>
      <c r="I190">
        <v>498.87</v>
      </c>
      <c r="J190">
        <v>538.66999999999996</v>
      </c>
      <c r="K190" s="776">
        <v>592.31999999999994</v>
      </c>
      <c r="L190">
        <v>573.04999999999995</v>
      </c>
      <c r="M190" s="408">
        <v>611.82000000000005</v>
      </c>
    </row>
    <row r="191" spans="1:13">
      <c r="A191" s="9" t="s">
        <v>521</v>
      </c>
      <c r="B191" s="628" t="s">
        <v>414</v>
      </c>
      <c r="C191" s="232">
        <v>421.37</v>
      </c>
      <c r="D191" s="232">
        <v>303.04000000000002</v>
      </c>
      <c r="E191" s="232">
        <v>315.06</v>
      </c>
      <c r="F191" s="232">
        <v>383.55</v>
      </c>
      <c r="G191" s="232">
        <v>462.38</v>
      </c>
      <c r="H191" s="232">
        <v>421.46</v>
      </c>
      <c r="I191">
        <v>466.23</v>
      </c>
      <c r="J191">
        <v>550.96</v>
      </c>
      <c r="K191" s="776">
        <v>607.33000000000004</v>
      </c>
      <c r="L191">
        <v>642.19000000000005</v>
      </c>
      <c r="M191" s="408">
        <v>700.57</v>
      </c>
    </row>
    <row r="192" spans="1:13">
      <c r="A192" s="9" t="s">
        <v>521</v>
      </c>
      <c r="B192" s="629" t="s">
        <v>294</v>
      </c>
      <c r="C192" s="232">
        <v>334.38</v>
      </c>
      <c r="D192" s="232">
        <v>229.56</v>
      </c>
      <c r="E192" s="232">
        <v>280.39</v>
      </c>
      <c r="F192" s="232">
        <v>226.26999999999998</v>
      </c>
      <c r="G192" s="232">
        <v>319.52999999999997</v>
      </c>
      <c r="H192" s="232">
        <v>347.1</v>
      </c>
      <c r="I192">
        <v>389.73</v>
      </c>
      <c r="J192">
        <v>444.4</v>
      </c>
      <c r="K192" s="776">
        <v>469.96</v>
      </c>
      <c r="L192">
        <v>496.82</v>
      </c>
      <c r="M192" s="408">
        <v>587.54</v>
      </c>
    </row>
    <row r="193" spans="1:16">
      <c r="A193" s="9" t="s">
        <v>521</v>
      </c>
      <c r="B193" s="628" t="s">
        <v>149</v>
      </c>
      <c r="C193" s="232">
        <v>535.47</v>
      </c>
      <c r="D193" s="232">
        <v>338.98</v>
      </c>
      <c r="E193" s="232">
        <v>535.47</v>
      </c>
      <c r="F193" s="232">
        <v>372.87</v>
      </c>
      <c r="G193" s="232">
        <v>533.08000000000004</v>
      </c>
      <c r="H193" s="232">
        <v>533.08000000000004</v>
      </c>
      <c r="I193">
        <v>692.29</v>
      </c>
      <c r="J193">
        <v>764.98</v>
      </c>
      <c r="K193" s="776">
        <v>884.76</v>
      </c>
      <c r="L193">
        <f>763.76+204.91</f>
        <v>968.67</v>
      </c>
      <c r="M193">
        <v>1025.47</v>
      </c>
    </row>
    <row r="194" spans="1:16">
      <c r="A194" s="9" t="s">
        <v>521</v>
      </c>
      <c r="B194" s="630" t="s">
        <v>309</v>
      </c>
      <c r="C194" s="232">
        <v>363.71</v>
      </c>
      <c r="D194" s="232">
        <v>298.24</v>
      </c>
      <c r="E194" s="232">
        <v>363.71</v>
      </c>
      <c r="F194" s="232">
        <v>396.87</v>
      </c>
      <c r="G194" s="232">
        <v>454.81272598997919</v>
      </c>
      <c r="H194" s="232">
        <v>546.46</v>
      </c>
      <c r="I194">
        <v>681.93</v>
      </c>
      <c r="J194">
        <v>744.47</v>
      </c>
      <c r="K194" s="776">
        <v>782.78000000000009</v>
      </c>
      <c r="L194">
        <f>513.49+240.36</f>
        <v>753.85</v>
      </c>
      <c r="M194" s="408">
        <v>761.28</v>
      </c>
    </row>
    <row r="195" spans="1:16">
      <c r="A195" s="9" t="s">
        <v>521</v>
      </c>
      <c r="B195" s="496" t="s">
        <v>304</v>
      </c>
      <c r="C195" s="232"/>
      <c r="D195" s="232"/>
      <c r="E195" s="232"/>
      <c r="F195" s="232"/>
      <c r="G195" s="232"/>
      <c r="H195" s="232"/>
      <c r="J195">
        <f>615+203.54</f>
        <v>818.54</v>
      </c>
      <c r="K195" s="776">
        <v>894.62</v>
      </c>
      <c r="L195">
        <f>765.89+213.34</f>
        <v>979.23</v>
      </c>
      <c r="M195">
        <v>1023.74</v>
      </c>
    </row>
    <row r="196" spans="1:16">
      <c r="A196" s="9" t="s">
        <v>521</v>
      </c>
      <c r="B196" s="496" t="s">
        <v>161</v>
      </c>
      <c r="C196" s="232"/>
      <c r="D196" s="232"/>
      <c r="E196" s="232"/>
      <c r="F196" s="232"/>
      <c r="G196" s="232"/>
      <c r="H196" s="232"/>
      <c r="J196">
        <f>664.33+206.1</f>
        <v>870.43000000000006</v>
      </c>
      <c r="K196" s="776">
        <v>950.33</v>
      </c>
      <c r="L196">
        <v>1054.05</v>
      </c>
      <c r="M196">
        <v>1107.67</v>
      </c>
      <c r="N196" s="232"/>
    </row>
    <row r="197" spans="1:16">
      <c r="A197" s="9" t="s">
        <v>521</v>
      </c>
      <c r="B197" s="496" t="s">
        <v>327</v>
      </c>
      <c r="C197" s="232"/>
      <c r="D197" s="232"/>
      <c r="E197" s="232"/>
      <c r="F197" s="232"/>
      <c r="G197" s="232"/>
      <c r="H197" s="232"/>
      <c r="J197">
        <f>301.06+226.53</f>
        <v>527.59</v>
      </c>
      <c r="K197" s="776">
        <v>562.08000000000004</v>
      </c>
      <c r="L197">
        <v>611.43999999999994</v>
      </c>
      <c r="M197" s="408">
        <v>660.43</v>
      </c>
      <c r="N197" s="8"/>
    </row>
    <row r="198" spans="1:16">
      <c r="A198" s="9" t="s">
        <v>521</v>
      </c>
      <c r="B198" s="496" t="s">
        <v>431</v>
      </c>
      <c r="C198" s="232"/>
      <c r="D198" s="232"/>
      <c r="E198" s="232"/>
      <c r="F198" s="232"/>
      <c r="G198" s="232"/>
      <c r="H198" s="232"/>
      <c r="J198">
        <f>307.78+191.1</f>
        <v>498.88</v>
      </c>
      <c r="K198" s="776">
        <v>528.30999999999995</v>
      </c>
      <c r="L198">
        <v>564.45999999999992</v>
      </c>
      <c r="M198" s="408">
        <v>597.03</v>
      </c>
      <c r="N198" s="8"/>
    </row>
    <row r="199" spans="1:16">
      <c r="A199" s="9" t="s">
        <v>521</v>
      </c>
      <c r="B199" s="496" t="s">
        <v>230</v>
      </c>
      <c r="C199" s="232"/>
      <c r="D199" s="232"/>
      <c r="E199" s="232"/>
      <c r="F199" s="232"/>
      <c r="G199" s="232"/>
      <c r="H199" s="232"/>
      <c r="J199">
        <f>168.45+162.56</f>
        <v>331.01</v>
      </c>
      <c r="K199" s="776">
        <v>350.78999999999996</v>
      </c>
      <c r="L199">
        <v>369.5</v>
      </c>
      <c r="M199" s="408">
        <v>424.29</v>
      </c>
      <c r="N199" s="8"/>
    </row>
    <row r="200" spans="1:16">
      <c r="A200" s="9" t="s">
        <v>521</v>
      </c>
      <c r="B200" s="496" t="s">
        <v>446</v>
      </c>
      <c r="C200" s="232"/>
      <c r="D200" s="232"/>
      <c r="E200" s="232"/>
      <c r="F200" s="232"/>
      <c r="G200" s="232"/>
      <c r="H200" s="232"/>
      <c r="J200">
        <f>439.25+192.21</f>
        <v>631.46</v>
      </c>
      <c r="K200" s="776">
        <v>667.26</v>
      </c>
      <c r="L200">
        <v>648.54999999999995</v>
      </c>
      <c r="M200" s="408">
        <v>635.66</v>
      </c>
      <c r="N200" s="8"/>
    </row>
    <row r="201" spans="1:16">
      <c r="A201" s="9" t="s">
        <v>521</v>
      </c>
      <c r="B201" s="496" t="s">
        <v>152</v>
      </c>
      <c r="C201" s="232"/>
      <c r="D201" s="232"/>
      <c r="E201" s="232"/>
      <c r="F201" s="232"/>
      <c r="G201" s="232"/>
      <c r="H201" s="232"/>
      <c r="J201">
        <f>171.47+169.46</f>
        <v>340.93</v>
      </c>
      <c r="K201" s="776">
        <v>374.59</v>
      </c>
      <c r="L201">
        <v>366.5</v>
      </c>
      <c r="M201" s="408">
        <v>409.78999999999996</v>
      </c>
      <c r="N201" s="8"/>
    </row>
    <row r="202" spans="1:16">
      <c r="A202" s="9" t="s">
        <v>521</v>
      </c>
      <c r="B202" s="496" t="s">
        <v>409</v>
      </c>
      <c r="C202" s="232"/>
      <c r="D202" s="232"/>
      <c r="E202" s="232"/>
      <c r="F202" s="232"/>
      <c r="G202" s="232"/>
      <c r="H202" s="232"/>
      <c r="J202">
        <f>340.97+179.98</f>
        <v>520.95000000000005</v>
      </c>
      <c r="K202" s="776">
        <v>564.18000000000006</v>
      </c>
      <c r="L202">
        <v>604.55000000000007</v>
      </c>
      <c r="M202" s="408">
        <v>472.58</v>
      </c>
      <c r="N202" s="8"/>
    </row>
    <row r="203" spans="1:16">
      <c r="A203" s="9" t="s">
        <v>521</v>
      </c>
      <c r="B203" s="496" t="s">
        <v>457</v>
      </c>
      <c r="C203" s="232"/>
      <c r="D203" s="232"/>
      <c r="E203" s="232"/>
      <c r="F203" s="232"/>
      <c r="G203" s="232"/>
      <c r="H203" s="232"/>
      <c r="J203">
        <f>190.47+169.91</f>
        <v>360.38</v>
      </c>
      <c r="K203" s="776">
        <v>386.85</v>
      </c>
      <c r="L203">
        <v>418.26000000000005</v>
      </c>
      <c r="M203" s="408">
        <v>463.75</v>
      </c>
      <c r="N203" s="8"/>
    </row>
    <row r="204" spans="1:16">
      <c r="A204" s="9" t="s">
        <v>521</v>
      </c>
      <c r="B204" s="496" t="s">
        <v>492</v>
      </c>
      <c r="C204" s="232"/>
      <c r="D204" s="232"/>
      <c r="E204" s="232"/>
      <c r="F204" s="232"/>
      <c r="G204" s="232"/>
      <c r="H204" s="232"/>
      <c r="J204">
        <f>342.7+181.1</f>
        <v>523.79999999999995</v>
      </c>
      <c r="K204" s="776">
        <v>559.9</v>
      </c>
      <c r="L204">
        <f>357.17+229.26</f>
        <v>586.43000000000006</v>
      </c>
      <c r="M204" s="408">
        <v>662.51</v>
      </c>
      <c r="N204" s="8"/>
    </row>
    <row r="205" spans="1:16">
      <c r="A205" s="9" t="s">
        <v>521</v>
      </c>
      <c r="B205" s="496" t="s">
        <v>551</v>
      </c>
      <c r="C205" s="232"/>
      <c r="D205" s="232"/>
      <c r="E205" s="232"/>
      <c r="F205" s="232"/>
      <c r="G205" s="232"/>
      <c r="H205" s="232"/>
      <c r="J205">
        <f>339.3+208.3</f>
        <v>547.6</v>
      </c>
      <c r="K205" s="776">
        <v>595.43999999999994</v>
      </c>
      <c r="L205">
        <f>413.48+197.81</f>
        <v>611.29</v>
      </c>
      <c r="M205" s="408">
        <v>640.98</v>
      </c>
    </row>
    <row r="206" spans="1:16">
      <c r="A206" s="9" t="s">
        <v>521</v>
      </c>
      <c r="B206" s="496" t="s">
        <v>11</v>
      </c>
      <c r="C206" s="232"/>
      <c r="D206" s="232"/>
      <c r="E206" s="232"/>
      <c r="F206" s="232"/>
      <c r="G206" s="232"/>
      <c r="H206" s="232"/>
      <c r="J206">
        <f>515.49+163.34</f>
        <v>678.83</v>
      </c>
      <c r="K206" s="776">
        <v>735.09</v>
      </c>
      <c r="L206">
        <f>616.69+148.58</f>
        <v>765.2700000000001</v>
      </c>
      <c r="M206" s="408">
        <v>815.69</v>
      </c>
    </row>
    <row r="207" spans="1:16">
      <c r="A207" s="261" t="s">
        <v>521</v>
      </c>
      <c r="B207" s="772" t="s">
        <v>265</v>
      </c>
      <c r="C207" s="232"/>
      <c r="D207" s="232"/>
      <c r="E207" s="232"/>
      <c r="F207" s="232"/>
      <c r="G207" s="232"/>
      <c r="H207" s="232"/>
      <c r="K207" s="776">
        <v>470.82</v>
      </c>
      <c r="L207">
        <f>281.75+226.45</f>
        <v>508.2</v>
      </c>
      <c r="M207" s="408">
        <v>536.98</v>
      </c>
    </row>
    <row r="208" spans="1:16">
      <c r="A208" s="261" t="s">
        <v>521</v>
      </c>
      <c r="B208" s="772" t="s">
        <v>258</v>
      </c>
      <c r="C208" s="232"/>
      <c r="D208" s="232"/>
      <c r="E208" s="232"/>
      <c r="F208" s="232"/>
      <c r="G208" s="232"/>
      <c r="H208" s="232"/>
      <c r="K208" s="776"/>
      <c r="L208">
        <f>357.76+231.81</f>
        <v>589.56999999999994</v>
      </c>
      <c r="M208" s="408">
        <v>677.96999999999991</v>
      </c>
      <c r="O208" s="811" t="s">
        <v>552</v>
      </c>
      <c r="P208" s="812">
        <v>968.67</v>
      </c>
    </row>
    <row r="209" spans="1:50">
      <c r="A209" s="9" t="s">
        <v>27</v>
      </c>
      <c r="B209" s="474" t="s">
        <v>135</v>
      </c>
      <c r="C209" s="232">
        <v>427.01</v>
      </c>
      <c r="D209" s="232">
        <v>350.15</v>
      </c>
      <c r="E209" s="232">
        <v>391.91</v>
      </c>
      <c r="F209" s="232">
        <v>389.30999999999995</v>
      </c>
      <c r="G209" s="232">
        <v>506.91999999999996</v>
      </c>
      <c r="H209" s="232">
        <v>541.95000000000005</v>
      </c>
      <c r="I209">
        <v>507.61</v>
      </c>
      <c r="J209">
        <v>622.61</v>
      </c>
      <c r="K209" s="776">
        <f>397.32+270.9</f>
        <v>668.22</v>
      </c>
      <c r="L209">
        <v>683.67</v>
      </c>
      <c r="M209" s="507">
        <v>714.43999999999994</v>
      </c>
      <c r="N209">
        <v>838.02</v>
      </c>
      <c r="O209" s="811" t="s">
        <v>553</v>
      </c>
      <c r="P209" s="812" t="e">
        <v>#N/A</v>
      </c>
    </row>
    <row r="210" spans="1:50">
      <c r="A210" s="9" t="s">
        <v>27</v>
      </c>
      <c r="B210" s="474" t="s">
        <v>155</v>
      </c>
      <c r="C210" s="232">
        <v>313.8</v>
      </c>
      <c r="D210" s="232">
        <v>255.8</v>
      </c>
      <c r="E210" s="232">
        <v>288.68</v>
      </c>
      <c r="F210" s="232">
        <v>353.49</v>
      </c>
      <c r="G210" s="232">
        <v>444.36</v>
      </c>
      <c r="H210" s="232">
        <v>431.42</v>
      </c>
      <c r="I210">
        <v>459.85</v>
      </c>
      <c r="J210">
        <f>208.72+311.77</f>
        <v>520.49</v>
      </c>
      <c r="K210" s="776">
        <v>469.78</v>
      </c>
      <c r="L210">
        <v>505.99000000000007</v>
      </c>
      <c r="M210" s="408">
        <v>532.24</v>
      </c>
      <c r="O210" s="811" t="s">
        <v>554</v>
      </c>
      <c r="P210" s="812" t="e">
        <v>#N/A</v>
      </c>
    </row>
    <row r="211" spans="1:50">
      <c r="A211" s="9" t="s">
        <v>27</v>
      </c>
      <c r="B211" s="474" t="s">
        <v>111</v>
      </c>
      <c r="C211" s="232">
        <v>338.46</v>
      </c>
      <c r="D211" s="232">
        <v>271.8</v>
      </c>
      <c r="E211" s="232">
        <v>282.32</v>
      </c>
      <c r="F211" s="232">
        <v>328.86</v>
      </c>
      <c r="G211" s="232">
        <v>424.02</v>
      </c>
      <c r="H211" s="232">
        <v>418.87</v>
      </c>
      <c r="I211" s="232">
        <v>432.96262292463598</v>
      </c>
      <c r="J211">
        <v>432.96</v>
      </c>
      <c r="K211" s="474">
        <f>252.99+244.36</f>
        <v>497.35</v>
      </c>
      <c r="L211">
        <v>513.89</v>
      </c>
      <c r="M211" s="408">
        <v>572.45999999999992</v>
      </c>
      <c r="O211" s="811" t="s">
        <v>555</v>
      </c>
      <c r="P211" s="812" t="e">
        <v>#N/A</v>
      </c>
    </row>
    <row r="212" spans="1:50">
      <c r="A212" s="9" t="s">
        <v>27</v>
      </c>
      <c r="B212" s="474" t="s">
        <v>536</v>
      </c>
      <c r="C212" s="232">
        <v>296.26</v>
      </c>
      <c r="D212" s="232">
        <v>242.58</v>
      </c>
      <c r="E212" s="232">
        <v>263.55</v>
      </c>
      <c r="F212" s="232">
        <v>326.37</v>
      </c>
      <c r="G212" s="232">
        <v>492.31</v>
      </c>
      <c r="H212" s="232">
        <v>421.47</v>
      </c>
      <c r="I212">
        <v>440.56</v>
      </c>
      <c r="J212">
        <v>507.52</v>
      </c>
      <c r="K212" s="776">
        <v>517.61</v>
      </c>
      <c r="L212">
        <v>512.77</v>
      </c>
      <c r="M212" s="408">
        <v>558.81000000000006</v>
      </c>
      <c r="O212" s="811" t="s">
        <v>556</v>
      </c>
      <c r="P212" s="812" t="e">
        <v>#N/A</v>
      </c>
    </row>
    <row r="213" spans="1:50">
      <c r="A213" s="9" t="s">
        <v>27</v>
      </c>
      <c r="B213" s="474" t="s">
        <v>125</v>
      </c>
      <c r="C213" s="232">
        <v>276.20999999999998</v>
      </c>
      <c r="D213" s="232">
        <v>272.12</v>
      </c>
      <c r="E213" s="232">
        <v>316.86</v>
      </c>
      <c r="F213" s="232">
        <v>316.86</v>
      </c>
      <c r="G213" s="232">
        <v>419.64</v>
      </c>
      <c r="H213" s="232">
        <v>447.18999999999994</v>
      </c>
      <c r="I213">
        <v>404.17</v>
      </c>
      <c r="J213">
        <v>484.63</v>
      </c>
      <c r="K213" s="776">
        <v>523.02</v>
      </c>
      <c r="L213">
        <v>550.20000000000005</v>
      </c>
      <c r="M213">
        <v>595.66</v>
      </c>
      <c r="N213">
        <v>678.65</v>
      </c>
      <c r="O213" s="811" t="s">
        <v>557</v>
      </c>
      <c r="P213" s="812" t="e">
        <v>#N/A</v>
      </c>
    </row>
    <row r="214" spans="1:50">
      <c r="A214" s="9" t="s">
        <v>27</v>
      </c>
      <c r="B214" s="474" t="s">
        <v>146</v>
      </c>
      <c r="C214" s="232">
        <v>314.83999999999997</v>
      </c>
      <c r="D214" s="232">
        <v>256.94</v>
      </c>
      <c r="E214" s="232">
        <v>278.24</v>
      </c>
      <c r="F214" s="232">
        <v>336.65</v>
      </c>
      <c r="G214" s="232">
        <v>510.81000000000006</v>
      </c>
      <c r="H214" s="232">
        <v>411.1</v>
      </c>
      <c r="I214">
        <v>465.66</v>
      </c>
      <c r="J214">
        <v>552.91999999999996</v>
      </c>
      <c r="K214" s="776">
        <v>490.18</v>
      </c>
      <c r="L214">
        <v>533.54999999999995</v>
      </c>
      <c r="M214" s="408">
        <v>619.94000000000005</v>
      </c>
      <c r="O214" s="811" t="s">
        <v>558</v>
      </c>
      <c r="P214" s="812">
        <v>586.86</v>
      </c>
    </row>
    <row r="215" spans="1:50">
      <c r="A215" s="9" t="s">
        <v>27</v>
      </c>
      <c r="B215" s="474" t="s">
        <v>166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776">
        <f>303.99+243.7</f>
        <v>547.69000000000005</v>
      </c>
      <c r="L215">
        <v>541.15</v>
      </c>
      <c r="M215" s="817">
        <v>564.97</v>
      </c>
      <c r="N215">
        <v>606.77</v>
      </c>
      <c r="O215" s="811" t="s">
        <v>559</v>
      </c>
      <c r="P215" s="812" t="e">
        <v>#N/A</v>
      </c>
    </row>
    <row r="216" spans="1:50">
      <c r="A216" s="9" t="s">
        <v>27</v>
      </c>
      <c r="B216" s="474" t="s">
        <v>225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31">
        <v>487.3</v>
      </c>
      <c r="J216">
        <f>241.74+319.79</f>
        <v>561.53</v>
      </c>
      <c r="K216" s="776">
        <v>525.73</v>
      </c>
      <c r="L216" s="631">
        <v>546.10945347732809</v>
      </c>
      <c r="M216" s="408">
        <v>635.92000000000007</v>
      </c>
      <c r="N216" s="809"/>
      <c r="O216" s="811" t="s">
        <v>560</v>
      </c>
      <c r="P216" s="812" t="e">
        <v>#N/A</v>
      </c>
    </row>
    <row r="217" spans="1:50">
      <c r="A217" s="9" t="s">
        <v>27</v>
      </c>
      <c r="B217" s="474" t="s">
        <v>136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776">
        <v>531.87</v>
      </c>
      <c r="L217" s="631">
        <v>555.04999999999995</v>
      </c>
      <c r="M217" s="408">
        <v>622.58000000000004</v>
      </c>
      <c r="O217" s="811" t="s">
        <v>561</v>
      </c>
      <c r="P217" s="812" t="e">
        <v>#N/A</v>
      </c>
    </row>
    <row r="218" spans="1:50">
      <c r="A218" s="9" t="s">
        <v>27</v>
      </c>
      <c r="B218" s="474" t="s">
        <v>250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776">
        <v>515.59</v>
      </c>
      <c r="L218" s="631">
        <v>534.19000000000005</v>
      </c>
      <c r="M218" s="408">
        <v>594.49</v>
      </c>
      <c r="O218" s="811" t="s">
        <v>562</v>
      </c>
      <c r="P218" s="812" t="e">
        <v>#N/A</v>
      </c>
    </row>
    <row r="219" spans="1:50">
      <c r="A219" s="9" t="s">
        <v>27</v>
      </c>
      <c r="B219" s="474" t="s">
        <v>539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776">
        <v>530.72</v>
      </c>
      <c r="L219" s="631">
        <v>535.51</v>
      </c>
      <c r="M219" s="232">
        <v>580.43681504518099</v>
      </c>
      <c r="N219">
        <v>677.99</v>
      </c>
      <c r="O219" s="811" t="s">
        <v>563</v>
      </c>
      <c r="P219" s="812" t="e">
        <v>#N/A</v>
      </c>
    </row>
    <row r="220" spans="1:50">
      <c r="A220" s="9" t="s">
        <v>27</v>
      </c>
      <c r="B220" s="474" t="s">
        <v>167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776">
        <v>560.27</v>
      </c>
      <c r="L220" s="631">
        <v>589.57000000000005</v>
      </c>
      <c r="M220" s="408">
        <v>643.09</v>
      </c>
      <c r="O220" s="811" t="s">
        <v>564</v>
      </c>
      <c r="P220" s="812" t="e">
        <v>#N/A</v>
      </c>
    </row>
    <row r="221" spans="1:50">
      <c r="A221" t="s">
        <v>27</v>
      </c>
      <c r="B221" s="468" t="s">
        <v>291</v>
      </c>
      <c r="J221">
        <v>547.6</v>
      </c>
      <c r="K221" s="776">
        <v>515.07000000000005</v>
      </c>
      <c r="L221">
        <v>548.96999999999991</v>
      </c>
      <c r="M221" s="408">
        <v>629.70000000000005</v>
      </c>
      <c r="O221" s="811" t="s">
        <v>565</v>
      </c>
      <c r="P221" s="812" t="e">
        <v>#N/A</v>
      </c>
    </row>
    <row r="222" spans="1:50">
      <c r="A222" t="s">
        <v>27</v>
      </c>
      <c r="B222" s="468" t="s">
        <v>545</v>
      </c>
      <c r="K222" s="776"/>
      <c r="L222">
        <v>571.71</v>
      </c>
      <c r="M222" s="408">
        <v>605.55000000000007</v>
      </c>
      <c r="O222" s="811" t="s">
        <v>566</v>
      </c>
      <c r="P222" s="824" t="e">
        <v>#N/A</v>
      </c>
      <c r="AS222" s="816"/>
      <c r="AX222" s="816"/>
    </row>
    <row r="223" spans="1:50">
      <c r="O223" s="811" t="s">
        <v>567</v>
      </c>
      <c r="P223" s="812" t="e">
        <v>#N/A</v>
      </c>
    </row>
    <row r="224" spans="1:50">
      <c r="O224" s="811" t="s">
        <v>568</v>
      </c>
      <c r="P224" s="812" t="e">
        <v>#N/A</v>
      </c>
    </row>
    <row r="225" spans="11:16">
      <c r="K225" s="812">
        <v>547.69000000000005</v>
      </c>
      <c r="O225" s="811" t="s">
        <v>569</v>
      </c>
      <c r="P225" s="812" t="e">
        <v>#N/A</v>
      </c>
    </row>
    <row r="226" spans="11:16">
      <c r="O226" s="811" t="s">
        <v>570</v>
      </c>
      <c r="P226" s="812" t="e">
        <v>#N/A</v>
      </c>
    </row>
    <row r="227" spans="11:16">
      <c r="O227" s="811" t="s">
        <v>571</v>
      </c>
      <c r="P227" s="813" t="e">
        <v>#N/A</v>
      </c>
    </row>
    <row r="228" spans="11:16">
      <c r="O228" s="811" t="s">
        <v>572</v>
      </c>
      <c r="P228" s="813" t="e">
        <v>#N/A</v>
      </c>
    </row>
    <row r="229" spans="11:16">
      <c r="O229" s="811" t="s">
        <v>573</v>
      </c>
      <c r="P229" s="813" t="e">
        <v>#N/A</v>
      </c>
    </row>
    <row r="230" spans="11:16">
      <c r="O230" s="811" t="s">
        <v>574</v>
      </c>
      <c r="P230" s="813" t="e">
        <v>#N/A</v>
      </c>
    </row>
    <row r="231" spans="11:16">
      <c r="O231" s="811" t="s">
        <v>575</v>
      </c>
      <c r="P231" s="813" t="e">
        <v>#N/A</v>
      </c>
    </row>
    <row r="232" spans="11:16">
      <c r="O232" s="811" t="s">
        <v>576</v>
      </c>
      <c r="P232" s="813" t="e">
        <v>#N/A</v>
      </c>
    </row>
    <row r="233" spans="11:16">
      <c r="O233" s="811" t="s">
        <v>577</v>
      </c>
      <c r="P233" s="813" t="e">
        <v>#N/A</v>
      </c>
    </row>
    <row r="234" spans="11:16">
      <c r="O234" s="811" t="s">
        <v>578</v>
      </c>
      <c r="P234" s="813" t="e">
        <v>#N/A</v>
      </c>
    </row>
    <row r="235" spans="11:16">
      <c r="O235" s="811" t="s">
        <v>579</v>
      </c>
      <c r="P235" s="813">
        <v>979.23</v>
      </c>
    </row>
    <row r="236" spans="11:16">
      <c r="O236" s="811" t="s">
        <v>580</v>
      </c>
      <c r="P236" s="813">
        <v>1054.05</v>
      </c>
    </row>
  </sheetData>
  <sortState xmlns:xlrd2="http://schemas.microsoft.com/office/spreadsheetml/2017/richdata2" ref="X10:X61">
    <sortCondition ref="X10:X61"/>
  </sortState>
  <phoneticPr fontId="112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topLeftCell="E4" zoomScale="91" zoomScaleNormal="91" workbookViewId="0">
      <selection activeCell="I37" sqref="I37"/>
    </sheetView>
  </sheetViews>
  <sheetFormatPr defaultColWidth="9.140625" defaultRowHeight="15.75"/>
  <cols>
    <col min="1" max="1" width="2.5703125" style="376" customWidth="1"/>
    <col min="2" max="2" width="36.42578125" style="376" customWidth="1"/>
    <col min="3" max="3" width="23.85546875" style="376" customWidth="1"/>
    <col min="4" max="4" width="17.7109375" style="376" customWidth="1"/>
    <col min="5" max="5" width="3.42578125" style="376" customWidth="1"/>
    <col min="6" max="6" width="41.85546875" style="376" customWidth="1"/>
    <col min="7" max="7" width="28" style="533" customWidth="1"/>
    <col min="8" max="8" width="28" style="376" customWidth="1"/>
    <col min="9" max="9" width="14.85546875" style="376" customWidth="1"/>
    <col min="10" max="10" width="32.7109375" style="376" bestFit="1" customWidth="1"/>
    <col min="11" max="11" width="22" style="376" bestFit="1" customWidth="1"/>
    <col min="12" max="12" width="24.85546875" style="376" customWidth="1"/>
    <col min="13" max="13" width="21.42578125" style="376" customWidth="1"/>
    <col min="14" max="14" width="37.85546875" style="376" customWidth="1"/>
    <col min="15" max="15" width="19.28515625" style="376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3" bestFit="1" customWidth="1"/>
    <col min="54" max="54" width="9.140625" style="233"/>
    <col min="55" max="57" width="11.140625" style="233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73" customWidth="1"/>
    <col min="67" max="67" width="12.42578125" style="473" customWidth="1"/>
    <col min="68" max="68" width="12" style="473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74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3" customWidth="1"/>
    <col min="85" max="16384" width="9.140625" style="376"/>
  </cols>
  <sheetData>
    <row r="1" spans="1:84" ht="25.5">
      <c r="B1" s="959" t="s">
        <v>2160</v>
      </c>
      <c r="C1" s="960"/>
      <c r="D1" s="960"/>
      <c r="M1" s="534"/>
      <c r="BA1" s="472"/>
      <c r="BB1" s="472"/>
      <c r="BC1" s="472"/>
      <c r="BD1" s="472"/>
    </row>
    <row r="2" spans="1:84" ht="25.5">
      <c r="B2" s="535" t="str">
        <f>CAPA!C9</f>
        <v>Cedri</v>
      </c>
      <c r="C2" s="621"/>
      <c r="D2" s="536"/>
      <c r="E2" s="576" t="s">
        <v>581</v>
      </c>
      <c r="F2" s="576"/>
      <c r="G2" s="576"/>
      <c r="H2" s="599" t="s">
        <v>2441</v>
      </c>
      <c r="M2" s="534"/>
      <c r="AK2" s="473"/>
      <c r="AZ2" s="1788" t="s">
        <v>582</v>
      </c>
      <c r="BA2" s="1789"/>
      <c r="BB2" s="1789"/>
      <c r="BC2" s="1789"/>
      <c r="BD2" s="1789"/>
      <c r="BE2" s="1789"/>
      <c r="BF2" s="1789"/>
      <c r="BG2" s="474"/>
      <c r="BM2" s="477"/>
      <c r="BW2" s="410"/>
      <c r="BX2" s="410"/>
      <c r="BY2" s="410"/>
      <c r="BZ2" s="410"/>
      <c r="CA2" s="410"/>
      <c r="CB2" s="410"/>
      <c r="CC2" s="410"/>
      <c r="CD2" s="410"/>
      <c r="CE2" s="410"/>
      <c r="CF2" s="504"/>
    </row>
    <row r="3" spans="1:84">
      <c r="C3" s="548"/>
      <c r="E3" s="571" t="s">
        <v>2026</v>
      </c>
      <c r="F3" s="571"/>
      <c r="G3" s="571"/>
      <c r="H3" s="524"/>
      <c r="M3" s="534"/>
      <c r="O3" s="376">
        <f>VALUE(RIGHT(P3,2))</f>
        <v>2</v>
      </c>
      <c r="P3" s="961" t="str">
        <f>VLOOKUP($C$9,Informacoes[],4,FALSE)</f>
        <v>C02</v>
      </c>
      <c r="Q3" s="961" t="str">
        <f>VLOOKUP($C$9,Informacoes[],2,FALSE)</f>
        <v>Cooperativa de Energização e Desenvolvimento Rural do Vale do Itariri</v>
      </c>
      <c r="AH3" s="475"/>
      <c r="AI3" s="473"/>
      <c r="BA3" s="472"/>
      <c r="BB3" s="472"/>
      <c r="BC3" s="472"/>
      <c r="BD3" s="472"/>
      <c r="BM3" s="17"/>
      <c r="BQ3" s="476"/>
      <c r="BW3" s="410"/>
      <c r="BX3" s="410"/>
      <c r="BY3" s="410"/>
      <c r="BZ3" s="410"/>
      <c r="CA3" s="410"/>
      <c r="CB3" s="410"/>
      <c r="CC3" s="410"/>
      <c r="CD3" s="410"/>
      <c r="CE3" s="410"/>
      <c r="CF3" s="504"/>
    </row>
    <row r="4" spans="1:84">
      <c r="E4" s="741" t="s">
        <v>2027</v>
      </c>
      <c r="F4" s="741"/>
      <c r="G4" s="741"/>
      <c r="H4" s="766"/>
      <c r="I4" s="537"/>
      <c r="M4" s="534"/>
      <c r="AZ4" s="834"/>
      <c r="BA4" s="962">
        <v>40940</v>
      </c>
      <c r="BB4" s="962" t="s">
        <v>548</v>
      </c>
      <c r="BC4" s="962">
        <v>41306</v>
      </c>
      <c r="BD4" s="962">
        <v>41671</v>
      </c>
      <c r="BE4" s="963">
        <v>42036</v>
      </c>
      <c r="BF4" s="964">
        <v>42401</v>
      </c>
      <c r="BG4" s="964">
        <v>42767</v>
      </c>
      <c r="BI4" s="965"/>
      <c r="BJ4" s="965"/>
      <c r="BK4" s="965"/>
      <c r="BL4" s="965"/>
      <c r="BM4" s="966"/>
      <c r="BN4" s="966"/>
      <c r="BO4" s="966"/>
      <c r="BP4" s="966"/>
      <c r="BQ4" s="966"/>
      <c r="BR4" s="966"/>
      <c r="BS4" s="966"/>
      <c r="BT4" s="966"/>
      <c r="BU4" s="966"/>
      <c r="BV4" s="481"/>
      <c r="BW4" s="410"/>
      <c r="BX4" s="410"/>
      <c r="BY4" s="410"/>
      <c r="BZ4" s="410"/>
      <c r="CA4" s="410"/>
      <c r="CB4" s="410"/>
      <c r="CC4" s="410"/>
      <c r="CD4" s="410"/>
      <c r="CE4" s="410"/>
      <c r="CF4" s="410"/>
    </row>
    <row r="5" spans="1:84">
      <c r="E5" s="741" t="s">
        <v>583</v>
      </c>
      <c r="F5" s="741"/>
      <c r="G5" s="741"/>
      <c r="H5" s="751" t="s">
        <v>2440</v>
      </c>
      <c r="I5" s="537"/>
      <c r="M5" s="534"/>
      <c r="O5" s="9"/>
      <c r="R5" s="376"/>
      <c r="S5" s="376"/>
      <c r="T5" s="376"/>
      <c r="U5" s="376"/>
      <c r="V5" s="376"/>
      <c r="W5" s="376"/>
      <c r="X5" s="376"/>
      <c r="Y5" s="376"/>
      <c r="Z5" s="376"/>
      <c r="AA5" s="376"/>
      <c r="AB5" s="376"/>
      <c r="AC5" s="376"/>
      <c r="AD5" s="376"/>
      <c r="AE5" s="376"/>
      <c r="AF5" s="376"/>
      <c r="AG5" s="376"/>
      <c r="AH5" s="376"/>
      <c r="AI5" s="376"/>
      <c r="AJ5" s="376"/>
      <c r="AK5" s="376"/>
      <c r="AL5" s="376"/>
      <c r="AM5" s="376"/>
      <c r="AN5" s="376"/>
      <c r="AO5" s="376"/>
      <c r="AP5" s="376"/>
      <c r="AQ5" s="376"/>
      <c r="AR5" s="376"/>
      <c r="AS5" s="376"/>
      <c r="AT5" s="376"/>
      <c r="AU5" s="376"/>
      <c r="AV5" s="376"/>
      <c r="AW5" s="376"/>
      <c r="AX5" s="376"/>
      <c r="AY5" s="376"/>
      <c r="AZ5" s="376"/>
      <c r="BA5" s="376"/>
      <c r="BB5" s="376"/>
      <c r="BC5" s="376"/>
      <c r="BD5" s="376"/>
      <c r="BE5" s="376"/>
      <c r="BF5" s="376"/>
      <c r="BG5" s="376"/>
      <c r="BH5" s="376"/>
      <c r="BI5" s="376"/>
      <c r="BJ5" s="376"/>
      <c r="BK5" s="376"/>
      <c r="BL5" s="376"/>
      <c r="BM5" s="376"/>
      <c r="BN5" s="376"/>
      <c r="BO5" s="376"/>
      <c r="BP5" s="376"/>
      <c r="BQ5" s="376"/>
      <c r="BR5" s="376"/>
      <c r="BS5" s="376"/>
      <c r="BT5" s="376"/>
      <c r="BU5" s="376"/>
      <c r="BV5" s="376"/>
      <c r="BW5" s="376"/>
      <c r="BX5" s="376"/>
      <c r="BY5" s="376"/>
      <c r="BZ5" s="376"/>
      <c r="CA5" s="376"/>
      <c r="CB5" s="376"/>
      <c r="CC5" s="376"/>
      <c r="CD5" s="376"/>
      <c r="CE5" s="376"/>
      <c r="CF5" s="376"/>
    </row>
    <row r="6" spans="1:84" ht="17.25" customHeight="1" thickBot="1">
      <c r="F6" s="538"/>
      <c r="I6" s="537"/>
      <c r="N6" s="539"/>
      <c r="O6" s="9"/>
      <c r="P6" s="9" t="s">
        <v>2162</v>
      </c>
      <c r="Q6" s="525"/>
      <c r="R6" s="376"/>
      <c r="S6" s="376"/>
      <c r="T6" s="376"/>
      <c r="U6" s="376"/>
      <c r="V6" s="376"/>
      <c r="W6" s="376"/>
      <c r="X6" s="376"/>
      <c r="Y6" s="376"/>
      <c r="Z6" s="376"/>
      <c r="AA6" s="376"/>
      <c r="AB6" s="376"/>
      <c r="AC6" s="376"/>
      <c r="AD6" s="376"/>
      <c r="AE6" s="376"/>
      <c r="AF6" s="376"/>
      <c r="AG6" s="376"/>
      <c r="AH6" s="376"/>
      <c r="AI6" s="376"/>
      <c r="AJ6" s="376"/>
      <c r="AK6" s="376"/>
      <c r="AL6" s="376"/>
      <c r="AM6" s="376"/>
      <c r="AN6" s="376"/>
      <c r="AO6" s="376"/>
      <c r="AP6" s="376"/>
      <c r="AQ6" s="376"/>
      <c r="AR6" s="376"/>
      <c r="AS6" s="376"/>
      <c r="AT6" s="376"/>
      <c r="AU6" s="376"/>
      <c r="AV6" s="376"/>
      <c r="AW6" s="376"/>
      <c r="AX6" s="376"/>
      <c r="AY6" s="376"/>
      <c r="AZ6" s="376"/>
      <c r="BA6" s="376"/>
      <c r="BB6" s="376"/>
      <c r="BC6" s="376"/>
      <c r="BD6" s="376"/>
      <c r="BE6" s="376"/>
      <c r="BF6" s="376"/>
      <c r="BG6" s="376"/>
      <c r="BH6" s="376"/>
      <c r="BI6" s="376"/>
      <c r="BJ6" s="376"/>
      <c r="BK6" s="376"/>
      <c r="BL6" s="376"/>
      <c r="BM6" s="376"/>
      <c r="BN6" s="376"/>
      <c r="BO6" s="376"/>
      <c r="BP6" s="376"/>
      <c r="BQ6" s="376"/>
      <c r="BR6" s="376"/>
      <c r="BS6" s="376"/>
      <c r="BT6" s="376"/>
      <c r="BU6" s="376"/>
      <c r="BV6" s="376"/>
      <c r="BW6" s="376"/>
      <c r="BX6" s="376"/>
      <c r="BY6" s="376"/>
      <c r="BZ6" s="376"/>
      <c r="CA6" s="376"/>
      <c r="CB6" s="376"/>
      <c r="CC6" s="376"/>
      <c r="CD6" s="376"/>
      <c r="CE6" s="376"/>
      <c r="CF6" s="376"/>
    </row>
    <row r="7" spans="1:84" ht="26.25" thickBot="1">
      <c r="A7" s="540"/>
      <c r="B7" s="530" t="s">
        <v>584</v>
      </c>
      <c r="C7" s="541"/>
      <c r="D7" s="541"/>
      <c r="E7" s="542"/>
      <c r="F7" s="542"/>
      <c r="G7" s="542"/>
      <c r="H7" s="522"/>
      <c r="I7" s="523"/>
      <c r="J7" s="542"/>
      <c r="K7" s="543"/>
      <c r="L7" s="544"/>
      <c r="M7" s="545"/>
      <c r="N7" s="546"/>
      <c r="O7" s="9"/>
      <c r="P7" s="270">
        <v>238</v>
      </c>
      <c r="Q7" s="749">
        <v>5939</v>
      </c>
      <c r="R7" s="376"/>
      <c r="S7" s="376"/>
      <c r="T7" s="376"/>
      <c r="U7" s="376"/>
      <c r="V7" s="376"/>
      <c r="W7" s="376"/>
      <c r="X7" s="376"/>
      <c r="Y7" s="376"/>
      <c r="Z7" s="376"/>
      <c r="AA7" s="376"/>
      <c r="AB7" s="376"/>
      <c r="AC7" s="376"/>
      <c r="AD7" s="376"/>
      <c r="AE7" s="376"/>
      <c r="AF7" s="376"/>
      <c r="AG7" s="376"/>
      <c r="AH7" s="376"/>
      <c r="AI7" s="376"/>
      <c r="AJ7" s="376"/>
      <c r="AK7" s="376"/>
      <c r="AL7" s="376"/>
      <c r="AM7" s="376"/>
      <c r="AN7" s="376"/>
      <c r="AO7" s="376"/>
      <c r="AP7" s="376"/>
      <c r="AQ7" s="376"/>
      <c r="AR7" s="376"/>
      <c r="AS7" s="376"/>
      <c r="AT7" s="376"/>
      <c r="AU7" s="376"/>
      <c r="AV7" s="376"/>
      <c r="AW7" s="376"/>
      <c r="AX7" s="376"/>
      <c r="AY7" s="376"/>
      <c r="AZ7" s="376"/>
      <c r="BA7" s="376"/>
      <c r="BB7" s="376"/>
      <c r="BC7" s="376"/>
      <c r="BD7" s="376"/>
      <c r="BE7" s="376"/>
      <c r="BF7" s="376"/>
      <c r="BG7" s="376"/>
      <c r="BH7" s="376"/>
      <c r="BI7" s="376"/>
      <c r="BJ7" s="376"/>
      <c r="BK7" s="376"/>
      <c r="BL7" s="376"/>
      <c r="BM7" s="376"/>
      <c r="BN7" s="376"/>
      <c r="BO7" s="376"/>
      <c r="BP7" s="376"/>
      <c r="BQ7" s="376"/>
      <c r="BR7" s="376"/>
      <c r="BS7" s="376"/>
      <c r="BT7" s="376"/>
      <c r="BU7" s="376"/>
      <c r="BV7" s="376"/>
      <c r="BW7" s="376"/>
      <c r="BX7" s="376"/>
      <c r="BY7" s="376"/>
      <c r="BZ7" s="376"/>
      <c r="CA7" s="376"/>
      <c r="CB7" s="376"/>
      <c r="CC7" s="376"/>
      <c r="CD7" s="376"/>
      <c r="CE7" s="376"/>
      <c r="CF7" s="376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39"/>
      <c r="O8" s="9"/>
      <c r="P8" s="270"/>
      <c r="Q8" s="749"/>
      <c r="R8" s="376"/>
      <c r="S8" s="376"/>
      <c r="T8" s="376"/>
      <c r="U8" s="376"/>
      <c r="V8" s="376"/>
      <c r="W8" s="376"/>
      <c r="X8" s="376"/>
      <c r="Y8" s="376"/>
      <c r="Z8" s="376"/>
      <c r="AA8" s="376"/>
      <c r="AB8" s="376"/>
      <c r="AC8" s="376"/>
      <c r="AD8" s="376"/>
      <c r="AE8" s="376"/>
      <c r="AF8" s="376"/>
      <c r="AG8" s="376"/>
      <c r="AH8" s="376"/>
      <c r="AI8" s="376"/>
      <c r="AJ8" s="376"/>
      <c r="AK8" s="376"/>
      <c r="AL8" s="376"/>
      <c r="AM8" s="376"/>
      <c r="AN8" s="376"/>
      <c r="AO8" s="376"/>
      <c r="AP8" s="376"/>
      <c r="AQ8" s="376"/>
      <c r="AR8" s="376"/>
      <c r="AS8" s="376"/>
      <c r="AT8" s="376"/>
      <c r="AU8" s="376"/>
      <c r="AV8" s="376"/>
      <c r="AW8" s="376"/>
      <c r="AX8" s="376"/>
      <c r="AY8" s="376"/>
      <c r="AZ8" s="376"/>
      <c r="BA8" s="376"/>
      <c r="BB8" s="376"/>
      <c r="BC8" s="376"/>
      <c r="BD8" s="376"/>
      <c r="BE8" s="376"/>
      <c r="BF8" s="376"/>
      <c r="BG8" s="376"/>
      <c r="BH8" s="376"/>
      <c r="BI8" s="376"/>
      <c r="BJ8" s="376"/>
      <c r="BK8" s="376"/>
      <c r="BL8" s="376"/>
      <c r="BM8" s="376"/>
      <c r="BN8" s="376"/>
      <c r="BO8" s="376"/>
      <c r="BP8" s="376"/>
      <c r="BQ8" s="376"/>
      <c r="BR8" s="376"/>
      <c r="BS8" s="376"/>
      <c r="BT8" s="376"/>
      <c r="BU8" s="376"/>
      <c r="BV8" s="376"/>
      <c r="BW8" s="376"/>
      <c r="BX8" s="376"/>
      <c r="BY8" s="376"/>
      <c r="BZ8" s="376"/>
      <c r="CA8" s="376"/>
      <c r="CB8" s="376"/>
      <c r="CC8" s="376"/>
      <c r="CD8" s="376"/>
      <c r="CE8" s="376"/>
      <c r="CF8" s="376"/>
    </row>
    <row r="9" spans="1:84" ht="16.5">
      <c r="B9" s="585" t="s">
        <v>106</v>
      </c>
      <c r="C9" s="967" t="s">
        <v>153</v>
      </c>
      <c r="D9" s="9"/>
      <c r="E9" s="1790" t="s">
        <v>585</v>
      </c>
      <c r="F9" s="1791"/>
      <c r="G9" s="1791"/>
      <c r="H9" s="1791"/>
      <c r="I9" s="590"/>
      <c r="J9" s="480" t="s">
        <v>586</v>
      </c>
      <c r="K9" s="9"/>
      <c r="L9" s="9"/>
      <c r="M9" s="547"/>
      <c r="N9" s="539"/>
      <c r="O9" s="9"/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  <c r="BM9" s="376"/>
      <c r="BN9" s="376"/>
      <c r="BO9" s="376"/>
      <c r="BP9" s="376"/>
      <c r="BQ9" s="376"/>
      <c r="BR9" s="376"/>
      <c r="BS9" s="376"/>
      <c r="BT9" s="376"/>
      <c r="BU9" s="376"/>
      <c r="BV9" s="376"/>
      <c r="BW9" s="376"/>
      <c r="BX9" s="376"/>
      <c r="BY9" s="376"/>
      <c r="BZ9" s="376"/>
      <c r="CA9" s="376"/>
      <c r="CB9" s="376"/>
      <c r="CC9" s="376"/>
      <c r="CD9" s="376"/>
      <c r="CE9" s="376"/>
      <c r="CF9" s="376"/>
    </row>
    <row r="10" spans="1:84" ht="16.5" customHeight="1">
      <c r="B10" s="968" t="s">
        <v>587</v>
      </c>
      <c r="C10" s="969" t="str">
        <f>IF(C9="Cercos","N/NE","S/SE/CO")</f>
        <v>S/SE/CO</v>
      </c>
      <c r="D10" s="9"/>
      <c r="E10" s="594"/>
      <c r="F10" s="595" t="s">
        <v>588</v>
      </c>
      <c r="G10" s="596">
        <v>44796.641377314816</v>
      </c>
      <c r="H10" s="970"/>
      <c r="I10" s="591"/>
      <c r="J10" s="740" t="s">
        <v>589</v>
      </c>
      <c r="K10" s="971">
        <f>IFERROR(O3+200,0)</f>
        <v>202</v>
      </c>
      <c r="L10" s="582"/>
      <c r="M10" s="547"/>
      <c r="N10" s="539"/>
      <c r="O10" s="9"/>
      <c r="R10" s="376"/>
      <c r="S10" s="376"/>
      <c r="T10" s="376"/>
      <c r="U10" s="376"/>
      <c r="V10" s="376"/>
      <c r="W10" s="376"/>
      <c r="X10" s="376"/>
      <c r="Y10" s="376"/>
      <c r="Z10" s="376"/>
      <c r="AA10" s="376"/>
      <c r="AB10" s="376"/>
      <c r="AC10" s="376"/>
      <c r="AD10" s="376"/>
      <c r="AE10" s="376"/>
      <c r="AF10" s="376"/>
      <c r="AG10" s="376"/>
      <c r="AH10" s="376"/>
      <c r="AI10" s="376"/>
      <c r="AJ10" s="376"/>
      <c r="AK10" s="376"/>
      <c r="AL10" s="376"/>
      <c r="AM10" s="376"/>
      <c r="AN10" s="376"/>
      <c r="AO10" s="376"/>
      <c r="AP10" s="376"/>
      <c r="AQ10" s="376"/>
      <c r="AR10" s="376"/>
      <c r="AS10" s="376"/>
      <c r="AT10" s="376"/>
      <c r="AU10" s="376"/>
      <c r="AV10" s="376"/>
      <c r="AW10" s="376"/>
      <c r="AX10" s="376"/>
      <c r="AY10" s="376"/>
      <c r="AZ10" s="376"/>
      <c r="BA10" s="376"/>
      <c r="BB10" s="376"/>
      <c r="BC10" s="376"/>
      <c r="BD10" s="376"/>
      <c r="BE10" s="376"/>
      <c r="BF10" s="376"/>
      <c r="BG10" s="376"/>
      <c r="BH10" s="376"/>
      <c r="BI10" s="376"/>
      <c r="BJ10" s="376"/>
      <c r="BK10" s="376"/>
      <c r="BL10" s="376"/>
      <c r="BM10" s="376"/>
      <c r="BN10" s="376"/>
      <c r="BO10" s="376"/>
      <c r="BP10" s="376"/>
      <c r="BQ10" s="376"/>
      <c r="BR10" s="376"/>
      <c r="BS10" s="376"/>
      <c r="BT10" s="376"/>
      <c r="BU10" s="376"/>
      <c r="BV10" s="376"/>
      <c r="BW10" s="376"/>
      <c r="BX10" s="376"/>
      <c r="BY10" s="376"/>
      <c r="BZ10" s="376"/>
      <c r="CA10" s="376"/>
      <c r="CB10" s="376"/>
      <c r="CC10" s="376"/>
      <c r="CD10" s="376"/>
      <c r="CE10" s="376"/>
      <c r="CF10" s="376"/>
    </row>
    <row r="11" spans="1:84" ht="16.5">
      <c r="B11" s="9"/>
      <c r="C11" s="9"/>
      <c r="D11" s="9"/>
      <c r="E11" s="594"/>
      <c r="F11" s="595" t="s">
        <v>590</v>
      </c>
      <c r="G11" s="596">
        <v>44813.609189814815</v>
      </c>
      <c r="H11" s="592"/>
      <c r="I11" s="593"/>
      <c r="J11" s="571" t="s">
        <v>591</v>
      </c>
      <c r="K11" s="598">
        <v>5366</v>
      </c>
      <c r="L11" s="582"/>
      <c r="M11" s="547"/>
      <c r="N11" s="539"/>
      <c r="O11" s="9"/>
      <c r="Q11" s="525"/>
      <c r="R11" s="376"/>
      <c r="S11" s="376"/>
      <c r="T11" s="376"/>
      <c r="U11" s="376"/>
      <c r="V11" s="376"/>
      <c r="W11" s="376"/>
      <c r="X11" s="376"/>
      <c r="Y11" s="376"/>
      <c r="Z11" s="376"/>
      <c r="AA11" s="376"/>
      <c r="AB11" s="376"/>
      <c r="AC11" s="376"/>
      <c r="AD11" s="376"/>
      <c r="AE11" s="376"/>
      <c r="AF11" s="376"/>
      <c r="AG11" s="376"/>
      <c r="AH11" s="376"/>
      <c r="AI11" s="376"/>
      <c r="AJ11" s="376"/>
      <c r="AK11" s="376"/>
      <c r="AL11" s="376"/>
      <c r="AM11" s="376"/>
      <c r="AN11" s="376"/>
      <c r="AO11" s="376"/>
      <c r="AP11" s="376"/>
      <c r="AQ11" s="376"/>
      <c r="AR11" s="376"/>
      <c r="AS11" s="376"/>
      <c r="AT11" s="376"/>
      <c r="AU11" s="376"/>
      <c r="AV11" s="376"/>
      <c r="AW11" s="376"/>
      <c r="AX11" s="376"/>
      <c r="AY11" s="376"/>
      <c r="AZ11" s="376"/>
      <c r="BA11" s="376"/>
      <c r="BB11" s="376"/>
      <c r="BC11" s="376"/>
      <c r="BD11" s="376"/>
      <c r="BE11" s="376"/>
      <c r="BF11" s="376"/>
      <c r="BG11" s="376"/>
      <c r="BH11" s="376"/>
      <c r="BI11" s="376"/>
      <c r="BJ11" s="376"/>
      <c r="BK11" s="376"/>
      <c r="BL11" s="376"/>
      <c r="BM11" s="376"/>
      <c r="BN11" s="376"/>
      <c r="BO11" s="376"/>
      <c r="BP11" s="376"/>
      <c r="BQ11" s="376"/>
      <c r="BR11" s="376"/>
      <c r="BS11" s="376"/>
      <c r="BT11" s="376"/>
      <c r="BU11" s="376"/>
      <c r="BV11" s="376"/>
      <c r="BW11" s="376"/>
      <c r="BX11" s="376"/>
      <c r="BY11" s="376"/>
      <c r="BZ11" s="376"/>
      <c r="CA11" s="376"/>
      <c r="CB11" s="376"/>
      <c r="CC11" s="376"/>
      <c r="CD11" s="376"/>
      <c r="CE11" s="376"/>
      <c r="CF11" s="376"/>
    </row>
    <row r="12" spans="1:84" ht="16.5">
      <c r="A12" s="548"/>
      <c r="B12" s="480" t="s">
        <v>592</v>
      </c>
      <c r="C12" s="9"/>
      <c r="D12" s="9"/>
      <c r="E12" s="594"/>
      <c r="F12" s="595" t="s">
        <v>748</v>
      </c>
      <c r="G12" s="596">
        <v>44805.395960648151</v>
      </c>
      <c r="H12" s="592"/>
      <c r="I12" s="593"/>
      <c r="J12" s="741" t="s">
        <v>593</v>
      </c>
      <c r="K12" s="750">
        <f>IF(idsreag=P7,Q7,idagente)</f>
        <v>5366</v>
      </c>
      <c r="L12" s="582"/>
      <c r="M12" s="547"/>
      <c r="N12" s="539"/>
      <c r="O12" s="9"/>
      <c r="Q12" s="525"/>
      <c r="R12" s="376"/>
      <c r="S12" s="376"/>
      <c r="T12" s="376"/>
      <c r="U12" s="376"/>
      <c r="V12" s="376"/>
      <c r="W12" s="376"/>
      <c r="X12" s="376"/>
      <c r="Y12" s="376"/>
      <c r="Z12" s="376"/>
      <c r="AA12" s="376"/>
      <c r="AB12" s="376"/>
      <c r="AC12" s="376"/>
      <c r="AD12" s="376"/>
      <c r="AE12" s="376"/>
      <c r="AF12" s="376"/>
      <c r="AG12" s="376"/>
      <c r="AH12" s="376"/>
      <c r="AI12" s="376"/>
      <c r="AJ12" s="376"/>
      <c r="AK12" s="376"/>
      <c r="AL12" s="376"/>
      <c r="AM12" s="376"/>
      <c r="AN12" s="376"/>
      <c r="AO12" s="376"/>
      <c r="AP12" s="376"/>
      <c r="AQ12" s="376"/>
      <c r="AR12" s="376"/>
      <c r="AS12" s="376"/>
      <c r="AT12" s="376"/>
      <c r="AU12" s="376"/>
      <c r="AV12" s="376"/>
      <c r="AW12" s="376"/>
      <c r="AX12" s="376"/>
      <c r="AY12" s="376"/>
      <c r="AZ12" s="376"/>
      <c r="BA12" s="376"/>
      <c r="BB12" s="376"/>
      <c r="BC12" s="376"/>
      <c r="BD12" s="376"/>
      <c r="BE12" s="376"/>
      <c r="BF12" s="376"/>
      <c r="BG12" s="376"/>
      <c r="BH12" s="376"/>
      <c r="BI12" s="376"/>
      <c r="BJ12" s="376"/>
      <c r="BK12" s="376"/>
      <c r="BL12" s="376"/>
      <c r="BM12" s="376"/>
      <c r="BN12" s="376"/>
      <c r="BO12" s="376"/>
      <c r="BP12" s="376"/>
      <c r="BQ12" s="376"/>
      <c r="BR12" s="376"/>
      <c r="BS12" s="376"/>
      <c r="BT12" s="376"/>
      <c r="BU12" s="376"/>
      <c r="BV12" s="376"/>
      <c r="BW12" s="376"/>
      <c r="BX12" s="376"/>
      <c r="BY12" s="376"/>
      <c r="BZ12" s="376"/>
      <c r="CA12" s="376"/>
      <c r="CB12" s="376"/>
      <c r="CC12" s="376"/>
      <c r="CD12" s="376"/>
      <c r="CE12" s="376"/>
      <c r="CF12" s="376"/>
    </row>
    <row r="13" spans="1:84">
      <c r="A13" s="548"/>
      <c r="B13" s="585" t="s">
        <v>594</v>
      </c>
      <c r="C13" s="972">
        <f ca="1">YEAR(TODAY())</f>
        <v>2022</v>
      </c>
      <c r="D13" s="261"/>
      <c r="E13" s="594"/>
      <c r="F13" s="595" t="s">
        <v>595</v>
      </c>
      <c r="G13" s="596">
        <v>44805.396874999999</v>
      </c>
      <c r="H13" s="592"/>
      <c r="I13" s="9"/>
      <c r="J13" s="480" t="s">
        <v>596</v>
      </c>
      <c r="K13" s="9"/>
      <c r="L13" s="582"/>
      <c r="M13" s="549"/>
      <c r="O13" s="9"/>
      <c r="R13" s="376"/>
      <c r="S13" s="376"/>
      <c r="T13" s="376"/>
      <c r="U13" s="376"/>
      <c r="V13" s="376"/>
      <c r="W13" s="376"/>
      <c r="X13" s="376"/>
      <c r="Y13" s="376"/>
      <c r="Z13" s="376"/>
      <c r="AA13" s="376"/>
      <c r="AB13" s="376"/>
      <c r="AC13" s="376"/>
      <c r="AD13" s="376"/>
      <c r="AE13" s="376"/>
      <c r="AF13" s="376"/>
      <c r="AG13" s="376"/>
      <c r="AH13" s="376"/>
      <c r="AI13" s="376"/>
      <c r="AJ13" s="376"/>
      <c r="AK13" s="376"/>
      <c r="AL13" s="376"/>
      <c r="AM13" s="376"/>
      <c r="AN13" s="376"/>
      <c r="AO13" s="376"/>
      <c r="AP13" s="376"/>
      <c r="AQ13" s="376"/>
      <c r="AR13" s="376"/>
      <c r="AS13" s="376"/>
      <c r="AT13" s="376"/>
      <c r="AU13" s="376"/>
      <c r="AV13" s="376"/>
      <c r="AW13" s="376"/>
      <c r="AX13" s="376"/>
      <c r="AY13" s="376"/>
      <c r="AZ13" s="376"/>
      <c r="BA13" s="376"/>
      <c r="BB13" s="376"/>
      <c r="BC13" s="376"/>
      <c r="BD13" s="376"/>
      <c r="BE13" s="376"/>
      <c r="BF13" s="376"/>
      <c r="BG13" s="376"/>
      <c r="BH13" s="376"/>
      <c r="BI13" s="376"/>
      <c r="BJ13" s="376"/>
      <c r="BK13" s="376"/>
      <c r="BL13" s="376"/>
      <c r="BM13" s="376"/>
      <c r="BN13" s="376"/>
      <c r="BO13" s="376"/>
      <c r="BP13" s="376"/>
      <c r="BQ13" s="376"/>
      <c r="BR13" s="376"/>
      <c r="BS13" s="376"/>
      <c r="BT13" s="376"/>
      <c r="BU13" s="376"/>
      <c r="BV13" s="376"/>
      <c r="BW13" s="376"/>
      <c r="BX13" s="376"/>
      <c r="BY13" s="376"/>
      <c r="BZ13" s="376"/>
      <c r="CA13" s="376"/>
      <c r="CB13" s="376"/>
      <c r="CC13" s="376"/>
      <c r="CD13" s="376"/>
      <c r="CE13" s="376"/>
      <c r="CF13" s="376"/>
    </row>
    <row r="14" spans="1:84">
      <c r="B14" s="586" t="s">
        <v>597</v>
      </c>
      <c r="C14" s="587">
        <v>44469</v>
      </c>
      <c r="D14" s="261"/>
      <c r="E14" s="594"/>
      <c r="F14" s="595" t="s">
        <v>598</v>
      </c>
      <c r="G14" s="596">
        <v>44805.397245370368</v>
      </c>
      <c r="H14" s="592"/>
      <c r="I14" s="9"/>
      <c r="J14" s="740" t="s">
        <v>599</v>
      </c>
      <c r="K14" s="971">
        <f>VLOOKUP(SAS_RA0_DataFim,Índices!$B$7:$F$500,2,FALSE)</f>
        <v>1185.0039999999999</v>
      </c>
      <c r="L14" s="582"/>
      <c r="M14" s="549"/>
      <c r="O14" s="9"/>
      <c r="R14" s="376"/>
      <c r="S14" s="376"/>
      <c r="T14" s="376"/>
      <c r="U14" s="376"/>
      <c r="V14" s="376"/>
      <c r="W14" s="376"/>
      <c r="X14" s="376"/>
      <c r="Y14" s="376"/>
      <c r="Z14" s="376"/>
      <c r="AA14" s="376"/>
      <c r="AB14" s="376"/>
      <c r="AC14" s="376"/>
      <c r="AD14" s="376"/>
      <c r="AE14" s="376"/>
      <c r="AF14" s="376"/>
      <c r="AG14" s="376"/>
      <c r="AH14" s="376"/>
      <c r="AI14" s="376"/>
      <c r="AJ14" s="376"/>
      <c r="AK14" s="376"/>
      <c r="AL14" s="376"/>
      <c r="AM14" s="376"/>
      <c r="AN14" s="376"/>
      <c r="AO14" s="376"/>
      <c r="AP14" s="376"/>
      <c r="AQ14" s="376"/>
      <c r="AR14" s="376"/>
      <c r="AS14" s="376"/>
      <c r="AT14" s="376"/>
      <c r="AU14" s="376"/>
      <c r="AV14" s="376"/>
      <c r="AW14" s="376"/>
      <c r="AX14" s="376"/>
      <c r="AY14" s="376"/>
      <c r="AZ14" s="376"/>
      <c r="BA14" s="376"/>
      <c r="BB14" s="376"/>
      <c r="BC14" s="376"/>
      <c r="BD14" s="376"/>
      <c r="BE14" s="376"/>
      <c r="BF14" s="376"/>
      <c r="BG14" s="376"/>
      <c r="BH14" s="376"/>
      <c r="BI14" s="376"/>
      <c r="BJ14" s="376"/>
      <c r="BK14" s="376"/>
      <c r="BL14" s="376"/>
      <c r="BM14" s="376"/>
      <c r="BN14" s="376"/>
      <c r="BO14" s="376"/>
      <c r="BP14" s="376"/>
      <c r="BQ14" s="376"/>
      <c r="BR14" s="376"/>
      <c r="BS14" s="376"/>
      <c r="BT14" s="376"/>
      <c r="BU14" s="376"/>
      <c r="BV14" s="376"/>
      <c r="BW14" s="376"/>
      <c r="BX14" s="376"/>
      <c r="BY14" s="376"/>
      <c r="BZ14" s="376"/>
      <c r="CA14" s="376"/>
      <c r="CB14" s="376"/>
      <c r="CC14" s="376"/>
      <c r="CD14" s="376"/>
      <c r="CE14" s="376"/>
      <c r="CF14" s="376"/>
    </row>
    <row r="15" spans="1:84">
      <c r="B15" s="586" t="s">
        <v>600</v>
      </c>
      <c r="C15" s="588">
        <v>44834</v>
      </c>
      <c r="D15" s="261"/>
      <c r="E15" s="594"/>
      <c r="F15" s="595" t="s">
        <v>601</v>
      </c>
      <c r="G15" s="596">
        <v>44813.621562499997</v>
      </c>
      <c r="H15" s="597"/>
      <c r="I15" s="9"/>
      <c r="J15" s="571" t="s">
        <v>602</v>
      </c>
      <c r="K15" s="598">
        <f>VLOOKUP(SAS_RA0_DataFim,Índices!$B$7:$F$500,3,FALSE)</f>
        <v>6388.87</v>
      </c>
      <c r="L15" s="582"/>
      <c r="M15" s="549"/>
      <c r="O15" s="9"/>
      <c r="R15" s="376"/>
      <c r="S15" s="376"/>
      <c r="T15" s="376"/>
      <c r="U15" s="376"/>
      <c r="V15" s="376"/>
      <c r="W15" s="376"/>
      <c r="X15" s="376"/>
      <c r="Y15" s="376"/>
      <c r="Z15" s="376"/>
      <c r="AA15" s="376"/>
      <c r="AB15" s="376"/>
      <c r="AC15" s="376"/>
      <c r="AD15" s="376"/>
      <c r="AE15" s="376"/>
      <c r="AF15" s="376"/>
      <c r="AG15" s="376"/>
      <c r="AH15" s="376"/>
      <c r="AI15" s="376"/>
      <c r="AJ15" s="376"/>
      <c r="AK15" s="376"/>
      <c r="AL15" s="376"/>
      <c r="AM15" s="376"/>
      <c r="AN15" s="376"/>
      <c r="AO15" s="376"/>
      <c r="AP15" s="376"/>
      <c r="AQ15" s="376"/>
      <c r="AR15" s="376"/>
      <c r="AS15" s="376"/>
      <c r="AT15" s="376"/>
      <c r="AU15" s="376"/>
      <c r="AV15" s="376"/>
      <c r="AW15" s="376"/>
      <c r="AX15" s="376"/>
      <c r="AY15" s="376"/>
      <c r="AZ15" s="376"/>
      <c r="BA15" s="376"/>
      <c r="BB15" s="376"/>
      <c r="BC15" s="376"/>
      <c r="BD15" s="376"/>
      <c r="BE15" s="376"/>
      <c r="BF15" s="376"/>
      <c r="BG15" s="376"/>
      <c r="BH15" s="376"/>
      <c r="BI15" s="376"/>
      <c r="BJ15" s="376"/>
      <c r="BK15" s="376"/>
      <c r="BL15" s="376"/>
      <c r="BM15" s="376"/>
      <c r="BN15" s="376"/>
      <c r="BO15" s="376"/>
      <c r="BP15" s="376"/>
      <c r="BQ15" s="376"/>
      <c r="BR15" s="376"/>
      <c r="BS15" s="376"/>
      <c r="BT15" s="376"/>
      <c r="BU15" s="376"/>
      <c r="BV15" s="376"/>
      <c r="BW15" s="376"/>
      <c r="BX15" s="376"/>
      <c r="BY15" s="376"/>
      <c r="BZ15" s="376"/>
      <c r="CA15" s="376"/>
      <c r="CB15" s="376"/>
      <c r="CC15" s="376"/>
      <c r="CD15" s="376"/>
      <c r="CE15" s="376"/>
      <c r="CF15" s="376"/>
    </row>
    <row r="16" spans="1:84">
      <c r="B16" s="586" t="s">
        <v>185</v>
      </c>
      <c r="C16" s="589">
        <f>DATE(YEAR(C14),MONTH(C14),1)</f>
        <v>44440</v>
      </c>
      <c r="D16" s="261"/>
      <c r="E16" s="594"/>
      <c r="F16" s="595" t="s">
        <v>603</v>
      </c>
      <c r="G16" s="596">
        <v>44796.644236111111</v>
      </c>
      <c r="H16" s="973"/>
      <c r="I16" s="9"/>
      <c r="J16" s="571" t="s">
        <v>604</v>
      </c>
      <c r="K16" s="578">
        <f>K14/VLOOKUP(DATE(YEAR(SAS_RA0_DataInicio),MONTH(SAS_RA0_DataInicio)-1,DAY(SAS_RA0_DataInicio)),Índices!$B$7:$F$500,2,FALSE)-1</f>
        <v>8.5874515481677571E-2</v>
      </c>
      <c r="L16" s="582"/>
      <c r="M16" s="549"/>
      <c r="O16" s="9"/>
      <c r="Q16" s="525"/>
      <c r="R16" s="376"/>
      <c r="S16" s="376"/>
      <c r="T16" s="376"/>
      <c r="U16" s="376"/>
      <c r="V16" s="376"/>
      <c r="W16" s="376"/>
      <c r="X16" s="376"/>
      <c r="Y16" s="376"/>
      <c r="Z16" s="376"/>
      <c r="AA16" s="376"/>
      <c r="AB16" s="376"/>
      <c r="AC16" s="376"/>
      <c r="AD16" s="376"/>
      <c r="AE16" s="376"/>
      <c r="AF16" s="376"/>
      <c r="AG16" s="376"/>
      <c r="AH16" s="376"/>
      <c r="AI16" s="376"/>
      <c r="AJ16" s="376"/>
      <c r="AK16" s="376"/>
      <c r="AL16" s="376"/>
      <c r="AM16" s="376"/>
      <c r="AN16" s="376"/>
      <c r="AO16" s="376"/>
      <c r="AP16" s="376"/>
      <c r="AQ16" s="376"/>
      <c r="AR16" s="376"/>
      <c r="AS16" s="376"/>
      <c r="AT16" s="376"/>
      <c r="AU16" s="376"/>
      <c r="AV16" s="376"/>
      <c r="AW16" s="376"/>
      <c r="AX16" s="376"/>
      <c r="AY16" s="376"/>
      <c r="AZ16" s="376"/>
      <c r="BA16" s="376"/>
      <c r="BB16" s="376"/>
      <c r="BC16" s="376"/>
      <c r="BD16" s="376"/>
      <c r="BE16" s="376"/>
      <c r="BF16" s="376"/>
      <c r="BG16" s="376"/>
      <c r="BH16" s="376"/>
      <c r="BI16" s="376"/>
      <c r="BJ16" s="376"/>
      <c r="BK16" s="376"/>
      <c r="BL16" s="376"/>
      <c r="BM16" s="376"/>
      <c r="BN16" s="376"/>
      <c r="BO16" s="376"/>
      <c r="BP16" s="376"/>
      <c r="BQ16" s="376"/>
      <c r="BR16" s="376"/>
      <c r="BS16" s="376"/>
      <c r="BT16" s="376"/>
      <c r="BU16" s="376"/>
      <c r="BV16" s="376"/>
      <c r="BW16" s="376"/>
      <c r="BX16" s="376"/>
      <c r="BY16" s="376"/>
      <c r="BZ16" s="376"/>
      <c r="CA16" s="376"/>
      <c r="CB16" s="376"/>
      <c r="CC16" s="376"/>
      <c r="CD16" s="376"/>
      <c r="CE16" s="376"/>
      <c r="CF16" s="376"/>
    </row>
    <row r="17" spans="1:84">
      <c r="B17" s="586" t="s">
        <v>187</v>
      </c>
      <c r="C17" s="589">
        <f>DATE(YEAR(C15),MONTH(C15)-1,1)</f>
        <v>44774</v>
      </c>
      <c r="D17" s="261"/>
      <c r="E17" s="594"/>
      <c r="F17" s="595" t="s">
        <v>605</v>
      </c>
      <c r="G17" s="596">
        <v>44796.647245370368</v>
      </c>
      <c r="H17" s="9"/>
      <c r="I17" s="370"/>
      <c r="J17" s="571" t="s">
        <v>606</v>
      </c>
      <c r="K17" s="974">
        <f>K15/VLOOKUP(DATE(YEAR(SAS_RA0_DataInicio),MONTH(SAS_RA0_DataInicio)-1,DAY(SAS_RA0_DataInicio)),Índices!$B$7:$F$500,3,FALSE)-1</f>
        <v>8.727291292620043E-2</v>
      </c>
      <c r="L17" s="9"/>
      <c r="M17" s="549"/>
      <c r="O17" s="9"/>
      <c r="Q17" s="525"/>
      <c r="R17" s="376"/>
      <c r="S17" s="376"/>
      <c r="T17" s="376"/>
      <c r="U17" s="376"/>
      <c r="V17" s="376"/>
      <c r="W17" s="376"/>
      <c r="X17" s="376"/>
      <c r="Y17" s="376"/>
      <c r="Z17" s="376"/>
      <c r="AA17" s="376"/>
      <c r="AB17" s="376"/>
      <c r="AC17" s="376"/>
      <c r="AD17" s="376"/>
      <c r="AE17" s="376"/>
      <c r="AF17" s="376"/>
      <c r="AG17" s="376"/>
      <c r="AH17" s="376"/>
      <c r="AI17" s="376"/>
      <c r="AJ17" s="376"/>
      <c r="AK17" s="376"/>
      <c r="AL17" s="376"/>
      <c r="AM17" s="376"/>
      <c r="AN17" s="376"/>
      <c r="AO17" s="376"/>
      <c r="AP17" s="376"/>
      <c r="AQ17" s="376"/>
      <c r="AR17" s="376"/>
      <c r="AS17" s="376"/>
      <c r="AT17" s="376"/>
      <c r="AU17" s="376"/>
      <c r="AV17" s="376"/>
      <c r="AW17" s="376"/>
      <c r="AX17" s="376"/>
      <c r="AY17" s="376"/>
      <c r="AZ17" s="376"/>
      <c r="BA17" s="376"/>
      <c r="BB17" s="376"/>
      <c r="BC17" s="376"/>
      <c r="BD17" s="376"/>
      <c r="BE17" s="376"/>
      <c r="BF17" s="376"/>
      <c r="BG17" s="376"/>
      <c r="BH17" s="376"/>
      <c r="BI17" s="376"/>
      <c r="BJ17" s="376"/>
      <c r="BK17" s="376"/>
      <c r="BL17" s="376"/>
      <c r="BM17" s="376"/>
      <c r="BN17" s="376"/>
      <c r="BO17" s="376"/>
      <c r="BP17" s="376"/>
      <c r="BQ17" s="376"/>
      <c r="BR17" s="376"/>
      <c r="BS17" s="376"/>
      <c r="BT17" s="376"/>
      <c r="BU17" s="376"/>
      <c r="BV17" s="376"/>
      <c r="BW17" s="376"/>
      <c r="BX17" s="376"/>
      <c r="BY17" s="376"/>
      <c r="BZ17" s="376"/>
      <c r="CA17" s="376"/>
      <c r="CB17" s="376"/>
      <c r="CC17" s="376"/>
      <c r="CD17" s="376"/>
      <c r="CE17" s="376"/>
      <c r="CF17" s="376"/>
    </row>
    <row r="18" spans="1:84">
      <c r="B18" s="586" t="s">
        <v>607</v>
      </c>
      <c r="C18" s="810" t="str">
        <f ca="1">C110</f>
        <v>REAJUSTE</v>
      </c>
      <c r="D18" s="261"/>
      <c r="E18" s="594"/>
      <c r="F18" s="595" t="s">
        <v>2134</v>
      </c>
      <c r="G18" s="596">
        <v>44796.647557870368</v>
      </c>
      <c r="I18" s="370"/>
      <c r="J18" s="576" t="s">
        <v>608</v>
      </c>
      <c r="K18" s="579">
        <f>VLOOKUP(DATE(YEAR(SAS_RA0_DataFim),MONTH(SAS_RA0_DataFim)-1,DAY(SAS_RA0_DataFim)),Índices!$B$7:$F$500,3,FALSE)/VLOOKUP(DATE(YEAR(L18),MONTH(L18)-1,1),Índices!$B$7:$F$500,3,FALSE)-1</f>
        <v>5.5345154212937064E-2</v>
      </c>
      <c r="L18" s="17" cm="1">
        <f t="array" ref="L18">limiteParcelaB[Data Base Limite_PB]</f>
        <v>44531</v>
      </c>
      <c r="M18" s="549"/>
      <c r="N18" s="9"/>
      <c r="O18" s="9"/>
      <c r="Q18" s="525"/>
      <c r="R18" s="376"/>
      <c r="S18" s="376"/>
      <c r="T18" s="376"/>
      <c r="U18" s="376"/>
      <c r="V18" s="376"/>
      <c r="W18" s="376"/>
      <c r="X18" s="376"/>
      <c r="Y18" s="376"/>
      <c r="Z18" s="376"/>
      <c r="AA18" s="376"/>
      <c r="AB18" s="376"/>
      <c r="AC18" s="376"/>
      <c r="AD18" s="376"/>
      <c r="AE18" s="376"/>
      <c r="AF18" s="376"/>
      <c r="AG18" s="376"/>
      <c r="AH18" s="376"/>
      <c r="AI18" s="376"/>
      <c r="AJ18" s="376"/>
      <c r="AK18" s="376"/>
      <c r="AL18" s="376"/>
      <c r="AM18" s="376"/>
      <c r="AN18" s="376"/>
      <c r="AO18" s="376"/>
      <c r="AP18" s="376"/>
      <c r="AQ18" s="376"/>
      <c r="AR18" s="376"/>
      <c r="AS18" s="376"/>
      <c r="AT18" s="376"/>
      <c r="AU18" s="376"/>
      <c r="AV18" s="376"/>
      <c r="AW18" s="376"/>
      <c r="AX18" s="376"/>
      <c r="AY18" s="376"/>
      <c r="AZ18" s="376"/>
      <c r="BA18" s="376"/>
      <c r="BB18" s="376"/>
      <c r="BC18" s="376"/>
      <c r="BD18" s="376"/>
      <c r="BE18" s="376"/>
      <c r="BF18" s="376"/>
      <c r="BG18" s="376"/>
      <c r="BH18" s="376"/>
      <c r="BI18" s="376"/>
      <c r="BJ18" s="376"/>
      <c r="BK18" s="376"/>
      <c r="BL18" s="376"/>
      <c r="BM18" s="376"/>
      <c r="BN18" s="376"/>
      <c r="BO18" s="376"/>
      <c r="BP18" s="376"/>
      <c r="BQ18" s="376"/>
      <c r="BR18" s="376"/>
      <c r="BS18" s="376"/>
      <c r="BT18" s="376"/>
      <c r="BU18" s="376"/>
      <c r="BV18" s="376"/>
      <c r="BW18" s="376"/>
      <c r="BX18" s="376"/>
      <c r="BY18" s="376"/>
      <c r="BZ18" s="376"/>
      <c r="CA18" s="376"/>
      <c r="CB18" s="376"/>
      <c r="CC18" s="376"/>
      <c r="CD18" s="376"/>
      <c r="CE18" s="376"/>
      <c r="CF18" s="376"/>
    </row>
    <row r="19" spans="1:84">
      <c r="D19" s="9"/>
      <c r="I19" s="370"/>
      <c r="J19" s="270"/>
      <c r="K19" s="578"/>
      <c r="L19" s="17"/>
      <c r="M19" s="549"/>
      <c r="N19" s="9"/>
      <c r="O19" s="9"/>
      <c r="Q19" s="525"/>
      <c r="R19" s="376"/>
      <c r="S19" s="376"/>
      <c r="T19" s="376"/>
      <c r="U19" s="376"/>
      <c r="V19" s="376"/>
      <c r="W19" s="376"/>
      <c r="X19" s="376"/>
      <c r="Y19" s="376"/>
      <c r="Z19" s="376"/>
      <c r="AA19" s="376"/>
      <c r="AB19" s="376"/>
      <c r="AC19" s="376"/>
      <c r="AD19" s="376"/>
      <c r="AE19" s="376"/>
      <c r="AF19" s="376"/>
      <c r="AG19" s="376"/>
      <c r="AH19" s="376"/>
      <c r="AI19" s="376"/>
      <c r="AJ19" s="376"/>
      <c r="AK19" s="376"/>
      <c r="AL19" s="376"/>
      <c r="AM19" s="376"/>
      <c r="AN19" s="376"/>
      <c r="AO19" s="376"/>
      <c r="AP19" s="376"/>
      <c r="AQ19" s="376"/>
      <c r="AR19" s="376"/>
      <c r="AS19" s="376"/>
      <c r="AT19" s="376"/>
      <c r="AU19" s="376"/>
      <c r="AV19" s="376"/>
      <c r="AW19" s="376"/>
      <c r="AX19" s="376"/>
      <c r="AY19" s="376"/>
      <c r="AZ19" s="376"/>
      <c r="BA19" s="376"/>
      <c r="BB19" s="376"/>
      <c r="BC19" s="376"/>
      <c r="BD19" s="376"/>
      <c r="BE19" s="376"/>
      <c r="BF19" s="376"/>
      <c r="BG19" s="376"/>
      <c r="BH19" s="376"/>
      <c r="BI19" s="376"/>
      <c r="BJ19" s="376"/>
      <c r="BK19" s="376"/>
      <c r="BL19" s="376"/>
      <c r="BM19" s="376"/>
      <c r="BN19" s="376"/>
      <c r="BO19" s="376"/>
      <c r="BP19" s="376"/>
      <c r="BQ19" s="376"/>
      <c r="BR19" s="376"/>
      <c r="BS19" s="376"/>
      <c r="BT19" s="376"/>
      <c r="BU19" s="376"/>
      <c r="BV19" s="376"/>
      <c r="BW19" s="376"/>
      <c r="BX19" s="376"/>
      <c r="BY19" s="376"/>
      <c r="BZ19" s="376"/>
      <c r="CA19" s="376"/>
      <c r="CB19" s="376"/>
      <c r="CC19" s="376"/>
      <c r="CD19" s="376"/>
      <c r="CE19" s="376"/>
      <c r="CF19" s="376"/>
    </row>
    <row r="20" spans="1:84">
      <c r="D20" s="9"/>
      <c r="I20" s="370"/>
      <c r="J20" s="270"/>
      <c r="K20" s="749"/>
      <c r="L20" s="17"/>
      <c r="M20" s="549"/>
      <c r="N20" s="9"/>
      <c r="O20" s="9"/>
      <c r="Q20" s="525"/>
      <c r="R20" s="376"/>
      <c r="S20" s="376"/>
      <c r="T20" s="376"/>
      <c r="U20" s="376"/>
      <c r="V20" s="376"/>
      <c r="W20" s="376"/>
      <c r="X20" s="376"/>
      <c r="Y20" s="376"/>
      <c r="Z20" s="376"/>
      <c r="AA20" s="376"/>
      <c r="AB20" s="376"/>
      <c r="AC20" s="376"/>
      <c r="AD20" s="376"/>
      <c r="AE20" s="376"/>
      <c r="AF20" s="376"/>
      <c r="AG20" s="376"/>
      <c r="AH20" s="376"/>
      <c r="AI20" s="376"/>
      <c r="AJ20" s="376"/>
      <c r="AK20" s="376"/>
      <c r="AL20" s="376"/>
      <c r="AM20" s="376"/>
      <c r="AN20" s="376"/>
      <c r="AO20" s="376"/>
      <c r="AP20" s="376"/>
      <c r="AQ20" s="376"/>
      <c r="AR20" s="376"/>
      <c r="AS20" s="376"/>
      <c r="AT20" s="376"/>
      <c r="AU20" s="376"/>
      <c r="AV20" s="376"/>
      <c r="AW20" s="376"/>
      <c r="AX20" s="376"/>
      <c r="AY20" s="376"/>
      <c r="AZ20" s="376"/>
      <c r="BA20" s="376"/>
      <c r="BB20" s="376"/>
      <c r="BC20" s="376"/>
      <c r="BD20" s="376"/>
      <c r="BE20" s="376"/>
      <c r="BF20" s="376"/>
      <c r="BG20" s="376"/>
      <c r="BH20" s="376"/>
      <c r="BI20" s="376"/>
      <c r="BJ20" s="376"/>
      <c r="BK20" s="376"/>
      <c r="BL20" s="376"/>
      <c r="BM20" s="376"/>
      <c r="BN20" s="376"/>
      <c r="BO20" s="376"/>
      <c r="BP20" s="376"/>
      <c r="BQ20" s="376"/>
      <c r="BR20" s="376"/>
      <c r="BS20" s="376"/>
      <c r="BT20" s="376"/>
      <c r="BU20" s="376"/>
      <c r="BV20" s="376"/>
      <c r="BW20" s="376"/>
      <c r="BX20" s="376"/>
      <c r="BY20" s="376"/>
      <c r="BZ20" s="376"/>
      <c r="CA20" s="376"/>
      <c r="CB20" s="376"/>
      <c r="CC20" s="376"/>
      <c r="CD20" s="376"/>
      <c r="CE20" s="376"/>
      <c r="CF20" s="376"/>
    </row>
    <row r="21" spans="1:84">
      <c r="D21" s="9"/>
      <c r="I21" s="370"/>
      <c r="J21" s="270"/>
      <c r="K21" s="578"/>
      <c r="L21" s="17"/>
      <c r="M21" s="549"/>
      <c r="N21" s="9"/>
      <c r="O21" s="9"/>
      <c r="Q21" s="525"/>
      <c r="R21" s="376"/>
      <c r="S21" s="376"/>
      <c r="T21" s="376"/>
      <c r="U21" s="376"/>
      <c r="V21" s="376"/>
      <c r="W21" s="376"/>
      <c r="X21" s="376"/>
      <c r="Y21" s="37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  <c r="AP21" s="376"/>
      <c r="AQ21" s="376"/>
      <c r="AR21" s="376"/>
      <c r="AS21" s="376"/>
      <c r="AT21" s="376"/>
      <c r="AU21" s="376"/>
      <c r="AV21" s="376"/>
      <c r="AW21" s="376"/>
      <c r="AX21" s="376"/>
      <c r="AY21" s="376"/>
      <c r="AZ21" s="376"/>
      <c r="BA21" s="376"/>
      <c r="BB21" s="376"/>
      <c r="BC21" s="376"/>
      <c r="BD21" s="376"/>
      <c r="BE21" s="376"/>
      <c r="BF21" s="376"/>
      <c r="BG21" s="376"/>
      <c r="BH21" s="376"/>
      <c r="BI21" s="376"/>
      <c r="BJ21" s="376"/>
      <c r="BK21" s="376"/>
      <c r="BL21" s="376"/>
      <c r="BM21" s="376"/>
      <c r="BN21" s="376"/>
      <c r="BO21" s="376"/>
      <c r="BP21" s="376"/>
      <c r="BQ21" s="376"/>
      <c r="BR21" s="376"/>
      <c r="BS21" s="376"/>
      <c r="BT21" s="376"/>
      <c r="BU21" s="376"/>
      <c r="BV21" s="376"/>
      <c r="BW21" s="376"/>
      <c r="BX21" s="376"/>
      <c r="BY21" s="376"/>
      <c r="BZ21" s="376"/>
      <c r="CA21" s="376"/>
      <c r="CB21" s="376"/>
      <c r="CC21" s="376"/>
      <c r="CD21" s="376"/>
      <c r="CE21" s="376"/>
      <c r="CF21" s="376"/>
    </row>
    <row r="22" spans="1:84" ht="16.5" thickBot="1">
      <c r="E22" s="49"/>
      <c r="F22" s="49"/>
      <c r="G22" s="49"/>
      <c r="H22" s="521"/>
      <c r="I22" s="370"/>
      <c r="J22" s="49"/>
      <c r="K22" s="550"/>
      <c r="L22" s="551"/>
      <c r="M22" s="549"/>
      <c r="N22" s="9"/>
      <c r="O22" s="9"/>
      <c r="Q22" s="525"/>
      <c r="R22" s="376"/>
      <c r="S22" s="376"/>
      <c r="T22" s="376"/>
      <c r="U22" s="376"/>
      <c r="V22" s="376"/>
      <c r="W22" s="376"/>
      <c r="X22" s="376"/>
      <c r="Y22" s="376"/>
      <c r="Z22" s="376"/>
      <c r="AA22" s="376"/>
      <c r="AB22" s="376"/>
      <c r="AC22" s="376"/>
      <c r="AD22" s="376"/>
      <c r="AE22" s="376"/>
      <c r="AF22" s="376"/>
      <c r="AG22" s="376"/>
      <c r="AH22" s="376"/>
      <c r="AI22" s="376"/>
      <c r="AJ22" s="376"/>
      <c r="AK22" s="376"/>
      <c r="AL22" s="376"/>
      <c r="AM22" s="376"/>
      <c r="AN22" s="376"/>
      <c r="AO22" s="376"/>
      <c r="AP22" s="376"/>
      <c r="AQ22" s="376"/>
      <c r="AR22" s="376"/>
      <c r="AS22" s="376"/>
      <c r="AT22" s="376"/>
      <c r="AU22" s="376"/>
      <c r="AV22" s="376"/>
      <c r="AW22" s="376"/>
      <c r="AX22" s="376"/>
      <c r="AY22" s="376"/>
      <c r="AZ22" s="376"/>
      <c r="BA22" s="376"/>
      <c r="BB22" s="376"/>
      <c r="BC22" s="376"/>
      <c r="BD22" s="376"/>
      <c r="BE22" s="376"/>
      <c r="BF22" s="376"/>
      <c r="BG22" s="376"/>
      <c r="BH22" s="376"/>
      <c r="BI22" s="376"/>
      <c r="BJ22" s="376"/>
      <c r="BK22" s="376"/>
      <c r="BL22" s="376"/>
      <c r="BM22" s="376"/>
      <c r="BN22" s="376"/>
      <c r="BO22" s="376"/>
      <c r="BP22" s="376"/>
      <c r="BQ22" s="376"/>
      <c r="BR22" s="376"/>
      <c r="BS22" s="376"/>
      <c r="BT22" s="376"/>
      <c r="BU22" s="376"/>
      <c r="BV22" s="376"/>
      <c r="BW22" s="376"/>
      <c r="BX22" s="376"/>
      <c r="BY22" s="376"/>
      <c r="BZ22" s="376"/>
      <c r="CA22" s="376"/>
      <c r="CB22" s="376"/>
      <c r="CC22" s="376"/>
      <c r="CD22" s="376"/>
      <c r="CE22" s="376"/>
      <c r="CF22" s="376"/>
    </row>
    <row r="23" spans="1:84" ht="26.25" thickBot="1">
      <c r="A23" s="540"/>
      <c r="B23" s="530" t="s">
        <v>609</v>
      </c>
      <c r="C23" s="541"/>
      <c r="D23" s="541"/>
      <c r="E23" s="542"/>
      <c r="F23" s="542"/>
      <c r="G23" s="542"/>
      <c r="H23" s="522"/>
      <c r="I23" s="523"/>
      <c r="J23" s="542"/>
      <c r="K23" s="543"/>
      <c r="L23" s="544"/>
      <c r="M23" s="545"/>
      <c r="N23" s="9"/>
      <c r="O23" s="9"/>
      <c r="Q23" s="525"/>
      <c r="R23" s="376"/>
      <c r="S23" s="376"/>
      <c r="T23" s="376"/>
      <c r="U23" s="376"/>
      <c r="V23" s="376"/>
      <c r="W23" s="376"/>
      <c r="X23" s="376"/>
      <c r="Y23" s="376"/>
      <c r="Z23" s="376"/>
      <c r="AA23" s="376"/>
      <c r="AB23" s="376"/>
      <c r="AC23" s="376"/>
      <c r="AD23" s="376"/>
      <c r="AE23" s="376"/>
      <c r="AF23" s="376"/>
      <c r="AG23" s="376"/>
      <c r="AH23" s="376"/>
      <c r="AI23" s="376"/>
      <c r="AJ23" s="376"/>
      <c r="AK23" s="376"/>
      <c r="AL23" s="376"/>
      <c r="AM23" s="376"/>
      <c r="AN23" s="376"/>
      <c r="AO23" s="376"/>
      <c r="AP23" s="376"/>
      <c r="AQ23" s="376"/>
      <c r="AR23" s="376"/>
      <c r="AS23" s="376"/>
      <c r="AT23" s="376"/>
      <c r="AU23" s="376"/>
      <c r="AV23" s="376"/>
      <c r="AW23" s="376"/>
      <c r="AX23" s="376"/>
      <c r="AY23" s="376"/>
      <c r="AZ23" s="376"/>
      <c r="BA23" s="376"/>
      <c r="BB23" s="376"/>
      <c r="BC23" s="376"/>
      <c r="BD23" s="376"/>
      <c r="BE23" s="376"/>
      <c r="BF23" s="376"/>
      <c r="BG23" s="376"/>
      <c r="BH23" s="376"/>
      <c r="BI23" s="376"/>
      <c r="BJ23" s="376"/>
      <c r="BK23" s="376"/>
      <c r="BL23" s="376"/>
      <c r="BM23" s="376"/>
      <c r="BN23" s="376"/>
      <c r="BO23" s="376"/>
      <c r="BP23" s="376"/>
      <c r="BQ23" s="376"/>
      <c r="BR23" s="376"/>
      <c r="BS23" s="376"/>
      <c r="BT23" s="376"/>
      <c r="BU23" s="376"/>
      <c r="BV23" s="376"/>
      <c r="BW23" s="376"/>
      <c r="BX23" s="376"/>
      <c r="BY23" s="376"/>
      <c r="BZ23" s="376"/>
      <c r="CA23" s="376"/>
      <c r="CB23" s="376"/>
      <c r="CC23" s="376"/>
      <c r="CD23" s="376"/>
      <c r="CE23" s="376"/>
      <c r="CF23" s="376"/>
    </row>
    <row r="24" spans="1:84">
      <c r="E24" s="49"/>
      <c r="F24" s="49"/>
      <c r="G24" s="49"/>
      <c r="H24" s="521"/>
      <c r="I24" s="370"/>
      <c r="J24" s="49"/>
      <c r="K24" s="550"/>
      <c r="L24" s="551"/>
      <c r="M24" s="612"/>
      <c r="N24" s="558"/>
      <c r="O24" s="9"/>
      <c r="Q24" s="525"/>
      <c r="R24" s="376"/>
      <c r="S24" s="376"/>
      <c r="T24" s="376"/>
      <c r="U24" s="376"/>
      <c r="V24" s="376"/>
      <c r="W24" s="376"/>
      <c r="X24" s="376"/>
      <c r="Y24" s="376"/>
      <c r="Z24" s="376"/>
      <c r="AA24" s="376"/>
      <c r="AB24" s="376"/>
      <c r="AC24" s="376"/>
      <c r="AD24" s="376"/>
      <c r="AE24" s="376"/>
      <c r="AF24" s="376"/>
      <c r="AG24" s="376"/>
      <c r="AH24" s="376"/>
      <c r="AI24" s="376"/>
      <c r="AJ24" s="376"/>
      <c r="AK24" s="376"/>
      <c r="AL24" s="376"/>
      <c r="AM24" s="376"/>
      <c r="AN24" s="376"/>
      <c r="AO24" s="376"/>
      <c r="AP24" s="376"/>
      <c r="AQ24" s="376"/>
      <c r="AR24" s="376"/>
      <c r="AS24" s="376"/>
      <c r="AT24" s="376"/>
      <c r="AU24" s="376"/>
      <c r="AV24" s="376"/>
      <c r="AW24" s="376"/>
      <c r="AX24" s="376"/>
      <c r="AY24" s="376"/>
      <c r="AZ24" s="376"/>
      <c r="BA24" s="376"/>
      <c r="BB24" s="376"/>
      <c r="BC24" s="376"/>
      <c r="BD24" s="376"/>
      <c r="BE24" s="376"/>
      <c r="BF24" s="376"/>
      <c r="BG24" s="376"/>
      <c r="BH24" s="376"/>
      <c r="BI24" s="376"/>
      <c r="BJ24" s="376"/>
      <c r="BK24" s="376"/>
      <c r="BL24" s="376"/>
      <c r="BM24" s="376"/>
      <c r="BN24" s="376"/>
      <c r="BO24" s="376"/>
      <c r="BP24" s="376"/>
      <c r="BQ24" s="376"/>
      <c r="BR24" s="376"/>
      <c r="BS24" s="376"/>
      <c r="BT24" s="376"/>
      <c r="BU24" s="376"/>
      <c r="BV24" s="376"/>
      <c r="BW24" s="376"/>
      <c r="BX24" s="376"/>
      <c r="BY24" s="376"/>
      <c r="BZ24" s="376"/>
      <c r="CA24" s="376"/>
      <c r="CB24" s="376"/>
      <c r="CC24" s="376"/>
      <c r="CD24" s="376"/>
      <c r="CE24" s="376"/>
      <c r="CF24" s="376"/>
    </row>
    <row r="25" spans="1:84">
      <c r="D25" s="552"/>
      <c r="F25" s="553"/>
      <c r="G25" s="554"/>
      <c r="L25" s="551"/>
      <c r="M25" s="549"/>
      <c r="N25" s="558"/>
      <c r="O25" s="9"/>
      <c r="Q25" s="525"/>
      <c r="R25" s="376"/>
      <c r="S25" s="376"/>
      <c r="T25" s="376"/>
      <c r="U25" s="376"/>
      <c r="V25" s="376"/>
      <c r="W25" s="376"/>
      <c r="X25" s="376"/>
      <c r="Y25" s="376"/>
      <c r="Z25" s="376"/>
      <c r="AA25" s="376"/>
      <c r="AB25" s="376"/>
      <c r="AC25" s="376"/>
      <c r="AD25" s="376"/>
      <c r="AE25" s="376"/>
      <c r="AF25" s="376"/>
      <c r="AG25" s="376"/>
      <c r="AH25" s="376"/>
      <c r="AI25" s="376"/>
      <c r="AJ25" s="376"/>
      <c r="AK25" s="376"/>
      <c r="AL25" s="376"/>
      <c r="AM25" s="376"/>
      <c r="AN25" s="376"/>
      <c r="AO25" s="376"/>
      <c r="AP25" s="376"/>
      <c r="AQ25" s="376"/>
      <c r="AR25" s="376"/>
      <c r="AS25" s="376"/>
      <c r="AT25" s="376"/>
      <c r="AU25" s="376"/>
      <c r="AV25" s="376"/>
      <c r="AW25" s="376"/>
      <c r="AX25" s="376"/>
      <c r="AY25" s="376"/>
      <c r="AZ25" s="376"/>
      <c r="BA25" s="376"/>
      <c r="BB25" s="376"/>
      <c r="BC25" s="376"/>
      <c r="BD25" s="376"/>
      <c r="BE25" s="376"/>
      <c r="BF25" s="376"/>
      <c r="BG25" s="376"/>
      <c r="BH25" s="376"/>
      <c r="BI25" s="376"/>
      <c r="BJ25" s="376"/>
      <c r="BK25" s="376"/>
      <c r="BL25" s="376"/>
      <c r="BM25" s="376"/>
      <c r="BN25" s="376"/>
      <c r="BO25" s="376"/>
      <c r="BP25" s="376"/>
      <c r="BQ25" s="376"/>
      <c r="BR25" s="376"/>
      <c r="BS25" s="376"/>
      <c r="BT25" s="376"/>
      <c r="BU25" s="376"/>
      <c r="BV25" s="376"/>
      <c r="BW25" s="376"/>
      <c r="BX25" s="376"/>
      <c r="BY25" s="376"/>
      <c r="BZ25" s="376"/>
      <c r="CA25" s="376"/>
      <c r="CB25" s="376"/>
      <c r="CC25" s="376"/>
      <c r="CD25" s="376"/>
      <c r="CE25" s="376"/>
      <c r="CF25" s="376"/>
    </row>
    <row r="26" spans="1:84" ht="18">
      <c r="B26" s="711" t="s">
        <v>610</v>
      </c>
      <c r="C26" s="581"/>
      <c r="D26" s="975"/>
      <c r="E26" s="976"/>
      <c r="F26" s="977"/>
      <c r="G26" s="978"/>
      <c r="H26" s="975"/>
      <c r="I26" s="975"/>
      <c r="J26" s="975"/>
      <c r="K26" s="979"/>
      <c r="L26" s="980"/>
      <c r="M26" s="549"/>
      <c r="N26" s="558"/>
      <c r="O26" s="9"/>
      <c r="Q26" s="525"/>
      <c r="R26" s="376"/>
      <c r="S26" s="376"/>
      <c r="T26" s="376"/>
      <c r="U26" s="376"/>
      <c r="V26" s="376"/>
      <c r="W26" s="376"/>
      <c r="X26" s="376"/>
      <c r="Y26" s="376"/>
      <c r="Z26" s="376"/>
      <c r="AA26" s="376"/>
      <c r="AB26" s="376"/>
      <c r="AC26" s="376"/>
      <c r="AD26" s="376"/>
      <c r="AE26" s="376"/>
      <c r="AF26" s="376"/>
      <c r="AG26" s="376"/>
      <c r="AH26" s="376"/>
      <c r="AI26" s="376"/>
      <c r="AJ26" s="376"/>
      <c r="AK26" s="376"/>
      <c r="AL26" s="376"/>
      <c r="AM26" s="376"/>
      <c r="AN26" s="376"/>
      <c r="AO26" s="376"/>
      <c r="AP26" s="376"/>
      <c r="AQ26" s="376"/>
      <c r="AR26" s="376"/>
      <c r="AS26" s="376"/>
      <c r="AT26" s="376"/>
      <c r="AU26" s="376"/>
      <c r="AV26" s="376"/>
      <c r="AW26" s="376"/>
      <c r="AX26" s="376"/>
      <c r="AY26" s="376"/>
      <c r="AZ26" s="376"/>
      <c r="BA26" s="376"/>
      <c r="BB26" s="376"/>
      <c r="BC26" s="376"/>
      <c r="BD26" s="376"/>
      <c r="BE26" s="376"/>
      <c r="BF26" s="376"/>
      <c r="BG26" s="376"/>
      <c r="BH26" s="376"/>
      <c r="BI26" s="376"/>
      <c r="BJ26" s="376"/>
      <c r="BK26" s="376"/>
      <c r="BL26" s="376"/>
      <c r="BM26" s="376"/>
      <c r="BN26" s="376"/>
      <c r="BO26" s="376"/>
      <c r="BP26" s="376"/>
      <c r="BQ26" s="376"/>
      <c r="BR26" s="376"/>
      <c r="BS26" s="376"/>
      <c r="BT26" s="376"/>
      <c r="BU26" s="376"/>
      <c r="BV26" s="376"/>
      <c r="BW26" s="376"/>
      <c r="BX26" s="376"/>
      <c r="BY26" s="376"/>
      <c r="BZ26" s="376"/>
      <c r="CA26" s="376"/>
      <c r="CB26" s="376"/>
      <c r="CC26" s="376"/>
      <c r="CD26" s="376"/>
      <c r="CE26" s="376"/>
      <c r="CF26" s="376"/>
    </row>
    <row r="27" spans="1:84">
      <c r="L27" s="551"/>
      <c r="M27" s="549"/>
      <c r="N27" s="558"/>
      <c r="O27" s="9"/>
      <c r="R27" s="376"/>
      <c r="S27" s="376"/>
      <c r="T27" s="376"/>
      <c r="U27" s="376"/>
      <c r="V27" s="376"/>
      <c r="W27" s="376"/>
      <c r="X27" s="376"/>
      <c r="Y27" s="376"/>
      <c r="Z27" s="376"/>
      <c r="AA27" s="376"/>
      <c r="AB27" s="376"/>
      <c r="AC27" s="376"/>
      <c r="AD27" s="376"/>
      <c r="AE27" s="376"/>
      <c r="AF27" s="376"/>
      <c r="AG27" s="376"/>
      <c r="AH27" s="376"/>
      <c r="AI27" s="376"/>
      <c r="AJ27" s="376"/>
      <c r="AK27" s="376"/>
      <c r="AL27" s="376"/>
      <c r="AM27" s="376"/>
      <c r="AN27" s="376"/>
      <c r="AO27" s="376"/>
      <c r="AP27" s="376"/>
      <c r="AQ27" s="376"/>
      <c r="AR27" s="376"/>
      <c r="AS27" s="376"/>
      <c r="AT27" s="376"/>
      <c r="AU27" s="376"/>
      <c r="AV27" s="376"/>
      <c r="AW27" s="376"/>
      <c r="AX27" s="376"/>
      <c r="AY27" s="376"/>
      <c r="AZ27" s="376"/>
      <c r="BA27" s="376"/>
      <c r="BB27" s="376"/>
      <c r="BC27" s="376"/>
      <c r="BD27" s="376"/>
      <c r="BE27" s="376"/>
      <c r="BF27" s="376"/>
      <c r="BG27" s="376"/>
      <c r="BH27" s="376"/>
      <c r="BI27" s="376"/>
      <c r="BJ27" s="376"/>
      <c r="BK27" s="376"/>
      <c r="BL27" s="376"/>
      <c r="BM27" s="376"/>
      <c r="BN27" s="376"/>
      <c r="BO27" s="376"/>
      <c r="BP27" s="376"/>
      <c r="BQ27" s="376"/>
      <c r="BR27" s="376"/>
      <c r="BS27" s="376"/>
      <c r="BT27" s="376"/>
      <c r="BU27" s="376"/>
      <c r="BV27" s="376"/>
      <c r="BW27" s="376"/>
      <c r="BX27" s="376"/>
      <c r="BY27" s="376"/>
      <c r="BZ27" s="376"/>
      <c r="CA27" s="376"/>
      <c r="CB27" s="376"/>
      <c r="CC27" s="376"/>
      <c r="CD27" s="376"/>
      <c r="CE27" s="376"/>
      <c r="CF27" s="376"/>
    </row>
    <row r="28" spans="1:84">
      <c r="B28" s="576" t="s">
        <v>611</v>
      </c>
      <c r="C28" s="1779" t="s">
        <v>2439</v>
      </c>
      <c r="D28" s="1779"/>
      <c r="E28" s="9"/>
      <c r="F28" s="580" t="s">
        <v>612</v>
      </c>
      <c r="G28" s="581"/>
      <c r="H28" s="581"/>
      <c r="I28" s="9"/>
      <c r="J28" s="1685" t="s">
        <v>613</v>
      </c>
      <c r="K28" s="1686"/>
      <c r="L28" s="17"/>
      <c r="M28" s="549"/>
      <c r="N28" s="558"/>
      <c r="O28" s="9"/>
      <c r="R28" s="376"/>
      <c r="S28" s="376"/>
      <c r="T28" s="376"/>
      <c r="U28" s="376"/>
      <c r="V28" s="376"/>
      <c r="W28" s="376"/>
      <c r="X28" s="376"/>
      <c r="Y28" s="376"/>
      <c r="Z28" s="376"/>
      <c r="AA28" s="376"/>
      <c r="AB28" s="376"/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  <c r="AM28" s="376"/>
      <c r="AN28" s="376"/>
      <c r="AO28" s="376"/>
      <c r="AP28" s="376"/>
      <c r="AQ28" s="376"/>
      <c r="AR28" s="376"/>
      <c r="AS28" s="376"/>
      <c r="AT28" s="376"/>
      <c r="AU28" s="376"/>
      <c r="AV28" s="376"/>
      <c r="AW28" s="376"/>
      <c r="AX28" s="376"/>
      <c r="AY28" s="376"/>
      <c r="AZ28" s="376"/>
      <c r="BA28" s="376"/>
      <c r="BB28" s="376"/>
      <c r="BC28" s="376"/>
      <c r="BD28" s="376"/>
      <c r="BE28" s="376"/>
      <c r="BF28" s="376"/>
      <c r="BG28" s="376"/>
      <c r="BH28" s="376"/>
      <c r="BI28" s="376"/>
      <c r="BJ28" s="376"/>
      <c r="BK28" s="376"/>
      <c r="BL28" s="376"/>
      <c r="BM28" s="376"/>
      <c r="BN28" s="376"/>
      <c r="BO28" s="376"/>
      <c r="BP28" s="376"/>
      <c r="BQ28" s="376"/>
      <c r="BR28" s="376"/>
      <c r="BS28" s="376"/>
      <c r="BT28" s="376"/>
      <c r="BU28" s="376"/>
      <c r="BV28" s="376"/>
      <c r="BW28" s="376"/>
      <c r="BX28" s="376"/>
      <c r="BY28" s="376"/>
      <c r="BZ28" s="376"/>
      <c r="CA28" s="376"/>
      <c r="CB28" s="376"/>
      <c r="CC28" s="376"/>
      <c r="CD28" s="376"/>
      <c r="CE28" s="376"/>
      <c r="CF28" s="376"/>
    </row>
    <row r="29" spans="1:84">
      <c r="B29" s="9"/>
      <c r="C29" s="9"/>
      <c r="D29" s="9"/>
      <c r="E29" s="9"/>
      <c r="F29" s="740" t="s">
        <v>614</v>
      </c>
      <c r="G29" s="740"/>
      <c r="H29" s="981">
        <v>0.1188</v>
      </c>
      <c r="I29" s="9"/>
      <c r="J29" s="1687" t="s">
        <v>615</v>
      </c>
      <c r="K29" s="1688">
        <f>BD!C26</f>
        <v>7122749.49971411</v>
      </c>
      <c r="L29" s="17"/>
      <c r="M29" s="549"/>
      <c r="N29" s="558"/>
      <c r="O29" s="9"/>
      <c r="R29" s="376"/>
      <c r="S29" s="376"/>
      <c r="T29" s="376"/>
      <c r="U29" s="376"/>
      <c r="V29" s="376"/>
      <c r="W29" s="376"/>
      <c r="X29" s="376"/>
      <c r="Y29" s="376"/>
      <c r="Z29" s="376"/>
      <c r="AA29" s="376"/>
      <c r="AB29" s="376"/>
      <c r="AC29" s="376"/>
      <c r="AD29" s="376"/>
      <c r="AE29" s="376"/>
      <c r="AF29" s="376"/>
      <c r="AG29" s="376"/>
      <c r="AH29" s="376"/>
      <c r="AI29" s="376"/>
      <c r="AJ29" s="376"/>
      <c r="AK29" s="376"/>
      <c r="AL29" s="376"/>
      <c r="AM29" s="376"/>
      <c r="AN29" s="376"/>
      <c r="AO29" s="376"/>
      <c r="AP29" s="376"/>
      <c r="AQ29" s="376"/>
      <c r="AR29" s="376"/>
      <c r="AS29" s="376"/>
      <c r="AT29" s="376"/>
      <c r="AU29" s="376"/>
      <c r="AV29" s="376"/>
      <c r="AW29" s="376"/>
      <c r="AX29" s="376"/>
      <c r="AY29" s="376"/>
      <c r="AZ29" s="376"/>
      <c r="BA29" s="376"/>
      <c r="BB29" s="376"/>
      <c r="BC29" s="376"/>
      <c r="BD29" s="376"/>
      <c r="BE29" s="376"/>
      <c r="BF29" s="376"/>
      <c r="BG29" s="376"/>
      <c r="BH29" s="376"/>
      <c r="BI29" s="376"/>
      <c r="BJ29" s="376"/>
      <c r="BK29" s="376"/>
      <c r="BL29" s="376"/>
      <c r="BM29" s="376"/>
      <c r="BN29" s="376"/>
      <c r="BO29" s="376"/>
      <c r="BP29" s="376"/>
      <c r="BQ29" s="376"/>
      <c r="BR29" s="376"/>
      <c r="BS29" s="376"/>
      <c r="BT29" s="376"/>
      <c r="BU29" s="376"/>
      <c r="BV29" s="376"/>
      <c r="BW29" s="376"/>
      <c r="BX29" s="376"/>
      <c r="BY29" s="376"/>
      <c r="BZ29" s="376"/>
      <c r="CA29" s="376"/>
      <c r="CB29" s="376"/>
      <c r="CC29" s="376"/>
      <c r="CD29" s="376"/>
      <c r="CE29" s="376"/>
      <c r="CF29" s="376"/>
    </row>
    <row r="30" spans="1:84">
      <c r="B30" s="480" t="s">
        <v>104</v>
      </c>
      <c r="C30" s="9"/>
      <c r="D30" s="9"/>
      <c r="E30" s="9"/>
      <c r="F30" s="741" t="s">
        <v>616</v>
      </c>
      <c r="G30" s="741"/>
      <c r="H30" s="982">
        <v>0</v>
      </c>
      <c r="I30" s="9"/>
      <c r="J30" s="1689" t="s">
        <v>617</v>
      </c>
      <c r="K30" s="1690" cm="1">
        <f t="array" ref="K30">IFERROR(limiteParcelaB[Limite_PB]*(1+K18),0)</f>
        <v>12718591.939640561</v>
      </c>
      <c r="L30" s="17"/>
      <c r="M30" s="549"/>
      <c r="O30" s="558"/>
      <c r="R30" s="376"/>
      <c r="S30" s="376"/>
      <c r="T30" s="376"/>
      <c r="U30" s="376"/>
      <c r="V30" s="376"/>
      <c r="W30" s="376"/>
      <c r="X30" s="376"/>
      <c r="Y30" s="376"/>
      <c r="Z30" s="376"/>
      <c r="AA30" s="376"/>
      <c r="AB30" s="376"/>
      <c r="AC30" s="376"/>
      <c r="AD30" s="376"/>
      <c r="AE30" s="376"/>
      <c r="AF30" s="376"/>
      <c r="AG30" s="376"/>
      <c r="AH30" s="376"/>
      <c r="AI30" s="376"/>
      <c r="AJ30" s="376"/>
      <c r="AK30" s="376"/>
      <c r="AL30" s="376"/>
      <c r="AM30" s="376"/>
      <c r="AN30" s="376"/>
      <c r="AO30" s="376"/>
      <c r="AP30" s="376"/>
      <c r="AQ30" s="376"/>
      <c r="AR30" s="376"/>
      <c r="AS30" s="376"/>
      <c r="AT30" s="376"/>
      <c r="AU30" s="376"/>
      <c r="AV30" s="376"/>
      <c r="AW30" s="376"/>
      <c r="AX30" s="376"/>
      <c r="AY30" s="376"/>
      <c r="AZ30" s="376"/>
      <c r="BA30" s="376"/>
      <c r="BB30" s="376"/>
      <c r="BC30" s="376"/>
      <c r="BD30" s="376"/>
      <c r="BE30" s="376"/>
      <c r="BF30" s="376"/>
      <c r="BG30" s="376"/>
      <c r="BH30" s="376"/>
      <c r="BI30" s="376"/>
      <c r="BJ30" s="376"/>
      <c r="BK30" s="376"/>
      <c r="BL30" s="376"/>
      <c r="BM30" s="376"/>
      <c r="BN30" s="376"/>
      <c r="BO30" s="376"/>
      <c r="BP30" s="376"/>
      <c r="BQ30" s="376"/>
      <c r="BR30" s="376"/>
      <c r="BS30" s="376"/>
      <c r="BT30" s="376"/>
      <c r="BU30" s="376"/>
      <c r="BV30" s="376"/>
      <c r="BW30" s="376"/>
      <c r="BX30" s="376"/>
      <c r="BY30" s="376"/>
      <c r="BZ30" s="376"/>
      <c r="CA30" s="376"/>
      <c r="CB30" s="376"/>
      <c r="CC30" s="376"/>
      <c r="CD30" s="376"/>
      <c r="CE30" s="376"/>
      <c r="CF30" s="376"/>
    </row>
    <row r="31" spans="1:84" ht="31.5">
      <c r="B31" s="1784" t="s">
        <v>618</v>
      </c>
      <c r="C31" s="1784"/>
      <c r="D31" s="771"/>
      <c r="E31" s="9"/>
      <c r="F31" s="983"/>
      <c r="G31" s="983"/>
      <c r="H31" s="984"/>
      <c r="I31" s="9"/>
      <c r="J31" s="1691" t="s">
        <v>619</v>
      </c>
      <c r="K31" s="1692">
        <f>D32+D33+D34</f>
        <v>7218569.4400000004</v>
      </c>
      <c r="L31" s="1699" t="s">
        <v>620</v>
      </c>
      <c r="M31" s="1699" t="s">
        <v>2280</v>
      </c>
      <c r="O31" s="558"/>
      <c r="R31" s="376"/>
      <c r="S31" s="376"/>
      <c r="T31" s="376"/>
      <c r="U31" s="376"/>
      <c r="V31" s="376"/>
      <c r="W31" s="376"/>
      <c r="X31" s="376"/>
      <c r="Y31" s="376"/>
      <c r="Z31" s="376"/>
      <c r="AA31" s="376"/>
      <c r="AB31" s="376"/>
      <c r="AC31" s="376"/>
      <c r="AD31" s="376"/>
      <c r="AE31" s="376"/>
      <c r="AF31" s="376"/>
      <c r="AG31" s="376"/>
      <c r="AH31" s="376"/>
      <c r="AI31" s="376"/>
      <c r="AJ31" s="376"/>
      <c r="AK31" s="376"/>
      <c r="AL31" s="376"/>
      <c r="AM31" s="376"/>
      <c r="AN31" s="376"/>
      <c r="AO31" s="376"/>
      <c r="AP31" s="376"/>
      <c r="AQ31" s="376"/>
      <c r="AR31" s="376"/>
      <c r="AS31" s="376"/>
      <c r="AT31" s="376"/>
      <c r="AU31" s="376"/>
      <c r="AV31" s="376"/>
      <c r="AW31" s="376"/>
      <c r="AX31" s="376"/>
      <c r="AY31" s="376"/>
      <c r="AZ31" s="376"/>
      <c r="BA31" s="376"/>
      <c r="BB31" s="376"/>
      <c r="BC31" s="376"/>
      <c r="BD31" s="376"/>
      <c r="BE31" s="376"/>
      <c r="BF31" s="376"/>
      <c r="BG31" s="376"/>
      <c r="BH31" s="376"/>
      <c r="BI31" s="376"/>
      <c r="BJ31" s="376"/>
      <c r="BK31" s="376"/>
      <c r="BL31" s="376"/>
      <c r="BM31" s="376"/>
      <c r="BN31" s="376"/>
      <c r="BO31" s="376"/>
      <c r="BP31" s="376"/>
      <c r="BQ31" s="376"/>
      <c r="BR31" s="376"/>
      <c r="BS31" s="376"/>
      <c r="BT31" s="376"/>
      <c r="BU31" s="376"/>
      <c r="BV31" s="376"/>
      <c r="BW31" s="376"/>
      <c r="BX31" s="376"/>
      <c r="BY31" s="376"/>
      <c r="BZ31" s="376"/>
      <c r="CA31" s="376"/>
      <c r="CB31" s="376"/>
      <c r="CC31" s="376"/>
      <c r="CD31" s="376"/>
      <c r="CE31" s="376"/>
      <c r="CF31" s="376"/>
    </row>
    <row r="32" spans="1:84">
      <c r="B32" s="985" t="s">
        <v>621</v>
      </c>
      <c r="C32" s="985"/>
      <c r="D32" s="780">
        <v>4185461.2</v>
      </c>
      <c r="E32" s="9"/>
      <c r="F32" s="986" t="s">
        <v>622</v>
      </c>
      <c r="G32" s="987"/>
      <c r="H32" s="987"/>
      <c r="I32" s="9"/>
      <c r="J32" s="1687" t="s">
        <v>623</v>
      </c>
      <c r="K32" s="1693" cm="1">
        <f t="array" aca="1" ref="K32" ca="1">subvencao[Subvencao Anual]*(VLOOKUP(DATE(AnoRefTar,MONTH(M32)-1,1),Índices!B6:F500,3,FALSE)/VLOOKUP(DATE(YEAR(M32),MONTH(L32)-1,1),Índices!B6:F500,3,FALSE))</f>
        <v>2975069.7960253092</v>
      </c>
      <c r="L32" s="1698" cm="1">
        <f t="array" ref="L32">subvencao[Data_Referencia Subvencao]</f>
        <v>43678</v>
      </c>
      <c r="M32" s="1698" cm="1">
        <f t="array" ref="M32">subvencao[Data_aniversario supridora]</f>
        <v>43678</v>
      </c>
      <c r="O32" s="558"/>
      <c r="Q32" s="525"/>
      <c r="R32" s="376"/>
      <c r="S32" s="376"/>
      <c r="T32" s="376"/>
      <c r="U32" s="376"/>
      <c r="V32" s="376"/>
      <c r="W32" s="376"/>
      <c r="X32" s="376"/>
      <c r="Y32" s="376"/>
      <c r="Z32" s="376"/>
      <c r="AA32" s="376"/>
      <c r="AB32" s="376"/>
      <c r="AC32" s="376"/>
      <c r="AD32" s="376"/>
      <c r="AE32" s="376"/>
      <c r="AF32" s="376"/>
      <c r="AG32" s="376"/>
      <c r="AH32" s="376"/>
      <c r="AI32" s="376"/>
      <c r="AJ32" s="376"/>
      <c r="AK32" s="376"/>
      <c r="AL32" s="376"/>
      <c r="AM32" s="376"/>
      <c r="AN32" s="376"/>
      <c r="AO32" s="376"/>
      <c r="AP32" s="376"/>
      <c r="AQ32" s="376"/>
      <c r="AR32" s="376"/>
      <c r="AS32" s="376"/>
      <c r="AT32" s="376"/>
      <c r="AU32" s="376"/>
      <c r="AV32" s="376"/>
      <c r="AW32" s="376"/>
      <c r="AX32" s="376"/>
      <c r="AY32" s="376"/>
      <c r="AZ32" s="376"/>
      <c r="BA32" s="376"/>
      <c r="BB32" s="376"/>
      <c r="BC32" s="376"/>
      <c r="BD32" s="376"/>
      <c r="BE32" s="376"/>
      <c r="BF32" s="376"/>
      <c r="BG32" s="376"/>
      <c r="BH32" s="376"/>
      <c r="BI32" s="376"/>
      <c r="BJ32" s="376"/>
      <c r="BK32" s="376"/>
      <c r="BL32" s="376"/>
      <c r="BM32" s="376"/>
      <c r="BN32" s="376"/>
      <c r="BO32" s="376"/>
      <c r="BP32" s="376"/>
      <c r="BQ32" s="376"/>
      <c r="BR32" s="376"/>
      <c r="BS32" s="376"/>
      <c r="BT32" s="376"/>
      <c r="BU32" s="376"/>
      <c r="BV32" s="376"/>
      <c r="BW32" s="376"/>
      <c r="BX32" s="376"/>
      <c r="BY32" s="376"/>
      <c r="BZ32" s="376"/>
      <c r="CA32" s="376"/>
      <c r="CB32" s="376"/>
      <c r="CC32" s="376"/>
      <c r="CD32" s="376"/>
      <c r="CE32" s="376"/>
      <c r="CF32" s="376"/>
    </row>
    <row r="33" spans="1:84">
      <c r="B33" s="985" t="s">
        <v>624</v>
      </c>
      <c r="C33" s="985"/>
      <c r="D33" s="781">
        <f>-D32+7218569.44</f>
        <v>3033108.24</v>
      </c>
      <c r="E33" s="9"/>
      <c r="F33" s="571" t="s">
        <v>625</v>
      </c>
      <c r="G33" s="571"/>
      <c r="H33" s="487"/>
      <c r="I33" s="9"/>
      <c r="J33" s="1691" t="s">
        <v>626</v>
      </c>
      <c r="K33" s="1694">
        <f ca="1">LnkTXTISubvencaoPB/12</f>
        <v>247922.4830021091</v>
      </c>
      <c r="L33" s="17"/>
      <c r="M33" s="534"/>
      <c r="O33" s="9"/>
      <c r="R33" s="376"/>
      <c r="S33" s="376"/>
      <c r="T33" s="376"/>
      <c r="U33" s="376"/>
      <c r="V33" s="376"/>
      <c r="W33" s="376"/>
      <c r="X33" s="376"/>
      <c r="Y33" s="376"/>
      <c r="Z33" s="376"/>
      <c r="AA33" s="376"/>
      <c r="AB33" s="376"/>
      <c r="AC33" s="376"/>
      <c r="AD33" s="376"/>
      <c r="AE33" s="376"/>
      <c r="AF33" s="376"/>
      <c r="AG33" s="376"/>
      <c r="AH33" s="376"/>
      <c r="AI33" s="376"/>
      <c r="AJ33" s="376"/>
      <c r="AK33" s="376"/>
      <c r="AL33" s="376"/>
      <c r="AM33" s="376"/>
      <c r="AN33" s="376"/>
      <c r="AO33" s="376"/>
      <c r="AP33" s="376"/>
      <c r="AQ33" s="376"/>
      <c r="AR33" s="376"/>
      <c r="AS33" s="376"/>
      <c r="AT33" s="376"/>
      <c r="AU33" s="376"/>
      <c r="AV33" s="376"/>
      <c r="AW33" s="376"/>
      <c r="AX33" s="376"/>
      <c r="AY33" s="376"/>
      <c r="AZ33" s="376"/>
      <c r="BA33" s="376"/>
      <c r="BB33" s="376"/>
      <c r="BC33" s="376"/>
      <c r="BD33" s="376"/>
      <c r="BE33" s="376"/>
      <c r="BF33" s="376"/>
      <c r="BG33" s="376"/>
      <c r="BH33" s="376"/>
      <c r="BI33" s="376"/>
      <c r="BJ33" s="376"/>
      <c r="BK33" s="376"/>
      <c r="BL33" s="376"/>
      <c r="BM33" s="376"/>
      <c r="BN33" s="376"/>
      <c r="BO33" s="376"/>
      <c r="BP33" s="376"/>
      <c r="BQ33" s="376"/>
      <c r="BR33" s="376"/>
      <c r="BS33" s="376"/>
      <c r="BT33" s="376"/>
      <c r="BU33" s="376"/>
      <c r="BV33" s="376"/>
      <c r="BW33" s="376"/>
      <c r="BX33" s="376"/>
      <c r="BY33" s="376"/>
      <c r="BZ33" s="376"/>
      <c r="CA33" s="376"/>
      <c r="CB33" s="376"/>
      <c r="CC33" s="376"/>
      <c r="CD33" s="376"/>
      <c r="CE33" s="376"/>
      <c r="CF33" s="376"/>
    </row>
    <row r="34" spans="1:84">
      <c r="B34" s="988"/>
      <c r="C34" s="988"/>
      <c r="D34" s="989"/>
      <c r="E34" s="9"/>
      <c r="F34" s="741" t="s">
        <v>627</v>
      </c>
      <c r="G34" s="741"/>
      <c r="H34" s="990"/>
      <c r="I34" s="9"/>
      <c r="J34" s="1687" t="s">
        <v>628</v>
      </c>
      <c r="K34" s="1695">
        <f>LinkTXTPR</f>
        <v>0.1188</v>
      </c>
      <c r="L34" s="17"/>
      <c r="M34" s="549"/>
      <c r="O34" s="9"/>
      <c r="Q34" s="525"/>
      <c r="R34" s="376"/>
      <c r="S34" s="376"/>
      <c r="T34" s="376"/>
      <c r="U34" s="376"/>
      <c r="V34" s="376"/>
      <c r="W34" s="376"/>
      <c r="X34" s="376"/>
      <c r="Y34" s="376"/>
      <c r="Z34" s="376"/>
      <c r="AA34" s="376"/>
      <c r="AB34" s="376"/>
      <c r="AC34" s="376"/>
      <c r="AD34" s="376"/>
      <c r="AE34" s="376"/>
      <c r="AF34" s="376"/>
      <c r="AG34" s="376"/>
      <c r="AH34" s="376"/>
      <c r="AI34" s="376"/>
      <c r="AJ34" s="376"/>
      <c r="AK34" s="376"/>
      <c r="AL34" s="376"/>
      <c r="AM34" s="376"/>
      <c r="AN34" s="376"/>
      <c r="AO34" s="376"/>
      <c r="AP34" s="376"/>
      <c r="AQ34" s="376"/>
      <c r="AR34" s="376"/>
      <c r="AS34" s="376"/>
      <c r="AT34" s="376"/>
      <c r="AU34" s="376"/>
      <c r="AV34" s="376"/>
      <c r="AW34" s="376"/>
      <c r="AX34" s="376"/>
      <c r="AY34" s="376"/>
      <c r="AZ34" s="376"/>
      <c r="BA34" s="376"/>
      <c r="BB34" s="376"/>
      <c r="BC34" s="376"/>
      <c r="BD34" s="376"/>
      <c r="BE34" s="376"/>
      <c r="BF34" s="376"/>
      <c r="BG34" s="376"/>
      <c r="BH34" s="376"/>
      <c r="BI34" s="376"/>
      <c r="BJ34" s="376"/>
      <c r="BK34" s="376"/>
      <c r="BL34" s="376"/>
      <c r="BM34" s="376"/>
      <c r="BN34" s="376"/>
      <c r="BO34" s="376"/>
      <c r="BP34" s="376"/>
      <c r="BQ34" s="376"/>
      <c r="BR34" s="376"/>
      <c r="BS34" s="376"/>
      <c r="BT34" s="376"/>
      <c r="BU34" s="376"/>
      <c r="BV34" s="376"/>
      <c r="BW34" s="376"/>
      <c r="BX34" s="376"/>
      <c r="BY34" s="376"/>
      <c r="BZ34" s="376"/>
      <c r="CA34" s="376"/>
      <c r="CB34" s="376"/>
      <c r="CC34" s="376"/>
      <c r="CD34" s="376"/>
      <c r="CE34" s="376"/>
      <c r="CF34" s="376"/>
    </row>
    <row r="35" spans="1:84">
      <c r="B35" s="9"/>
      <c r="C35" s="9"/>
      <c r="D35" s="991"/>
      <c r="E35" s="9"/>
      <c r="F35" s="583"/>
      <c r="G35" s="992"/>
      <c r="H35" s="463"/>
      <c r="I35" s="9"/>
      <c r="J35" s="1689" t="s">
        <v>629</v>
      </c>
      <c r="K35" s="1696">
        <f ca="1">IFERROR(Energia!M20/((Energia!M5+Energia!M6-Energia!M7+Energia!N16)+Energia!M20),0)</f>
        <v>0.94169642324207847</v>
      </c>
      <c r="L35" s="17"/>
      <c r="M35" s="549"/>
      <c r="O35" s="9"/>
      <c r="Q35" s="525"/>
      <c r="R35" s="376"/>
      <c r="S35" s="376"/>
      <c r="T35" s="376"/>
      <c r="U35" s="376"/>
      <c r="V35" s="376"/>
      <c r="W35" s="376"/>
      <c r="X35" s="376"/>
      <c r="Y35" s="376"/>
      <c r="Z35" s="376"/>
      <c r="AA35" s="376"/>
      <c r="AB35" s="376"/>
      <c r="AC35" s="376"/>
      <c r="AD35" s="376"/>
      <c r="AE35" s="376"/>
      <c r="AF35" s="376"/>
      <c r="AG35" s="376"/>
      <c r="AH35" s="376"/>
      <c r="AI35" s="376"/>
      <c r="AJ35" s="376"/>
      <c r="AK35" s="376"/>
      <c r="AL35" s="376"/>
      <c r="AM35" s="376"/>
      <c r="AN35" s="376"/>
      <c r="AO35" s="376"/>
      <c r="AP35" s="376"/>
      <c r="AQ35" s="376"/>
      <c r="AR35" s="376"/>
      <c r="AS35" s="376"/>
      <c r="AT35" s="376"/>
      <c r="AU35" s="376"/>
      <c r="AV35" s="376"/>
      <c r="AW35" s="376"/>
      <c r="AX35" s="376"/>
      <c r="AY35" s="376"/>
      <c r="AZ35" s="376"/>
      <c r="BA35" s="376"/>
      <c r="BB35" s="376"/>
      <c r="BC35" s="376"/>
      <c r="BD35" s="376"/>
      <c r="BE35" s="376"/>
      <c r="BF35" s="376"/>
      <c r="BG35" s="376"/>
      <c r="BH35" s="376"/>
      <c r="BI35" s="376"/>
      <c r="BJ35" s="376"/>
      <c r="BK35" s="376"/>
      <c r="BL35" s="376"/>
      <c r="BM35" s="376"/>
      <c r="BN35" s="376"/>
      <c r="BO35" s="376"/>
      <c r="BP35" s="376"/>
      <c r="BQ35" s="376"/>
      <c r="BR35" s="376"/>
      <c r="BS35" s="376"/>
      <c r="BT35" s="376"/>
      <c r="BU35" s="376"/>
      <c r="BV35" s="376"/>
      <c r="BW35" s="376"/>
      <c r="BX35" s="376"/>
      <c r="BY35" s="376"/>
      <c r="BZ35" s="376"/>
      <c r="CA35" s="376"/>
      <c r="CB35" s="376"/>
      <c r="CC35" s="376"/>
      <c r="CD35" s="376"/>
      <c r="CE35" s="376"/>
      <c r="CF35" s="376"/>
    </row>
    <row r="36" spans="1:84">
      <c r="B36" s="233"/>
      <c r="C36" s="753"/>
      <c r="D36" s="782"/>
      <c r="E36" s="9"/>
      <c r="F36" s="688" t="s">
        <v>634</v>
      </c>
      <c r="G36" s="689"/>
      <c r="H36" s="463"/>
      <c r="I36" s="9"/>
      <c r="J36" s="1691" t="s">
        <v>630</v>
      </c>
      <c r="K36" s="1697">
        <f ca="1">IFERROR(LNKTXTPercperdas,0)</f>
        <v>0.1188</v>
      </c>
      <c r="L36" s="17"/>
      <c r="M36" s="549"/>
      <c r="O36" s="9"/>
      <c r="Q36" s="525"/>
      <c r="R36" s="376"/>
      <c r="S36" s="376"/>
      <c r="T36" s="376"/>
      <c r="U36" s="376"/>
      <c r="V36" s="376"/>
      <c r="W36" s="376"/>
      <c r="X36" s="376"/>
      <c r="Y36" s="376"/>
      <c r="Z36" s="376"/>
      <c r="AA36" s="376"/>
      <c r="AB36" s="376"/>
      <c r="AC36" s="376"/>
      <c r="AD36" s="376"/>
      <c r="AE36" s="376"/>
      <c r="AF36" s="376"/>
      <c r="AG36" s="376"/>
      <c r="AH36" s="376"/>
      <c r="AI36" s="376"/>
      <c r="AJ36" s="376"/>
      <c r="AK36" s="376"/>
      <c r="AL36" s="376"/>
      <c r="AM36" s="376"/>
      <c r="AN36" s="376"/>
      <c r="AO36" s="376"/>
      <c r="AP36" s="376"/>
      <c r="AQ36" s="376"/>
      <c r="AR36" s="376"/>
      <c r="AS36" s="376"/>
      <c r="AT36" s="376"/>
      <c r="AU36" s="376"/>
      <c r="AV36" s="376"/>
      <c r="AW36" s="376"/>
      <c r="AX36" s="376"/>
      <c r="AY36" s="376"/>
      <c r="AZ36" s="376"/>
      <c r="BA36" s="376"/>
      <c r="BB36" s="376"/>
      <c r="BC36" s="376"/>
      <c r="BD36" s="376"/>
      <c r="BE36" s="376"/>
      <c r="BF36" s="376"/>
      <c r="BG36" s="376"/>
      <c r="BH36" s="376"/>
      <c r="BI36" s="376"/>
      <c r="BJ36" s="376"/>
      <c r="BK36" s="376"/>
      <c r="BL36" s="376"/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  <c r="BW36" s="376"/>
      <c r="BX36" s="376"/>
      <c r="BY36" s="376"/>
      <c r="BZ36" s="376"/>
      <c r="CA36" s="376"/>
      <c r="CB36" s="376"/>
      <c r="CC36" s="376"/>
      <c r="CD36" s="376"/>
      <c r="CE36" s="376"/>
      <c r="CF36" s="376"/>
    </row>
    <row r="37" spans="1:84" ht="29.25" customHeight="1" thickBot="1">
      <c r="B37" s="572"/>
      <c r="C37" s="9"/>
      <c r="D37" s="584"/>
      <c r="E37" s="9"/>
      <c r="F37" s="688" t="s">
        <v>636</v>
      </c>
      <c r="G37" s="690">
        <v>692.94</v>
      </c>
      <c r="H37" s="1769"/>
      <c r="I37" s="1768"/>
      <c r="J37" s="270"/>
      <c r="K37" s="463"/>
      <c r="L37" s="755"/>
      <c r="M37" s="557"/>
      <c r="O37" s="9"/>
      <c r="R37" s="376"/>
      <c r="S37" s="376"/>
      <c r="T37" s="376"/>
      <c r="U37" s="376"/>
      <c r="V37" s="376"/>
      <c r="W37" s="376"/>
      <c r="X37" s="376"/>
      <c r="Y37" s="376"/>
      <c r="Z37" s="376"/>
      <c r="AA37" s="376"/>
      <c r="AB37" s="376"/>
      <c r="AC37" s="376"/>
      <c r="AD37" s="376"/>
      <c r="AE37" s="376"/>
      <c r="AF37" s="376"/>
      <c r="AG37" s="376"/>
      <c r="AH37" s="376"/>
      <c r="AI37" s="376"/>
      <c r="AJ37" s="376"/>
      <c r="AK37" s="376"/>
      <c r="AL37" s="376"/>
      <c r="AM37" s="376"/>
      <c r="AN37" s="376"/>
      <c r="AO37" s="376"/>
      <c r="AP37" s="376"/>
      <c r="AQ37" s="376"/>
      <c r="AR37" s="376"/>
      <c r="AS37" s="376"/>
      <c r="AT37" s="376"/>
      <c r="AU37" s="376"/>
      <c r="AV37" s="376"/>
      <c r="AW37" s="376"/>
      <c r="AX37" s="376"/>
      <c r="AY37" s="376"/>
      <c r="AZ37" s="376"/>
      <c r="BA37" s="376"/>
      <c r="BB37" s="376"/>
      <c r="BC37" s="376"/>
      <c r="BD37" s="376"/>
      <c r="BE37" s="376"/>
      <c r="BF37" s="376"/>
      <c r="BG37" s="376"/>
      <c r="BH37" s="376"/>
      <c r="BI37" s="376"/>
      <c r="BJ37" s="376"/>
      <c r="BK37" s="376"/>
      <c r="BL37" s="376"/>
      <c r="BM37" s="376"/>
      <c r="BN37" s="376"/>
      <c r="BO37" s="376"/>
      <c r="BP37" s="376"/>
      <c r="BQ37" s="376"/>
      <c r="BR37" s="376"/>
      <c r="BS37" s="376"/>
      <c r="BT37" s="376"/>
      <c r="BU37" s="376"/>
      <c r="BV37" s="376"/>
      <c r="BW37" s="376"/>
      <c r="BX37" s="376"/>
      <c r="BY37" s="376"/>
      <c r="BZ37" s="376"/>
      <c r="CA37" s="376"/>
      <c r="CB37" s="376"/>
      <c r="CC37" s="376"/>
      <c r="CD37" s="376"/>
      <c r="CE37" s="376"/>
      <c r="CF37" s="376"/>
    </row>
    <row r="38" spans="1:84" ht="26.25" thickBot="1">
      <c r="A38" s="540"/>
      <c r="B38" s="530" t="s">
        <v>631</v>
      </c>
      <c r="C38" s="541"/>
      <c r="D38" s="541"/>
      <c r="E38" s="542"/>
      <c r="F38" s="542"/>
      <c r="G38" s="542" t="s">
        <v>848</v>
      </c>
      <c r="H38" s="522"/>
      <c r="I38" s="523"/>
      <c r="J38" s="542"/>
      <c r="K38" s="543"/>
      <c r="L38" s="544"/>
      <c r="M38" s="545"/>
      <c r="O38" s="9"/>
      <c r="Q38" s="525"/>
      <c r="R38" s="376"/>
      <c r="S38" s="376"/>
      <c r="T38" s="376"/>
      <c r="U38" s="376"/>
      <c r="V38" s="376"/>
      <c r="W38" s="376"/>
      <c r="X38" s="376"/>
      <c r="Y38" s="376"/>
      <c r="Z38" s="376"/>
      <c r="AA38" s="376"/>
      <c r="AB38" s="376"/>
      <c r="AC38" s="376"/>
      <c r="AD38" s="376"/>
      <c r="AE38" s="376"/>
      <c r="AF38" s="376"/>
      <c r="AG38" s="376"/>
      <c r="AH38" s="376"/>
      <c r="AI38" s="376"/>
      <c r="AJ38" s="376"/>
      <c r="AK38" s="376"/>
      <c r="AL38" s="376"/>
      <c r="AM38" s="376"/>
      <c r="AN38" s="376"/>
      <c r="AO38" s="376"/>
      <c r="AP38" s="376"/>
      <c r="AQ38" s="376"/>
      <c r="AR38" s="376"/>
      <c r="AS38" s="376"/>
      <c r="AT38" s="376"/>
      <c r="AU38" s="376"/>
      <c r="AV38" s="376"/>
      <c r="AW38" s="376"/>
      <c r="AX38" s="376"/>
      <c r="AY38" s="376"/>
      <c r="AZ38" s="376"/>
      <c r="BA38" s="376"/>
      <c r="BB38" s="376"/>
      <c r="BC38" s="376"/>
      <c r="BD38" s="376"/>
      <c r="BE38" s="376"/>
      <c r="BF38" s="376"/>
      <c r="BG38" s="376"/>
      <c r="BH38" s="376"/>
      <c r="BI38" s="376"/>
      <c r="BJ38" s="376"/>
      <c r="BK38" s="376"/>
      <c r="BL38" s="376"/>
      <c r="BM38" s="376"/>
      <c r="BN38" s="376"/>
      <c r="BO38" s="376"/>
      <c r="BP38" s="376"/>
      <c r="BQ38" s="376"/>
      <c r="BR38" s="376"/>
      <c r="BS38" s="376"/>
      <c r="BT38" s="376"/>
      <c r="BU38" s="376"/>
      <c r="BV38" s="376"/>
      <c r="BW38" s="376"/>
      <c r="BX38" s="376"/>
      <c r="BY38" s="376"/>
      <c r="BZ38" s="376"/>
      <c r="CA38" s="376"/>
      <c r="CB38" s="376"/>
      <c r="CC38" s="376"/>
      <c r="CD38" s="376"/>
      <c r="CE38" s="376"/>
      <c r="CF38" s="376"/>
    </row>
    <row r="39" spans="1:84" ht="18">
      <c r="F39" s="1800"/>
      <c r="G39" s="1800"/>
      <c r="H39" s="1553"/>
      <c r="L39" s="551"/>
      <c r="M39" s="534"/>
      <c r="O39" s="9"/>
      <c r="R39" s="376"/>
      <c r="S39" s="376"/>
      <c r="T39" s="376"/>
      <c r="U39" s="376"/>
      <c r="V39" s="376"/>
      <c r="W39" s="376"/>
      <c r="X39" s="376"/>
      <c r="Y39" s="376"/>
      <c r="Z39" s="376"/>
      <c r="AA39" s="376"/>
      <c r="AB39" s="376"/>
      <c r="AC39" s="376"/>
      <c r="AD39" s="376"/>
      <c r="AE39" s="376"/>
      <c r="AF39" s="376"/>
      <c r="AG39" s="376"/>
      <c r="AH39" s="376"/>
      <c r="AI39" s="376"/>
      <c r="AJ39" s="376"/>
      <c r="AK39" s="376"/>
      <c r="AL39" s="376"/>
      <c r="AM39" s="376"/>
      <c r="AN39" s="376"/>
      <c r="AO39" s="376"/>
      <c r="AP39" s="376"/>
      <c r="AQ39" s="376"/>
      <c r="AR39" s="376"/>
      <c r="AS39" s="376"/>
      <c r="AT39" s="376"/>
      <c r="AU39" s="376"/>
      <c r="AV39" s="376"/>
      <c r="AW39" s="376"/>
      <c r="AX39" s="376"/>
      <c r="AY39" s="376"/>
      <c r="AZ39" s="376"/>
      <c r="BA39" s="376"/>
      <c r="BB39" s="376"/>
      <c r="BC39" s="376"/>
      <c r="BD39" s="376"/>
      <c r="BE39" s="376"/>
      <c r="BF39" s="376"/>
      <c r="BG39" s="376"/>
      <c r="BH39" s="376"/>
      <c r="BI39" s="376"/>
      <c r="BJ39" s="376"/>
      <c r="BK39" s="376"/>
      <c r="BL39" s="376"/>
      <c r="BM39" s="376"/>
      <c r="BN39" s="376"/>
      <c r="BO39" s="376"/>
      <c r="BP39" s="376"/>
      <c r="BQ39" s="376"/>
      <c r="BR39" s="376"/>
      <c r="BS39" s="376"/>
      <c r="BT39" s="376"/>
      <c r="BU39" s="376"/>
      <c r="BV39" s="376"/>
      <c r="BW39" s="376"/>
      <c r="BX39" s="376"/>
      <c r="BY39" s="376"/>
      <c r="BZ39" s="376"/>
      <c r="CA39" s="376"/>
      <c r="CB39" s="376"/>
      <c r="CC39" s="376"/>
      <c r="CD39" s="376"/>
      <c r="CE39" s="376"/>
      <c r="CF39" s="376"/>
    </row>
    <row r="40" spans="1:84">
      <c r="B40" s="480" t="str">
        <f>"Valores de "&amp;YEAR(C14)</f>
        <v>Valores de 2021</v>
      </c>
      <c r="C40" s="9"/>
      <c r="D40" s="9"/>
      <c r="E40" s="9"/>
      <c r="G40" s="783" t="str">
        <f ca="1">"Variação processo anterior e "&amp;AnoRevRea</f>
        <v>Variação processo anterior e 2022</v>
      </c>
      <c r="H40" s="783"/>
      <c r="I40" s="9"/>
      <c r="L40" s="551"/>
      <c r="M40" s="534"/>
      <c r="O40" s="9"/>
      <c r="R40" s="376"/>
      <c r="S40" s="376"/>
      <c r="T40" s="376"/>
      <c r="U40" s="376"/>
      <c r="V40" s="376"/>
      <c r="W40" s="376"/>
      <c r="X40" s="376"/>
      <c r="Y40" s="376"/>
      <c r="Z40" s="376"/>
      <c r="AA40" s="376"/>
      <c r="AB40" s="376"/>
      <c r="AC40" s="376"/>
      <c r="AD40" s="376"/>
      <c r="AE40" s="376"/>
      <c r="AF40" s="376"/>
      <c r="AG40" s="376"/>
      <c r="AH40" s="376"/>
      <c r="AI40" s="376"/>
      <c r="AJ40" s="376"/>
      <c r="AK40" s="376"/>
      <c r="AL40" s="376"/>
      <c r="AM40" s="376"/>
      <c r="AN40" s="376"/>
      <c r="AO40" s="376"/>
      <c r="AP40" s="376"/>
      <c r="AQ40" s="376"/>
      <c r="AR40" s="376"/>
      <c r="AS40" s="376"/>
      <c r="AT40" s="376"/>
      <c r="AU40" s="376"/>
      <c r="AV40" s="376"/>
      <c r="AW40" s="376"/>
      <c r="AX40" s="376"/>
      <c r="AY40" s="376"/>
      <c r="AZ40" s="376"/>
      <c r="BA40" s="376"/>
      <c r="BB40" s="376"/>
      <c r="BC40" s="376"/>
      <c r="BD40" s="376"/>
      <c r="BE40" s="376"/>
      <c r="BF40" s="376"/>
      <c r="BG40" s="376"/>
      <c r="BH40" s="376"/>
      <c r="BI40" s="376"/>
      <c r="BJ40" s="376"/>
      <c r="BK40" s="376"/>
      <c r="BL40" s="376"/>
      <c r="BM40" s="376"/>
      <c r="BN40" s="376"/>
      <c r="BO40" s="376"/>
      <c r="BP40" s="376"/>
      <c r="BQ40" s="376"/>
      <c r="BR40" s="376"/>
      <c r="BS40" s="376"/>
      <c r="BT40" s="376"/>
      <c r="BU40" s="376"/>
      <c r="BV40" s="376"/>
      <c r="BW40" s="376"/>
      <c r="BX40" s="376"/>
      <c r="BY40" s="376"/>
      <c r="BZ40" s="376"/>
      <c r="CA40" s="376"/>
      <c r="CB40" s="376"/>
      <c r="CC40" s="376"/>
      <c r="CD40" s="376"/>
      <c r="CE40" s="376"/>
      <c r="CF40" s="376"/>
    </row>
    <row r="41" spans="1:84">
      <c r="B41" s="576" t="s">
        <v>632</v>
      </c>
      <c r="C41" s="577"/>
      <c r="D41" s="993">
        <f>BD!C5</f>
        <v>21778.6495</v>
      </c>
      <c r="E41" s="9"/>
      <c r="G41" s="576" t="s">
        <v>632</v>
      </c>
      <c r="H41" s="994">
        <f ca="1">IFERROR(Calc_Mercado!J15,0)</f>
        <v>1.0322885264304471E-2</v>
      </c>
      <c r="I41" s="9"/>
      <c r="L41" s="551"/>
      <c r="M41" s="534"/>
      <c r="O41" s="9"/>
      <c r="Q41" s="525"/>
      <c r="R41" s="376"/>
      <c r="S41" s="376"/>
      <c r="T41" s="376"/>
      <c r="U41" s="376"/>
      <c r="V41" s="376"/>
      <c r="W41" s="376"/>
      <c r="X41" s="376"/>
      <c r="Y41" s="376"/>
      <c r="Z41" s="376"/>
      <c r="AA41" s="376"/>
      <c r="AB41" s="376"/>
      <c r="AC41" s="376"/>
      <c r="AD41" s="376"/>
      <c r="AE41" s="376"/>
      <c r="AF41" s="376"/>
      <c r="AG41" s="376"/>
      <c r="AH41" s="376"/>
      <c r="AI41" s="376"/>
      <c r="AJ41" s="376"/>
      <c r="AK41" s="376"/>
      <c r="AL41" s="376"/>
      <c r="AM41" s="376"/>
      <c r="AN41" s="376"/>
      <c r="AO41" s="376"/>
      <c r="AP41" s="376"/>
      <c r="AQ41" s="376"/>
      <c r="AR41" s="376"/>
      <c r="AS41" s="376"/>
      <c r="AT41" s="376"/>
      <c r="AU41" s="376"/>
      <c r="AV41" s="376"/>
      <c r="AW41" s="376"/>
      <c r="AX41" s="376"/>
      <c r="AY41" s="376"/>
      <c r="AZ41" s="376"/>
      <c r="BA41" s="376"/>
      <c r="BB41" s="376"/>
      <c r="BC41" s="376"/>
      <c r="BD41" s="376"/>
      <c r="BE41" s="376"/>
      <c r="BF41" s="376"/>
      <c r="BG41" s="376"/>
      <c r="BH41" s="376"/>
      <c r="BI41" s="376"/>
      <c r="BJ41" s="376"/>
      <c r="BK41" s="376"/>
      <c r="BL41" s="376"/>
      <c r="BM41" s="376"/>
      <c r="BN41" s="376"/>
      <c r="BO41" s="376"/>
      <c r="BP41" s="376"/>
      <c r="BQ41" s="376"/>
      <c r="BR41" s="376"/>
      <c r="BS41" s="376"/>
      <c r="BT41" s="376"/>
      <c r="BU41" s="376"/>
      <c r="BV41" s="376"/>
      <c r="BW41" s="376"/>
      <c r="BX41" s="376"/>
      <c r="BY41" s="376"/>
      <c r="BZ41" s="376"/>
      <c r="CA41" s="376"/>
      <c r="CB41" s="376"/>
      <c r="CC41" s="376"/>
      <c r="CD41" s="376"/>
      <c r="CE41" s="376"/>
      <c r="CF41" s="376"/>
    </row>
    <row r="42" spans="1:84">
      <c r="B42" s="571" t="s">
        <v>40</v>
      </c>
      <c r="C42" s="571"/>
      <c r="D42" s="369">
        <f>IFERROR(VLOOKUP("TFSEE",BD!$B$7:$C$16,2,FALSE),0)</f>
        <v>32244.015181585899</v>
      </c>
      <c r="E42" s="9"/>
      <c r="G42" s="571" t="s">
        <v>40</v>
      </c>
      <c r="H42" s="994">
        <f ca="1">LnkTxtVarTFSEE</f>
        <v>7.8759796992684539E-3</v>
      </c>
      <c r="I42" s="9"/>
      <c r="L42" s="551"/>
      <c r="M42" s="534"/>
      <c r="O42" s="9"/>
      <c r="R42" s="376"/>
      <c r="S42" s="376"/>
      <c r="T42" s="376"/>
      <c r="U42" s="376"/>
      <c r="V42" s="376"/>
      <c r="W42" s="376"/>
      <c r="X42" s="376"/>
      <c r="Y42" s="376"/>
      <c r="Z42" s="376"/>
      <c r="AA42" s="376"/>
      <c r="AB42" s="376"/>
      <c r="AC42" s="376"/>
      <c r="AD42" s="376"/>
      <c r="AE42" s="376"/>
      <c r="AF42" s="376"/>
      <c r="AG42" s="376"/>
      <c r="AH42" s="376"/>
      <c r="AI42" s="376"/>
      <c r="AJ42" s="376"/>
      <c r="AK42" s="376"/>
      <c r="AL42" s="376"/>
      <c r="AM42" s="376"/>
      <c r="AN42" s="376"/>
      <c r="AO42" s="376"/>
      <c r="AP42" s="376"/>
      <c r="AQ42" s="376"/>
      <c r="AR42" s="376"/>
      <c r="AS42" s="376"/>
      <c r="AT42" s="376"/>
      <c r="AU42" s="376"/>
      <c r="AV42" s="376"/>
      <c r="AW42" s="376"/>
      <c r="AX42" s="376"/>
      <c r="AY42" s="376"/>
      <c r="AZ42" s="376"/>
      <c r="BA42" s="376"/>
      <c r="BB42" s="376"/>
      <c r="BC42" s="376"/>
      <c r="BD42" s="376"/>
      <c r="BE42" s="376"/>
      <c r="BF42" s="376"/>
      <c r="BG42" s="376"/>
      <c r="BH42" s="376"/>
      <c r="BI42" s="376"/>
      <c r="BJ42" s="376"/>
      <c r="BK42" s="376"/>
      <c r="BL42" s="376"/>
      <c r="BM42" s="376"/>
      <c r="BN42" s="376"/>
      <c r="BO42" s="376"/>
      <c r="BP42" s="376"/>
      <c r="BQ42" s="376"/>
      <c r="BR42" s="376"/>
      <c r="BS42" s="376"/>
      <c r="BT42" s="376"/>
      <c r="BU42" s="376"/>
      <c r="BV42" s="376"/>
      <c r="BW42" s="376"/>
      <c r="BX42" s="376"/>
      <c r="BY42" s="376"/>
      <c r="BZ42" s="376"/>
      <c r="CA42" s="376"/>
      <c r="CB42" s="376"/>
      <c r="CC42" s="376"/>
      <c r="CD42" s="376"/>
      <c r="CE42" s="376"/>
      <c r="CF42" s="376"/>
    </row>
    <row r="43" spans="1:84" ht="15" customHeight="1">
      <c r="B43" s="571" t="s">
        <v>41</v>
      </c>
      <c r="C43" s="571"/>
      <c r="D43" s="369">
        <f>IFERROR(VLOOKUP("CDE",BD!$B$7:$C$16,2,FALSE),0)</f>
        <v>1191087.61023</v>
      </c>
      <c r="E43" s="9"/>
      <c r="G43" s="571" t="s">
        <v>41</v>
      </c>
      <c r="H43" s="578">
        <f ca="1">LnkTxtVarCDE</f>
        <v>0.30758332827595791</v>
      </c>
      <c r="I43" s="9"/>
      <c r="L43" s="551"/>
      <c r="M43" s="534"/>
      <c r="O43" s="9"/>
      <c r="Q43" s="525"/>
      <c r="R43" s="376"/>
      <c r="S43" s="376"/>
      <c r="T43" s="376"/>
      <c r="U43" s="376"/>
      <c r="V43" s="376"/>
      <c r="W43" s="376"/>
      <c r="X43" s="376"/>
      <c r="Y43" s="376"/>
      <c r="Z43" s="376"/>
      <c r="AA43" s="376"/>
      <c r="AB43" s="376"/>
      <c r="AC43" s="376"/>
      <c r="AD43" s="376"/>
      <c r="AE43" s="376"/>
      <c r="AF43" s="376"/>
      <c r="AG43" s="376"/>
      <c r="AH43" s="376"/>
      <c r="AI43" s="376"/>
      <c r="AJ43" s="376"/>
      <c r="AK43" s="376"/>
      <c r="AL43" s="376"/>
      <c r="AM43" s="376"/>
      <c r="AN43" s="376"/>
      <c r="AO43" s="376"/>
      <c r="AP43" s="376"/>
      <c r="AQ43" s="376"/>
      <c r="AR43" s="376"/>
      <c r="AS43" s="376"/>
      <c r="AT43" s="376"/>
      <c r="AU43" s="376"/>
      <c r="AV43" s="376"/>
      <c r="AW43" s="376"/>
      <c r="AX43" s="376"/>
      <c r="AY43" s="376"/>
      <c r="AZ43" s="376"/>
      <c r="BA43" s="376"/>
      <c r="BB43" s="376"/>
      <c r="BC43" s="376"/>
      <c r="BD43" s="376"/>
      <c r="BE43" s="376"/>
      <c r="BF43" s="376"/>
      <c r="BG43" s="376"/>
      <c r="BH43" s="376"/>
      <c r="BI43" s="376"/>
      <c r="BJ43" s="376"/>
      <c r="BK43" s="376"/>
      <c r="BL43" s="376"/>
      <c r="BM43" s="376"/>
      <c r="BN43" s="376"/>
      <c r="BO43" s="376"/>
      <c r="BP43" s="376"/>
      <c r="BQ43" s="376"/>
      <c r="BR43" s="376"/>
      <c r="BS43" s="376"/>
      <c r="BT43" s="376"/>
      <c r="BU43" s="376"/>
      <c r="BV43" s="376"/>
      <c r="BW43" s="376"/>
      <c r="BX43" s="376"/>
      <c r="BY43" s="376"/>
      <c r="BZ43" s="376"/>
      <c r="CA43" s="376"/>
      <c r="CB43" s="376"/>
      <c r="CC43" s="376"/>
      <c r="CD43" s="376"/>
      <c r="CE43" s="376"/>
      <c r="CF43" s="376"/>
    </row>
    <row r="44" spans="1:84">
      <c r="B44" s="571" t="s">
        <v>112</v>
      </c>
      <c r="C44" s="571"/>
      <c r="D44" s="369">
        <f>IFERROR(VLOOKUP("CFURH",BD!$B$7:$C$16,2,FALSE),0)</f>
        <v>0</v>
      </c>
      <c r="E44" s="9"/>
      <c r="G44" s="571" t="s">
        <v>112</v>
      </c>
      <c r="H44" s="463" t="str">
        <f>Resultado!F19</f>
        <v>-</v>
      </c>
      <c r="I44" s="9"/>
      <c r="L44" s="551"/>
      <c r="M44" s="534"/>
      <c r="N44" s="560"/>
      <c r="O44" s="9"/>
      <c r="R44" s="376"/>
      <c r="S44" s="376"/>
      <c r="T44" s="376"/>
      <c r="U44" s="376"/>
      <c r="V44" s="376"/>
      <c r="W44" s="376"/>
      <c r="X44" s="376"/>
      <c r="Y44" s="376"/>
      <c r="Z44" s="376"/>
      <c r="AA44" s="376"/>
      <c r="AB44" s="376"/>
      <c r="AC44" s="376"/>
      <c r="AD44" s="376"/>
      <c r="AE44" s="376"/>
      <c r="AF44" s="376"/>
      <c r="AG44" s="376"/>
      <c r="AH44" s="376"/>
      <c r="AI44" s="376"/>
      <c r="AJ44" s="376"/>
      <c r="AK44" s="376"/>
      <c r="AL44" s="376"/>
      <c r="AM44" s="376"/>
      <c r="AN44" s="376"/>
      <c r="AO44" s="376"/>
      <c r="AP44" s="376"/>
      <c r="AQ44" s="376"/>
      <c r="AR44" s="376"/>
      <c r="AS44" s="376"/>
      <c r="AT44" s="376"/>
      <c r="AU44" s="376"/>
      <c r="AV44" s="376"/>
      <c r="AW44" s="376"/>
      <c r="AX44" s="376"/>
      <c r="AY44" s="376"/>
      <c r="AZ44" s="376"/>
      <c r="BA44" s="376"/>
      <c r="BB44" s="376"/>
      <c r="BC44" s="376"/>
      <c r="BD44" s="376"/>
      <c r="BE44" s="376"/>
      <c r="BF44" s="376"/>
      <c r="BG44" s="376"/>
      <c r="BH44" s="376"/>
      <c r="BI44" s="376"/>
      <c r="BJ44" s="376"/>
      <c r="BK44" s="376"/>
      <c r="BL44" s="376"/>
      <c r="BM44" s="376"/>
      <c r="BN44" s="376"/>
      <c r="BO44" s="376"/>
      <c r="BP44" s="376"/>
      <c r="BQ44" s="376"/>
      <c r="BR44" s="376"/>
      <c r="BS44" s="376"/>
      <c r="BT44" s="376"/>
      <c r="BU44" s="376"/>
      <c r="BV44" s="376"/>
      <c r="BW44" s="376"/>
      <c r="BX44" s="376"/>
      <c r="BY44" s="376"/>
      <c r="BZ44" s="376"/>
      <c r="CA44" s="376"/>
      <c r="CB44" s="376"/>
      <c r="CC44" s="376"/>
      <c r="CD44" s="376"/>
      <c r="CE44" s="376"/>
      <c r="CF44" s="376"/>
    </row>
    <row r="45" spans="1:84">
      <c r="B45" s="571" t="s">
        <v>46</v>
      </c>
      <c r="C45" s="571"/>
      <c r="D45" s="369">
        <f>IFERROR(VLOOKUP("ESS/ERR",BD!$B$7:$C$16,2,FALSE),0)</f>
        <v>0</v>
      </c>
      <c r="E45" s="9"/>
      <c r="G45" s="571" t="s">
        <v>46</v>
      </c>
      <c r="H45" s="463" t="str">
        <f ca="1">Resultado!F20</f>
        <v>-</v>
      </c>
      <c r="I45" s="371"/>
      <c r="L45" s="551"/>
      <c r="M45" s="559"/>
      <c r="N45" s="560"/>
      <c r="O45" s="9"/>
      <c r="Q45" s="525"/>
      <c r="R45" s="376"/>
      <c r="S45" s="376"/>
      <c r="T45" s="376"/>
      <c r="U45" s="376"/>
      <c r="V45" s="376"/>
      <c r="W45" s="376"/>
      <c r="X45" s="376"/>
      <c r="Y45" s="376"/>
      <c r="Z45" s="376"/>
      <c r="AA45" s="376"/>
      <c r="AB45" s="376"/>
      <c r="AC45" s="376"/>
      <c r="AD45" s="376"/>
      <c r="AE45" s="376"/>
      <c r="AF45" s="376"/>
      <c r="AG45" s="376"/>
      <c r="AH45" s="376"/>
      <c r="AI45" s="376"/>
      <c r="AJ45" s="376"/>
      <c r="AK45" s="376"/>
      <c r="AL45" s="376"/>
      <c r="AM45" s="376"/>
      <c r="AN45" s="376"/>
      <c r="AO45" s="376"/>
      <c r="AP45" s="376"/>
      <c r="AQ45" s="376"/>
      <c r="AR45" s="376"/>
      <c r="AS45" s="376"/>
      <c r="AT45" s="376"/>
      <c r="AU45" s="376"/>
      <c r="AV45" s="376"/>
      <c r="AW45" s="376"/>
      <c r="AX45" s="376"/>
      <c r="AY45" s="376"/>
      <c r="AZ45" s="376"/>
      <c r="BA45" s="376"/>
      <c r="BB45" s="376"/>
      <c r="BC45" s="376"/>
      <c r="BD45" s="376"/>
      <c r="BE45" s="376"/>
      <c r="BF45" s="376"/>
      <c r="BG45" s="376"/>
      <c r="BH45" s="376"/>
      <c r="BI45" s="376"/>
      <c r="BJ45" s="376"/>
      <c r="BK45" s="376"/>
      <c r="BL45" s="376"/>
      <c r="BM45" s="376"/>
      <c r="BN45" s="376"/>
      <c r="BO45" s="376"/>
      <c r="BP45" s="376"/>
      <c r="BQ45" s="376"/>
      <c r="BR45" s="376"/>
      <c r="BS45" s="376"/>
      <c r="BT45" s="376"/>
      <c r="BU45" s="376"/>
      <c r="BV45" s="376"/>
      <c r="BW45" s="376"/>
      <c r="BX45" s="376"/>
      <c r="BY45" s="376"/>
      <c r="BZ45" s="376"/>
      <c r="CA45" s="376"/>
      <c r="CB45" s="376"/>
      <c r="CC45" s="376"/>
      <c r="CD45" s="376"/>
      <c r="CE45" s="376"/>
      <c r="CF45" s="376"/>
    </row>
    <row r="46" spans="1:84">
      <c r="B46" s="571" t="s">
        <v>47</v>
      </c>
      <c r="C46" s="571"/>
      <c r="D46" s="369">
        <f>IFERROR(VLOOKUP("PROINFA",BD!$B$7:$C$16,2,FALSE),0)</f>
        <v>200783.56998</v>
      </c>
      <c r="E46" s="9"/>
      <c r="G46" s="571" t="s">
        <v>47</v>
      </c>
      <c r="H46" s="578">
        <f ca="1">Resultado!F21</f>
        <v>0.51944610686726556</v>
      </c>
      <c r="I46" s="394"/>
      <c r="L46" s="551"/>
      <c r="M46" s="561"/>
      <c r="N46" s="560"/>
      <c r="O46" s="9"/>
      <c r="R46" s="376"/>
      <c r="S46" s="376"/>
      <c r="T46" s="376"/>
      <c r="U46" s="376"/>
      <c r="V46" s="376"/>
      <c r="W46" s="376"/>
      <c r="X46" s="376"/>
      <c r="Y46" s="376"/>
      <c r="Z46" s="376"/>
      <c r="AA46" s="376"/>
      <c r="AB46" s="376"/>
      <c r="AC46" s="376"/>
      <c r="AD46" s="376"/>
      <c r="AE46" s="376"/>
      <c r="AF46" s="376"/>
      <c r="AG46" s="376"/>
      <c r="AH46" s="376"/>
      <c r="AI46" s="376"/>
      <c r="AJ46" s="376"/>
      <c r="AK46" s="376"/>
      <c r="AL46" s="376"/>
      <c r="AM46" s="376"/>
      <c r="AN46" s="376"/>
      <c r="AO46" s="376"/>
      <c r="AP46" s="376"/>
      <c r="AQ46" s="376"/>
      <c r="AR46" s="376"/>
      <c r="AS46" s="376"/>
      <c r="AT46" s="376"/>
      <c r="AU46" s="376"/>
      <c r="AV46" s="376"/>
      <c r="AW46" s="376"/>
      <c r="AX46" s="376"/>
      <c r="AY46" s="376"/>
      <c r="AZ46" s="376"/>
      <c r="BA46" s="376"/>
      <c r="BB46" s="376"/>
      <c r="BC46" s="376"/>
      <c r="BD46" s="376"/>
      <c r="BE46" s="376"/>
      <c r="BF46" s="376"/>
      <c r="BG46" s="376"/>
      <c r="BH46" s="376"/>
      <c r="BI46" s="376"/>
      <c r="BJ46" s="376"/>
      <c r="BK46" s="376"/>
      <c r="BL46" s="376"/>
      <c r="BM46" s="376"/>
      <c r="BN46" s="376"/>
      <c r="BO46" s="376"/>
      <c r="BP46" s="376"/>
      <c r="BQ46" s="376"/>
      <c r="BR46" s="376"/>
      <c r="BS46" s="376"/>
      <c r="BT46" s="376"/>
      <c r="BU46" s="376"/>
      <c r="BV46" s="376"/>
      <c r="BW46" s="376"/>
      <c r="BX46" s="376"/>
      <c r="BY46" s="376"/>
      <c r="BZ46" s="376"/>
      <c r="CA46" s="376"/>
      <c r="CB46" s="376"/>
      <c r="CC46" s="376"/>
      <c r="CD46" s="376"/>
      <c r="CE46" s="376"/>
      <c r="CF46" s="376"/>
    </row>
    <row r="47" spans="1:84" ht="17.25" customHeight="1">
      <c r="B47" s="571" t="s">
        <v>2036</v>
      </c>
      <c r="C47" s="571"/>
      <c r="D47" s="369">
        <f>IFERROR(VLOOKUP("CDE Covid TUSD",BD!$B$7:$C$16,2,FALSE),0)</f>
        <v>561638.56127034605</v>
      </c>
      <c r="E47" s="9"/>
      <c r="G47" s="571" t="s">
        <v>48</v>
      </c>
      <c r="H47" s="463" t="str">
        <f ca="1">Resultado!F22</f>
        <v>-</v>
      </c>
      <c r="I47" s="394"/>
      <c r="L47" s="551"/>
      <c r="M47" s="561"/>
      <c r="N47" s="560"/>
      <c r="O47" s="9"/>
      <c r="R47" s="376"/>
      <c r="S47" s="376"/>
      <c r="T47" s="376"/>
      <c r="U47" s="376"/>
      <c r="V47" s="376"/>
      <c r="W47" s="376"/>
      <c r="X47" s="376"/>
      <c r="Y47" s="376"/>
      <c r="Z47" s="376"/>
      <c r="AA47" s="376"/>
      <c r="AB47" s="376"/>
      <c r="AC47" s="376"/>
      <c r="AD47" s="376"/>
      <c r="AE47" s="376"/>
      <c r="AF47" s="376"/>
      <c r="AG47" s="376"/>
      <c r="AH47" s="376"/>
      <c r="AI47" s="376"/>
      <c r="AJ47" s="376"/>
      <c r="AK47" s="376"/>
      <c r="AL47" s="376"/>
      <c r="AM47" s="376"/>
      <c r="AN47" s="376"/>
      <c r="AO47" s="376"/>
      <c r="AP47" s="376"/>
      <c r="AQ47" s="376"/>
      <c r="AR47" s="376"/>
      <c r="AS47" s="376"/>
      <c r="AT47" s="376"/>
      <c r="AU47" s="376"/>
      <c r="AV47" s="376"/>
      <c r="AW47" s="376"/>
      <c r="AX47" s="376"/>
      <c r="AY47" s="376"/>
      <c r="AZ47" s="376"/>
      <c r="BA47" s="376"/>
      <c r="BB47" s="376"/>
      <c r="BC47" s="376"/>
      <c r="BD47" s="376"/>
      <c r="BE47" s="376"/>
      <c r="BF47" s="376"/>
      <c r="BG47" s="376"/>
      <c r="BH47" s="376"/>
      <c r="BI47" s="376"/>
      <c r="BJ47" s="376"/>
      <c r="BK47" s="376"/>
      <c r="BL47" s="376"/>
      <c r="BM47" s="376"/>
      <c r="BN47" s="376"/>
      <c r="BO47" s="376"/>
      <c r="BP47" s="376"/>
      <c r="BQ47" s="376"/>
      <c r="BR47" s="376"/>
      <c r="BS47" s="376"/>
      <c r="BT47" s="376"/>
      <c r="BU47" s="376"/>
      <c r="BV47" s="376"/>
      <c r="BW47" s="376"/>
      <c r="BX47" s="376"/>
      <c r="BY47" s="376"/>
      <c r="BZ47" s="376"/>
      <c r="CA47" s="376"/>
      <c r="CB47" s="376"/>
      <c r="CC47" s="376"/>
      <c r="CD47" s="376"/>
      <c r="CE47" s="376"/>
      <c r="CF47" s="376"/>
    </row>
    <row r="48" spans="1:84">
      <c r="B48" s="571" t="s">
        <v>49</v>
      </c>
      <c r="C48" s="571"/>
      <c r="D48" s="369">
        <f>IFERROR(VLOOKUP("ONS",BD!$B$7:$C$16,2,FALSE),0)</f>
        <v>0</v>
      </c>
      <c r="E48" s="9"/>
      <c r="G48" s="571" t="s">
        <v>49</v>
      </c>
      <c r="H48" s="463" t="str">
        <f ca="1">Resultado!F23</f>
        <v>-</v>
      </c>
      <c r="I48" s="394"/>
      <c r="L48" s="551"/>
      <c r="M48" s="561"/>
      <c r="N48" s="560"/>
      <c r="O48" s="9"/>
      <c r="Q48" s="525"/>
      <c r="R48" s="376"/>
      <c r="S48" s="376"/>
      <c r="T48" s="376"/>
      <c r="U48" s="376"/>
      <c r="V48" s="376"/>
      <c r="W48" s="376"/>
      <c r="X48" s="376"/>
      <c r="Y48" s="376"/>
      <c r="Z48" s="376"/>
      <c r="AA48" s="376"/>
      <c r="AB48" s="376"/>
      <c r="AC48" s="376"/>
      <c r="AD48" s="376"/>
      <c r="AE48" s="376"/>
      <c r="AF48" s="376"/>
      <c r="AG48" s="376"/>
      <c r="AH48" s="376"/>
      <c r="AI48" s="376"/>
      <c r="AJ48" s="376"/>
      <c r="AK48" s="376"/>
      <c r="AL48" s="376"/>
      <c r="AM48" s="376"/>
      <c r="AN48" s="376"/>
      <c r="AO48" s="376"/>
      <c r="AP48" s="376"/>
      <c r="AQ48" s="376"/>
      <c r="AR48" s="376"/>
      <c r="AS48" s="376"/>
      <c r="AT48" s="376"/>
      <c r="AU48" s="376"/>
      <c r="AV48" s="376"/>
      <c r="AW48" s="376"/>
      <c r="AX48" s="376"/>
      <c r="AY48" s="376"/>
      <c r="AZ48" s="376"/>
      <c r="BA48" s="376"/>
      <c r="BB48" s="376"/>
      <c r="BC48" s="376"/>
      <c r="BD48" s="376"/>
      <c r="BE48" s="376"/>
      <c r="BF48" s="376"/>
      <c r="BG48" s="376"/>
      <c r="BH48" s="376"/>
      <c r="BI48" s="376"/>
      <c r="BJ48" s="376"/>
      <c r="BK48" s="376"/>
      <c r="BL48" s="376"/>
      <c r="BM48" s="376"/>
      <c r="BN48" s="376"/>
      <c r="BO48" s="376"/>
      <c r="BP48" s="376"/>
      <c r="BQ48" s="376"/>
      <c r="BR48" s="376"/>
      <c r="BS48" s="376"/>
      <c r="BT48" s="376"/>
      <c r="BU48" s="376"/>
      <c r="BV48" s="376"/>
      <c r="BW48" s="376"/>
      <c r="BX48" s="376"/>
      <c r="BY48" s="376"/>
      <c r="BZ48" s="376"/>
      <c r="CA48" s="376"/>
      <c r="CB48" s="376"/>
      <c r="CC48" s="376"/>
      <c r="CD48" s="376"/>
      <c r="CE48" s="376"/>
      <c r="CF48" s="376"/>
    </row>
    <row r="49" spans="1:84">
      <c r="B49" s="740" t="s">
        <v>635</v>
      </c>
      <c r="C49" s="740"/>
      <c r="D49" s="995">
        <f>BD!C18</f>
        <v>0</v>
      </c>
      <c r="E49" s="9"/>
      <c r="G49" s="740" t="s">
        <v>635</v>
      </c>
      <c r="H49" s="994"/>
      <c r="I49" s="394"/>
      <c r="L49" s="551"/>
      <c r="M49" s="561"/>
      <c r="N49" s="560"/>
      <c r="O49" s="9"/>
      <c r="R49" s="376"/>
      <c r="S49" s="376"/>
      <c r="T49" s="376"/>
      <c r="U49" s="376"/>
      <c r="V49" s="376"/>
      <c r="W49" s="376"/>
      <c r="X49" s="376"/>
      <c r="Y49" s="376"/>
      <c r="Z49" s="376"/>
      <c r="AA49" s="376"/>
      <c r="AB49" s="376"/>
      <c r="AC49" s="376"/>
      <c r="AD49" s="376"/>
      <c r="AE49" s="376"/>
      <c r="AF49" s="376"/>
      <c r="AG49" s="376"/>
      <c r="AH49" s="376"/>
      <c r="AI49" s="376"/>
      <c r="AJ49" s="376"/>
      <c r="AK49" s="376"/>
      <c r="AL49" s="376"/>
      <c r="AM49" s="376"/>
      <c r="AN49" s="376"/>
      <c r="AO49" s="376"/>
      <c r="AP49" s="376"/>
      <c r="AQ49" s="376"/>
      <c r="AR49" s="376"/>
      <c r="AS49" s="376"/>
      <c r="AT49" s="376"/>
      <c r="AU49" s="376"/>
      <c r="AV49" s="376"/>
      <c r="AW49" s="376"/>
      <c r="AX49" s="376"/>
      <c r="AY49" s="376"/>
      <c r="AZ49" s="376"/>
      <c r="BA49" s="376"/>
      <c r="BB49" s="376"/>
      <c r="BC49" s="376"/>
      <c r="BD49" s="376"/>
      <c r="BE49" s="376"/>
      <c r="BF49" s="376"/>
      <c r="BG49" s="376"/>
      <c r="BH49" s="376"/>
      <c r="BI49" s="376"/>
      <c r="BJ49" s="376"/>
      <c r="BK49" s="376"/>
      <c r="BL49" s="376"/>
      <c r="BM49" s="376"/>
      <c r="BN49" s="376"/>
      <c r="BO49" s="376"/>
      <c r="BP49" s="376"/>
      <c r="BQ49" s="376"/>
      <c r="BR49" s="376"/>
      <c r="BS49" s="376"/>
      <c r="BT49" s="376"/>
      <c r="BU49" s="376"/>
      <c r="BV49" s="376"/>
      <c r="BW49" s="376"/>
      <c r="BX49" s="376"/>
      <c r="BY49" s="376"/>
      <c r="BZ49" s="376"/>
      <c r="CA49" s="376"/>
      <c r="CB49" s="376"/>
      <c r="CC49" s="376"/>
      <c r="CD49" s="376"/>
      <c r="CE49" s="376"/>
      <c r="CF49" s="376"/>
    </row>
    <row r="50" spans="1:84">
      <c r="B50" s="571" t="s">
        <v>637</v>
      </c>
      <c r="C50" s="571"/>
      <c r="D50" s="369">
        <f>BD!C19</f>
        <v>0</v>
      </c>
      <c r="E50" s="9"/>
      <c r="G50" s="571" t="s">
        <v>637</v>
      </c>
      <c r="H50" s="578"/>
      <c r="I50" s="394"/>
      <c r="L50" s="551"/>
      <c r="M50" s="561"/>
      <c r="N50" s="560"/>
      <c r="O50" s="9"/>
      <c r="R50" s="376"/>
      <c r="S50" s="376"/>
      <c r="T50" s="376"/>
      <c r="U50" s="376"/>
      <c r="V50" s="376"/>
      <c r="W50" s="376"/>
      <c r="X50" s="376"/>
      <c r="Y50" s="376"/>
      <c r="Z50" s="376"/>
      <c r="AA50" s="376"/>
      <c r="AB50" s="376"/>
      <c r="AC50" s="376"/>
      <c r="AD50" s="376"/>
      <c r="AE50" s="376"/>
      <c r="AF50" s="376"/>
      <c r="AG50" s="376"/>
      <c r="AH50" s="376"/>
      <c r="AI50" s="376"/>
      <c r="AJ50" s="376"/>
      <c r="AK50" s="376"/>
      <c r="AL50" s="376"/>
      <c r="AM50" s="376"/>
      <c r="AN50" s="376"/>
      <c r="AO50" s="376"/>
      <c r="AP50" s="376"/>
      <c r="AQ50" s="376"/>
      <c r="AR50" s="376"/>
      <c r="AS50" s="376"/>
      <c r="AT50" s="376"/>
      <c r="AU50" s="376"/>
      <c r="AV50" s="376"/>
      <c r="AW50" s="376"/>
      <c r="AX50" s="376"/>
      <c r="AY50" s="376"/>
      <c r="AZ50" s="376"/>
      <c r="BA50" s="376"/>
      <c r="BB50" s="376"/>
      <c r="BC50" s="376"/>
      <c r="BD50" s="376"/>
      <c r="BE50" s="376"/>
      <c r="BF50" s="376"/>
      <c r="BG50" s="376"/>
      <c r="BH50" s="376"/>
      <c r="BI50" s="376"/>
      <c r="BJ50" s="376"/>
      <c r="BK50" s="376"/>
      <c r="BL50" s="376"/>
      <c r="BM50" s="376"/>
      <c r="BN50" s="376"/>
      <c r="BO50" s="376"/>
      <c r="BP50" s="376"/>
      <c r="BQ50" s="376"/>
      <c r="BR50" s="376"/>
      <c r="BS50" s="376"/>
      <c r="BT50" s="376"/>
      <c r="BU50" s="376"/>
      <c r="BV50" s="376"/>
      <c r="BW50" s="376"/>
      <c r="BX50" s="376"/>
      <c r="BY50" s="376"/>
      <c r="BZ50" s="376"/>
      <c r="CA50" s="376"/>
      <c r="CB50" s="376"/>
      <c r="CC50" s="376"/>
      <c r="CD50" s="376"/>
      <c r="CE50" s="376"/>
      <c r="CF50" s="376"/>
    </row>
    <row r="51" spans="1:84" ht="17.25" customHeight="1">
      <c r="B51" s="741" t="s">
        <v>638</v>
      </c>
      <c r="C51" s="741"/>
      <c r="D51" s="996"/>
      <c r="E51" s="9"/>
      <c r="G51" s="741" t="s">
        <v>638</v>
      </c>
      <c r="H51" s="578"/>
      <c r="I51" s="9"/>
      <c r="L51" s="551"/>
      <c r="M51" s="561"/>
      <c r="N51" s="560"/>
      <c r="O51" s="9"/>
      <c r="Q51" s="525"/>
      <c r="R51" s="376"/>
      <c r="S51" s="376"/>
      <c r="T51" s="376"/>
      <c r="U51" s="376"/>
      <c r="V51" s="376"/>
      <c r="W51" s="376"/>
      <c r="X51" s="376"/>
      <c r="Y51" s="376"/>
      <c r="Z51" s="376"/>
      <c r="AA51" s="376"/>
      <c r="AB51" s="376"/>
      <c r="AC51" s="376"/>
      <c r="AD51" s="376"/>
      <c r="AE51" s="376"/>
      <c r="AF51" s="376"/>
      <c r="AG51" s="376"/>
      <c r="AH51" s="376"/>
      <c r="AI51" s="376"/>
      <c r="AJ51" s="376"/>
      <c r="AK51" s="376"/>
      <c r="AL51" s="376"/>
      <c r="AM51" s="376"/>
      <c r="AN51" s="376"/>
      <c r="AO51" s="376"/>
      <c r="AP51" s="376"/>
      <c r="AQ51" s="376"/>
      <c r="AR51" s="376"/>
      <c r="AS51" s="376"/>
      <c r="AT51" s="376"/>
      <c r="AU51" s="376"/>
      <c r="AV51" s="376"/>
      <c r="AW51" s="376"/>
      <c r="AX51" s="376"/>
      <c r="AY51" s="376"/>
      <c r="AZ51" s="376"/>
      <c r="BA51" s="376"/>
      <c r="BB51" s="376"/>
      <c r="BC51" s="376"/>
      <c r="BD51" s="376"/>
      <c r="BE51" s="376"/>
      <c r="BF51" s="376"/>
      <c r="BG51" s="376"/>
      <c r="BH51" s="376"/>
      <c r="BI51" s="376"/>
      <c r="BJ51" s="376"/>
      <c r="BK51" s="376"/>
      <c r="BL51" s="376"/>
      <c r="BM51" s="376"/>
      <c r="BN51" s="376"/>
      <c r="BO51" s="376"/>
      <c r="BP51" s="376"/>
      <c r="BQ51" s="376"/>
      <c r="BR51" s="376"/>
      <c r="BS51" s="376"/>
      <c r="BT51" s="376"/>
      <c r="BU51" s="376"/>
      <c r="BV51" s="376"/>
      <c r="BW51" s="376"/>
      <c r="BX51" s="376"/>
      <c r="BY51" s="376"/>
      <c r="BZ51" s="376"/>
      <c r="CA51" s="376"/>
      <c r="CB51" s="376"/>
      <c r="CC51" s="376"/>
      <c r="CD51" s="376"/>
      <c r="CE51" s="376"/>
      <c r="CF51" s="376"/>
    </row>
    <row r="52" spans="1:84">
      <c r="B52" s="576" t="s">
        <v>639</v>
      </c>
      <c r="C52" s="576"/>
      <c r="D52" s="997">
        <f>BD!C25</f>
        <v>2035479.0043599999</v>
      </c>
      <c r="E52" s="9"/>
      <c r="G52" s="576" t="s">
        <v>639</v>
      </c>
      <c r="H52" s="579">
        <f ca="1">Resultado!F32</f>
        <v>0.20956115250624441</v>
      </c>
      <c r="I52" s="9"/>
      <c r="L52" s="551"/>
      <c r="M52" s="561"/>
      <c r="N52" s="560"/>
      <c r="O52" s="9"/>
      <c r="Q52" s="478"/>
      <c r="R52" s="376"/>
      <c r="S52" s="376"/>
      <c r="T52" s="376"/>
      <c r="U52" s="376"/>
      <c r="V52" s="376"/>
      <c r="W52" s="376"/>
      <c r="X52" s="376"/>
      <c r="Y52" s="376"/>
      <c r="Z52" s="376"/>
      <c r="AA52" s="376"/>
      <c r="AB52" s="376"/>
      <c r="AC52" s="376"/>
      <c r="AD52" s="376"/>
      <c r="AE52" s="376"/>
      <c r="AF52" s="376"/>
      <c r="AG52" s="376"/>
      <c r="AH52" s="376"/>
      <c r="AI52" s="376"/>
      <c r="AJ52" s="376"/>
      <c r="AK52" s="376"/>
      <c r="AL52" s="376"/>
      <c r="AM52" s="376"/>
      <c r="AN52" s="376"/>
      <c r="AO52" s="376"/>
      <c r="AP52" s="376"/>
      <c r="AQ52" s="376"/>
      <c r="AR52" s="376"/>
      <c r="AS52" s="376"/>
      <c r="AT52" s="376"/>
      <c r="AU52" s="376"/>
      <c r="AV52" s="376"/>
      <c r="AW52" s="376"/>
      <c r="AX52" s="376"/>
      <c r="AY52" s="376"/>
      <c r="AZ52" s="376"/>
      <c r="BA52" s="376"/>
      <c r="BB52" s="376"/>
      <c r="BC52" s="376"/>
      <c r="BD52" s="376"/>
      <c r="BE52" s="376"/>
      <c r="BF52" s="376"/>
      <c r="BG52" s="376"/>
      <c r="BH52" s="376"/>
      <c r="BI52" s="376"/>
      <c r="BJ52" s="376"/>
      <c r="BK52" s="376"/>
      <c r="BL52" s="376"/>
      <c r="BM52" s="376"/>
      <c r="BN52" s="376"/>
      <c r="BO52" s="376"/>
      <c r="BP52" s="376"/>
      <c r="BQ52" s="376"/>
      <c r="BR52" s="376"/>
      <c r="BS52" s="376"/>
      <c r="BT52" s="376"/>
      <c r="BU52" s="376"/>
      <c r="BV52" s="376"/>
      <c r="BW52" s="376"/>
      <c r="BX52" s="376"/>
      <c r="BY52" s="376"/>
      <c r="BZ52" s="376"/>
      <c r="CA52" s="376"/>
      <c r="CB52" s="376"/>
      <c r="CC52" s="376"/>
      <c r="CD52" s="376"/>
      <c r="CE52" s="376"/>
      <c r="CF52" s="376"/>
    </row>
    <row r="53" spans="1:84">
      <c r="B53" s="576" t="s">
        <v>640</v>
      </c>
      <c r="C53" s="576"/>
      <c r="D53" s="997">
        <f>BD!C26</f>
        <v>7122749.49971411</v>
      </c>
      <c r="E53" s="9"/>
      <c r="F53" s="9"/>
      <c r="G53" s="9"/>
      <c r="H53" s="9"/>
      <c r="I53" s="9"/>
      <c r="J53" s="9"/>
      <c r="K53" s="9"/>
      <c r="L53" s="551"/>
      <c r="M53" s="561"/>
      <c r="N53" s="560"/>
      <c r="O53" s="9"/>
      <c r="Q53" s="478"/>
      <c r="R53" s="376"/>
      <c r="S53" s="376"/>
      <c r="T53" s="376"/>
      <c r="U53" s="376"/>
      <c r="V53" s="376"/>
      <c r="W53" s="376"/>
      <c r="X53" s="376"/>
      <c r="Y53" s="376"/>
      <c r="Z53" s="376"/>
      <c r="AA53" s="376"/>
      <c r="AB53" s="376"/>
      <c r="AC53" s="376"/>
      <c r="AD53" s="376"/>
      <c r="AE53" s="376"/>
      <c r="AF53" s="376"/>
      <c r="AG53" s="376"/>
      <c r="AH53" s="376"/>
      <c r="AI53" s="376"/>
      <c r="AJ53" s="376"/>
      <c r="AK53" s="376"/>
      <c r="AL53" s="376"/>
      <c r="AM53" s="376"/>
      <c r="AN53" s="376"/>
      <c r="AO53" s="376"/>
      <c r="AP53" s="376"/>
      <c r="AQ53" s="376"/>
      <c r="AR53" s="376"/>
      <c r="AS53" s="376"/>
      <c r="AT53" s="376"/>
      <c r="AU53" s="376"/>
      <c r="AV53" s="376"/>
      <c r="AW53" s="376"/>
      <c r="AX53" s="376"/>
      <c r="AY53" s="376"/>
      <c r="AZ53" s="376"/>
      <c r="BA53" s="376"/>
      <c r="BB53" s="376"/>
      <c r="BC53" s="376"/>
      <c r="BD53" s="376"/>
      <c r="BE53" s="376"/>
      <c r="BF53" s="376"/>
      <c r="BG53" s="376"/>
      <c r="BH53" s="376"/>
      <c r="BI53" s="376"/>
      <c r="BJ53" s="376"/>
      <c r="BK53" s="376"/>
      <c r="BL53" s="376"/>
      <c r="BM53" s="376"/>
      <c r="BN53" s="376"/>
      <c r="BO53" s="376"/>
      <c r="BP53" s="376"/>
      <c r="BQ53" s="376"/>
      <c r="BR53" s="376"/>
      <c r="BS53" s="376"/>
      <c r="BT53" s="376"/>
      <c r="BU53" s="376"/>
      <c r="BV53" s="376"/>
      <c r="BW53" s="376"/>
      <c r="BX53" s="376"/>
      <c r="BY53" s="376"/>
      <c r="BZ53" s="376"/>
      <c r="CA53" s="376"/>
      <c r="CB53" s="376"/>
      <c r="CC53" s="376"/>
      <c r="CD53" s="376"/>
      <c r="CE53" s="376"/>
      <c r="CF53" s="376"/>
    </row>
    <row r="54" spans="1:84" ht="16.5" thickBot="1">
      <c r="B54" s="270"/>
      <c r="C54" s="270"/>
      <c r="D54" s="531"/>
      <c r="E54" s="9"/>
      <c r="F54" s="9"/>
      <c r="G54" s="9"/>
      <c r="H54" s="9"/>
      <c r="I54" s="9"/>
      <c r="J54" s="9"/>
      <c r="K54" s="9"/>
      <c r="L54" s="551"/>
      <c r="M54" s="561"/>
      <c r="N54" s="560"/>
      <c r="O54" s="9"/>
      <c r="R54" s="376"/>
      <c r="S54" s="376"/>
      <c r="T54" s="376"/>
      <c r="U54" s="376"/>
      <c r="V54" s="376"/>
      <c r="W54" s="376"/>
      <c r="X54" s="376"/>
      <c r="Y54" s="376"/>
      <c r="Z54" s="376"/>
      <c r="AA54" s="376"/>
      <c r="AB54" s="376"/>
      <c r="AC54" s="376"/>
      <c r="AD54" s="376"/>
      <c r="AE54" s="376"/>
      <c r="AF54" s="376"/>
      <c r="AG54" s="376"/>
      <c r="AH54" s="376"/>
      <c r="AI54" s="376"/>
      <c r="AJ54" s="376"/>
      <c r="AK54" s="376"/>
      <c r="AL54" s="376"/>
      <c r="AM54" s="376"/>
      <c r="AN54" s="376"/>
      <c r="AO54" s="376"/>
      <c r="AP54" s="376"/>
      <c r="AQ54" s="376"/>
      <c r="AR54" s="376"/>
      <c r="AS54" s="376"/>
      <c r="AT54" s="376"/>
      <c r="AU54" s="376"/>
      <c r="AV54" s="376"/>
      <c r="AW54" s="376"/>
      <c r="AX54" s="376"/>
      <c r="AY54" s="376"/>
      <c r="AZ54" s="376"/>
      <c r="BA54" s="376"/>
      <c r="BB54" s="376"/>
      <c r="BC54" s="376"/>
      <c r="BD54" s="376"/>
      <c r="BE54" s="376"/>
      <c r="BF54" s="376"/>
      <c r="BG54" s="376"/>
      <c r="BH54" s="376"/>
      <c r="BI54" s="376"/>
      <c r="BJ54" s="376"/>
      <c r="BK54" s="376"/>
      <c r="BL54" s="376"/>
      <c r="BM54" s="376"/>
      <c r="BN54" s="376"/>
      <c r="BO54" s="376"/>
      <c r="BP54" s="376"/>
      <c r="BQ54" s="376"/>
      <c r="BR54" s="376"/>
      <c r="BS54" s="376"/>
      <c r="BT54" s="376"/>
      <c r="BU54" s="376"/>
      <c r="BV54" s="376"/>
      <c r="BW54" s="376"/>
      <c r="BX54" s="376"/>
      <c r="BY54" s="376"/>
      <c r="BZ54" s="376"/>
      <c r="CA54" s="376"/>
      <c r="CB54" s="376"/>
      <c r="CC54" s="376"/>
      <c r="CD54" s="376"/>
      <c r="CE54" s="376"/>
      <c r="CF54" s="376"/>
    </row>
    <row r="55" spans="1:84" ht="26.25" thickBot="1">
      <c r="A55" s="540"/>
      <c r="B55" s="530" t="s">
        <v>641</v>
      </c>
      <c r="C55" s="541"/>
      <c r="D55" s="541"/>
      <c r="E55" s="542"/>
      <c r="F55" s="542"/>
      <c r="G55" s="542"/>
      <c r="H55" s="522"/>
      <c r="I55" s="523"/>
      <c r="J55" s="542"/>
      <c r="K55" s="543"/>
      <c r="L55" s="544"/>
      <c r="M55" s="545"/>
      <c r="N55" s="560"/>
      <c r="O55" s="9"/>
      <c r="R55" s="376"/>
      <c r="S55" s="376"/>
      <c r="T55" s="376"/>
      <c r="U55" s="376"/>
      <c r="V55" s="376"/>
      <c r="W55" s="376"/>
      <c r="X55" s="376"/>
      <c r="Y55" s="376"/>
      <c r="Z55" s="376"/>
      <c r="AA55" s="376"/>
      <c r="AB55" s="376"/>
      <c r="AC55" s="376"/>
      <c r="AD55" s="376"/>
      <c r="AE55" s="376"/>
      <c r="AF55" s="376"/>
      <c r="AG55" s="376"/>
      <c r="AH55" s="376"/>
      <c r="AI55" s="376"/>
      <c r="AJ55" s="376"/>
      <c r="AK55" s="376"/>
      <c r="AL55" s="376"/>
      <c r="AM55" s="376"/>
      <c r="AN55" s="376"/>
      <c r="AO55" s="376"/>
      <c r="AP55" s="376"/>
      <c r="AQ55" s="376"/>
      <c r="AR55" s="376"/>
      <c r="AS55" s="376"/>
      <c r="AT55" s="376"/>
      <c r="AU55" s="376"/>
      <c r="AV55" s="376"/>
      <c r="AW55" s="376"/>
      <c r="AX55" s="376"/>
      <c r="AY55" s="376"/>
      <c r="AZ55" s="376"/>
      <c r="BA55" s="376"/>
      <c r="BB55" s="376"/>
      <c r="BC55" s="376"/>
      <c r="BD55" s="376"/>
      <c r="BE55" s="376"/>
      <c r="BF55" s="376"/>
      <c r="BG55" s="376"/>
      <c r="BH55" s="376"/>
      <c r="BI55" s="376"/>
      <c r="BJ55" s="376"/>
      <c r="BK55" s="376"/>
      <c r="BL55" s="376"/>
      <c r="BM55" s="376"/>
      <c r="BN55" s="376"/>
      <c r="BO55" s="376"/>
      <c r="BP55" s="376"/>
      <c r="BQ55" s="376"/>
      <c r="BR55" s="376"/>
      <c r="BS55" s="376"/>
      <c r="BT55" s="376"/>
      <c r="BU55" s="376"/>
      <c r="BV55" s="376"/>
      <c r="BW55" s="376"/>
      <c r="BX55" s="376"/>
      <c r="BY55" s="376"/>
      <c r="BZ55" s="376"/>
      <c r="CA55" s="376"/>
      <c r="CB55" s="376"/>
      <c r="CC55" s="376"/>
      <c r="CD55" s="376"/>
      <c r="CE55" s="376"/>
      <c r="CF55" s="376"/>
    </row>
    <row r="56" spans="1:84" ht="25.5">
      <c r="B56" s="535"/>
      <c r="E56" s="49"/>
      <c r="F56" s="49"/>
      <c r="G56" s="49"/>
      <c r="H56" s="521"/>
      <c r="I56" s="370"/>
      <c r="J56" s="49"/>
      <c r="K56" s="550"/>
      <c r="L56" s="551"/>
      <c r="M56" s="547"/>
      <c r="N56" s="560"/>
      <c r="O56" s="9"/>
      <c r="R56" s="376"/>
      <c r="S56" s="376"/>
      <c r="T56" s="376"/>
      <c r="U56" s="376"/>
      <c r="V56" s="376"/>
      <c r="W56" s="376"/>
      <c r="X56" s="376"/>
      <c r="Y56" s="376"/>
      <c r="Z56" s="376"/>
      <c r="AA56" s="376"/>
      <c r="AB56" s="376"/>
      <c r="AC56" s="376"/>
      <c r="AD56" s="376"/>
      <c r="AE56" s="376"/>
      <c r="AF56" s="376"/>
      <c r="AG56" s="376"/>
      <c r="AH56" s="376"/>
      <c r="AI56" s="376"/>
      <c r="AJ56" s="376"/>
      <c r="AK56" s="376"/>
      <c r="AL56" s="376"/>
      <c r="AM56" s="376"/>
      <c r="AN56" s="376"/>
      <c r="AO56" s="376"/>
      <c r="AP56" s="376"/>
      <c r="AQ56" s="376"/>
      <c r="AR56" s="376"/>
      <c r="AS56" s="376"/>
      <c r="AT56" s="376"/>
      <c r="AU56" s="376"/>
      <c r="AV56" s="376"/>
      <c r="AW56" s="376"/>
      <c r="AX56" s="376"/>
      <c r="AY56" s="376"/>
      <c r="AZ56" s="376"/>
      <c r="BA56" s="376"/>
      <c r="BB56" s="376"/>
      <c r="BC56" s="376"/>
      <c r="BD56" s="376"/>
      <c r="BE56" s="376"/>
      <c r="BF56" s="376"/>
      <c r="BG56" s="376"/>
      <c r="BH56" s="376"/>
      <c r="BI56" s="376"/>
      <c r="BJ56" s="376"/>
      <c r="BK56" s="376"/>
      <c r="BL56" s="376"/>
      <c r="BM56" s="376"/>
      <c r="BN56" s="376"/>
      <c r="BO56" s="376"/>
      <c r="BP56" s="376"/>
      <c r="BQ56" s="376"/>
      <c r="BR56" s="376"/>
      <c r="BS56" s="376"/>
      <c r="BT56" s="376"/>
      <c r="BU56" s="376"/>
      <c r="BV56" s="376"/>
      <c r="BW56" s="376"/>
      <c r="BX56" s="376"/>
      <c r="BY56" s="376"/>
      <c r="BZ56" s="376"/>
      <c r="CA56" s="376"/>
      <c r="CB56" s="376"/>
      <c r="CC56" s="376"/>
      <c r="CD56" s="376"/>
      <c r="CE56" s="376"/>
      <c r="CF56" s="376"/>
    </row>
    <row r="57" spans="1:84" ht="16.5">
      <c r="B57" s="480"/>
      <c r="C57" s="9"/>
      <c r="D57" s="998"/>
      <c r="E57" s="574"/>
      <c r="F57" s="575" t="s">
        <v>642</v>
      </c>
      <c r="G57" s="49"/>
      <c r="H57" s="521"/>
      <c r="I57" s="370"/>
      <c r="J57" s="49"/>
      <c r="K57" s="550"/>
      <c r="L57" s="551"/>
      <c r="M57" s="547"/>
      <c r="N57" s="563"/>
      <c r="O57" s="9"/>
      <c r="R57" s="376"/>
      <c r="S57" s="376"/>
      <c r="T57" s="376"/>
      <c r="U57" s="376"/>
      <c r="V57" s="376"/>
      <c r="W57" s="376"/>
      <c r="X57" s="376"/>
      <c r="Y57" s="376"/>
      <c r="Z57" s="376"/>
      <c r="AA57" s="376"/>
      <c r="AB57" s="376"/>
      <c r="AC57" s="376"/>
      <c r="AD57" s="376"/>
      <c r="AE57" s="376"/>
      <c r="AF57" s="376"/>
      <c r="AG57" s="376"/>
      <c r="AH57" s="376"/>
      <c r="AI57" s="376"/>
      <c r="AJ57" s="376"/>
      <c r="AK57" s="376"/>
      <c r="AL57" s="376"/>
      <c r="AM57" s="376"/>
      <c r="AN57" s="376"/>
      <c r="AO57" s="376"/>
      <c r="AP57" s="376"/>
      <c r="AQ57" s="376"/>
      <c r="AR57" s="376"/>
      <c r="AS57" s="376"/>
      <c r="AT57" s="376"/>
      <c r="AU57" s="376"/>
      <c r="AV57" s="376"/>
      <c r="AW57" s="376"/>
      <c r="AX57" s="376"/>
      <c r="AY57" s="376"/>
      <c r="AZ57" s="376"/>
      <c r="BA57" s="376"/>
      <c r="BB57" s="376"/>
      <c r="BC57" s="376"/>
      <c r="BD57" s="376"/>
      <c r="BE57" s="376"/>
      <c r="BF57" s="376"/>
      <c r="BG57" s="376"/>
      <c r="BH57" s="376"/>
      <c r="BI57" s="376"/>
      <c r="BJ57" s="376"/>
      <c r="BK57" s="376"/>
      <c r="BL57" s="376"/>
      <c r="BM57" s="376"/>
      <c r="BN57" s="376"/>
      <c r="BO57" s="376"/>
      <c r="BP57" s="376"/>
      <c r="BQ57" s="376"/>
      <c r="BR57" s="376"/>
      <c r="BS57" s="376"/>
      <c r="BT57" s="376"/>
      <c r="BU57" s="376"/>
      <c r="BV57" s="376"/>
      <c r="BW57" s="376"/>
      <c r="BX57" s="376"/>
      <c r="BY57" s="376"/>
      <c r="BZ57" s="376"/>
      <c r="CA57" s="376"/>
      <c r="CB57" s="376"/>
      <c r="CC57" s="376"/>
      <c r="CD57" s="376"/>
      <c r="CE57" s="376"/>
      <c r="CF57" s="376"/>
    </row>
    <row r="58" spans="1:84" ht="16.5">
      <c r="B58" s="999" t="s">
        <v>215</v>
      </c>
      <c r="C58" s="1000"/>
      <c r="D58" s="767"/>
      <c r="E58" s="1787">
        <v>0</v>
      </c>
      <c r="F58" s="1787"/>
      <c r="G58" s="376"/>
      <c r="L58" s="756"/>
      <c r="M58" s="562"/>
      <c r="N58" s="565"/>
      <c r="O58" s="9"/>
      <c r="R58" s="376"/>
      <c r="S58" s="376"/>
      <c r="T58" s="376"/>
      <c r="U58" s="376"/>
      <c r="V58" s="376"/>
      <c r="W58" s="376"/>
      <c r="X58" s="376"/>
      <c r="Y58" s="376"/>
      <c r="Z58" s="376"/>
      <c r="AA58" s="376"/>
      <c r="AB58" s="376"/>
      <c r="AC58" s="376"/>
      <c r="AD58" s="376"/>
      <c r="AE58" s="376"/>
      <c r="AF58" s="376"/>
      <c r="AG58" s="376"/>
      <c r="AH58" s="376"/>
      <c r="AI58" s="376"/>
      <c r="AJ58" s="376"/>
      <c r="AK58" s="376"/>
      <c r="AL58" s="376"/>
      <c r="AM58" s="376"/>
      <c r="AN58" s="376"/>
      <c r="AO58" s="376"/>
      <c r="AP58" s="376"/>
      <c r="AQ58" s="376"/>
      <c r="AR58" s="376"/>
      <c r="AS58" s="376"/>
      <c r="AT58" s="376"/>
      <c r="AU58" s="376"/>
      <c r="AV58" s="376"/>
      <c r="AW58" s="376"/>
      <c r="AX58" s="376"/>
      <c r="AY58" s="376"/>
      <c r="AZ58" s="376"/>
      <c r="BA58" s="376"/>
      <c r="BB58" s="376"/>
      <c r="BC58" s="376"/>
      <c r="BD58" s="376"/>
      <c r="BE58" s="376"/>
      <c r="BF58" s="376"/>
      <c r="BG58" s="376"/>
      <c r="BH58" s="376"/>
      <c r="BI58" s="376"/>
      <c r="BJ58" s="376"/>
      <c r="BK58" s="376"/>
      <c r="BL58" s="376"/>
      <c r="BM58" s="376"/>
      <c r="BN58" s="376"/>
      <c r="BO58" s="376"/>
      <c r="BP58" s="376"/>
      <c r="BQ58" s="376"/>
      <c r="BR58" s="376"/>
      <c r="BS58" s="376"/>
      <c r="BT58" s="376"/>
      <c r="BU58" s="376"/>
      <c r="BV58" s="376"/>
      <c r="BW58" s="376"/>
      <c r="BX58" s="376"/>
      <c r="BY58" s="376"/>
      <c r="BZ58" s="376"/>
      <c r="CA58" s="376"/>
      <c r="CB58" s="376"/>
      <c r="CC58" s="376"/>
      <c r="CD58" s="376"/>
      <c r="CE58" s="376"/>
      <c r="CF58" s="376"/>
    </row>
    <row r="59" spans="1:84" ht="17.25" thickBot="1">
      <c r="B59" s="9"/>
      <c r="C59" s="9"/>
      <c r="D59" s="9"/>
      <c r="E59" s="9"/>
      <c r="F59" s="17"/>
      <c r="G59" s="376"/>
      <c r="K59" s="564"/>
      <c r="L59" s="551"/>
      <c r="N59" s="568"/>
      <c r="O59" s="9"/>
      <c r="R59" s="376"/>
      <c r="S59" s="376"/>
      <c r="T59" s="376"/>
      <c r="U59" s="376"/>
      <c r="V59" s="376"/>
      <c r="W59" s="376"/>
      <c r="X59" s="376"/>
      <c r="Y59" s="376"/>
      <c r="Z59" s="376"/>
      <c r="AA59" s="376"/>
      <c r="AB59" s="376"/>
      <c r="AC59" s="376"/>
      <c r="AD59" s="376"/>
      <c r="AE59" s="376"/>
      <c r="AF59" s="376"/>
      <c r="AG59" s="376"/>
      <c r="AH59" s="376"/>
      <c r="AI59" s="376"/>
      <c r="AJ59" s="376"/>
      <c r="AK59" s="376"/>
      <c r="AL59" s="376"/>
      <c r="AM59" s="376"/>
      <c r="AN59" s="376"/>
      <c r="AO59" s="376"/>
      <c r="AP59" s="376"/>
      <c r="AQ59" s="376"/>
      <c r="AR59" s="376"/>
      <c r="AS59" s="376"/>
      <c r="AT59" s="376"/>
      <c r="AU59" s="376"/>
      <c r="AV59" s="376"/>
      <c r="AW59" s="376"/>
      <c r="AX59" s="376"/>
      <c r="AY59" s="376"/>
      <c r="AZ59" s="376"/>
      <c r="BA59" s="376"/>
      <c r="BB59" s="376"/>
      <c r="BC59" s="376"/>
      <c r="BD59" s="376"/>
      <c r="BE59" s="376"/>
      <c r="BF59" s="376"/>
      <c r="BG59" s="376"/>
      <c r="BH59" s="376"/>
      <c r="BI59" s="376"/>
      <c r="BJ59" s="376"/>
      <c r="BK59" s="376"/>
      <c r="BL59" s="376"/>
      <c r="BM59" s="376"/>
      <c r="BN59" s="376"/>
      <c r="BO59" s="376"/>
      <c r="BP59" s="376"/>
      <c r="BQ59" s="376"/>
      <c r="BR59" s="376"/>
      <c r="BS59" s="376"/>
      <c r="BT59" s="376"/>
      <c r="BU59" s="376"/>
      <c r="BV59" s="376"/>
      <c r="BW59" s="376"/>
      <c r="BX59" s="376"/>
      <c r="BY59" s="376"/>
      <c r="BZ59" s="376"/>
      <c r="CA59" s="376"/>
      <c r="CB59" s="376"/>
      <c r="CC59" s="376"/>
      <c r="CD59" s="376"/>
      <c r="CE59" s="376"/>
      <c r="CF59" s="376"/>
    </row>
    <row r="60" spans="1:84" ht="26.25" thickBot="1">
      <c r="A60" s="566"/>
      <c r="B60" s="530" t="s">
        <v>643</v>
      </c>
      <c r="C60" s="541"/>
      <c r="D60" s="542"/>
      <c r="E60" s="542"/>
      <c r="F60" s="542"/>
      <c r="G60" s="522"/>
      <c r="H60" s="523"/>
      <c r="I60" s="542"/>
      <c r="J60" s="543"/>
      <c r="K60" s="544"/>
      <c r="L60" s="757"/>
      <c r="M60" s="567"/>
      <c r="N60" s="568"/>
      <c r="O60" s="9"/>
      <c r="R60" s="376"/>
      <c r="S60" s="376"/>
      <c r="T60" s="376"/>
      <c r="U60" s="376"/>
      <c r="V60" s="376"/>
      <c r="W60" s="376"/>
      <c r="X60" s="376"/>
      <c r="Y60" s="376"/>
      <c r="Z60" s="376"/>
      <c r="AA60" s="376"/>
      <c r="AB60" s="376"/>
      <c r="AC60" s="376"/>
      <c r="AD60" s="376"/>
      <c r="AE60" s="376"/>
      <c r="AF60" s="376"/>
      <c r="AG60" s="376"/>
      <c r="AH60" s="376"/>
      <c r="AI60" s="376"/>
      <c r="AJ60" s="376"/>
      <c r="AK60" s="376"/>
      <c r="AL60" s="376"/>
      <c r="AM60" s="376"/>
      <c r="AN60" s="376"/>
      <c r="AO60" s="376"/>
      <c r="AP60" s="376"/>
      <c r="AQ60" s="376"/>
      <c r="AR60" s="376"/>
      <c r="AS60" s="376"/>
      <c r="AT60" s="376"/>
      <c r="AU60" s="376"/>
      <c r="AV60" s="376"/>
      <c r="AW60" s="376"/>
      <c r="AX60" s="376"/>
      <c r="AY60" s="376"/>
      <c r="AZ60" s="376"/>
      <c r="BA60" s="376"/>
      <c r="BB60" s="376"/>
      <c r="BC60" s="376"/>
      <c r="BD60" s="376"/>
      <c r="BE60" s="376"/>
      <c r="BF60" s="376"/>
      <c r="BG60" s="376"/>
      <c r="BH60" s="376"/>
      <c r="BI60" s="376"/>
      <c r="BJ60" s="376"/>
      <c r="BK60" s="376"/>
      <c r="BL60" s="376"/>
      <c r="BM60" s="376"/>
      <c r="BN60" s="376"/>
      <c r="BO60" s="376"/>
      <c r="BP60" s="376"/>
      <c r="BQ60" s="376"/>
      <c r="BR60" s="376"/>
      <c r="BS60" s="376"/>
      <c r="BT60" s="376"/>
      <c r="BU60" s="376"/>
      <c r="BV60" s="376"/>
      <c r="BW60" s="376"/>
      <c r="BX60" s="376"/>
      <c r="BY60" s="376"/>
      <c r="BZ60" s="376"/>
      <c r="CA60" s="376"/>
      <c r="CB60" s="376"/>
      <c r="CC60" s="376"/>
      <c r="CD60" s="376"/>
      <c r="CE60" s="376"/>
      <c r="CF60" s="376"/>
    </row>
    <row r="61" spans="1:84" ht="57" customHeight="1" thickBot="1">
      <c r="B61" s="569" t="s">
        <v>644</v>
      </c>
      <c r="C61" s="569"/>
      <c r="D61" s="569" t="s">
        <v>645</v>
      </c>
      <c r="L61" s="551"/>
      <c r="M61" s="736"/>
      <c r="N61" s="467"/>
      <c r="O61" s="568"/>
      <c r="S61" s="376"/>
      <c r="T61" s="376"/>
      <c r="U61" s="376"/>
      <c r="V61" s="376"/>
      <c r="W61" s="376"/>
      <c r="X61" s="376"/>
      <c r="Y61" s="376"/>
      <c r="Z61" s="376"/>
      <c r="AA61" s="376"/>
      <c r="AB61" s="376"/>
      <c r="AC61" s="376"/>
      <c r="AD61" s="376"/>
      <c r="AE61" s="376"/>
      <c r="AF61" s="376"/>
      <c r="AG61" s="376"/>
      <c r="AH61" s="376"/>
      <c r="AI61" s="376"/>
      <c r="AJ61" s="376"/>
      <c r="AK61" s="376"/>
      <c r="AL61" s="376"/>
      <c r="AM61" s="376"/>
      <c r="AN61" s="376"/>
      <c r="AO61" s="376"/>
      <c r="AP61" s="376"/>
      <c r="AQ61" s="376"/>
      <c r="AR61" s="376"/>
      <c r="AS61" s="376"/>
      <c r="AT61" s="376"/>
      <c r="AU61" s="376"/>
      <c r="AV61" s="376"/>
      <c r="AW61" s="376"/>
      <c r="AX61" s="376"/>
      <c r="AY61" s="376"/>
      <c r="AZ61" s="376"/>
      <c r="BA61" s="376"/>
      <c r="BB61" s="376"/>
      <c r="BC61" s="376"/>
      <c r="BD61" s="376"/>
      <c r="BE61" s="376"/>
      <c r="BF61" s="376"/>
      <c r="BG61" s="376"/>
      <c r="BH61" s="376"/>
      <c r="BI61" s="376"/>
      <c r="BJ61" s="376"/>
      <c r="BK61" s="376"/>
      <c r="BL61" s="376"/>
      <c r="BM61" s="376"/>
      <c r="BN61" s="376"/>
      <c r="BO61" s="376"/>
      <c r="BP61" s="376"/>
      <c r="BQ61" s="376"/>
      <c r="BR61" s="376"/>
      <c r="BS61" s="376"/>
      <c r="BT61" s="376"/>
      <c r="BU61" s="376"/>
      <c r="BV61" s="376"/>
      <c r="BW61" s="376"/>
      <c r="BX61" s="376"/>
      <c r="BY61" s="376"/>
      <c r="BZ61" s="376"/>
      <c r="CA61" s="376"/>
      <c r="CB61" s="376"/>
      <c r="CC61" s="376"/>
      <c r="CD61" s="376"/>
      <c r="CE61" s="376"/>
      <c r="CF61" s="376"/>
    </row>
    <row r="62" spans="1:84" ht="17.25" thickBot="1">
      <c r="B62" s="716" t="s">
        <v>646</v>
      </c>
      <c r="C62" s="717" t="s">
        <v>647</v>
      </c>
      <c r="D62" s="717" t="s">
        <v>192</v>
      </c>
      <c r="E62" s="1780" t="s">
        <v>648</v>
      </c>
      <c r="F62" s="1781"/>
      <c r="G62" s="717" t="s">
        <v>649</v>
      </c>
      <c r="H62" s="718" t="s">
        <v>650</v>
      </c>
      <c r="I62" s="9"/>
      <c r="J62" s="9"/>
      <c r="K62" s="9"/>
      <c r="L62" s="17"/>
      <c r="M62" s="556"/>
      <c r="N62" s="467"/>
      <c r="O62" s="568"/>
      <c r="S62" s="376"/>
      <c r="T62" s="376"/>
      <c r="U62" s="376"/>
      <c r="V62" s="376"/>
      <c r="W62" s="376"/>
      <c r="X62" s="376"/>
      <c r="Y62" s="376"/>
      <c r="Z62" s="376"/>
      <c r="AA62" s="376"/>
      <c r="AB62" s="376"/>
      <c r="AC62" s="376"/>
      <c r="AD62" s="376"/>
      <c r="AE62" s="376"/>
      <c r="AF62" s="376"/>
      <c r="AG62" s="376"/>
      <c r="AH62" s="376"/>
      <c r="AI62" s="376"/>
      <c r="AJ62" s="376"/>
      <c r="AK62" s="376"/>
      <c r="AL62" s="376"/>
      <c r="AM62" s="376"/>
      <c r="AN62" s="376"/>
      <c r="AO62" s="376"/>
      <c r="AP62" s="376"/>
      <c r="AQ62" s="376"/>
      <c r="AR62" s="376"/>
      <c r="AS62" s="376"/>
      <c r="AT62" s="376"/>
      <c r="AU62" s="376"/>
      <c r="AV62" s="376"/>
      <c r="AW62" s="376"/>
      <c r="AX62" s="376"/>
      <c r="AY62" s="376"/>
      <c r="AZ62" s="376"/>
      <c r="BA62" s="376"/>
      <c r="BB62" s="376"/>
      <c r="BC62" s="376"/>
      <c r="BD62" s="376"/>
      <c r="BE62" s="376"/>
      <c r="BF62" s="376"/>
      <c r="BG62" s="376"/>
      <c r="BH62" s="376"/>
      <c r="BI62" s="376"/>
      <c r="BJ62" s="376"/>
      <c r="BK62" s="376"/>
      <c r="BL62" s="376"/>
      <c r="BM62" s="376"/>
      <c r="BN62" s="376"/>
      <c r="BO62" s="376"/>
      <c r="BP62" s="376"/>
      <c r="BQ62" s="376"/>
      <c r="BR62" s="376"/>
      <c r="BS62" s="376"/>
      <c r="BT62" s="376"/>
      <c r="BU62" s="376"/>
      <c r="BV62" s="376"/>
      <c r="BW62" s="376"/>
      <c r="BX62" s="376"/>
      <c r="BY62" s="376"/>
      <c r="BZ62" s="376"/>
      <c r="CA62" s="376"/>
      <c r="CB62" s="376"/>
      <c r="CC62" s="376"/>
      <c r="CD62" s="376"/>
      <c r="CE62" s="376"/>
      <c r="CF62" s="376"/>
    </row>
    <row r="63" spans="1:84" ht="16.5">
      <c r="B63" s="712">
        <f>Indexador!B34</f>
        <v>44348</v>
      </c>
      <c r="C63" s="1755"/>
      <c r="D63" s="1755"/>
      <c r="E63" s="1794"/>
      <c r="F63" s="1795"/>
      <c r="G63" s="1755"/>
      <c r="H63" s="728"/>
      <c r="I63" s="9" t="s">
        <v>651</v>
      </c>
      <c r="J63" s="472"/>
      <c r="K63" s="9"/>
      <c r="L63" s="17"/>
      <c r="M63" s="556"/>
      <c r="N63" s="467"/>
      <c r="O63" s="568"/>
      <c r="S63" s="376"/>
      <c r="T63" s="376"/>
      <c r="U63" s="376"/>
      <c r="V63" s="376"/>
      <c r="W63" s="376"/>
      <c r="X63" s="376"/>
      <c r="Y63" s="376"/>
      <c r="Z63" s="376"/>
      <c r="AA63" s="376"/>
      <c r="AB63" s="376"/>
      <c r="AC63" s="376"/>
      <c r="AD63" s="376"/>
      <c r="AE63" s="376"/>
      <c r="AF63" s="376"/>
      <c r="AG63" s="376"/>
      <c r="AH63" s="376"/>
      <c r="AI63" s="376"/>
      <c r="AJ63" s="376"/>
      <c r="AK63" s="376"/>
      <c r="AL63" s="376"/>
      <c r="AM63" s="376"/>
      <c r="AN63" s="376"/>
      <c r="AO63" s="376"/>
      <c r="AP63" s="376"/>
      <c r="AQ63" s="376"/>
      <c r="AR63" s="376"/>
      <c r="AS63" s="376"/>
      <c r="AT63" s="376"/>
      <c r="AU63" s="376"/>
      <c r="AV63" s="376"/>
      <c r="AW63" s="376"/>
      <c r="AX63" s="376"/>
      <c r="AY63" s="376"/>
      <c r="AZ63" s="376"/>
      <c r="BA63" s="376"/>
      <c r="BB63" s="376"/>
      <c r="BC63" s="376"/>
      <c r="BD63" s="376"/>
      <c r="BE63" s="376"/>
      <c r="BF63" s="376"/>
      <c r="BG63" s="376"/>
      <c r="BH63" s="376"/>
      <c r="BI63" s="376"/>
      <c r="BJ63" s="376"/>
      <c r="BK63" s="376"/>
      <c r="BL63" s="376"/>
      <c r="BM63" s="376"/>
      <c r="BN63" s="376"/>
      <c r="BO63" s="376"/>
      <c r="BP63" s="376"/>
      <c r="BQ63" s="376"/>
      <c r="BR63" s="376"/>
      <c r="BS63" s="376"/>
      <c r="BT63" s="376"/>
      <c r="BU63" s="376"/>
      <c r="BV63" s="376"/>
      <c r="BW63" s="376"/>
      <c r="BX63" s="376"/>
      <c r="BY63" s="376"/>
      <c r="BZ63" s="376"/>
      <c r="CA63" s="376"/>
      <c r="CB63" s="376"/>
      <c r="CC63" s="376"/>
      <c r="CD63" s="376"/>
      <c r="CE63" s="376"/>
      <c r="CF63" s="376"/>
    </row>
    <row r="64" spans="1:84" ht="16.5">
      <c r="B64" s="713">
        <f>Indexador!B35</f>
        <v>44378</v>
      </c>
      <c r="C64" s="1756"/>
      <c r="D64" s="1756"/>
      <c r="E64" s="1796"/>
      <c r="F64" s="1797"/>
      <c r="G64" s="1756"/>
      <c r="H64" s="720">
        <f>SUMIF(BD!$A$41:$A$57,B64,BD!$C$41:$C$57)</f>
        <v>0</v>
      </c>
      <c r="I64" s="9" t="s">
        <v>652</v>
      </c>
      <c r="J64" s="573"/>
      <c r="K64" s="9"/>
      <c r="L64" s="17"/>
      <c r="M64" s="556"/>
      <c r="N64" s="467"/>
      <c r="O64" s="568"/>
      <c r="S64" s="376"/>
      <c r="T64" s="376"/>
      <c r="U64" s="376"/>
      <c r="V64" s="376"/>
      <c r="W64" s="376"/>
      <c r="X64" s="376"/>
      <c r="Y64" s="376"/>
      <c r="Z64" s="376"/>
      <c r="AA64" s="376"/>
      <c r="AB64" s="376"/>
      <c r="AC64" s="376"/>
      <c r="AD64" s="376"/>
      <c r="AE64" s="376"/>
      <c r="AF64" s="376"/>
      <c r="AG64" s="376"/>
      <c r="AH64" s="376"/>
      <c r="AI64" s="376"/>
      <c r="AJ64" s="376"/>
      <c r="AK64" s="376"/>
      <c r="AL64" s="376"/>
      <c r="AM64" s="376"/>
      <c r="AN64" s="376"/>
      <c r="AO64" s="376"/>
      <c r="AP64" s="376"/>
      <c r="AQ64" s="376"/>
      <c r="AR64" s="376"/>
      <c r="AS64" s="376"/>
      <c r="AT64" s="376"/>
      <c r="AU64" s="376"/>
      <c r="AV64" s="376"/>
      <c r="AW64" s="376"/>
      <c r="AX64" s="376"/>
      <c r="AY64" s="376"/>
      <c r="AZ64" s="376"/>
      <c r="BA64" s="376"/>
      <c r="BB64" s="376"/>
      <c r="BC64" s="376"/>
      <c r="BD64" s="376"/>
      <c r="BE64" s="376"/>
      <c r="BF64" s="376"/>
      <c r="BG64" s="376"/>
      <c r="BH64" s="376"/>
      <c r="BI64" s="376"/>
      <c r="BJ64" s="376"/>
      <c r="BK64" s="376"/>
      <c r="BL64" s="376"/>
      <c r="BM64" s="376"/>
      <c r="BN64" s="376"/>
      <c r="BO64" s="376"/>
      <c r="BP64" s="376"/>
      <c r="BQ64" s="376"/>
      <c r="BR64" s="376"/>
      <c r="BS64" s="376"/>
      <c r="BT64" s="376"/>
      <c r="BU64" s="376"/>
      <c r="BV64" s="376"/>
      <c r="BW64" s="376"/>
      <c r="BX64" s="376"/>
      <c r="BY64" s="376"/>
      <c r="BZ64" s="376"/>
      <c r="CA64" s="376"/>
      <c r="CB64" s="376"/>
      <c r="CC64" s="376"/>
      <c r="CD64" s="376"/>
      <c r="CE64" s="376"/>
      <c r="CF64" s="376"/>
    </row>
    <row r="65" spans="1:84" ht="17.25" thickBot="1">
      <c r="B65" s="719">
        <f>Indexador!B36</f>
        <v>44409</v>
      </c>
      <c r="C65" s="1757"/>
      <c r="D65" s="1757"/>
      <c r="E65" s="1798"/>
      <c r="F65" s="1799"/>
      <c r="G65" s="1757"/>
      <c r="H65" s="739">
        <f>SUMIF(BD!$A$41:$A$57,B65,BD!$C$41:$C$57)</f>
        <v>0</v>
      </c>
      <c r="I65" s="9"/>
      <c r="J65" s="573"/>
      <c r="K65" s="9"/>
      <c r="L65" s="17"/>
      <c r="M65" s="556"/>
      <c r="N65" s="467"/>
      <c r="O65" s="568"/>
      <c r="S65" s="376"/>
      <c r="T65" s="376"/>
      <c r="U65" s="376"/>
      <c r="V65" s="376"/>
      <c r="W65" s="376"/>
      <c r="X65" s="376"/>
      <c r="Y65" s="376"/>
      <c r="Z65" s="376"/>
      <c r="AA65" s="376"/>
      <c r="AB65" s="376"/>
      <c r="AC65" s="376"/>
      <c r="AD65" s="376"/>
      <c r="AE65" s="376"/>
      <c r="AF65" s="376"/>
      <c r="AG65" s="376"/>
      <c r="AH65" s="376"/>
      <c r="AI65" s="376"/>
      <c r="AJ65" s="376"/>
      <c r="AK65" s="376"/>
      <c r="AL65" s="376"/>
      <c r="AM65" s="376"/>
      <c r="AN65" s="376"/>
      <c r="AO65" s="376"/>
      <c r="AP65" s="376"/>
      <c r="AQ65" s="376"/>
      <c r="AR65" s="376"/>
      <c r="AS65" s="376"/>
      <c r="AT65" s="376"/>
      <c r="AU65" s="376"/>
      <c r="AV65" s="376"/>
      <c r="AW65" s="376"/>
      <c r="AX65" s="376"/>
      <c r="AY65" s="376"/>
      <c r="AZ65" s="376"/>
      <c r="BA65" s="376"/>
      <c r="BB65" s="376"/>
      <c r="BC65" s="376"/>
      <c r="BD65" s="376"/>
      <c r="BE65" s="376"/>
      <c r="BF65" s="376"/>
      <c r="BG65" s="376"/>
      <c r="BH65" s="376"/>
      <c r="BI65" s="376"/>
      <c r="BJ65" s="376"/>
      <c r="BK65" s="376"/>
      <c r="BL65" s="376"/>
      <c r="BM65" s="376"/>
      <c r="BN65" s="376"/>
      <c r="BO65" s="376"/>
      <c r="BP65" s="376"/>
      <c r="BQ65" s="376"/>
      <c r="BR65" s="376"/>
      <c r="BS65" s="376"/>
      <c r="BT65" s="376"/>
      <c r="BU65" s="376"/>
      <c r="BV65" s="376"/>
      <c r="BW65" s="376"/>
      <c r="BX65" s="376"/>
      <c r="BY65" s="376"/>
      <c r="BZ65" s="376"/>
      <c r="CA65" s="376"/>
      <c r="CB65" s="376"/>
      <c r="CC65" s="376"/>
      <c r="CD65" s="376"/>
      <c r="CE65" s="376"/>
      <c r="CF65" s="376"/>
    </row>
    <row r="66" spans="1:84">
      <c r="B66" s="714">
        <f>Indexador!B37</f>
        <v>44440</v>
      </c>
      <c r="C66" s="733">
        <f>IF($C$113="Não",SUMIFS(Faturas!H:H,Faturas!A:A,$K$12,Faturas!G:G,"piscofins",Faturas!F:F,YEAR(CAPA!B66)*100+MONTH(CAPA!B66)),IF(B66&lt;$C$114,0,SUMIFS(Faturas!H:H,Faturas!A:A,$K$12,Faturas!G:G,"piscofins",Faturas!F:F,YEAR(CAPA!B66)*100+MONTH(CAPA!B66))))</f>
        <v>17411.560000000001</v>
      </c>
      <c r="D66" s="734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92">
        <f>IF($C$113="Não",SUMIFS(Faturas!H:H,Faturas!A:A,$K$12,Faturas!G:G,"DICFIC",Faturas!F:F,YEAR(CAPA!B66)*100+MONTH(CAPA!B66)),IF(B66&lt;$C$114,0,SUMIFS(Faturas!H:H,Faturas!A:A,$K$12,Faturas!G:G,"DICFIC",Faturas!F:F,YEAR(CAPA!B66)*100+MONTH(CAPA!B66))))</f>
        <v>0</v>
      </c>
      <c r="F66" s="1793"/>
      <c r="G66" s="734">
        <f>IFERROR(VLOOKUP(B66,transmissorapiscofins[#All],2,FALSE),0)</f>
        <v>0</v>
      </c>
      <c r="H66" s="720">
        <f>SUMIF(BD!$A$41:$A$57,B66,BD!$C$41:$C$57)</f>
        <v>0</v>
      </c>
      <c r="I66" s="9"/>
      <c r="J66" s="9"/>
      <c r="K66" s="9"/>
      <c r="L66" s="17"/>
      <c r="M66" s="556"/>
      <c r="N66" s="467"/>
      <c r="S66" s="376"/>
      <c r="T66" s="376"/>
      <c r="U66" s="376"/>
      <c r="V66" s="376"/>
      <c r="W66" s="376"/>
      <c r="X66" s="376"/>
      <c r="Y66" s="376"/>
      <c r="Z66" s="376"/>
      <c r="AA66" s="376"/>
      <c r="AB66" s="376"/>
      <c r="AC66" s="376"/>
      <c r="AD66" s="376"/>
      <c r="AE66" s="376"/>
      <c r="AF66" s="376"/>
      <c r="AG66" s="376"/>
      <c r="AH66" s="376"/>
      <c r="AI66" s="376"/>
      <c r="AJ66" s="376"/>
      <c r="AK66" s="376"/>
      <c r="AL66" s="376"/>
      <c r="AM66" s="376"/>
      <c r="AN66" s="376"/>
      <c r="AO66" s="376"/>
      <c r="AP66" s="376"/>
      <c r="AQ66" s="376"/>
      <c r="AR66" s="376"/>
      <c r="AS66" s="376"/>
      <c r="AT66" s="376"/>
      <c r="AU66" s="376"/>
      <c r="AV66" s="376"/>
      <c r="AW66" s="376"/>
      <c r="AX66" s="376"/>
      <c r="AY66" s="376"/>
      <c r="AZ66" s="376"/>
      <c r="BA66" s="376"/>
      <c r="BB66" s="376"/>
      <c r="BC66" s="376"/>
      <c r="BD66" s="376"/>
      <c r="BE66" s="376"/>
      <c r="BF66" s="376"/>
      <c r="BG66" s="376"/>
      <c r="BH66" s="376"/>
      <c r="BI66" s="376"/>
      <c r="BJ66" s="376"/>
      <c r="BK66" s="376"/>
      <c r="BL66" s="376"/>
      <c r="BM66" s="376"/>
      <c r="BN66" s="376"/>
      <c r="BO66" s="376"/>
      <c r="BP66" s="376"/>
      <c r="BQ66" s="376"/>
      <c r="BR66" s="376"/>
      <c r="BS66" s="376"/>
      <c r="BT66" s="376"/>
      <c r="BU66" s="376"/>
      <c r="BV66" s="376"/>
      <c r="BW66" s="376"/>
      <c r="BX66" s="376"/>
      <c r="BY66" s="376"/>
      <c r="BZ66" s="376"/>
      <c r="CA66" s="376"/>
      <c r="CB66" s="376"/>
      <c r="CC66" s="376"/>
      <c r="CD66" s="376"/>
      <c r="CE66" s="376"/>
      <c r="CF66" s="376"/>
    </row>
    <row r="67" spans="1:84" ht="16.5" customHeight="1">
      <c r="B67" s="714">
        <f>Indexador!B38</f>
        <v>44470</v>
      </c>
      <c r="C67" s="733">
        <f>IF($C$113="Não",SUMIFS(Faturas!H:H,Faturas!A:A,$K$12,Faturas!G:G,"piscofins",Faturas!F:F,YEAR(CAPA!B67)*100+MONTH(CAPA!B67)),IF(B67&lt;$C$114,0,SUMIFS(Faturas!H:H,Faturas!A:A,$K$12,Faturas!G:G,"piscofins",Faturas!F:F,YEAR(CAPA!B67)*100+MONTH(CAPA!B67))))</f>
        <v>10205.619999999999</v>
      </c>
      <c r="D67" s="733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82">
        <f>IF($C$113="Não",SUMIFS(Faturas!H:H,Faturas!A:A,$K$12,Faturas!G:G,"DICFIC",Faturas!F:F,YEAR(CAPA!B67)*100+MONTH(CAPA!B67)),IF(B67&lt;$C$114,0,SUMIFS(Faturas!H:H,Faturas!A:A,$K$12,Faturas!G:G,"DICFIC",Faturas!F:F,YEAR(CAPA!B67)*100+MONTH(CAPA!B67))))</f>
        <v>-390.95</v>
      </c>
      <c r="F67" s="1783"/>
      <c r="G67" s="733">
        <f>IFERROR(VLOOKUP(B67,transmissorapiscofins[#All],2,FALSE),0)</f>
        <v>0</v>
      </c>
      <c r="H67" s="720">
        <f>SUMIF(BD!$A$41:$A$57,B67,BD!$C$41:$C$57)</f>
        <v>0</v>
      </c>
      <c r="I67" s="9"/>
      <c r="J67" s="9"/>
      <c r="K67" s="9"/>
      <c r="L67" s="17"/>
      <c r="M67" s="556"/>
      <c r="N67" s="738"/>
      <c r="S67" s="376"/>
      <c r="T67" s="376"/>
      <c r="U67" s="376"/>
      <c r="V67" s="376"/>
      <c r="W67" s="376"/>
      <c r="X67" s="376"/>
      <c r="Y67" s="376"/>
      <c r="Z67" s="376"/>
      <c r="AA67" s="376"/>
      <c r="AB67" s="376"/>
      <c r="AC67" s="376"/>
      <c r="AD67" s="376"/>
      <c r="AE67" s="376"/>
      <c r="AF67" s="376"/>
      <c r="AG67" s="376"/>
      <c r="AH67" s="376"/>
      <c r="AI67" s="376"/>
      <c r="AJ67" s="376"/>
      <c r="AK67" s="376"/>
      <c r="AL67" s="376"/>
      <c r="AM67" s="376"/>
      <c r="AN67" s="376"/>
      <c r="AO67" s="376"/>
      <c r="AP67" s="376"/>
      <c r="AQ67" s="376"/>
      <c r="AR67" s="376"/>
      <c r="AS67" s="376"/>
      <c r="AT67" s="376"/>
      <c r="AU67" s="376"/>
      <c r="AV67" s="376"/>
      <c r="AW67" s="376"/>
      <c r="AX67" s="376"/>
      <c r="AY67" s="376"/>
      <c r="AZ67" s="376"/>
      <c r="BA67" s="376"/>
      <c r="BB67" s="376"/>
      <c r="BC67" s="376"/>
      <c r="BD67" s="376"/>
      <c r="BE67" s="376"/>
      <c r="BF67" s="376"/>
      <c r="BG67" s="376"/>
      <c r="BH67" s="376"/>
      <c r="BI67" s="376"/>
      <c r="BJ67" s="376"/>
      <c r="BK67" s="376"/>
      <c r="BL67" s="376"/>
      <c r="BM67" s="376"/>
      <c r="BN67" s="376"/>
      <c r="BO67" s="376"/>
      <c r="BP67" s="376"/>
      <c r="BQ67" s="376"/>
      <c r="BR67" s="376"/>
      <c r="BS67" s="376"/>
      <c r="BT67" s="376"/>
      <c r="BU67" s="376"/>
      <c r="BV67" s="376"/>
      <c r="BW67" s="376"/>
      <c r="BX67" s="376"/>
      <c r="BY67" s="376"/>
      <c r="BZ67" s="376"/>
      <c r="CA67" s="376"/>
      <c r="CB67" s="376"/>
      <c r="CC67" s="376"/>
      <c r="CD67" s="376"/>
      <c r="CE67" s="376"/>
      <c r="CF67" s="376"/>
    </row>
    <row r="68" spans="1:84" ht="16.5" customHeight="1">
      <c r="B68" s="714">
        <f>Indexador!B39</f>
        <v>44501</v>
      </c>
      <c r="C68" s="733">
        <f>IF($C$113="Não",SUMIFS(Faturas!H:H,Faturas!A:A,$K$12,Faturas!G:G,"piscofins",Faturas!F:F,YEAR(CAPA!B68)*100+MONTH(CAPA!B68)),IF(B68&lt;$C$114,0,SUMIFS(Faturas!H:H,Faturas!A:A,$K$12,Faturas!G:G,"piscofins",Faturas!F:F,YEAR(CAPA!B68)*100+MONTH(CAPA!B68))))</f>
        <v>11809.65</v>
      </c>
      <c r="D68" s="733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82">
        <f>IF($C$113="Não",SUMIFS(Faturas!H:H,Faturas!A:A,$K$12,Faturas!G:G,"DICFIC",Faturas!F:F,YEAR(CAPA!B68)*100+MONTH(CAPA!B68)),IF(B68&lt;$C$114,0,SUMIFS(Faturas!H:H,Faturas!A:A,$K$12,Faturas!G:G,"DICFIC",Faturas!F:F,YEAR(CAPA!B68)*100+MONTH(CAPA!B68))))</f>
        <v>0</v>
      </c>
      <c r="F68" s="1783"/>
      <c r="G68" s="733">
        <f>IFERROR(VLOOKUP(B68,transmissorapiscofins[#All],2,FALSE),0)</f>
        <v>0</v>
      </c>
      <c r="H68" s="720">
        <f>SUMIF(BD!$A$41:$A$57,B68,BD!$C$41:$C$57)</f>
        <v>0</v>
      </c>
      <c r="I68" s="9"/>
      <c r="J68" s="9"/>
      <c r="K68" s="9"/>
      <c r="L68" s="17"/>
      <c r="M68" s="556"/>
      <c r="N68" s="467"/>
      <c r="S68" s="376"/>
      <c r="T68" s="376"/>
      <c r="U68" s="376"/>
      <c r="V68" s="376"/>
      <c r="W68" s="376"/>
      <c r="X68" s="376"/>
      <c r="Y68" s="376"/>
      <c r="Z68" s="376"/>
      <c r="AA68" s="376"/>
      <c r="AB68" s="376"/>
      <c r="AC68" s="376"/>
      <c r="AD68" s="376"/>
      <c r="AE68" s="376"/>
      <c r="AF68" s="376"/>
      <c r="AG68" s="376"/>
      <c r="AH68" s="376"/>
      <c r="AI68" s="376"/>
      <c r="AJ68" s="376"/>
      <c r="AK68" s="376"/>
      <c r="AL68" s="376"/>
      <c r="AM68" s="376"/>
      <c r="AN68" s="376"/>
      <c r="AO68" s="376"/>
      <c r="AP68" s="376"/>
      <c r="AQ68" s="376"/>
      <c r="AR68" s="376"/>
      <c r="AS68" s="376"/>
      <c r="AT68" s="376"/>
      <c r="AU68" s="376"/>
      <c r="AV68" s="376"/>
      <c r="AW68" s="376"/>
      <c r="AX68" s="376"/>
      <c r="AY68" s="376"/>
      <c r="AZ68" s="376"/>
      <c r="BA68" s="376"/>
      <c r="BB68" s="376"/>
      <c r="BC68" s="376"/>
      <c r="BD68" s="376"/>
      <c r="BE68" s="376"/>
      <c r="BF68" s="376"/>
      <c r="BG68" s="376"/>
      <c r="BH68" s="376"/>
      <c r="BI68" s="376"/>
      <c r="BJ68" s="376"/>
      <c r="BK68" s="376"/>
      <c r="BL68" s="376"/>
      <c r="BM68" s="376"/>
      <c r="BN68" s="376"/>
      <c r="BO68" s="376"/>
      <c r="BP68" s="376"/>
      <c r="BQ68" s="376"/>
      <c r="BR68" s="376"/>
      <c r="BS68" s="376"/>
      <c r="BT68" s="376"/>
      <c r="BU68" s="376"/>
      <c r="BV68" s="376"/>
      <c r="BW68" s="376"/>
      <c r="BX68" s="376"/>
      <c r="BY68" s="376"/>
      <c r="BZ68" s="376"/>
      <c r="CA68" s="376"/>
      <c r="CB68" s="376"/>
      <c r="CC68" s="376"/>
      <c r="CD68" s="376"/>
      <c r="CE68" s="376"/>
      <c r="CF68" s="376"/>
    </row>
    <row r="69" spans="1:84" ht="16.5" customHeight="1">
      <c r="B69" s="714">
        <f>Indexador!B40</f>
        <v>44531</v>
      </c>
      <c r="C69" s="733">
        <f>IF($C$113="Não",SUMIFS(Faturas!H:H,Faturas!A:A,$K$12,Faturas!G:G,"piscofins",Faturas!F:F,YEAR(CAPA!B69)*100+MONTH(CAPA!B69)),IF(B69&lt;$C$114,0,SUMIFS(Faturas!H:H,Faturas!A:A,$K$12,Faturas!G:G,"piscofins",Faturas!F:F,YEAR(CAPA!B69)*100+MONTH(CAPA!B69))))</f>
        <v>21484.6</v>
      </c>
      <c r="D69" s="733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82">
        <f>IF($C$113="Não",SUMIFS(Faturas!H:H,Faturas!A:A,$K$12,Faturas!G:G,"DICFIC",Faturas!F:F,YEAR(CAPA!B69)*100+MONTH(CAPA!B69)),IF(B69&lt;$C$114,0,SUMIFS(Faturas!H:H,Faturas!A:A,$K$12,Faturas!G:G,"DICFIC",Faturas!F:F,YEAR(CAPA!B69)*100+MONTH(CAPA!B69))))</f>
        <v>-250.72</v>
      </c>
      <c r="F69" s="1783"/>
      <c r="G69" s="733">
        <f>IFERROR(VLOOKUP(B69,transmissorapiscofins[#All],2,FALSE),0)</f>
        <v>0</v>
      </c>
      <c r="H69" s="720">
        <f>SUMIF(BD!$A$41:$A$57,B69,BD!$C$41:$C$57)</f>
        <v>0</v>
      </c>
      <c r="I69" s="9"/>
      <c r="J69" s="9"/>
      <c r="K69" s="9"/>
      <c r="L69" s="17"/>
      <c r="M69" s="556"/>
      <c r="N69" s="467"/>
      <c r="S69" s="376"/>
      <c r="T69" s="376"/>
      <c r="U69" s="376"/>
      <c r="V69" s="376"/>
      <c r="W69" s="376"/>
      <c r="X69" s="376"/>
      <c r="Y69" s="376"/>
      <c r="Z69" s="376"/>
      <c r="AA69" s="376"/>
      <c r="AB69" s="376"/>
      <c r="AC69" s="376"/>
      <c r="AD69" s="376"/>
      <c r="AE69" s="376"/>
      <c r="AF69" s="376"/>
      <c r="AG69" s="376"/>
      <c r="AH69" s="376"/>
      <c r="AI69" s="376"/>
      <c r="AJ69" s="376"/>
      <c r="AK69" s="376"/>
      <c r="AL69" s="376"/>
      <c r="AM69" s="376"/>
      <c r="AN69" s="376"/>
      <c r="AO69" s="376"/>
      <c r="AP69" s="376"/>
      <c r="AQ69" s="376"/>
      <c r="AR69" s="376"/>
      <c r="AS69" s="376"/>
      <c r="AT69" s="376"/>
      <c r="AU69" s="376"/>
      <c r="AV69" s="376"/>
      <c r="AW69" s="376"/>
      <c r="AX69" s="376"/>
      <c r="AY69" s="376"/>
      <c r="AZ69" s="376"/>
      <c r="BA69" s="376"/>
      <c r="BB69" s="376"/>
      <c r="BC69" s="376"/>
      <c r="BD69" s="376"/>
      <c r="BE69" s="376"/>
      <c r="BF69" s="376"/>
      <c r="BG69" s="376"/>
      <c r="BH69" s="376"/>
      <c r="BI69" s="376"/>
      <c r="BJ69" s="376"/>
      <c r="BK69" s="376"/>
      <c r="BL69" s="376"/>
      <c r="BM69" s="376"/>
      <c r="BN69" s="376"/>
      <c r="BO69" s="376"/>
      <c r="BP69" s="376"/>
      <c r="BQ69" s="376"/>
      <c r="BR69" s="376"/>
      <c r="BS69" s="376"/>
      <c r="BT69" s="376"/>
      <c r="BU69" s="376"/>
      <c r="BV69" s="376"/>
      <c r="BW69" s="376"/>
      <c r="BX69" s="376"/>
      <c r="BY69" s="376"/>
      <c r="BZ69" s="376"/>
      <c r="CA69" s="376"/>
      <c r="CB69" s="376"/>
      <c r="CC69" s="376"/>
      <c r="CD69" s="376"/>
      <c r="CE69" s="376"/>
      <c r="CF69" s="376"/>
    </row>
    <row r="70" spans="1:84" ht="16.5" customHeight="1">
      <c r="B70" s="714">
        <f>Indexador!B41</f>
        <v>44562</v>
      </c>
      <c r="C70" s="733">
        <f>IF($C$113="Não",SUMIFS(Faturas!H:H,Faturas!A:A,$K$12,Faturas!G:G,"piscofins",Faturas!F:F,YEAR(CAPA!B70)*100+MONTH(CAPA!B70)),IF(B70&lt;$C$114,0,SUMIFS(Faturas!H:H,Faturas!A:A,$K$12,Faturas!G:G,"piscofins",Faturas!F:F,YEAR(CAPA!B70)*100+MONTH(CAPA!B70))))</f>
        <v>26994.91</v>
      </c>
      <c r="D70" s="733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82">
        <f>IF($C$113="Não",SUMIFS(Faturas!H:H,Faturas!A:A,$K$12,Faturas!G:G,"DICFIC",Faturas!F:F,YEAR(CAPA!B70)*100+MONTH(CAPA!B70)),IF(B70&lt;$C$114,0,SUMIFS(Faturas!H:H,Faturas!A:A,$K$12,Faturas!G:G,"DICFIC",Faturas!F:F,YEAR(CAPA!B70)*100+MONTH(CAPA!B70))))</f>
        <v>0</v>
      </c>
      <c r="F70" s="1783"/>
      <c r="G70" s="733">
        <f>IFERROR(VLOOKUP(B70,transmissorapiscofins[#All],2,FALSE),0)</f>
        <v>0</v>
      </c>
      <c r="H70" s="720">
        <f>SUMIF(BD!$A$41:$A$57,B70,BD!$C$41:$C$57)</f>
        <v>0</v>
      </c>
      <c r="I70" s="9"/>
      <c r="J70" s="9"/>
      <c r="K70" s="9"/>
      <c r="L70" s="17"/>
      <c r="M70" s="556"/>
      <c r="N70" s="467"/>
      <c r="S70" s="376"/>
      <c r="T70" s="376"/>
      <c r="U70" s="376"/>
      <c r="V70" s="376"/>
      <c r="W70" s="376"/>
      <c r="X70" s="376"/>
      <c r="Y70" s="376"/>
      <c r="Z70" s="376"/>
      <c r="AA70" s="376"/>
      <c r="AB70" s="376"/>
      <c r="AC70" s="376"/>
      <c r="AD70" s="376"/>
      <c r="AE70" s="376"/>
      <c r="AF70" s="376"/>
      <c r="AG70" s="376"/>
      <c r="AH70" s="376"/>
      <c r="AI70" s="376"/>
      <c r="AJ70" s="376"/>
      <c r="AK70" s="376"/>
      <c r="AL70" s="376"/>
      <c r="AM70" s="376"/>
      <c r="AN70" s="376"/>
      <c r="AO70" s="376"/>
      <c r="AP70" s="376"/>
      <c r="AQ70" s="376"/>
      <c r="AR70" s="376"/>
      <c r="AS70" s="376"/>
      <c r="AT70" s="376"/>
      <c r="AU70" s="376"/>
      <c r="AV70" s="376"/>
      <c r="AW70" s="376"/>
      <c r="AX70" s="376"/>
      <c r="AY70" s="376"/>
      <c r="AZ70" s="376"/>
      <c r="BA70" s="376"/>
      <c r="BB70" s="376"/>
      <c r="BC70" s="376"/>
      <c r="BD70" s="376"/>
      <c r="BE70" s="376"/>
      <c r="BF70" s="376"/>
      <c r="BG70" s="376"/>
      <c r="BH70" s="376"/>
      <c r="BI70" s="376"/>
      <c r="BJ70" s="376"/>
      <c r="BK70" s="376"/>
      <c r="BL70" s="376"/>
      <c r="BM70" s="376"/>
      <c r="BN70" s="376"/>
      <c r="BO70" s="376"/>
      <c r="BP70" s="376"/>
      <c r="BQ70" s="376"/>
      <c r="BR70" s="376"/>
      <c r="BS70" s="376"/>
      <c r="BT70" s="376"/>
      <c r="BU70" s="376"/>
      <c r="BV70" s="376"/>
      <c r="BW70" s="376"/>
      <c r="BX70" s="376"/>
      <c r="BY70" s="376"/>
      <c r="BZ70" s="376"/>
      <c r="CA70" s="376"/>
      <c r="CB70" s="376"/>
      <c r="CC70" s="376"/>
      <c r="CD70" s="376"/>
      <c r="CE70" s="376"/>
      <c r="CF70" s="376"/>
    </row>
    <row r="71" spans="1:84" ht="16.5" customHeight="1">
      <c r="B71" s="714">
        <f>Indexador!B42</f>
        <v>44593</v>
      </c>
      <c r="C71" s="733">
        <f>IF($C$113="Não",SUMIFS(Faturas!H:H,Faturas!A:A,$K$12,Faturas!G:G,"piscofins",Faturas!F:F,YEAR(CAPA!B71)*100+MONTH(CAPA!B71)),IF(B71&lt;$C$114,0,SUMIFS(Faturas!H:H,Faturas!A:A,$K$12,Faturas!G:G,"piscofins",Faturas!F:F,YEAR(CAPA!B71)*100+MONTH(CAPA!B71))))</f>
        <v>30731.9</v>
      </c>
      <c r="D71" s="733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82">
        <f>IF($C$113="Não",SUMIFS(Faturas!H:H,Faturas!A:A,$K$12,Faturas!G:G,"DICFIC",Faturas!F:F,YEAR(CAPA!B71)*100+MONTH(CAPA!B71)),IF(B71&lt;$C$114,0,SUMIFS(Faturas!H:H,Faturas!A:A,$K$12,Faturas!G:G,"DICFIC",Faturas!F:F,YEAR(CAPA!B71)*100+MONTH(CAPA!B71))))</f>
        <v>-8611.65</v>
      </c>
      <c r="F71" s="1783"/>
      <c r="G71" s="733">
        <f>IFERROR(VLOOKUP(B71,transmissorapiscofins[#All],2,FALSE),0)</f>
        <v>0</v>
      </c>
      <c r="H71" s="720">
        <f>SUMIF(BD!$A$41:$A$57,B71,BD!$C$41:$C$57)</f>
        <v>0</v>
      </c>
      <c r="I71" s="9"/>
      <c r="J71" s="9"/>
      <c r="K71" s="9"/>
      <c r="L71" s="17"/>
      <c r="M71" s="556"/>
      <c r="N71" s="467"/>
      <c r="S71" s="376"/>
      <c r="T71" s="376"/>
      <c r="U71" s="376"/>
      <c r="V71" s="376"/>
      <c r="W71" s="376"/>
      <c r="X71" s="376"/>
      <c r="Y71" s="376"/>
      <c r="Z71" s="376"/>
      <c r="AA71" s="376"/>
      <c r="AB71" s="376"/>
      <c r="AC71" s="376"/>
      <c r="AD71" s="376"/>
      <c r="AE71" s="376"/>
      <c r="AF71" s="376"/>
      <c r="AG71" s="376"/>
      <c r="AH71" s="376"/>
      <c r="AI71" s="376"/>
      <c r="AJ71" s="376"/>
      <c r="AK71" s="376"/>
      <c r="AL71" s="376"/>
      <c r="AM71" s="376"/>
      <c r="AN71" s="376"/>
      <c r="AO71" s="376"/>
      <c r="AP71" s="376"/>
      <c r="AQ71" s="376"/>
      <c r="AR71" s="376"/>
      <c r="AS71" s="376"/>
      <c r="AT71" s="376"/>
      <c r="AU71" s="376"/>
      <c r="AV71" s="376"/>
      <c r="AW71" s="376"/>
      <c r="AX71" s="376"/>
      <c r="AY71" s="376"/>
      <c r="AZ71" s="376"/>
      <c r="BA71" s="376"/>
      <c r="BB71" s="376"/>
      <c r="BC71" s="376"/>
      <c r="BD71" s="376"/>
      <c r="BE71" s="376"/>
      <c r="BF71" s="376"/>
      <c r="BG71" s="376"/>
      <c r="BH71" s="376"/>
      <c r="BI71" s="376"/>
      <c r="BJ71" s="376"/>
      <c r="BK71" s="376"/>
      <c r="BL71" s="376"/>
      <c r="BM71" s="376"/>
      <c r="BN71" s="376"/>
      <c r="BO71" s="376"/>
      <c r="BP71" s="376"/>
      <c r="BQ71" s="376"/>
      <c r="BR71" s="376"/>
      <c r="BS71" s="376"/>
      <c r="BT71" s="376"/>
      <c r="BU71" s="376"/>
      <c r="BV71" s="376"/>
      <c r="BW71" s="376"/>
      <c r="BX71" s="376"/>
      <c r="BY71" s="376"/>
      <c r="BZ71" s="376"/>
      <c r="CA71" s="376"/>
      <c r="CB71" s="376"/>
      <c r="CC71" s="376"/>
      <c r="CD71" s="376"/>
      <c r="CE71" s="376"/>
      <c r="CF71" s="376"/>
    </row>
    <row r="72" spans="1:84" ht="16.5" customHeight="1">
      <c r="B72" s="714">
        <f>Indexador!B43</f>
        <v>44621</v>
      </c>
      <c r="C72" s="733">
        <f>IF($C$113="Não",SUMIFS(Faturas!H:H,Faturas!A:A,$K$12,Faturas!G:G,"piscofins",Faturas!F:F,YEAR(CAPA!B72)*100+MONTH(CAPA!B72)),IF(B72&lt;$C$114,0,SUMIFS(Faturas!H:H,Faturas!A:A,$K$12,Faturas!G:G,"piscofins",Faturas!F:F,YEAR(CAPA!B72)*100+MONTH(CAPA!B72))))</f>
        <v>28439.55</v>
      </c>
      <c r="D72" s="733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82">
        <f>IF($C$113="Não",SUMIFS(Faturas!H:H,Faturas!A:A,$K$12,Faturas!G:G,"DICFIC",Faturas!F:F,YEAR(CAPA!B72)*100+MONTH(CAPA!B72)),IF(B72&lt;$C$114,0,SUMIFS(Faturas!H:H,Faturas!A:A,$K$12,Faturas!G:G,"DICFIC",Faturas!F:F,YEAR(CAPA!B72)*100+MONTH(CAPA!B72))))</f>
        <v>0</v>
      </c>
      <c r="F72" s="1783"/>
      <c r="G72" s="733">
        <f>IFERROR(VLOOKUP(B72,transmissorapiscofins[#All],2,FALSE),0)</f>
        <v>0</v>
      </c>
      <c r="H72" s="720">
        <f>SUMIF(BD!$A$41:$A$57,B72,BD!$C$41:$C$57)</f>
        <v>0</v>
      </c>
      <c r="J72" s="474" t="s">
        <v>653</v>
      </c>
      <c r="K72" s="474" t="s">
        <v>654</v>
      </c>
      <c r="L72" s="590" t="s">
        <v>654</v>
      </c>
      <c r="M72" s="590" t="s">
        <v>655</v>
      </c>
      <c r="N72" s="467"/>
      <c r="S72" s="376"/>
      <c r="T72" s="376"/>
      <c r="U72" s="376"/>
      <c r="V72" s="376"/>
      <c r="W72" s="376"/>
      <c r="X72" s="376"/>
      <c r="Y72" s="376"/>
      <c r="Z72" s="376"/>
      <c r="AA72" s="376"/>
      <c r="AB72" s="376"/>
      <c r="AC72" s="376"/>
      <c r="AD72" s="376"/>
      <c r="AE72" s="376"/>
      <c r="AF72" s="376"/>
      <c r="AG72" s="376"/>
      <c r="AH72" s="376"/>
      <c r="AI72" s="376"/>
      <c r="AJ72" s="376"/>
      <c r="AK72" s="376"/>
      <c r="AL72" s="376"/>
      <c r="AM72" s="376"/>
      <c r="AN72" s="376"/>
      <c r="AO72" s="376"/>
      <c r="AP72" s="376"/>
      <c r="AQ72" s="376"/>
      <c r="AR72" s="376"/>
      <c r="AS72" s="376"/>
      <c r="AT72" s="376"/>
      <c r="AU72" s="376"/>
      <c r="AV72" s="376"/>
      <c r="AW72" s="376"/>
      <c r="AX72" s="376"/>
      <c r="AY72" s="376"/>
      <c r="AZ72" s="376"/>
      <c r="BA72" s="376"/>
      <c r="BB72" s="376"/>
      <c r="BC72" s="376"/>
      <c r="BD72" s="376"/>
      <c r="BE72" s="376"/>
      <c r="BF72" s="376"/>
      <c r="BG72" s="376"/>
      <c r="BH72" s="376"/>
      <c r="BI72" s="376"/>
      <c r="BJ72" s="376"/>
      <c r="BK72" s="376"/>
      <c r="BL72" s="376"/>
      <c r="BM72" s="376"/>
      <c r="BN72" s="376"/>
      <c r="BO72" s="376"/>
      <c r="BP72" s="376"/>
      <c r="BQ72" s="376"/>
      <c r="BR72" s="376"/>
      <c r="BS72" s="376"/>
      <c r="BT72" s="376"/>
      <c r="BU72" s="376"/>
      <c r="BV72" s="376"/>
      <c r="BW72" s="376"/>
      <c r="BX72" s="376"/>
      <c r="BY72" s="376"/>
      <c r="BZ72" s="376"/>
      <c r="CA72" s="376"/>
      <c r="CB72" s="376"/>
      <c r="CC72" s="376"/>
      <c r="CD72" s="376"/>
      <c r="CE72" s="376"/>
      <c r="CF72" s="376"/>
    </row>
    <row r="73" spans="1:84" ht="16.5" customHeight="1">
      <c r="B73" s="714">
        <f>Indexador!B44</f>
        <v>44652</v>
      </c>
      <c r="C73" s="733">
        <f>IF($C$113="Não",SUMIFS(Faturas!H:H,Faturas!A:A,$K$12,Faturas!G:G,"piscofins",Faturas!F:F,YEAR(CAPA!B73)*100+MONTH(CAPA!B73)),IF(B73&lt;$C$114,0,SUMIFS(Faturas!H:H,Faturas!A:A,$K$12,Faturas!G:G,"piscofins",Faturas!F:F,YEAR(CAPA!B73)*100+MONTH(CAPA!B73))))</f>
        <v>24997.449999999997</v>
      </c>
      <c r="D73" s="733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82">
        <f>IF($C$113="Não",SUMIFS(Faturas!H:H,Faturas!A:A,$K$12,Faturas!G:G,"DICFIC",Faturas!F:F,YEAR(CAPA!B73)*100+MONTH(CAPA!B73)),IF(B73&lt;$C$114,0,SUMIFS(Faturas!H:H,Faturas!A:A,$K$12,Faturas!G:G,"DICFIC",Faturas!F:F,YEAR(CAPA!B73)*100+MONTH(CAPA!B73))))</f>
        <v>0</v>
      </c>
      <c r="F73" s="1783"/>
      <c r="G73" s="733">
        <f>IFERROR(VLOOKUP(B73,transmissorapiscofins[#All],2,FALSE),0)</f>
        <v>0</v>
      </c>
      <c r="H73" s="720">
        <f>SUMIF(BD!$A$41:$A$57,B73,BD!$C$41:$C$57)</f>
        <v>0</v>
      </c>
      <c r="J73" s="1001" t="str">
        <f ca="1">IFERROR(VLOOKUP(TRUE,BD!D41:F56,3,FALSE),"todos os meses")</f>
        <v>todos os meses</v>
      </c>
      <c r="K73" s="1002" t="s">
        <v>656</v>
      </c>
      <c r="L73" s="1003">
        <f ca="1">IF(Energia!F24*2/3=0,0.0000001,Energia!F24*2/3)</f>
        <v>2257859.1597606451</v>
      </c>
      <c r="M73" s="1004">
        <f ca="1">IFERROR(-LnkTXTBandeira/Energia!F24," ")</f>
        <v>0</v>
      </c>
      <c r="N73" s="467"/>
      <c r="S73" s="376"/>
      <c r="T73" s="376"/>
      <c r="U73" s="376"/>
      <c r="V73" s="376"/>
      <c r="W73" s="376"/>
      <c r="X73" s="376"/>
      <c r="Y73" s="376"/>
      <c r="Z73" s="376"/>
      <c r="AA73" s="376"/>
      <c r="AB73" s="376"/>
      <c r="AC73" s="376"/>
      <c r="AD73" s="376"/>
      <c r="AE73" s="376"/>
      <c r="AF73" s="376"/>
      <c r="AG73" s="376"/>
      <c r="AH73" s="376"/>
      <c r="AI73" s="376"/>
      <c r="AJ73" s="376"/>
      <c r="AK73" s="376"/>
      <c r="AL73" s="376"/>
      <c r="AM73" s="376"/>
      <c r="AN73" s="376"/>
      <c r="AO73" s="376"/>
      <c r="AP73" s="376"/>
      <c r="AQ73" s="376"/>
      <c r="AR73" s="376"/>
      <c r="AS73" s="376"/>
      <c r="AT73" s="376"/>
      <c r="AU73" s="376"/>
      <c r="AV73" s="376"/>
      <c r="AW73" s="376"/>
      <c r="AX73" s="376"/>
      <c r="AY73" s="376"/>
      <c r="AZ73" s="376"/>
      <c r="BA73" s="376"/>
      <c r="BB73" s="376"/>
      <c r="BC73" s="376"/>
      <c r="BD73" s="376"/>
      <c r="BE73" s="376"/>
      <c r="BF73" s="376"/>
      <c r="BG73" s="376"/>
      <c r="BH73" s="376"/>
      <c r="BI73" s="376"/>
      <c r="BJ73" s="376"/>
      <c r="BK73" s="376"/>
      <c r="BL73" s="376"/>
      <c r="BM73" s="376"/>
      <c r="BN73" s="376"/>
      <c r="BO73" s="376"/>
      <c r="BP73" s="376"/>
      <c r="BQ73" s="376"/>
      <c r="BR73" s="376"/>
      <c r="BS73" s="376"/>
      <c r="BT73" s="376"/>
      <c r="BU73" s="376"/>
      <c r="BV73" s="376"/>
      <c r="BW73" s="376"/>
      <c r="BX73" s="376"/>
      <c r="BY73" s="376"/>
      <c r="BZ73" s="376"/>
      <c r="CA73" s="376"/>
      <c r="CB73" s="376"/>
      <c r="CC73" s="376"/>
      <c r="CD73" s="376"/>
      <c r="CE73" s="376"/>
      <c r="CF73" s="376"/>
    </row>
    <row r="74" spans="1:84">
      <c r="B74" s="714">
        <f>Indexador!B45</f>
        <v>44682</v>
      </c>
      <c r="C74" s="733">
        <f>IF($C$113="Não",SUMIFS(Faturas!H:H,Faturas!A:A,$K$12,Faturas!G:G,"piscofins",Faturas!F:F,YEAR(CAPA!B74)*100+MONTH(CAPA!B74)),IF(B74&lt;$C$114,0,SUMIFS(Faturas!H:H,Faturas!A:A,$K$12,Faturas!G:G,"piscofins",Faturas!F:F,YEAR(CAPA!B74)*100+MONTH(CAPA!B74))))</f>
        <v>29953.809999999998</v>
      </c>
      <c r="D74" s="733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82">
        <f>IF($C$113="Não",SUMIFS(Faturas!H:H,Faturas!A:A,$K$12,Faturas!G:G,"DICFIC",Faturas!F:F,YEAR(CAPA!B74)*100+MONTH(CAPA!B74)),IF(B74&lt;$C$114,0,SUMIFS(Faturas!H:H,Faturas!A:A,$K$12,Faturas!G:G,"DICFIC",Faturas!F:F,YEAR(CAPA!B74)*100+MONTH(CAPA!B74))))</f>
        <v>0</v>
      </c>
      <c r="F74" s="1783"/>
      <c r="G74" s="733">
        <f>IFERROR(VLOOKUP(B74,transmissorapiscofins[#All],2,FALSE),0)</f>
        <v>0</v>
      </c>
      <c r="H74" s="720">
        <f>SUMIF(BD!$A$41:$A$57,B74,BD!$C$41:$C$57)</f>
        <v>0</v>
      </c>
      <c r="I74" s="9"/>
      <c r="J74" s="9"/>
      <c r="K74" s="9"/>
      <c r="L74" s="17"/>
      <c r="M74" s="556"/>
      <c r="N74" s="467"/>
      <c r="S74" s="376"/>
      <c r="T74" s="376"/>
      <c r="U74" s="376"/>
      <c r="V74" s="376"/>
      <c r="W74" s="376"/>
      <c r="X74" s="376"/>
      <c r="Y74" s="376"/>
      <c r="Z74" s="376"/>
      <c r="AA74" s="376"/>
      <c r="AB74" s="376"/>
      <c r="AC74" s="376"/>
      <c r="AD74" s="376"/>
      <c r="AE74" s="376"/>
      <c r="AF74" s="376"/>
      <c r="AG74" s="376"/>
      <c r="AH74" s="376"/>
      <c r="AI74" s="376"/>
      <c r="AJ74" s="376"/>
      <c r="AK74" s="376"/>
      <c r="AL74" s="376"/>
      <c r="AM74" s="376"/>
      <c r="AN74" s="376"/>
      <c r="AO74" s="376"/>
      <c r="AP74" s="376"/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G74" s="376"/>
      <c r="BH74" s="376"/>
      <c r="BI74" s="376"/>
      <c r="BJ74" s="376"/>
      <c r="BK74" s="376"/>
      <c r="BL74" s="376"/>
      <c r="BM74" s="376"/>
      <c r="BN74" s="376"/>
      <c r="BO74" s="376"/>
      <c r="BP74" s="376"/>
      <c r="BQ74" s="376"/>
      <c r="BR74" s="376"/>
      <c r="BS74" s="376"/>
      <c r="BT74" s="376"/>
      <c r="BU74" s="376"/>
      <c r="BV74" s="376"/>
      <c r="BW74" s="376"/>
      <c r="BX74" s="376"/>
      <c r="BY74" s="376"/>
      <c r="BZ74" s="376"/>
      <c r="CA74" s="376"/>
      <c r="CB74" s="376"/>
      <c r="CC74" s="376"/>
      <c r="CD74" s="376"/>
      <c r="CE74" s="376"/>
      <c r="CF74" s="376"/>
    </row>
    <row r="75" spans="1:84" ht="16.5" customHeight="1">
      <c r="B75" s="714">
        <f>Indexador!B46</f>
        <v>44713</v>
      </c>
      <c r="C75" s="733">
        <f>IF($C$113="Não",SUMIFS(Faturas!H:H,Faturas!A:A,$K$12,Faturas!G:G,"piscofins",Faturas!F:F,YEAR(CAPA!B75)*100+MONTH(CAPA!B75)),IF(B75&lt;$C$114,0,SUMIFS(Faturas!H:H,Faturas!A:A,$K$12,Faturas!G:G,"piscofins",Faturas!F:F,YEAR(CAPA!B75)*100+MONTH(CAPA!B75))))</f>
        <v>17024.87</v>
      </c>
      <c r="D75" s="733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82">
        <f>IF($C$113="Não",SUMIFS(Faturas!H:H,Faturas!A:A,$K$12,Faturas!G:G,"DICFIC",Faturas!F:F,YEAR(CAPA!B75)*100+MONTH(CAPA!B75)),IF(B75&lt;$C$114,0,SUMIFS(Faturas!H:H,Faturas!A:A,$K$12,Faturas!G:G,"DICFIC",Faturas!F:F,YEAR(CAPA!B75)*100+MONTH(CAPA!B75))))</f>
        <v>0</v>
      </c>
      <c r="F75" s="1783"/>
      <c r="G75" s="733">
        <f>IFERROR(VLOOKUP(B75,transmissorapiscofins[#All],2,FALSE),0)</f>
        <v>0</v>
      </c>
      <c r="H75" s="720">
        <f>SUMIF(BD!$A$41:$A$57,B75,BD!$C$41:$C$57)</f>
        <v>80599.468900000007</v>
      </c>
      <c r="I75" s="9"/>
      <c r="J75" s="9"/>
      <c r="K75" s="9"/>
      <c r="L75" s="17"/>
      <c r="M75" s="556"/>
      <c r="N75" s="467"/>
      <c r="S75" s="376"/>
      <c r="T75" s="376"/>
      <c r="U75" s="376"/>
      <c r="V75" s="376"/>
      <c r="W75" s="376"/>
      <c r="X75" s="376"/>
      <c r="Y75" s="376"/>
      <c r="Z75" s="376"/>
      <c r="AA75" s="376"/>
      <c r="AB75" s="376"/>
      <c r="AC75" s="376"/>
      <c r="AD75" s="376"/>
      <c r="AE75" s="376"/>
      <c r="AF75" s="376"/>
      <c r="AG75" s="376"/>
      <c r="AH75" s="376"/>
      <c r="AI75" s="376"/>
      <c r="AJ75" s="376"/>
      <c r="AK75" s="376"/>
      <c r="AL75" s="376"/>
      <c r="AM75" s="376"/>
      <c r="AN75" s="376"/>
      <c r="AO75" s="376"/>
      <c r="AP75" s="376"/>
      <c r="AQ75" s="376"/>
      <c r="AR75" s="376"/>
      <c r="AS75" s="376"/>
      <c r="AT75" s="376"/>
      <c r="AU75" s="376"/>
      <c r="AV75" s="376"/>
      <c r="AW75" s="376"/>
      <c r="AX75" s="376"/>
      <c r="AY75" s="376"/>
      <c r="AZ75" s="376"/>
      <c r="BA75" s="376"/>
      <c r="BB75" s="376"/>
      <c r="BC75" s="376"/>
      <c r="BD75" s="376"/>
      <c r="BE75" s="376"/>
      <c r="BF75" s="376"/>
      <c r="BG75" s="376"/>
      <c r="BH75" s="376"/>
      <c r="BI75" s="376"/>
      <c r="BJ75" s="376"/>
      <c r="BK75" s="376"/>
      <c r="BL75" s="376"/>
      <c r="BM75" s="376"/>
      <c r="BN75" s="376"/>
      <c r="BO75" s="376"/>
      <c r="BP75" s="376"/>
      <c r="BQ75" s="376"/>
      <c r="BR75" s="376"/>
      <c r="BS75" s="376"/>
      <c r="BT75" s="376"/>
      <c r="BU75" s="376"/>
      <c r="BV75" s="376"/>
      <c r="BW75" s="376"/>
      <c r="BX75" s="376"/>
      <c r="BY75" s="376"/>
      <c r="BZ75" s="376"/>
      <c r="CA75" s="376"/>
      <c r="CB75" s="376"/>
      <c r="CC75" s="376"/>
      <c r="CD75" s="376"/>
      <c r="CE75" s="376"/>
      <c r="CF75" s="376"/>
    </row>
    <row r="76" spans="1:84">
      <c r="B76" s="714">
        <f>Indexador!B47</f>
        <v>44743</v>
      </c>
      <c r="C76" s="733">
        <f>IF($C$113="Não",SUMIFS(Faturas!H:H,Faturas!A:A,$K$12,Faturas!G:G,"piscofins",Faturas!F:F,YEAR(CAPA!B76)*100+MONTH(CAPA!B76)),IF(B76&lt;$C$114,0,SUMIFS(Faturas!H:H,Faturas!A:A,$K$12,Faturas!G:G,"piscofins",Faturas!F:F,YEAR(CAPA!B76)*100+MONTH(CAPA!B76))))</f>
        <v>21611.26</v>
      </c>
      <c r="D76" s="733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82">
        <f>IF($C$113="Não",SUMIFS(Faturas!H:H,Faturas!A:A,$K$12,Faturas!G:G,"DICFIC",Faturas!F:F,YEAR(CAPA!B76)*100+MONTH(CAPA!B76)),IF(B76&lt;$C$114,0,SUMIFS(Faturas!H:H,Faturas!A:A,$K$12,Faturas!G:G,"DICFIC",Faturas!F:F,YEAR(CAPA!B76)*100+MONTH(CAPA!B76))))</f>
        <v>0</v>
      </c>
      <c r="F76" s="1783"/>
      <c r="G76" s="733">
        <f>IFERROR(VLOOKUP(B76,transmissorapiscofins[#All],2,FALSE),0)</f>
        <v>0</v>
      </c>
      <c r="H76" s="720">
        <f>SUMIF(BD!$A$41:$A$57,B76,BD!$C$41:$C$57)</f>
        <v>4998.8926000000001</v>
      </c>
      <c r="I76" s="9"/>
      <c r="J76" s="9"/>
      <c r="K76" s="9"/>
      <c r="L76" s="17"/>
      <c r="M76" s="556"/>
      <c r="N76" s="467"/>
      <c r="S76" s="376"/>
      <c r="T76" s="376"/>
      <c r="U76" s="376"/>
      <c r="V76" s="376"/>
      <c r="W76" s="376"/>
      <c r="X76" s="376"/>
      <c r="Y76" s="376"/>
      <c r="Z76" s="376"/>
      <c r="AA76" s="376"/>
      <c r="AB76" s="376"/>
      <c r="AC76" s="376"/>
      <c r="AD76" s="376"/>
      <c r="AE76" s="376"/>
      <c r="AF76" s="376"/>
      <c r="AG76" s="376"/>
      <c r="AH76" s="376"/>
      <c r="AI76" s="376"/>
      <c r="AJ76" s="376"/>
      <c r="AK76" s="376"/>
      <c r="AL76" s="376"/>
      <c r="AM76" s="376"/>
      <c r="AN76" s="376"/>
      <c r="AO76" s="376"/>
      <c r="AP76" s="376"/>
      <c r="AQ76" s="376"/>
      <c r="AR76" s="376"/>
      <c r="AS76" s="376"/>
      <c r="AT76" s="376"/>
      <c r="AU76" s="376"/>
      <c r="AV76" s="376"/>
      <c r="AW76" s="376"/>
      <c r="AX76" s="376"/>
      <c r="AY76" s="376"/>
      <c r="AZ76" s="376"/>
      <c r="BA76" s="376"/>
      <c r="BB76" s="376"/>
      <c r="BC76" s="376"/>
      <c r="BD76" s="376"/>
      <c r="BE76" s="376"/>
      <c r="BF76" s="376"/>
      <c r="BG76" s="376"/>
      <c r="BH76" s="376"/>
      <c r="BI76" s="376"/>
      <c r="BJ76" s="376"/>
      <c r="BK76" s="376"/>
      <c r="BL76" s="376"/>
      <c r="BM76" s="376"/>
      <c r="BN76" s="376"/>
      <c r="BO76" s="376"/>
      <c r="BP76" s="376"/>
      <c r="BQ76" s="376"/>
      <c r="BR76" s="376"/>
      <c r="BS76" s="376"/>
      <c r="BT76" s="376"/>
      <c r="BU76" s="376"/>
      <c r="BV76" s="376"/>
      <c r="BW76" s="376"/>
      <c r="BX76" s="376"/>
      <c r="BY76" s="376"/>
      <c r="BZ76" s="376"/>
      <c r="CA76" s="376"/>
      <c r="CB76" s="376"/>
      <c r="CC76" s="376"/>
      <c r="CD76" s="376"/>
      <c r="CE76" s="376"/>
      <c r="CF76" s="376"/>
    </row>
    <row r="77" spans="1:84" ht="16.5" thickBot="1">
      <c r="B77" s="715">
        <f>Indexador!B48</f>
        <v>44774</v>
      </c>
      <c r="C77" s="735">
        <f>IF($C$113="Não",SUMIFS(Faturas!H:H,Faturas!A:A,$K$12,Faturas!G:G,"piscofins",Faturas!F:F,YEAR(CAPA!B77)*100+MONTH(CAPA!B77)),IF(B77&lt;$C$114,0,SUMIFS(Faturas!H:H,Faturas!A:A,$K$12,Faturas!G:G,"piscofins",Faturas!F:F,YEAR(CAPA!B77)*100+MONTH(CAPA!B77))))</f>
        <v>27374.799999999999</v>
      </c>
      <c r="D77" s="833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85">
        <f>IF($C$113="Não",SUMIFS(Faturas!H:H,Faturas!A:A,$K$12,Faturas!G:G,"DICFIC",Faturas!F:F,YEAR(CAPA!B77)*100+MONTH(CAPA!B77)),IF(B77&lt;$C$114,0,SUMIFS(Faturas!H:H,Faturas!A:A,$K$12,Faturas!G:G,"DICFIC",Faturas!F:F,YEAR(CAPA!B77)*100+MONTH(CAPA!B77))))</f>
        <v>-167.92</v>
      </c>
      <c r="F77" s="1786"/>
      <c r="G77" s="833">
        <f>IFERROR(VLOOKUP(B77,transmissorapiscofins[#All],2,FALSE),0)</f>
        <v>0</v>
      </c>
      <c r="H77" s="825">
        <f>SUMIF(BD!$A$41:$A$57,B77,BD!$C$41:$C$57)</f>
        <v>-166.27</v>
      </c>
      <c r="I77" s="572">
        <f>SUM(D65:D76)+D76</f>
        <v>0</v>
      </c>
      <c r="J77" s="9"/>
      <c r="K77" s="9"/>
      <c r="L77" s="17"/>
      <c r="M77" s="556"/>
      <c r="O77" s="9"/>
      <c r="R77" s="376"/>
      <c r="S77" s="376"/>
      <c r="T77" s="376"/>
      <c r="U77" s="376"/>
      <c r="V77" s="376"/>
      <c r="W77" s="376"/>
      <c r="X77" s="376"/>
      <c r="Y77" s="376"/>
      <c r="Z77" s="376"/>
      <c r="AA77" s="376"/>
      <c r="AB77" s="376"/>
      <c r="AC77" s="376"/>
      <c r="AD77" s="376"/>
      <c r="AE77" s="376"/>
      <c r="AF77" s="376"/>
      <c r="AG77" s="376"/>
      <c r="AH77" s="376"/>
      <c r="AI77" s="376"/>
      <c r="AJ77" s="376"/>
      <c r="AK77" s="376"/>
      <c r="AL77" s="376"/>
      <c r="AM77" s="376"/>
      <c r="AN77" s="376"/>
      <c r="AO77" s="376"/>
      <c r="AP77" s="376"/>
      <c r="AQ77" s="376"/>
      <c r="AR77" s="376"/>
      <c r="AS77" s="376"/>
      <c r="AT77" s="376"/>
      <c r="AU77" s="376"/>
      <c r="AV77" s="376"/>
      <c r="AW77" s="376"/>
      <c r="AX77" s="376"/>
      <c r="AY77" s="376"/>
      <c r="AZ77" s="376"/>
      <c r="BA77" s="376"/>
      <c r="BB77" s="376"/>
      <c r="BC77" s="376"/>
      <c r="BD77" s="376"/>
      <c r="BE77" s="376"/>
      <c r="BF77" s="376"/>
      <c r="BG77" s="376"/>
      <c r="BH77" s="376"/>
      <c r="BI77" s="376"/>
      <c r="BJ77" s="376"/>
      <c r="BK77" s="376"/>
      <c r="BL77" s="376"/>
      <c r="BM77" s="376"/>
      <c r="BN77" s="376"/>
      <c r="BO77" s="376"/>
      <c r="BP77" s="376"/>
      <c r="BQ77" s="376"/>
      <c r="BR77" s="376"/>
      <c r="BS77" s="376"/>
      <c r="BT77" s="376"/>
      <c r="BU77" s="376"/>
      <c r="BV77" s="376"/>
      <c r="BW77" s="376"/>
      <c r="BX77" s="376"/>
      <c r="BY77" s="376"/>
      <c r="BZ77" s="376"/>
      <c r="CA77" s="376"/>
      <c r="CB77" s="376"/>
      <c r="CC77" s="376"/>
      <c r="CD77" s="376"/>
      <c r="CE77" s="376"/>
      <c r="CF77" s="376"/>
    </row>
    <row r="78" spans="1:84">
      <c r="B78" s="9"/>
      <c r="C78" s="9"/>
      <c r="D78" s="9"/>
      <c r="E78" s="9"/>
      <c r="F78" s="9"/>
      <c r="G78" s="9"/>
      <c r="H78" s="9"/>
      <c r="I78" s="9"/>
      <c r="J78" s="572"/>
      <c r="K78" s="9"/>
      <c r="L78" s="17"/>
      <c r="M78" s="534"/>
      <c r="O78" s="9"/>
      <c r="R78" s="376"/>
      <c r="S78" s="376"/>
      <c r="T78" s="376"/>
      <c r="U78" s="376"/>
      <c r="V78" s="376"/>
      <c r="W78" s="376"/>
      <c r="X78" s="376"/>
      <c r="Y78" s="376"/>
      <c r="Z78" s="376"/>
      <c r="AA78" s="376"/>
      <c r="AB78" s="376"/>
      <c r="AC78" s="376"/>
      <c r="AD78" s="376"/>
      <c r="AE78" s="376"/>
      <c r="AF78" s="376"/>
      <c r="AG78" s="376"/>
      <c r="AH78" s="376"/>
      <c r="AI78" s="376"/>
      <c r="AJ78" s="376"/>
      <c r="AK78" s="376"/>
      <c r="AL78" s="376"/>
      <c r="AM78" s="376"/>
      <c r="AN78" s="376"/>
      <c r="AO78" s="376"/>
      <c r="AP78" s="376"/>
      <c r="AQ78" s="376"/>
      <c r="AR78" s="376"/>
      <c r="AS78" s="376"/>
      <c r="AT78" s="376"/>
      <c r="AU78" s="376"/>
      <c r="AV78" s="376"/>
      <c r="AW78" s="376"/>
      <c r="AX78" s="376"/>
      <c r="AY78" s="376"/>
      <c r="AZ78" s="376"/>
      <c r="BA78" s="376"/>
      <c r="BB78" s="376"/>
      <c r="BC78" s="376"/>
      <c r="BD78" s="376"/>
      <c r="BE78" s="376"/>
      <c r="BF78" s="376"/>
      <c r="BG78" s="376"/>
      <c r="BH78" s="376"/>
      <c r="BI78" s="376"/>
      <c r="BJ78" s="376"/>
      <c r="BK78" s="376"/>
      <c r="BL78" s="376"/>
      <c r="BM78" s="376"/>
      <c r="BN78" s="376"/>
      <c r="BO78" s="376"/>
      <c r="BP78" s="376"/>
      <c r="BQ78" s="376"/>
      <c r="BR78" s="376"/>
      <c r="BS78" s="376"/>
      <c r="BT78" s="376"/>
      <c r="BU78" s="376"/>
      <c r="BV78" s="376"/>
      <c r="BW78" s="376"/>
      <c r="BX78" s="376"/>
      <c r="BY78" s="376"/>
      <c r="BZ78" s="376"/>
      <c r="CA78" s="376"/>
      <c r="CB78" s="376"/>
      <c r="CC78" s="376"/>
      <c r="CD78" s="376"/>
      <c r="CE78" s="376"/>
      <c r="CF78" s="376"/>
    </row>
    <row r="79" spans="1:84" ht="17.25" thickBot="1">
      <c r="F79" s="518"/>
      <c r="G79" s="519"/>
      <c r="H79" s="520"/>
      <c r="I79" s="514"/>
      <c r="J79" s="514"/>
      <c r="K79" s="515"/>
      <c r="L79" s="758"/>
      <c r="M79" s="737"/>
      <c r="O79" s="9"/>
      <c r="R79" s="376"/>
      <c r="S79" s="376"/>
      <c r="T79" s="376"/>
      <c r="U79" s="376"/>
      <c r="V79" s="376"/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376"/>
      <c r="AH79" s="376"/>
      <c r="AI79" s="376"/>
      <c r="AJ79" s="376"/>
      <c r="AK79" s="376"/>
      <c r="AL79" s="376"/>
      <c r="AM79" s="376"/>
      <c r="AN79" s="376"/>
      <c r="AO79" s="376"/>
      <c r="AP79" s="376"/>
      <c r="AQ79" s="376"/>
      <c r="AR79" s="376"/>
      <c r="AS79" s="376"/>
      <c r="AT79" s="376"/>
      <c r="AU79" s="376"/>
      <c r="AV79" s="376"/>
      <c r="AW79" s="376"/>
      <c r="AX79" s="376"/>
      <c r="AY79" s="376"/>
      <c r="AZ79" s="376"/>
      <c r="BA79" s="376"/>
      <c r="BB79" s="376"/>
      <c r="BC79" s="376"/>
      <c r="BD79" s="376"/>
      <c r="BE79" s="376"/>
      <c r="BF79" s="376"/>
      <c r="BG79" s="376"/>
      <c r="BH79" s="376"/>
      <c r="BI79" s="376"/>
      <c r="BJ79" s="376"/>
      <c r="BK79" s="376"/>
      <c r="BL79" s="376"/>
      <c r="BM79" s="376"/>
      <c r="BN79" s="376"/>
      <c r="BO79" s="376"/>
      <c r="BP79" s="376"/>
      <c r="BQ79" s="376"/>
      <c r="BR79" s="376"/>
      <c r="BS79" s="376"/>
      <c r="BT79" s="376"/>
      <c r="BU79" s="376"/>
      <c r="BV79" s="376"/>
      <c r="BW79" s="376"/>
      <c r="BX79" s="376"/>
      <c r="BY79" s="376"/>
      <c r="BZ79" s="376"/>
      <c r="CA79" s="376"/>
      <c r="CB79" s="376"/>
      <c r="CC79" s="376"/>
      <c r="CD79" s="376"/>
      <c r="CE79" s="376"/>
      <c r="CF79" s="376"/>
    </row>
    <row r="80" spans="1:84" ht="26.25" thickBot="1">
      <c r="A80" s="566"/>
      <c r="B80" s="530" t="s">
        <v>657</v>
      </c>
      <c r="C80" s="541"/>
      <c r="D80" s="542"/>
      <c r="E80" s="542"/>
      <c r="F80" s="542"/>
      <c r="G80" s="522"/>
      <c r="H80" s="523"/>
      <c r="I80" s="542"/>
      <c r="J80" s="543"/>
      <c r="K80" s="544"/>
      <c r="L80" s="757"/>
      <c r="M80" s="567"/>
      <c r="O80" s="9"/>
      <c r="R80" s="376"/>
      <c r="S80" s="376"/>
      <c r="T80" s="376"/>
      <c r="U80" s="376"/>
      <c r="V80" s="376"/>
      <c r="W80" s="376"/>
      <c r="X80" s="376"/>
      <c r="Y80" s="376"/>
      <c r="Z80" s="376"/>
      <c r="AA80" s="376"/>
      <c r="AB80" s="376"/>
      <c r="AC80" s="376"/>
      <c r="AD80" s="376"/>
      <c r="AE80" s="376"/>
      <c r="AF80" s="376"/>
      <c r="AG80" s="376"/>
      <c r="AH80" s="376"/>
      <c r="AI80" s="376"/>
      <c r="AJ80" s="376"/>
      <c r="AK80" s="376"/>
      <c r="AL80" s="376"/>
      <c r="AM80" s="376"/>
      <c r="AN80" s="376"/>
      <c r="AO80" s="376"/>
      <c r="AP80" s="376"/>
      <c r="AQ80" s="376"/>
      <c r="AR80" s="376"/>
      <c r="AS80" s="376"/>
      <c r="AT80" s="376"/>
      <c r="AU80" s="376"/>
      <c r="AV80" s="376"/>
      <c r="AW80" s="376"/>
      <c r="AX80" s="376"/>
      <c r="AY80" s="376"/>
      <c r="AZ80" s="376"/>
      <c r="BA80" s="376"/>
      <c r="BB80" s="376"/>
      <c r="BC80" s="376"/>
      <c r="BD80" s="376"/>
      <c r="BE80" s="376"/>
      <c r="BF80" s="376"/>
      <c r="BG80" s="376"/>
      <c r="BH80" s="376"/>
      <c r="BI80" s="376"/>
      <c r="BJ80" s="376"/>
      <c r="BK80" s="376"/>
      <c r="BL80" s="376"/>
      <c r="BM80" s="376"/>
      <c r="BN80" s="376"/>
      <c r="BO80" s="376"/>
      <c r="BP80" s="376"/>
      <c r="BQ80" s="376"/>
      <c r="BR80" s="376"/>
      <c r="BS80" s="376"/>
      <c r="BT80" s="376"/>
      <c r="BU80" s="376"/>
      <c r="BV80" s="376"/>
      <c r="BW80" s="376"/>
      <c r="BX80" s="376"/>
      <c r="BY80" s="376"/>
      <c r="BZ80" s="376"/>
      <c r="CA80" s="376"/>
      <c r="CB80" s="376"/>
      <c r="CC80" s="376"/>
      <c r="CD80" s="376"/>
      <c r="CE80" s="376"/>
      <c r="CF80" s="376"/>
    </row>
    <row r="81" spans="2:84">
      <c r="L81" s="759"/>
      <c r="M81" s="534"/>
      <c r="O81" s="9"/>
      <c r="R81" s="376"/>
      <c r="S81" s="376"/>
      <c r="T81" s="376"/>
      <c r="U81" s="376"/>
      <c r="V81" s="376"/>
      <c r="W81" s="376"/>
      <c r="X81" s="376"/>
      <c r="Y81" s="376"/>
      <c r="Z81" s="376"/>
      <c r="AA81" s="376"/>
      <c r="AB81" s="376"/>
      <c r="AC81" s="376"/>
      <c r="AD81" s="376"/>
      <c r="AE81" s="376"/>
      <c r="AF81" s="376"/>
      <c r="AG81" s="376"/>
      <c r="AH81" s="376"/>
      <c r="AI81" s="376"/>
      <c r="AJ81" s="376"/>
      <c r="AK81" s="376"/>
      <c r="AL81" s="376"/>
      <c r="AM81" s="376"/>
      <c r="AN81" s="376"/>
      <c r="AO81" s="376"/>
      <c r="AP81" s="376"/>
      <c r="AQ81" s="376"/>
      <c r="AR81" s="376"/>
      <c r="AS81" s="376"/>
      <c r="AT81" s="376"/>
      <c r="AU81" s="376"/>
      <c r="AV81" s="376"/>
      <c r="AW81" s="376"/>
      <c r="AX81" s="376"/>
      <c r="AY81" s="376"/>
      <c r="AZ81" s="376"/>
      <c r="BA81" s="376"/>
      <c r="BB81" s="376"/>
      <c r="BC81" s="376"/>
      <c r="BD81" s="376"/>
      <c r="BE81" s="376"/>
      <c r="BF81" s="376"/>
      <c r="BG81" s="376"/>
      <c r="BH81" s="376"/>
      <c r="BI81" s="376"/>
      <c r="BJ81" s="376"/>
      <c r="BK81" s="376"/>
      <c r="BL81" s="376"/>
      <c r="BM81" s="376"/>
      <c r="BN81" s="376"/>
      <c r="BO81" s="376"/>
      <c r="BP81" s="376"/>
      <c r="BQ81" s="376"/>
      <c r="BR81" s="376"/>
      <c r="BS81" s="376"/>
      <c r="BT81" s="376"/>
      <c r="BU81" s="376"/>
      <c r="BV81" s="376"/>
      <c r="BW81" s="376"/>
      <c r="BX81" s="376"/>
      <c r="BY81" s="376"/>
      <c r="BZ81" s="376"/>
      <c r="CA81" s="376"/>
      <c r="CB81" s="376"/>
      <c r="CC81" s="376"/>
      <c r="CD81" s="376"/>
      <c r="CE81" s="376"/>
      <c r="CF81" s="376"/>
    </row>
    <row r="82" spans="2:84" ht="16.5" hidden="1" customHeight="1">
      <c r="B82" s="576"/>
      <c r="C82" s="1005"/>
      <c r="D82" s="1006"/>
      <c r="E82" s="1006"/>
      <c r="F82" s="1006"/>
      <c r="H82" s="555"/>
      <c r="L82" s="551"/>
      <c r="M82" s="534"/>
      <c r="O82" s="9"/>
      <c r="R82" s="376"/>
      <c r="S82" s="376"/>
      <c r="T82" s="376"/>
      <c r="U82" s="376"/>
      <c r="V82" s="376"/>
      <c r="W82" s="376"/>
      <c r="X82" s="376"/>
      <c r="Y82" s="376"/>
      <c r="Z82" s="376"/>
      <c r="AA82" s="376"/>
      <c r="AB82" s="376"/>
      <c r="AC82" s="376"/>
      <c r="AD82" s="376"/>
      <c r="AE82" s="376"/>
      <c r="AF82" s="376"/>
      <c r="AG82" s="376"/>
      <c r="AH82" s="376"/>
      <c r="AI82" s="376"/>
      <c r="AJ82" s="376"/>
      <c r="AK82" s="376"/>
      <c r="AL82" s="376"/>
      <c r="AM82" s="376"/>
      <c r="AN82" s="376"/>
      <c r="AO82" s="376"/>
      <c r="AP82" s="376"/>
      <c r="AQ82" s="376"/>
      <c r="AR82" s="376"/>
      <c r="AS82" s="376"/>
      <c r="AT82" s="376"/>
      <c r="AU82" s="376"/>
      <c r="AV82" s="376"/>
      <c r="AW82" s="376"/>
      <c r="AX82" s="376"/>
      <c r="AY82" s="376"/>
      <c r="AZ82" s="376"/>
      <c r="BA82" s="376"/>
      <c r="BB82" s="376"/>
      <c r="BC82" s="376"/>
      <c r="BD82" s="376"/>
      <c r="BE82" s="376"/>
      <c r="BF82" s="376"/>
      <c r="BG82" s="376"/>
      <c r="BH82" s="376"/>
      <c r="BI82" s="376"/>
      <c r="BJ82" s="376"/>
      <c r="BK82" s="376"/>
      <c r="BL82" s="376"/>
      <c r="BM82" s="376"/>
      <c r="BN82" s="376"/>
      <c r="BO82" s="376"/>
      <c r="BP82" s="376"/>
      <c r="BQ82" s="376"/>
      <c r="BR82" s="376"/>
      <c r="BS82" s="376"/>
      <c r="BT82" s="376"/>
      <c r="BU82" s="376"/>
      <c r="BV82" s="376"/>
      <c r="BW82" s="376"/>
      <c r="BX82" s="376"/>
      <c r="BY82" s="376"/>
      <c r="BZ82" s="376"/>
      <c r="CA82" s="376"/>
      <c r="CB82" s="376"/>
      <c r="CC82" s="376"/>
      <c r="CD82" s="376"/>
      <c r="CE82" s="376"/>
      <c r="CF82" s="376"/>
    </row>
    <row r="83" spans="2:84" hidden="1">
      <c r="B83" s="740"/>
      <c r="C83" s="1007"/>
      <c r="D83" s="1008"/>
      <c r="E83" s="1008"/>
      <c r="F83" s="1008"/>
      <c r="G83" s="376"/>
      <c r="H83" s="555"/>
      <c r="I83" s="752"/>
      <c r="L83" s="551"/>
      <c r="M83" s="534"/>
      <c r="O83" s="9"/>
      <c r="R83" s="376"/>
      <c r="S83" s="376"/>
      <c r="T83" s="376"/>
      <c r="U83" s="376"/>
      <c r="V83" s="376"/>
      <c r="W83" s="376"/>
      <c r="X83" s="376"/>
      <c r="Y83" s="376"/>
      <c r="Z83" s="376"/>
      <c r="AA83" s="376"/>
      <c r="AB83" s="376"/>
      <c r="AC83" s="376"/>
      <c r="AD83" s="376"/>
      <c r="AE83" s="376"/>
      <c r="AF83" s="376"/>
      <c r="AG83" s="376"/>
      <c r="AH83" s="376"/>
      <c r="AI83" s="376"/>
      <c r="AJ83" s="376"/>
      <c r="AK83" s="376"/>
      <c r="AL83" s="376"/>
      <c r="AM83" s="376"/>
      <c r="AN83" s="376"/>
      <c r="AO83" s="376"/>
      <c r="AP83" s="376"/>
      <c r="AQ83" s="376"/>
      <c r="AR83" s="376"/>
      <c r="AS83" s="376"/>
      <c r="AT83" s="376"/>
      <c r="AU83" s="376"/>
      <c r="AV83" s="376"/>
      <c r="AW83" s="376"/>
      <c r="AX83" s="376"/>
      <c r="AY83" s="376"/>
      <c r="AZ83" s="376"/>
      <c r="BA83" s="376"/>
      <c r="BB83" s="376"/>
      <c r="BC83" s="376"/>
      <c r="BD83" s="376"/>
      <c r="BE83" s="376"/>
      <c r="BF83" s="376"/>
      <c r="BG83" s="376"/>
      <c r="BH83" s="376"/>
      <c r="BI83" s="376"/>
      <c r="BJ83" s="376"/>
      <c r="BK83" s="376"/>
      <c r="BL83" s="376"/>
      <c r="BM83" s="376"/>
      <c r="BN83" s="376"/>
      <c r="BO83" s="376"/>
      <c r="BP83" s="376"/>
      <c r="BQ83" s="376"/>
      <c r="BR83" s="376"/>
      <c r="BS83" s="376"/>
      <c r="BT83" s="376"/>
      <c r="BU83" s="376"/>
      <c r="BV83" s="376"/>
      <c r="BW83" s="376"/>
      <c r="BX83" s="376"/>
      <c r="BY83" s="376"/>
      <c r="BZ83" s="376"/>
      <c r="CA83" s="376"/>
      <c r="CB83" s="376"/>
      <c r="CC83" s="376"/>
      <c r="CD83" s="376"/>
      <c r="CE83" s="376"/>
      <c r="CF83" s="376"/>
    </row>
    <row r="84" spans="2:84" hidden="1">
      <c r="B84" s="571"/>
      <c r="C84" s="601"/>
      <c r="D84" s="526"/>
      <c r="E84" s="526"/>
      <c r="F84" s="526"/>
      <c r="G84" s="376"/>
      <c r="H84" s="555"/>
      <c r="L84" s="551"/>
      <c r="M84" s="534"/>
      <c r="O84" s="9"/>
      <c r="R84" s="376"/>
      <c r="S84" s="376"/>
      <c r="T84" s="376"/>
      <c r="U84" s="376"/>
      <c r="V84" s="376"/>
      <c r="W84" s="376"/>
      <c r="X84" s="376"/>
      <c r="Y84" s="376"/>
      <c r="Z84" s="376"/>
      <c r="AA84" s="376"/>
      <c r="AB84" s="376"/>
      <c r="AC84" s="376"/>
      <c r="AD84" s="376"/>
      <c r="AE84" s="376"/>
      <c r="AF84" s="376"/>
      <c r="AG84" s="376"/>
      <c r="AH84" s="376"/>
      <c r="AI84" s="376"/>
      <c r="AJ84" s="376"/>
      <c r="AK84" s="376"/>
      <c r="AL84" s="376"/>
      <c r="AM84" s="376"/>
      <c r="AN84" s="376"/>
      <c r="AO84" s="376"/>
      <c r="AP84" s="376"/>
      <c r="AQ84" s="376"/>
      <c r="AR84" s="376"/>
      <c r="AS84" s="376"/>
      <c r="AT84" s="376"/>
      <c r="AU84" s="376"/>
      <c r="AV84" s="376"/>
      <c r="AW84" s="376"/>
      <c r="AX84" s="376"/>
      <c r="AY84" s="376"/>
      <c r="AZ84" s="376"/>
      <c r="BA84" s="376"/>
      <c r="BB84" s="376"/>
      <c r="BC84" s="376"/>
      <c r="BD84" s="376"/>
      <c r="BE84" s="376"/>
      <c r="BF84" s="376"/>
      <c r="BG84" s="376"/>
      <c r="BH84" s="376"/>
      <c r="BI84" s="376"/>
      <c r="BJ84" s="376"/>
      <c r="BK84" s="376"/>
      <c r="BL84" s="376"/>
      <c r="BM84" s="376"/>
      <c r="BN84" s="376"/>
      <c r="BO84" s="376"/>
      <c r="BP84" s="376"/>
      <c r="BQ84" s="376"/>
      <c r="BR84" s="376"/>
      <c r="BS84" s="376"/>
      <c r="BT84" s="376"/>
      <c r="BU84" s="376"/>
      <c r="BV84" s="376"/>
      <c r="BW84" s="376"/>
      <c r="BX84" s="376"/>
      <c r="BY84" s="376"/>
      <c r="BZ84" s="376"/>
      <c r="CA84" s="376"/>
      <c r="CB84" s="376"/>
      <c r="CC84" s="376"/>
      <c r="CD84" s="376"/>
      <c r="CE84" s="376"/>
      <c r="CF84" s="376"/>
    </row>
    <row r="85" spans="2:84" hidden="1">
      <c r="B85" s="740"/>
      <c r="C85" s="1009"/>
      <c r="D85" s="1010"/>
      <c r="E85" s="1010"/>
      <c r="F85" s="1010"/>
      <c r="G85" s="376"/>
      <c r="H85" s="555"/>
      <c r="L85" s="551"/>
      <c r="M85" s="534"/>
      <c r="O85" s="9"/>
      <c r="R85" s="376"/>
      <c r="S85" s="376"/>
      <c r="T85" s="376"/>
      <c r="U85" s="376"/>
      <c r="V85" s="376"/>
      <c r="W85" s="376"/>
      <c r="X85" s="376"/>
      <c r="Y85" s="376"/>
      <c r="Z85" s="376"/>
      <c r="AA85" s="376"/>
      <c r="AB85" s="376"/>
      <c r="AC85" s="376"/>
      <c r="AD85" s="376"/>
      <c r="AE85" s="376"/>
      <c r="AF85" s="376"/>
      <c r="AG85" s="376"/>
      <c r="AH85" s="376"/>
      <c r="AI85" s="376"/>
      <c r="AJ85" s="376"/>
      <c r="AK85" s="376"/>
      <c r="AL85" s="376"/>
      <c r="AM85" s="376"/>
      <c r="AN85" s="376"/>
      <c r="AO85" s="376"/>
      <c r="AP85" s="376"/>
      <c r="AQ85" s="376"/>
      <c r="AR85" s="376"/>
      <c r="AS85" s="376"/>
      <c r="AT85" s="376"/>
      <c r="AU85" s="376"/>
      <c r="AV85" s="376"/>
      <c r="AW85" s="376"/>
      <c r="AX85" s="376"/>
      <c r="AY85" s="376"/>
      <c r="AZ85" s="376"/>
      <c r="BA85" s="376"/>
      <c r="BB85" s="376"/>
      <c r="BC85" s="376"/>
      <c r="BD85" s="376"/>
      <c r="BE85" s="376"/>
      <c r="BF85" s="376"/>
      <c r="BG85" s="376"/>
      <c r="BH85" s="376"/>
      <c r="BI85" s="376"/>
      <c r="BJ85" s="376"/>
      <c r="BK85" s="376"/>
      <c r="BL85" s="376"/>
      <c r="BM85" s="376"/>
      <c r="BN85" s="376"/>
      <c r="BO85" s="376"/>
      <c r="BP85" s="376"/>
      <c r="BQ85" s="376"/>
      <c r="BR85" s="376"/>
      <c r="BS85" s="376"/>
      <c r="BT85" s="376"/>
      <c r="BU85" s="376"/>
      <c r="BV85" s="376"/>
      <c r="BW85" s="376"/>
      <c r="BX85" s="376"/>
      <c r="BY85" s="376"/>
      <c r="BZ85" s="376"/>
      <c r="CA85" s="376"/>
      <c r="CB85" s="376"/>
      <c r="CC85" s="376"/>
      <c r="CD85" s="376"/>
      <c r="CE85" s="376"/>
      <c r="CF85" s="376"/>
    </row>
    <row r="86" spans="2:84" hidden="1">
      <c r="B86" s="571"/>
      <c r="C86" s="632"/>
      <c r="D86" s="633"/>
      <c r="E86" s="633"/>
      <c r="F86" s="633"/>
      <c r="G86" s="376"/>
      <c r="H86" s="555"/>
      <c r="L86" s="551"/>
      <c r="M86" s="534"/>
      <c r="O86" s="9"/>
      <c r="R86" s="376"/>
      <c r="S86" s="376"/>
      <c r="T86" s="376"/>
      <c r="U86" s="376"/>
      <c r="V86" s="376"/>
      <c r="W86" s="376"/>
      <c r="X86" s="376"/>
      <c r="Y86" s="376"/>
      <c r="Z86" s="376"/>
      <c r="AA86" s="376"/>
      <c r="AB86" s="376"/>
      <c r="AC86" s="376"/>
      <c r="AD86" s="376"/>
      <c r="AE86" s="376"/>
      <c r="AF86" s="376"/>
      <c r="AG86" s="376"/>
      <c r="AH86" s="376"/>
      <c r="AI86" s="376"/>
      <c r="AJ86" s="376"/>
      <c r="AK86" s="376"/>
      <c r="AL86" s="376"/>
      <c r="AM86" s="376"/>
      <c r="AN86" s="376"/>
      <c r="AO86" s="376"/>
      <c r="AP86" s="376"/>
      <c r="AQ86" s="376"/>
      <c r="AR86" s="376"/>
      <c r="AS86" s="376"/>
      <c r="AT86" s="376"/>
      <c r="AU86" s="376"/>
      <c r="AV86" s="376"/>
      <c r="AW86" s="376"/>
      <c r="AX86" s="376"/>
      <c r="AY86" s="376"/>
      <c r="AZ86" s="376"/>
      <c r="BA86" s="376"/>
      <c r="BB86" s="376"/>
      <c r="BC86" s="376"/>
      <c r="BD86" s="376"/>
      <c r="BE86" s="376"/>
      <c r="BF86" s="376"/>
      <c r="BG86" s="376"/>
      <c r="BH86" s="376"/>
      <c r="BI86" s="376"/>
      <c r="BJ86" s="376"/>
      <c r="BK86" s="376"/>
      <c r="BL86" s="376"/>
      <c r="BM86" s="376"/>
      <c r="BN86" s="376"/>
      <c r="BO86" s="376"/>
      <c r="BP86" s="376"/>
      <c r="BQ86" s="376"/>
      <c r="BR86" s="376"/>
      <c r="BS86" s="376"/>
      <c r="BT86" s="376"/>
      <c r="BU86" s="376"/>
      <c r="BV86" s="376"/>
      <c r="BW86" s="376"/>
      <c r="BX86" s="376"/>
      <c r="BY86" s="376"/>
      <c r="BZ86" s="376"/>
      <c r="CA86" s="376"/>
      <c r="CB86" s="376"/>
      <c r="CC86" s="376"/>
      <c r="CD86" s="376"/>
      <c r="CE86" s="376"/>
      <c r="CF86" s="376"/>
    </row>
    <row r="87" spans="2:84" hidden="1">
      <c r="B87" s="741"/>
      <c r="C87" s="1011"/>
      <c r="D87" s="1012"/>
      <c r="E87" s="1012"/>
      <c r="F87" s="1012"/>
      <c r="G87" s="376"/>
      <c r="H87" s="555"/>
      <c r="L87" s="551"/>
      <c r="M87" s="534"/>
      <c r="O87" s="9"/>
      <c r="R87" s="376"/>
      <c r="S87" s="376"/>
      <c r="T87" s="376"/>
      <c r="U87" s="376"/>
      <c r="V87" s="376"/>
      <c r="W87" s="376"/>
      <c r="X87" s="376"/>
      <c r="Y87" s="376"/>
      <c r="Z87" s="376"/>
      <c r="AA87" s="376"/>
      <c r="AB87" s="376"/>
      <c r="AC87" s="376"/>
      <c r="AD87" s="376"/>
      <c r="AE87" s="376"/>
      <c r="AF87" s="376"/>
      <c r="AG87" s="376"/>
      <c r="AH87" s="376"/>
      <c r="AI87" s="376"/>
      <c r="AJ87" s="376"/>
      <c r="AK87" s="376"/>
      <c r="AL87" s="376"/>
      <c r="AM87" s="376"/>
      <c r="AN87" s="376"/>
      <c r="AO87" s="376"/>
      <c r="AP87" s="376"/>
      <c r="AQ87" s="376"/>
      <c r="AR87" s="376"/>
      <c r="AS87" s="376"/>
      <c r="AT87" s="376"/>
      <c r="AU87" s="376"/>
      <c r="AV87" s="376"/>
      <c r="AW87" s="376"/>
      <c r="AX87" s="376"/>
      <c r="AY87" s="376"/>
      <c r="AZ87" s="376"/>
      <c r="BA87" s="376"/>
      <c r="BB87" s="376"/>
      <c r="BC87" s="376"/>
      <c r="BD87" s="376"/>
      <c r="BE87" s="376"/>
      <c r="BF87" s="376"/>
      <c r="BG87" s="376"/>
      <c r="BH87" s="376"/>
      <c r="BI87" s="376"/>
      <c r="BJ87" s="376"/>
      <c r="BK87" s="376"/>
      <c r="BL87" s="376"/>
      <c r="BM87" s="376"/>
      <c r="BN87" s="376"/>
      <c r="BO87" s="376"/>
      <c r="BP87" s="376"/>
      <c r="BQ87" s="376"/>
      <c r="BR87" s="376"/>
      <c r="BS87" s="376"/>
      <c r="BT87" s="376"/>
      <c r="BU87" s="376"/>
      <c r="BV87" s="376"/>
      <c r="BW87" s="376"/>
      <c r="BX87" s="376"/>
      <c r="BY87" s="376"/>
      <c r="BZ87" s="376"/>
      <c r="CA87" s="376"/>
      <c r="CB87" s="376"/>
      <c r="CC87" s="376"/>
      <c r="CD87" s="376"/>
      <c r="CE87" s="376"/>
      <c r="CF87" s="376"/>
    </row>
    <row r="88" spans="2:84">
      <c r="B88" s="571" t="s">
        <v>658</v>
      </c>
      <c r="C88" s="603" t="str">
        <f>VLOOKUP(LnkTXTSigla,Informacoes[],7,FALSE)</f>
        <v>02/2008</v>
      </c>
      <c r="D88" s="527"/>
      <c r="E88" s="527"/>
      <c r="F88" s="527"/>
      <c r="G88" s="376"/>
      <c r="H88" s="555"/>
      <c r="L88" s="551"/>
      <c r="M88" s="534"/>
      <c r="O88" s="9"/>
      <c r="R88" s="376"/>
      <c r="S88" s="376"/>
      <c r="T88" s="376"/>
      <c r="U88" s="376"/>
      <c r="V88" s="376"/>
      <c r="W88" s="376"/>
      <c r="X88" s="376"/>
      <c r="Y88" s="376"/>
      <c r="Z88" s="376"/>
      <c r="AA88" s="376"/>
      <c r="AB88" s="376"/>
      <c r="AC88" s="376"/>
      <c r="AD88" s="376"/>
      <c r="AE88" s="376"/>
      <c r="AF88" s="376"/>
      <c r="AG88" s="376"/>
      <c r="AH88" s="376"/>
      <c r="AI88" s="376"/>
      <c r="AJ88" s="376"/>
      <c r="AK88" s="376"/>
      <c r="AL88" s="376"/>
      <c r="AM88" s="376"/>
      <c r="AN88" s="376"/>
      <c r="AO88" s="376"/>
      <c r="AP88" s="376"/>
      <c r="AQ88" s="376"/>
      <c r="AR88" s="376"/>
      <c r="AS88" s="376"/>
      <c r="AT88" s="376"/>
      <c r="AU88" s="376"/>
      <c r="AV88" s="376"/>
      <c r="AW88" s="376"/>
      <c r="AX88" s="376"/>
      <c r="AY88" s="376"/>
      <c r="AZ88" s="376"/>
      <c r="BA88" s="376"/>
      <c r="BB88" s="376"/>
      <c r="BC88" s="376"/>
      <c r="BD88" s="376"/>
      <c r="BE88" s="376"/>
      <c r="BF88" s="376"/>
      <c r="BG88" s="376"/>
      <c r="BH88" s="376"/>
      <c r="BI88" s="376"/>
      <c r="BJ88" s="376"/>
      <c r="BK88" s="376"/>
      <c r="BL88" s="376"/>
      <c r="BM88" s="376"/>
      <c r="BN88" s="376"/>
      <c r="BO88" s="376"/>
      <c r="BP88" s="376"/>
      <c r="BQ88" s="376"/>
      <c r="BR88" s="376"/>
      <c r="BS88" s="376"/>
      <c r="BT88" s="376"/>
      <c r="BU88" s="376"/>
      <c r="BV88" s="376"/>
      <c r="BW88" s="376"/>
      <c r="BX88" s="376"/>
      <c r="BY88" s="376"/>
      <c r="BZ88" s="376"/>
      <c r="CA88" s="376"/>
      <c r="CB88" s="376"/>
      <c r="CC88" s="376"/>
      <c r="CD88" s="376"/>
      <c r="CE88" s="376"/>
      <c r="CF88" s="376"/>
    </row>
    <row r="89" spans="2:84">
      <c r="B89" s="571" t="s">
        <v>659</v>
      </c>
      <c r="C89" s="603" t="str">
        <f>VLOOKUP(LnkTXTSigla,Informacoes[],8,FALSE)</f>
        <v>12 de junho de 2008</v>
      </c>
      <c r="D89" s="604"/>
      <c r="E89" s="527"/>
      <c r="F89" s="526"/>
      <c r="H89" s="555"/>
      <c r="L89" s="551"/>
      <c r="M89" s="534"/>
      <c r="O89" s="9"/>
      <c r="R89" s="376"/>
      <c r="S89" s="376"/>
      <c r="T89" s="376"/>
      <c r="U89" s="376"/>
      <c r="V89" s="376"/>
      <c r="W89" s="376"/>
      <c r="X89" s="376"/>
      <c r="Y89" s="376"/>
      <c r="Z89" s="376"/>
      <c r="AA89" s="376"/>
      <c r="AB89" s="376"/>
      <c r="AC89" s="376"/>
      <c r="AD89" s="376"/>
      <c r="AE89" s="376"/>
      <c r="AF89" s="376"/>
      <c r="AG89" s="376"/>
      <c r="AH89" s="376"/>
      <c r="AI89" s="376"/>
      <c r="AJ89" s="376"/>
      <c r="AK89" s="376"/>
      <c r="AL89" s="376"/>
      <c r="AM89" s="376"/>
      <c r="AN89" s="376"/>
      <c r="AO89" s="376"/>
      <c r="AP89" s="376"/>
      <c r="AQ89" s="376"/>
      <c r="AR89" s="376"/>
      <c r="AS89" s="376"/>
      <c r="AT89" s="376"/>
      <c r="AU89" s="376"/>
      <c r="AV89" s="376"/>
      <c r="AW89" s="376"/>
      <c r="AX89" s="376"/>
      <c r="AY89" s="376"/>
      <c r="AZ89" s="376"/>
      <c r="BA89" s="376"/>
      <c r="BB89" s="376"/>
      <c r="BC89" s="376"/>
      <c r="BD89" s="376"/>
      <c r="BE89" s="376"/>
      <c r="BF89" s="376"/>
      <c r="BG89" s="376"/>
      <c r="BH89" s="376"/>
      <c r="BI89" s="376"/>
      <c r="BJ89" s="376"/>
      <c r="BK89" s="376"/>
      <c r="BL89" s="376"/>
      <c r="BM89" s="376"/>
      <c r="BN89" s="376"/>
      <c r="BO89" s="376"/>
      <c r="BP89" s="376"/>
      <c r="BQ89" s="376"/>
      <c r="BR89" s="376"/>
      <c r="BS89" s="376"/>
      <c r="BT89" s="376"/>
      <c r="BU89" s="376"/>
      <c r="BV89" s="376"/>
      <c r="BW89" s="376"/>
      <c r="BX89" s="376"/>
      <c r="BY89" s="376"/>
      <c r="BZ89" s="376"/>
      <c r="CA89" s="376"/>
      <c r="CB89" s="376"/>
      <c r="CC89" s="376"/>
      <c r="CD89" s="376"/>
      <c r="CE89" s="376"/>
      <c r="CF89" s="376"/>
    </row>
    <row r="90" spans="2:84">
      <c r="B90" s="571" t="s">
        <v>660</v>
      </c>
      <c r="C90" s="605" t="str">
        <f>Q3</f>
        <v>Cooperativa de Energização e Desenvolvimento Rural do Vale do Itariri</v>
      </c>
      <c r="D90" s="527"/>
      <c r="E90" s="527"/>
      <c r="F90" s="527"/>
      <c r="H90" s="555"/>
      <c r="L90" s="551"/>
      <c r="M90" s="534"/>
      <c r="O90" s="9"/>
      <c r="R90" s="376"/>
      <c r="S90" s="376"/>
      <c r="T90" s="376"/>
      <c r="U90" s="376"/>
      <c r="V90" s="376"/>
      <c r="W90" s="376"/>
      <c r="X90" s="376"/>
      <c r="Y90" s="376"/>
      <c r="Z90" s="376"/>
      <c r="AA90" s="376"/>
      <c r="AB90" s="376"/>
      <c r="AC90" s="376"/>
      <c r="AD90" s="376"/>
      <c r="AE90" s="376"/>
      <c r="AF90" s="376"/>
      <c r="AG90" s="376"/>
      <c r="AH90" s="376"/>
      <c r="AI90" s="376"/>
      <c r="AJ90" s="376"/>
      <c r="AK90" s="376"/>
      <c r="AL90" s="376"/>
      <c r="AM90" s="376"/>
      <c r="AN90" s="376"/>
      <c r="AO90" s="376"/>
      <c r="AP90" s="376"/>
      <c r="AQ90" s="376"/>
      <c r="AR90" s="376"/>
      <c r="AS90" s="376"/>
      <c r="AT90" s="376"/>
      <c r="AU90" s="376"/>
      <c r="AV90" s="376"/>
      <c r="AW90" s="376"/>
      <c r="AX90" s="376"/>
      <c r="AY90" s="376"/>
      <c r="AZ90" s="376"/>
      <c r="BA90" s="376"/>
      <c r="BB90" s="376"/>
      <c r="BC90" s="376"/>
      <c r="BD90" s="376"/>
      <c r="BE90" s="376"/>
      <c r="BF90" s="376"/>
      <c r="BG90" s="376"/>
      <c r="BH90" s="376"/>
      <c r="BI90" s="376"/>
      <c r="BJ90" s="376"/>
      <c r="BK90" s="376"/>
      <c r="BL90" s="376"/>
      <c r="BM90" s="376"/>
      <c r="BN90" s="376"/>
      <c r="BO90" s="376"/>
      <c r="BP90" s="376"/>
      <c r="BQ90" s="376"/>
      <c r="BR90" s="376"/>
      <c r="BS90" s="376"/>
      <c r="BT90" s="376"/>
      <c r="BU90" s="376"/>
      <c r="BV90" s="376"/>
      <c r="BW90" s="376"/>
      <c r="BX90" s="376"/>
      <c r="BY90" s="376"/>
      <c r="BZ90" s="376"/>
      <c r="CA90" s="376"/>
      <c r="CB90" s="376"/>
      <c r="CC90" s="376"/>
      <c r="CD90" s="376"/>
      <c r="CE90" s="376"/>
      <c r="CF90" s="376"/>
    </row>
    <row r="91" spans="2:84" ht="16.5" customHeight="1">
      <c r="B91" s="571" t="s">
        <v>661</v>
      </c>
      <c r="C91" s="605" t="str">
        <f>C9</f>
        <v>Cedri</v>
      </c>
      <c r="D91" s="527"/>
      <c r="E91" s="528"/>
      <c r="F91" s="527"/>
      <c r="H91" s="752"/>
      <c r="L91" s="551"/>
      <c r="M91" s="534"/>
      <c r="O91" s="9"/>
      <c r="R91" s="376"/>
      <c r="S91" s="376"/>
      <c r="T91" s="376"/>
      <c r="U91" s="376"/>
      <c r="V91" s="376"/>
      <c r="W91" s="376"/>
      <c r="X91" s="376"/>
      <c r="Y91" s="376"/>
      <c r="Z91" s="376"/>
      <c r="AA91" s="376"/>
      <c r="AB91" s="376"/>
      <c r="AC91" s="376"/>
      <c r="AD91" s="376"/>
      <c r="AE91" s="376"/>
      <c r="AF91" s="376"/>
      <c r="AG91" s="376"/>
      <c r="AH91" s="376"/>
      <c r="AI91" s="376"/>
      <c r="AJ91" s="376"/>
      <c r="AK91" s="376"/>
      <c r="AL91" s="376"/>
      <c r="AM91" s="376"/>
      <c r="AN91" s="376"/>
      <c r="AO91" s="376"/>
      <c r="AP91" s="376"/>
      <c r="AQ91" s="376"/>
      <c r="AR91" s="376"/>
      <c r="AS91" s="376"/>
      <c r="AT91" s="376"/>
      <c r="AU91" s="376"/>
      <c r="AV91" s="376"/>
      <c r="AW91" s="376"/>
      <c r="AX91" s="376"/>
      <c r="AY91" s="376"/>
      <c r="AZ91" s="376"/>
      <c r="BA91" s="376"/>
      <c r="BB91" s="376"/>
      <c r="BC91" s="376"/>
      <c r="BD91" s="376"/>
      <c r="BE91" s="376"/>
      <c r="BF91" s="376"/>
      <c r="BG91" s="376"/>
      <c r="BH91" s="376"/>
      <c r="BI91" s="376"/>
      <c r="BJ91" s="376"/>
      <c r="BK91" s="376"/>
      <c r="BL91" s="376"/>
      <c r="BM91" s="376"/>
      <c r="BN91" s="376"/>
      <c r="BO91" s="376"/>
      <c r="BP91" s="376"/>
      <c r="BQ91" s="376"/>
      <c r="BR91" s="376"/>
      <c r="BS91" s="376"/>
      <c r="BT91" s="376"/>
      <c r="BU91" s="376"/>
      <c r="BV91" s="376"/>
      <c r="BW91" s="376"/>
      <c r="BX91" s="376"/>
      <c r="BY91" s="376"/>
      <c r="BZ91" s="376"/>
      <c r="CA91" s="376"/>
      <c r="CB91" s="376"/>
      <c r="CC91" s="376"/>
      <c r="CD91" s="376"/>
      <c r="CE91" s="376"/>
      <c r="CF91" s="376"/>
    </row>
    <row r="92" spans="2:84">
      <c r="B92" s="571" t="s">
        <v>662</v>
      </c>
      <c r="C92" s="603" t="str">
        <f>D92&amp;" - "&amp;E92</f>
        <v>Itariri - SP</v>
      </c>
      <c r="D92" s="529" t="str">
        <f>VLOOKUP(LnkTXTSigla,Informacoes[],5,FALSE)</f>
        <v>Itariri</v>
      </c>
      <c r="E92" s="529" t="str">
        <f>VLOOKUP(LnkTXTSigla,Informacoes[],6,FALSE)</f>
        <v>SP</v>
      </c>
      <c r="F92" s="527"/>
      <c r="L92" s="551"/>
      <c r="M92" s="534"/>
      <c r="O92" s="9"/>
      <c r="R92" s="376"/>
      <c r="S92" s="376"/>
      <c r="T92" s="376"/>
      <c r="U92" s="376"/>
      <c r="V92" s="376"/>
      <c r="W92" s="376"/>
      <c r="X92" s="376"/>
      <c r="Y92" s="376"/>
      <c r="Z92" s="376"/>
      <c r="AA92" s="376"/>
      <c r="AB92" s="376"/>
      <c r="AC92" s="376"/>
      <c r="AD92" s="376"/>
      <c r="AE92" s="376"/>
      <c r="AF92" s="376"/>
      <c r="AG92" s="376"/>
      <c r="AH92" s="376"/>
      <c r="AI92" s="376"/>
      <c r="AJ92" s="376"/>
      <c r="AK92" s="376"/>
      <c r="AL92" s="376"/>
      <c r="AM92" s="376"/>
      <c r="AN92" s="376"/>
      <c r="AO92" s="376"/>
      <c r="AP92" s="376"/>
      <c r="AQ92" s="376"/>
      <c r="AR92" s="376"/>
      <c r="AS92" s="376"/>
      <c r="AT92" s="376"/>
      <c r="AU92" s="376"/>
      <c r="AV92" s="376"/>
      <c r="AW92" s="376"/>
      <c r="AX92" s="376"/>
      <c r="AY92" s="376"/>
      <c r="AZ92" s="376"/>
      <c r="BA92" s="376"/>
      <c r="BB92" s="376"/>
      <c r="BC92" s="376"/>
      <c r="BD92" s="376"/>
      <c r="BE92" s="376"/>
      <c r="BF92" s="376"/>
      <c r="BG92" s="376"/>
      <c r="BH92" s="376"/>
      <c r="BI92" s="376"/>
      <c r="BJ92" s="376"/>
      <c r="BK92" s="376"/>
      <c r="BL92" s="376"/>
      <c r="BM92" s="376"/>
      <c r="BN92" s="376"/>
      <c r="BO92" s="376"/>
      <c r="BP92" s="376"/>
      <c r="BQ92" s="376"/>
      <c r="BR92" s="376"/>
      <c r="BS92" s="376"/>
      <c r="BT92" s="376"/>
      <c r="BU92" s="376"/>
      <c r="BV92" s="376"/>
      <c r="BW92" s="376"/>
      <c r="BX92" s="376"/>
      <c r="BY92" s="376"/>
      <c r="BZ92" s="376"/>
      <c r="CA92" s="376"/>
      <c r="CB92" s="376"/>
      <c r="CC92" s="376"/>
      <c r="CD92" s="376"/>
      <c r="CE92" s="376"/>
      <c r="CF92" s="376"/>
    </row>
    <row r="93" spans="2:84">
      <c r="B93" s="571" t="s">
        <v>663</v>
      </c>
      <c r="C93" s="606"/>
      <c r="D93" s="527"/>
      <c r="E93" s="527"/>
      <c r="F93" s="527"/>
      <c r="L93" s="551"/>
      <c r="M93" s="534"/>
      <c r="O93" s="9"/>
      <c r="R93" s="376"/>
      <c r="S93" s="376"/>
      <c r="T93" s="376"/>
      <c r="U93" s="376"/>
      <c r="V93" s="376"/>
      <c r="W93" s="376"/>
      <c r="X93" s="376"/>
      <c r="Y93" s="376"/>
      <c r="Z93" s="376"/>
      <c r="AA93" s="376"/>
      <c r="AB93" s="376"/>
      <c r="AC93" s="376"/>
      <c r="AD93" s="376"/>
      <c r="AE93" s="376"/>
      <c r="AF93" s="376"/>
      <c r="AG93" s="376"/>
      <c r="AH93" s="376"/>
      <c r="AI93" s="376"/>
      <c r="AJ93" s="376"/>
      <c r="AK93" s="376"/>
      <c r="AL93" s="376"/>
      <c r="AM93" s="376"/>
      <c r="AN93" s="376"/>
      <c r="AO93" s="376"/>
      <c r="AP93" s="376"/>
      <c r="AQ93" s="376"/>
      <c r="AR93" s="376"/>
      <c r="AS93" s="376"/>
      <c r="AT93" s="376"/>
      <c r="AU93" s="376"/>
      <c r="AV93" s="376"/>
      <c r="AW93" s="376"/>
      <c r="AX93" s="376"/>
      <c r="AY93" s="376"/>
      <c r="AZ93" s="376"/>
      <c r="BA93" s="376"/>
      <c r="BB93" s="376"/>
      <c r="BC93" s="376"/>
      <c r="BD93" s="376"/>
      <c r="BE93" s="376"/>
      <c r="BF93" s="376"/>
      <c r="BG93" s="376"/>
      <c r="BH93" s="376"/>
      <c r="BI93" s="376"/>
      <c r="BJ93" s="376"/>
      <c r="BK93" s="376"/>
      <c r="BL93" s="376"/>
      <c r="BM93" s="376"/>
      <c r="BN93" s="376"/>
      <c r="BO93" s="376"/>
      <c r="BP93" s="376"/>
      <c r="BQ93" s="376"/>
      <c r="BR93" s="376"/>
      <c r="BS93" s="376"/>
      <c r="BT93" s="376"/>
      <c r="BU93" s="376"/>
      <c r="BV93" s="376"/>
      <c r="BW93" s="376"/>
      <c r="BX93" s="376"/>
      <c r="BY93" s="376"/>
      <c r="BZ93" s="376"/>
      <c r="CA93" s="376"/>
      <c r="CB93" s="376"/>
      <c r="CC93" s="376"/>
      <c r="CD93" s="376"/>
      <c r="CE93" s="376"/>
      <c r="CF93" s="376"/>
    </row>
    <row r="94" spans="2:84">
      <c r="B94" s="571" t="s">
        <v>664</v>
      </c>
      <c r="C94" s="605">
        <f>DataRevRea</f>
        <v>44834</v>
      </c>
      <c r="D94" s="527"/>
      <c r="E94" s="527">
        <f>DATE(YEAR(DataRevRea)+1,MONTH(DataRevRea)-1,1)</f>
        <v>45139</v>
      </c>
      <c r="F94" s="527"/>
      <c r="L94" s="551"/>
      <c r="M94" s="534"/>
      <c r="O94" s="9"/>
      <c r="R94" s="376"/>
      <c r="S94" s="376"/>
      <c r="T94" s="376"/>
      <c r="U94" s="376"/>
      <c r="V94" s="376"/>
      <c r="W94" s="376"/>
      <c r="X94" s="376"/>
      <c r="Y94" s="376"/>
      <c r="Z94" s="376"/>
      <c r="AA94" s="376"/>
      <c r="AB94" s="376"/>
      <c r="AC94" s="376"/>
      <c r="AD94" s="376"/>
      <c r="AE94" s="376"/>
      <c r="AF94" s="376"/>
      <c r="AG94" s="376"/>
      <c r="AH94" s="376"/>
      <c r="AI94" s="376"/>
      <c r="AJ94" s="376"/>
      <c r="AK94" s="376"/>
      <c r="AL94" s="376"/>
      <c r="AM94" s="376"/>
      <c r="AN94" s="376"/>
      <c r="AO94" s="376"/>
      <c r="AP94" s="376"/>
      <c r="AQ94" s="376"/>
      <c r="AR94" s="376"/>
      <c r="AS94" s="376"/>
      <c r="AT94" s="376"/>
      <c r="AU94" s="376"/>
      <c r="AV94" s="376"/>
      <c r="AW94" s="376"/>
      <c r="AX94" s="376"/>
      <c r="AY94" s="376"/>
      <c r="AZ94" s="376"/>
      <c r="BA94" s="376"/>
      <c r="BB94" s="376"/>
      <c r="BC94" s="376"/>
      <c r="BD94" s="376"/>
      <c r="BE94" s="376"/>
      <c r="BF94" s="376"/>
      <c r="BG94" s="376"/>
      <c r="BH94" s="376"/>
      <c r="BI94" s="376"/>
      <c r="BJ94" s="376"/>
      <c r="BK94" s="376"/>
      <c r="BL94" s="376"/>
      <c r="BM94" s="376"/>
      <c r="BN94" s="376"/>
      <c r="BO94" s="376"/>
      <c r="BP94" s="376"/>
      <c r="BQ94" s="376"/>
      <c r="BR94" s="376"/>
      <c r="BS94" s="376"/>
      <c r="BT94" s="376"/>
      <c r="BU94" s="376"/>
      <c r="BV94" s="376"/>
      <c r="BW94" s="376"/>
      <c r="BX94" s="376"/>
      <c r="BY94" s="376"/>
      <c r="BZ94" s="376"/>
      <c r="CA94" s="376"/>
      <c r="CB94" s="376"/>
      <c r="CC94" s="376"/>
      <c r="CD94" s="376"/>
      <c r="CE94" s="376"/>
      <c r="CF94" s="376"/>
    </row>
    <row r="95" spans="2:84">
      <c r="B95" s="571" t="s">
        <v>665</v>
      </c>
      <c r="C95" s="607" t="str">
        <f>TEXT(E95,"mmmm")&amp;" de "&amp;TEXT(E95,"aaaa")&amp; " a "&amp;TEXT(E94,"mmmm")&amp;" de "&amp;TEXT(E94,"aaaa")</f>
        <v>setembro de 2022 a agosto de 2023</v>
      </c>
      <c r="D95" s="527"/>
      <c r="E95" s="527">
        <f>DATE(YEAR(DataRevRea),MONTH(DataRevRea),DAY(DataRevRea))</f>
        <v>44834</v>
      </c>
      <c r="F95" s="527"/>
      <c r="L95" s="551"/>
      <c r="M95" s="534"/>
      <c r="O95" s="9"/>
      <c r="R95" s="376"/>
      <c r="S95" s="376"/>
      <c r="T95" s="376"/>
      <c r="U95" s="376"/>
      <c r="V95" s="376"/>
      <c r="W95" s="376"/>
      <c r="X95" s="376"/>
      <c r="Y95" s="376"/>
      <c r="Z95" s="376"/>
      <c r="AA95" s="376"/>
      <c r="AB95" s="376"/>
      <c r="AC95" s="376"/>
      <c r="AD95" s="376"/>
      <c r="AE95" s="376"/>
      <c r="AF95" s="376"/>
      <c r="AG95" s="376"/>
      <c r="AH95" s="376"/>
      <c r="AI95" s="376"/>
      <c r="AJ95" s="376"/>
      <c r="AK95" s="376"/>
      <c r="AL95" s="376"/>
      <c r="AM95" s="376"/>
      <c r="AN95" s="376"/>
      <c r="AO95" s="376"/>
      <c r="AP95" s="376"/>
      <c r="AQ95" s="376"/>
      <c r="AR95" s="376"/>
      <c r="AS95" s="376"/>
      <c r="AT95" s="376"/>
      <c r="AU95" s="376"/>
      <c r="AV95" s="376"/>
      <c r="AW95" s="376"/>
      <c r="AX95" s="376"/>
      <c r="AY95" s="376"/>
      <c r="AZ95" s="376"/>
      <c r="BA95" s="376"/>
      <c r="BB95" s="376"/>
      <c r="BC95" s="376"/>
      <c r="BD95" s="376"/>
      <c r="BE95" s="376"/>
      <c r="BF95" s="376"/>
      <c r="BG95" s="376"/>
      <c r="BH95" s="376"/>
      <c r="BI95" s="376"/>
      <c r="BJ95" s="376"/>
      <c r="BK95" s="376"/>
      <c r="BL95" s="376"/>
      <c r="BM95" s="376"/>
      <c r="BN95" s="376"/>
      <c r="BO95" s="376"/>
      <c r="BP95" s="376"/>
      <c r="BQ95" s="376"/>
      <c r="BR95" s="376"/>
      <c r="BS95" s="376"/>
      <c r="BT95" s="376"/>
      <c r="BU95" s="376"/>
      <c r="BV95" s="376"/>
      <c r="BW95" s="376"/>
      <c r="BX95" s="376"/>
      <c r="BY95" s="376"/>
      <c r="BZ95" s="376"/>
      <c r="CA95" s="376"/>
      <c r="CB95" s="376"/>
      <c r="CC95" s="376"/>
      <c r="CD95" s="376"/>
      <c r="CE95" s="376"/>
      <c r="CF95" s="376"/>
    </row>
    <row r="96" spans="2:84">
      <c r="B96" s="571" t="s">
        <v>666</v>
      </c>
      <c r="C96" s="606">
        <f>C94</f>
        <v>44834</v>
      </c>
      <c r="D96" s="608"/>
      <c r="E96" s="527"/>
      <c r="F96" s="527"/>
      <c r="L96" s="551"/>
      <c r="M96" s="534"/>
      <c r="O96" s="9"/>
      <c r="R96" s="376"/>
      <c r="S96" s="376"/>
      <c r="T96" s="376"/>
      <c r="U96" s="376"/>
      <c r="V96" s="376"/>
      <c r="W96" s="376"/>
      <c r="X96" s="376"/>
      <c r="Y96" s="376"/>
      <c r="Z96" s="376"/>
      <c r="AA96" s="376"/>
      <c r="AB96" s="376"/>
      <c r="AC96" s="376"/>
      <c r="AD96" s="376"/>
      <c r="AE96" s="376"/>
      <c r="AF96" s="376"/>
      <c r="AG96" s="376"/>
      <c r="AH96" s="376"/>
      <c r="AI96" s="376"/>
      <c r="AJ96" s="376"/>
      <c r="AK96" s="376"/>
      <c r="AL96" s="376"/>
      <c r="AM96" s="376"/>
      <c r="AN96" s="376"/>
      <c r="AO96" s="376"/>
      <c r="AP96" s="376"/>
      <c r="AQ96" s="376"/>
      <c r="AR96" s="376"/>
      <c r="AS96" s="376"/>
      <c r="AT96" s="376"/>
      <c r="AU96" s="376"/>
      <c r="AV96" s="376"/>
      <c r="AW96" s="376"/>
      <c r="AX96" s="376"/>
      <c r="AY96" s="376"/>
      <c r="AZ96" s="376"/>
      <c r="BA96" s="376"/>
      <c r="BB96" s="376"/>
      <c r="BC96" s="376"/>
      <c r="BD96" s="376"/>
      <c r="BE96" s="376"/>
      <c r="BF96" s="376"/>
      <c r="BG96" s="376"/>
      <c r="BH96" s="376"/>
      <c r="BI96" s="376"/>
      <c r="BJ96" s="376"/>
      <c r="BK96" s="376"/>
      <c r="BL96" s="376"/>
      <c r="BM96" s="376"/>
      <c r="BN96" s="376"/>
      <c r="BO96" s="376"/>
      <c r="BP96" s="376"/>
      <c r="BQ96" s="376"/>
      <c r="BR96" s="376"/>
      <c r="BS96" s="376"/>
      <c r="BT96" s="376"/>
      <c r="BU96" s="376"/>
      <c r="BV96" s="376"/>
      <c r="BW96" s="376"/>
      <c r="BX96" s="376"/>
      <c r="BY96" s="376"/>
      <c r="BZ96" s="376"/>
      <c r="CA96" s="376"/>
      <c r="CB96" s="376"/>
      <c r="CC96" s="376"/>
      <c r="CD96" s="376"/>
      <c r="CE96" s="376"/>
      <c r="CF96" s="376"/>
    </row>
    <row r="97" spans="2:84">
      <c r="B97" s="571" t="s">
        <v>187</v>
      </c>
      <c r="C97" s="609">
        <f>DATE(YEAR(DataRevRea)+1,MONTH(DataRevRea),DAY(DataRevRea)-1)</f>
        <v>45198</v>
      </c>
      <c r="D97" s="608"/>
      <c r="E97" s="527"/>
      <c r="F97" s="527"/>
      <c r="L97" s="551"/>
      <c r="M97" s="534"/>
      <c r="O97" s="9"/>
      <c r="R97" s="376"/>
      <c r="S97" s="376"/>
      <c r="T97" s="376"/>
      <c r="U97" s="376"/>
      <c r="V97" s="376"/>
      <c r="W97" s="376"/>
      <c r="X97" s="376"/>
      <c r="Y97" s="376"/>
      <c r="Z97" s="376"/>
      <c r="AA97" s="376"/>
      <c r="AB97" s="376"/>
      <c r="AC97" s="376"/>
      <c r="AD97" s="376"/>
      <c r="AE97" s="376"/>
      <c r="AF97" s="376"/>
      <c r="AG97" s="376"/>
      <c r="AH97" s="376"/>
      <c r="AI97" s="376"/>
      <c r="AJ97" s="376"/>
      <c r="AK97" s="376"/>
      <c r="AL97" s="376"/>
      <c r="AM97" s="376"/>
      <c r="AN97" s="376"/>
      <c r="AO97" s="376"/>
      <c r="AP97" s="376"/>
      <c r="AQ97" s="376"/>
      <c r="AR97" s="376"/>
      <c r="AS97" s="376"/>
      <c r="AT97" s="376"/>
      <c r="AU97" s="376"/>
      <c r="AV97" s="376"/>
      <c r="AW97" s="376"/>
      <c r="AX97" s="376"/>
      <c r="AY97" s="376"/>
      <c r="AZ97" s="376"/>
      <c r="BA97" s="376"/>
      <c r="BB97" s="376"/>
      <c r="BC97" s="376"/>
      <c r="BD97" s="376"/>
      <c r="BE97" s="376"/>
      <c r="BF97" s="376"/>
      <c r="BG97" s="376"/>
      <c r="BH97" s="376"/>
      <c r="BI97" s="376"/>
      <c r="BJ97" s="376"/>
      <c r="BK97" s="376"/>
      <c r="BL97" s="376"/>
      <c r="BM97" s="376"/>
      <c r="BN97" s="376"/>
      <c r="BO97" s="376"/>
      <c r="BP97" s="376"/>
      <c r="BQ97" s="376"/>
      <c r="BR97" s="376"/>
      <c r="BS97" s="376"/>
      <c r="BT97" s="376"/>
      <c r="BU97" s="376"/>
      <c r="BV97" s="376"/>
      <c r="BW97" s="376"/>
      <c r="BX97" s="376"/>
      <c r="BY97" s="376"/>
      <c r="BZ97" s="376"/>
      <c r="CA97" s="376"/>
      <c r="CB97" s="376"/>
      <c r="CC97" s="376"/>
      <c r="CD97" s="376"/>
      <c r="CE97" s="376"/>
      <c r="CF97" s="376"/>
    </row>
    <row r="98" spans="2:84">
      <c r="B98" s="571" t="s">
        <v>667</v>
      </c>
      <c r="C98" s="609" t="str">
        <f>TEXT(C14,"mmmm")&amp;" de "&amp;TEXT(C14,"aaaa")&amp; " a "&amp;TEXT(C17,"mmmm")&amp;" de "&amp;TEXT(C17,"aaaa")</f>
        <v>setembro de 2021 a agosto de 2022</v>
      </c>
      <c r="D98" s="527"/>
      <c r="E98" s="527"/>
      <c r="F98" s="527"/>
      <c r="L98" s="551"/>
      <c r="M98" s="534"/>
      <c r="O98" s="9"/>
      <c r="R98" s="376"/>
      <c r="S98" s="376"/>
      <c r="T98" s="376"/>
      <c r="U98" s="376"/>
      <c r="V98" s="376"/>
      <c r="W98" s="376"/>
      <c r="X98" s="376"/>
      <c r="Y98" s="376"/>
      <c r="Z98" s="376"/>
      <c r="AA98" s="376"/>
      <c r="AB98" s="376"/>
      <c r="AC98" s="376"/>
      <c r="AD98" s="376"/>
      <c r="AE98" s="376"/>
      <c r="AF98" s="376"/>
      <c r="AG98" s="376"/>
      <c r="AH98" s="376"/>
      <c r="AI98" s="376"/>
      <c r="AJ98" s="376"/>
      <c r="AK98" s="376"/>
      <c r="AL98" s="376"/>
      <c r="AM98" s="376"/>
      <c r="AN98" s="376"/>
      <c r="AO98" s="376"/>
      <c r="AP98" s="376"/>
      <c r="AQ98" s="376"/>
      <c r="AR98" s="376"/>
      <c r="AS98" s="376"/>
      <c r="AT98" s="376"/>
      <c r="AU98" s="376"/>
      <c r="AV98" s="376"/>
      <c r="AW98" s="376"/>
      <c r="AX98" s="376"/>
      <c r="AY98" s="376"/>
      <c r="AZ98" s="376"/>
      <c r="BA98" s="376"/>
      <c r="BB98" s="376"/>
      <c r="BC98" s="376"/>
      <c r="BD98" s="376"/>
      <c r="BE98" s="376"/>
      <c r="BF98" s="376"/>
      <c r="BG98" s="376"/>
      <c r="BH98" s="376"/>
      <c r="BI98" s="376"/>
      <c r="BJ98" s="376"/>
      <c r="BK98" s="376"/>
      <c r="BL98" s="376"/>
      <c r="BM98" s="376"/>
      <c r="BN98" s="376"/>
      <c r="BO98" s="376"/>
      <c r="BP98" s="376"/>
      <c r="BQ98" s="376"/>
      <c r="BR98" s="376"/>
      <c r="BS98" s="376"/>
      <c r="BT98" s="376"/>
      <c r="BU98" s="376"/>
      <c r="BV98" s="376"/>
      <c r="BW98" s="376"/>
      <c r="BX98" s="376"/>
      <c r="BY98" s="376"/>
      <c r="BZ98" s="376"/>
      <c r="CA98" s="376"/>
      <c r="CB98" s="376"/>
      <c r="CC98" s="376"/>
      <c r="CD98" s="376"/>
      <c r="CE98" s="376"/>
      <c r="CF98" s="376"/>
    </row>
    <row r="99" spans="2:84">
      <c r="B99" s="571" t="s">
        <v>668</v>
      </c>
      <c r="C99" s="602"/>
      <c r="D99" s="527"/>
      <c r="E99" s="527"/>
      <c r="F99" s="527"/>
      <c r="I99" s="555"/>
      <c r="L99" s="551"/>
      <c r="M99" s="534"/>
      <c r="O99" s="9"/>
      <c r="R99" s="376"/>
      <c r="S99" s="376"/>
      <c r="T99" s="376"/>
      <c r="U99" s="376"/>
      <c r="V99" s="376"/>
      <c r="W99" s="376"/>
      <c r="X99" s="376"/>
      <c r="Y99" s="376"/>
      <c r="Z99" s="376"/>
      <c r="AA99" s="376"/>
      <c r="AB99" s="376"/>
      <c r="AC99" s="376"/>
      <c r="AD99" s="376"/>
      <c r="AE99" s="376"/>
      <c r="AF99" s="376"/>
      <c r="AG99" s="376"/>
      <c r="AH99" s="376"/>
      <c r="AI99" s="376"/>
      <c r="AJ99" s="376"/>
      <c r="AK99" s="376"/>
      <c r="AL99" s="376"/>
      <c r="AM99" s="376"/>
      <c r="AN99" s="376"/>
      <c r="AO99" s="376"/>
      <c r="AP99" s="376"/>
      <c r="AQ99" s="376"/>
      <c r="AR99" s="376"/>
      <c r="AS99" s="376"/>
      <c r="AT99" s="376"/>
      <c r="AU99" s="376"/>
      <c r="AV99" s="376"/>
      <c r="AW99" s="376"/>
      <c r="AX99" s="376"/>
      <c r="AY99" s="376"/>
      <c r="AZ99" s="376"/>
      <c r="BA99" s="376"/>
      <c r="BB99" s="376"/>
      <c r="BC99" s="376"/>
      <c r="BD99" s="376"/>
      <c r="BE99" s="376"/>
      <c r="BF99" s="376"/>
      <c r="BG99" s="376"/>
      <c r="BH99" s="376"/>
      <c r="BI99" s="376"/>
      <c r="BJ99" s="376"/>
      <c r="BK99" s="376"/>
      <c r="BL99" s="376"/>
      <c r="BM99" s="376"/>
      <c r="BN99" s="376"/>
      <c r="BO99" s="376"/>
      <c r="BP99" s="376"/>
      <c r="BQ99" s="376"/>
      <c r="BR99" s="376"/>
      <c r="BS99" s="376"/>
      <c r="BT99" s="376"/>
      <c r="BU99" s="376"/>
      <c r="BV99" s="376"/>
      <c r="BW99" s="376"/>
      <c r="BX99" s="376"/>
      <c r="BY99" s="376"/>
      <c r="BZ99" s="376"/>
      <c r="CA99" s="376"/>
      <c r="CB99" s="376"/>
      <c r="CC99" s="376"/>
      <c r="CD99" s="376"/>
      <c r="CE99" s="376"/>
      <c r="CF99" s="376"/>
    </row>
    <row r="100" spans="2:84" ht="16.5" customHeight="1">
      <c r="B100" s="571" t="s">
        <v>633</v>
      </c>
      <c r="C100" s="602"/>
      <c r="D100" s="527"/>
      <c r="E100" s="527"/>
      <c r="F100" s="527"/>
      <c r="L100" s="551"/>
      <c r="M100" s="534"/>
      <c r="O100" s="9"/>
      <c r="R100" s="376"/>
      <c r="S100" s="376"/>
      <c r="T100" s="376"/>
      <c r="U100" s="376"/>
      <c r="V100" s="376"/>
      <c r="W100" s="376"/>
      <c r="X100" s="376"/>
      <c r="Y100" s="376"/>
      <c r="Z100" s="376"/>
      <c r="AA100" s="376"/>
      <c r="AB100" s="376"/>
      <c r="AC100" s="376"/>
      <c r="AD100" s="376"/>
      <c r="AE100" s="376"/>
      <c r="AF100" s="376"/>
      <c r="AG100" s="376"/>
      <c r="AH100" s="376"/>
      <c r="AI100" s="376"/>
      <c r="AJ100" s="376"/>
      <c r="AK100" s="376"/>
      <c r="AL100" s="376"/>
      <c r="AM100" s="376"/>
      <c r="AN100" s="376"/>
      <c r="AO100" s="376"/>
      <c r="AP100" s="376"/>
      <c r="AQ100" s="376"/>
      <c r="AR100" s="376"/>
      <c r="AS100" s="376"/>
      <c r="AT100" s="376"/>
      <c r="AU100" s="376"/>
      <c r="AV100" s="376"/>
      <c r="AW100" s="376"/>
      <c r="AX100" s="376"/>
      <c r="AY100" s="376"/>
      <c r="AZ100" s="376"/>
      <c r="BA100" s="376"/>
      <c r="BB100" s="376"/>
      <c r="BC100" s="376"/>
      <c r="BD100" s="376"/>
      <c r="BE100" s="376"/>
      <c r="BF100" s="376"/>
      <c r="BG100" s="376"/>
      <c r="BH100" s="376"/>
      <c r="BI100" s="376"/>
      <c r="BJ100" s="376"/>
      <c r="BK100" s="376"/>
      <c r="BL100" s="376"/>
      <c r="BM100" s="376"/>
      <c r="BN100" s="376"/>
      <c r="BO100" s="376"/>
      <c r="BP100" s="376"/>
      <c r="BQ100" s="376"/>
      <c r="BR100" s="376"/>
      <c r="BS100" s="376"/>
      <c r="BT100" s="376"/>
      <c r="BU100" s="376"/>
      <c r="BV100" s="376"/>
      <c r="BW100" s="376"/>
      <c r="BX100" s="376"/>
      <c r="BY100" s="376"/>
      <c r="BZ100" s="376"/>
      <c r="CA100" s="376"/>
      <c r="CB100" s="376"/>
      <c r="CC100" s="376"/>
      <c r="CD100" s="376"/>
      <c r="CE100" s="376"/>
      <c r="CF100" s="376"/>
    </row>
    <row r="101" spans="2:84">
      <c r="B101" s="571" t="s">
        <v>669</v>
      </c>
      <c r="C101" s="602"/>
      <c r="D101" s="527"/>
      <c r="E101" s="527"/>
      <c r="F101" s="527"/>
      <c r="L101" s="551"/>
      <c r="M101" s="534"/>
      <c r="O101" s="9"/>
      <c r="R101" s="376"/>
      <c r="S101" s="376"/>
      <c r="T101" s="376"/>
      <c r="U101" s="376"/>
      <c r="V101" s="376"/>
      <c r="W101" s="376"/>
      <c r="X101" s="376"/>
      <c r="Y101" s="376"/>
      <c r="Z101" s="376"/>
      <c r="AA101" s="376"/>
      <c r="AB101" s="376"/>
      <c r="AC101" s="376"/>
      <c r="AD101" s="376"/>
      <c r="AE101" s="376"/>
      <c r="AF101" s="376"/>
      <c r="AG101" s="376"/>
      <c r="AH101" s="376"/>
      <c r="AI101" s="376"/>
      <c r="AJ101" s="376"/>
      <c r="AK101" s="376"/>
      <c r="AL101" s="376"/>
      <c r="AM101" s="376"/>
      <c r="AN101" s="376"/>
      <c r="AO101" s="376"/>
      <c r="AP101" s="376"/>
      <c r="AQ101" s="376"/>
      <c r="AR101" s="376"/>
      <c r="AS101" s="376"/>
      <c r="AT101" s="376"/>
      <c r="AU101" s="376"/>
      <c r="AV101" s="376"/>
      <c r="AW101" s="376"/>
      <c r="AX101" s="376"/>
      <c r="AY101" s="376"/>
      <c r="AZ101" s="376"/>
      <c r="BA101" s="376"/>
      <c r="BB101" s="376"/>
      <c r="BC101" s="376"/>
      <c r="BD101" s="376"/>
      <c r="BE101" s="376"/>
      <c r="BF101" s="376"/>
      <c r="BG101" s="376"/>
      <c r="BH101" s="376"/>
      <c r="BI101" s="376"/>
      <c r="BJ101" s="376"/>
      <c r="BK101" s="376"/>
      <c r="BL101" s="376"/>
      <c r="BM101" s="376"/>
      <c r="BN101" s="376"/>
      <c r="BO101" s="376"/>
      <c r="BP101" s="376"/>
      <c r="BQ101" s="376"/>
      <c r="BR101" s="376"/>
      <c r="BS101" s="376"/>
      <c r="BT101" s="376"/>
      <c r="BU101" s="376"/>
      <c r="BV101" s="376"/>
      <c r="BW101" s="376"/>
      <c r="BX101" s="376"/>
      <c r="BY101" s="376"/>
      <c r="BZ101" s="376"/>
      <c r="CA101" s="376"/>
      <c r="CB101" s="376"/>
      <c r="CC101" s="376"/>
      <c r="CD101" s="376"/>
      <c r="CE101" s="376"/>
      <c r="CF101" s="376"/>
    </row>
    <row r="102" spans="2:84">
      <c r="B102" s="571" t="s">
        <v>670</v>
      </c>
      <c r="C102" s="610"/>
      <c r="D102" s="527"/>
      <c r="E102" s="527"/>
      <c r="F102" s="527"/>
      <c r="L102" s="551"/>
      <c r="M102" s="534"/>
      <c r="O102" s="9"/>
      <c r="R102" s="376"/>
      <c r="S102" s="376"/>
      <c r="T102" s="376"/>
      <c r="U102" s="376"/>
      <c r="V102" s="376"/>
      <c r="W102" s="376"/>
      <c r="X102" s="376"/>
      <c r="Y102" s="376"/>
      <c r="Z102" s="376"/>
      <c r="AA102" s="376"/>
      <c r="AB102" s="376"/>
      <c r="AC102" s="376"/>
      <c r="AD102" s="376"/>
      <c r="AE102" s="376"/>
      <c r="AF102" s="376"/>
      <c r="AG102" s="376"/>
      <c r="AH102" s="376"/>
      <c r="AI102" s="376"/>
      <c r="AJ102" s="376"/>
      <c r="AK102" s="376"/>
      <c r="AL102" s="376"/>
      <c r="AM102" s="376"/>
      <c r="AN102" s="376"/>
      <c r="AO102" s="376"/>
      <c r="AP102" s="376"/>
      <c r="AQ102" s="376"/>
      <c r="AR102" s="376"/>
      <c r="AS102" s="376"/>
      <c r="AT102" s="376"/>
      <c r="AU102" s="376"/>
      <c r="AV102" s="376"/>
      <c r="AW102" s="376"/>
      <c r="AX102" s="376"/>
      <c r="AY102" s="376"/>
      <c r="AZ102" s="376"/>
      <c r="BA102" s="376"/>
      <c r="BB102" s="376"/>
      <c r="BC102" s="376"/>
      <c r="BD102" s="376"/>
      <c r="BE102" s="376"/>
      <c r="BF102" s="376"/>
      <c r="BG102" s="376"/>
      <c r="BH102" s="376"/>
      <c r="BI102" s="376"/>
      <c r="BJ102" s="376"/>
      <c r="BK102" s="376"/>
      <c r="BL102" s="376"/>
      <c r="BM102" s="376"/>
      <c r="BN102" s="376"/>
      <c r="BO102" s="376"/>
      <c r="BP102" s="376"/>
      <c r="BQ102" s="376"/>
      <c r="BR102" s="376"/>
      <c r="BS102" s="376"/>
      <c r="BT102" s="376"/>
      <c r="BU102" s="376"/>
      <c r="BV102" s="376"/>
      <c r="BW102" s="376"/>
      <c r="BX102" s="376"/>
      <c r="BY102" s="376"/>
      <c r="BZ102" s="376"/>
      <c r="CA102" s="376"/>
      <c r="CB102" s="376"/>
      <c r="CC102" s="376"/>
      <c r="CD102" s="376"/>
      <c r="CE102" s="376"/>
      <c r="CF102" s="376"/>
    </row>
    <row r="103" spans="2:84">
      <c r="B103" s="571" t="s">
        <v>671</v>
      </c>
      <c r="C103" s="610">
        <f>Resultado!D32</f>
        <v>2472691.1461900002</v>
      </c>
      <c r="D103" s="527"/>
      <c r="E103" s="527"/>
      <c r="F103" s="527"/>
      <c r="L103" s="551"/>
      <c r="M103" s="534"/>
      <c r="O103" s="9"/>
      <c r="R103" s="376"/>
      <c r="S103" s="376"/>
      <c r="T103" s="376"/>
      <c r="U103" s="376"/>
      <c r="V103" s="376"/>
      <c r="W103" s="376"/>
      <c r="X103" s="376"/>
      <c r="Y103" s="376"/>
      <c r="Z103" s="376"/>
      <c r="AA103" s="376"/>
      <c r="AB103" s="376"/>
      <c r="AC103" s="376"/>
      <c r="AD103" s="376"/>
      <c r="AE103" s="376"/>
      <c r="AF103" s="376"/>
      <c r="AG103" s="376"/>
      <c r="AH103" s="376"/>
      <c r="AI103" s="376"/>
      <c r="AJ103" s="376"/>
      <c r="AK103" s="376"/>
      <c r="AL103" s="376"/>
      <c r="AM103" s="376"/>
      <c r="AN103" s="376"/>
      <c r="AO103" s="376"/>
      <c r="AP103" s="376"/>
      <c r="AQ103" s="376"/>
      <c r="AR103" s="376"/>
      <c r="AS103" s="376"/>
      <c r="AT103" s="376"/>
      <c r="AU103" s="376"/>
      <c r="AV103" s="376"/>
      <c r="AW103" s="376"/>
      <c r="AX103" s="376"/>
      <c r="AY103" s="376"/>
      <c r="AZ103" s="376"/>
      <c r="BA103" s="376"/>
      <c r="BB103" s="376"/>
      <c r="BC103" s="376"/>
      <c r="BD103" s="376"/>
      <c r="BE103" s="376"/>
      <c r="BF103" s="376"/>
      <c r="BG103" s="376"/>
      <c r="BH103" s="376"/>
      <c r="BI103" s="376"/>
      <c r="BJ103" s="376"/>
      <c r="BK103" s="376"/>
      <c r="BL103" s="376"/>
      <c r="BM103" s="376"/>
      <c r="BN103" s="376"/>
      <c r="BO103" s="376"/>
      <c r="BP103" s="376"/>
      <c r="BQ103" s="376"/>
      <c r="BR103" s="376"/>
      <c r="BS103" s="376"/>
      <c r="BT103" s="376"/>
      <c r="BU103" s="376"/>
      <c r="BV103" s="376"/>
      <c r="BW103" s="376"/>
      <c r="BX103" s="376"/>
      <c r="BY103" s="376"/>
      <c r="BZ103" s="376"/>
      <c r="CA103" s="376"/>
      <c r="CB103" s="376"/>
      <c r="CC103" s="376"/>
      <c r="CD103" s="376"/>
      <c r="CE103" s="376"/>
      <c r="CF103" s="376"/>
    </row>
    <row r="104" spans="2:84">
      <c r="B104" s="571" t="s">
        <v>672</v>
      </c>
      <c r="C104" s="610">
        <f>SUM(Resultado!D25:D29)</f>
        <v>0</v>
      </c>
      <c r="D104" s="527"/>
      <c r="E104" s="527"/>
      <c r="F104" s="527"/>
      <c r="H104" s="570"/>
      <c r="I104" s="570"/>
      <c r="L104" s="551"/>
      <c r="M104" s="534"/>
      <c r="O104" s="9"/>
      <c r="R104" s="376"/>
      <c r="S104" s="376"/>
      <c r="T104" s="376"/>
      <c r="U104" s="376"/>
      <c r="V104" s="376"/>
      <c r="W104" s="376"/>
      <c r="X104" s="376"/>
      <c r="Y104" s="376"/>
      <c r="Z104" s="376"/>
      <c r="AA104" s="376"/>
      <c r="AB104" s="376"/>
      <c r="AC104" s="376"/>
      <c r="AD104" s="376"/>
      <c r="AE104" s="376"/>
      <c r="AF104" s="376"/>
      <c r="AG104" s="376"/>
      <c r="AH104" s="376"/>
      <c r="AI104" s="376"/>
      <c r="AJ104" s="376"/>
      <c r="AK104" s="376"/>
      <c r="AL104" s="376"/>
      <c r="AM104" s="376"/>
      <c r="AN104" s="376"/>
      <c r="AO104" s="376"/>
      <c r="AP104" s="376"/>
      <c r="AQ104" s="376"/>
      <c r="AR104" s="376"/>
      <c r="AS104" s="376"/>
      <c r="AT104" s="376"/>
      <c r="AU104" s="376"/>
      <c r="AV104" s="376"/>
      <c r="AW104" s="376"/>
      <c r="AX104" s="376"/>
      <c r="AY104" s="376"/>
      <c r="AZ104" s="376"/>
      <c r="BA104" s="376"/>
      <c r="BB104" s="376"/>
      <c r="BC104" s="376"/>
      <c r="BD104" s="376"/>
      <c r="BE104" s="376"/>
      <c r="BF104" s="376"/>
      <c r="BG104" s="376"/>
      <c r="BH104" s="376"/>
      <c r="BI104" s="376"/>
      <c r="BJ104" s="376"/>
      <c r="BK104" s="376"/>
      <c r="BL104" s="376"/>
      <c r="BM104" s="376"/>
      <c r="BN104" s="376"/>
      <c r="BO104" s="376"/>
      <c r="BP104" s="376"/>
      <c r="BQ104" s="376"/>
      <c r="BR104" s="376"/>
      <c r="BS104" s="376"/>
      <c r="BT104" s="376"/>
      <c r="BU104" s="376"/>
      <c r="BV104" s="376"/>
      <c r="BW104" s="376"/>
      <c r="BX104" s="376"/>
      <c r="BY104" s="376"/>
      <c r="BZ104" s="376"/>
      <c r="CA104" s="376"/>
      <c r="CB104" s="376"/>
      <c r="CC104" s="376"/>
      <c r="CD104" s="376"/>
      <c r="CE104" s="376"/>
      <c r="CF104" s="376"/>
    </row>
    <row r="105" spans="2:84">
      <c r="B105" s="571" t="s">
        <v>673</v>
      </c>
      <c r="C105" s="610">
        <f>Resultado!D31</f>
        <v>0</v>
      </c>
      <c r="D105" s="527"/>
      <c r="E105" s="527"/>
      <c r="F105" s="527"/>
      <c r="L105" s="551"/>
      <c r="M105" s="534"/>
      <c r="O105" s="9"/>
      <c r="R105" s="376"/>
      <c r="S105" s="376"/>
      <c r="T105" s="376"/>
      <c r="U105" s="376"/>
      <c r="V105" s="376"/>
      <c r="W105" s="376"/>
      <c r="X105" s="376"/>
      <c r="Y105" s="376"/>
      <c r="Z105" s="376"/>
      <c r="AA105" s="376"/>
      <c r="AB105" s="376"/>
      <c r="AC105" s="376"/>
      <c r="AD105" s="376"/>
      <c r="AE105" s="376"/>
      <c r="AF105" s="376"/>
      <c r="AG105" s="376"/>
      <c r="AH105" s="376"/>
      <c r="AI105" s="376"/>
      <c r="AJ105" s="376"/>
      <c r="AK105" s="376"/>
      <c r="AL105" s="376"/>
      <c r="AM105" s="376"/>
      <c r="AN105" s="376"/>
      <c r="AO105" s="376"/>
      <c r="AP105" s="376"/>
      <c r="AQ105" s="376"/>
      <c r="AR105" s="376"/>
      <c r="AS105" s="376"/>
      <c r="AT105" s="376"/>
      <c r="AU105" s="376"/>
      <c r="AV105" s="376"/>
      <c r="AW105" s="376"/>
      <c r="AX105" s="376"/>
      <c r="AY105" s="376"/>
      <c r="AZ105" s="376"/>
      <c r="BA105" s="376"/>
      <c r="BB105" s="376"/>
      <c r="BC105" s="376"/>
      <c r="BD105" s="376"/>
      <c r="BE105" s="376"/>
      <c r="BF105" s="376"/>
      <c r="BG105" s="376"/>
      <c r="BH105" s="376"/>
      <c r="BI105" s="376"/>
      <c r="BJ105" s="376"/>
      <c r="BK105" s="376"/>
      <c r="BL105" s="376"/>
      <c r="BM105" s="376"/>
      <c r="BN105" s="376"/>
      <c r="BO105" s="376"/>
      <c r="BP105" s="376"/>
      <c r="BQ105" s="376"/>
      <c r="BR105" s="376"/>
      <c r="BS105" s="376"/>
      <c r="BT105" s="376"/>
      <c r="BU105" s="376"/>
      <c r="BV105" s="376"/>
      <c r="BW105" s="376"/>
      <c r="BX105" s="376"/>
      <c r="BY105" s="376"/>
      <c r="BZ105" s="376"/>
      <c r="CA105" s="376"/>
      <c r="CB105" s="376"/>
      <c r="CC105" s="376"/>
      <c r="CD105" s="376"/>
      <c r="CE105" s="376"/>
      <c r="CF105" s="376"/>
    </row>
    <row r="106" spans="2:84">
      <c r="B106" s="571" t="s">
        <v>674</v>
      </c>
      <c r="C106" s="611">
        <f>ROUND(Calc_Mercado!J18/1000,0)</f>
        <v>4</v>
      </c>
      <c r="D106" s="527"/>
      <c r="E106" s="527"/>
      <c r="F106" s="527"/>
      <c r="L106" s="551"/>
      <c r="M106" s="534"/>
      <c r="O106" s="9"/>
      <c r="R106" s="376"/>
      <c r="S106" s="376"/>
      <c r="T106" s="376"/>
      <c r="U106" s="376"/>
      <c r="V106" s="376"/>
      <c r="W106" s="376"/>
      <c r="X106" s="376"/>
      <c r="Y106" s="376"/>
      <c r="Z106" s="376"/>
      <c r="AA106" s="376"/>
      <c r="AB106" s="376"/>
      <c r="AC106" s="376"/>
      <c r="AD106" s="376"/>
      <c r="AE106" s="376"/>
      <c r="AF106" s="376"/>
      <c r="AG106" s="376"/>
      <c r="AH106" s="376"/>
      <c r="AI106" s="376"/>
      <c r="AJ106" s="376"/>
      <c r="AK106" s="376"/>
      <c r="AL106" s="376"/>
      <c r="AM106" s="376"/>
      <c r="AN106" s="376"/>
      <c r="AO106" s="376"/>
      <c r="AP106" s="376"/>
      <c r="AQ106" s="376"/>
      <c r="AR106" s="376"/>
      <c r="AS106" s="376"/>
      <c r="AT106" s="376"/>
      <c r="AU106" s="376"/>
      <c r="AV106" s="376"/>
      <c r="AW106" s="376"/>
      <c r="AX106" s="376"/>
      <c r="AY106" s="376"/>
      <c r="AZ106" s="376"/>
      <c r="BA106" s="376"/>
      <c r="BB106" s="376"/>
      <c r="BC106" s="376"/>
      <c r="BD106" s="376"/>
      <c r="BE106" s="376"/>
      <c r="BF106" s="376"/>
      <c r="BG106" s="376"/>
      <c r="BH106" s="376"/>
      <c r="BI106" s="376"/>
      <c r="BJ106" s="376"/>
      <c r="BK106" s="376"/>
      <c r="BL106" s="376"/>
      <c r="BM106" s="376"/>
      <c r="BN106" s="376"/>
      <c r="BO106" s="376"/>
      <c r="BP106" s="376"/>
      <c r="BQ106" s="376"/>
      <c r="BR106" s="376"/>
      <c r="BS106" s="376"/>
      <c r="BT106" s="376"/>
      <c r="BU106" s="376"/>
      <c r="BV106" s="376"/>
      <c r="BW106" s="376"/>
      <c r="BX106" s="376"/>
      <c r="BY106" s="376"/>
      <c r="BZ106" s="376"/>
      <c r="CA106" s="376"/>
      <c r="CB106" s="376"/>
      <c r="CC106" s="376"/>
      <c r="CD106" s="376"/>
      <c r="CE106" s="376"/>
      <c r="CF106" s="376"/>
    </row>
    <row r="107" spans="2:84">
      <c r="B107" s="571" t="s">
        <v>675</v>
      </c>
      <c r="C107" s="611">
        <f ca="1">ROUND(Mercado_RA0_Reais/1000000,0)</f>
        <v>15</v>
      </c>
      <c r="D107" s="527"/>
      <c r="E107" s="527"/>
      <c r="F107" s="527"/>
      <c r="L107" s="551"/>
      <c r="M107" s="534"/>
      <c r="O107" s="9"/>
      <c r="R107" s="376"/>
      <c r="S107" s="376"/>
      <c r="T107" s="376"/>
      <c r="U107" s="376"/>
      <c r="V107" s="376"/>
      <c r="W107" s="376"/>
      <c r="X107" s="376"/>
      <c r="Y107" s="376"/>
      <c r="Z107" s="376"/>
      <c r="AA107" s="376"/>
      <c r="AB107" s="376"/>
      <c r="AC107" s="376"/>
      <c r="AD107" s="376"/>
      <c r="AE107" s="376"/>
      <c r="AF107" s="376"/>
      <c r="AG107" s="376"/>
      <c r="AH107" s="376"/>
      <c r="AI107" s="376"/>
      <c r="AJ107" s="376"/>
      <c r="AK107" s="376"/>
      <c r="AL107" s="376"/>
      <c r="AM107" s="376"/>
      <c r="AN107" s="376"/>
      <c r="AO107" s="376"/>
      <c r="AP107" s="376"/>
      <c r="AQ107" s="376"/>
      <c r="AR107" s="376"/>
      <c r="AS107" s="376"/>
      <c r="AT107" s="376"/>
      <c r="AU107" s="376"/>
      <c r="AV107" s="376"/>
      <c r="AW107" s="376"/>
      <c r="AX107" s="376"/>
      <c r="AY107" s="376"/>
      <c r="AZ107" s="376"/>
      <c r="BA107" s="376"/>
      <c r="BB107" s="376"/>
      <c r="BC107" s="376"/>
      <c r="BD107" s="376"/>
      <c r="BE107" s="376"/>
      <c r="BF107" s="376"/>
      <c r="BG107" s="376"/>
      <c r="BH107" s="376"/>
      <c r="BI107" s="376"/>
      <c r="BJ107" s="376"/>
      <c r="BK107" s="376"/>
      <c r="BL107" s="376"/>
      <c r="BM107" s="376"/>
      <c r="BN107" s="376"/>
      <c r="BO107" s="376"/>
      <c r="BP107" s="376"/>
      <c r="BQ107" s="376"/>
      <c r="BR107" s="376"/>
      <c r="BS107" s="376"/>
      <c r="BT107" s="376"/>
      <c r="BU107" s="376"/>
      <c r="BV107" s="376"/>
      <c r="BW107" s="376"/>
      <c r="BX107" s="376"/>
      <c r="BY107" s="376"/>
      <c r="BZ107" s="376"/>
      <c r="CA107" s="376"/>
      <c r="CB107" s="376"/>
      <c r="CC107" s="376"/>
      <c r="CD107" s="376"/>
      <c r="CE107" s="376"/>
      <c r="CF107" s="376"/>
    </row>
    <row r="108" spans="2:84">
      <c r="B108" s="571" t="s">
        <v>205</v>
      </c>
      <c r="C108" s="611" t="str">
        <f>VLOOKUP(LnkTXTSigla,Informacoes[],11,FALSE)</f>
        <v>Elektro</v>
      </c>
      <c r="D108" s="527"/>
      <c r="E108" s="527" t="str">
        <f>VLOOKUP(LnkTXTSigla,Informacoes[],11,FALSE)</f>
        <v>Elektro</v>
      </c>
      <c r="F108" s="527"/>
      <c r="L108" s="551"/>
      <c r="M108" s="534"/>
      <c r="O108" s="9"/>
      <c r="R108" s="376"/>
      <c r="S108" s="376"/>
      <c r="T108" s="376"/>
      <c r="U108" s="376"/>
      <c r="V108" s="376"/>
      <c r="W108" s="376"/>
      <c r="X108" s="376"/>
      <c r="Y108" s="376"/>
      <c r="Z108" s="376"/>
      <c r="AA108" s="376"/>
      <c r="AB108" s="376"/>
      <c r="AC108" s="376"/>
      <c r="AD108" s="376"/>
      <c r="AE108" s="376"/>
      <c r="AF108" s="376"/>
      <c r="AG108" s="376"/>
      <c r="AH108" s="376"/>
      <c r="AI108" s="376"/>
      <c r="AJ108" s="376"/>
      <c r="AK108" s="376"/>
      <c r="AL108" s="376"/>
      <c r="AM108" s="376"/>
      <c r="AN108" s="376"/>
      <c r="AO108" s="376"/>
      <c r="AP108" s="376"/>
      <c r="AQ108" s="376"/>
      <c r="AR108" s="376"/>
      <c r="AS108" s="376"/>
      <c r="AT108" s="376"/>
      <c r="AU108" s="376"/>
      <c r="AV108" s="376"/>
      <c r="AW108" s="376"/>
      <c r="AX108" s="376"/>
      <c r="AY108" s="376"/>
      <c r="AZ108" s="376"/>
      <c r="BA108" s="376"/>
      <c r="BB108" s="376"/>
      <c r="BC108" s="376"/>
      <c r="BD108" s="376"/>
      <c r="BE108" s="376"/>
      <c r="BF108" s="376"/>
      <c r="BG108" s="376"/>
      <c r="BH108" s="376"/>
      <c r="BI108" s="376"/>
      <c r="BJ108" s="376"/>
      <c r="BK108" s="376"/>
      <c r="BL108" s="376"/>
      <c r="BM108" s="376"/>
      <c r="BN108" s="376"/>
      <c r="BO108" s="376"/>
      <c r="BP108" s="376"/>
      <c r="BQ108" s="376"/>
      <c r="BR108" s="376"/>
      <c r="BS108" s="376"/>
      <c r="BT108" s="376"/>
      <c r="BU108" s="376"/>
      <c r="BV108" s="376"/>
      <c r="BW108" s="376"/>
      <c r="BX108" s="376"/>
      <c r="BY108" s="376"/>
      <c r="BZ108" s="376"/>
      <c r="CA108" s="376"/>
      <c r="CB108" s="376"/>
      <c r="CC108" s="376"/>
      <c r="CD108" s="376"/>
      <c r="CE108" s="376"/>
      <c r="CF108" s="376"/>
    </row>
    <row r="109" spans="2:84" ht="16.5" customHeight="1">
      <c r="B109" s="741" t="s">
        <v>207</v>
      </c>
      <c r="C109" s="1013" t="str">
        <f>IF(E109=0,"!vazio!"," e "&amp;E109)</f>
        <v>!vazio!</v>
      </c>
      <c r="D109" s="1014"/>
      <c r="E109" s="1014">
        <f>VLOOKUP(LnkTXTSigla,Informacoes[],13,FALSE)</f>
        <v>0</v>
      </c>
      <c r="F109" s="1014"/>
      <c r="L109" s="551"/>
      <c r="M109" s="534"/>
      <c r="O109" s="9"/>
      <c r="R109" s="376"/>
      <c r="S109" s="376"/>
      <c r="T109" s="376"/>
      <c r="U109" s="376"/>
      <c r="V109" s="376"/>
      <c r="W109" s="376"/>
      <c r="X109" s="376"/>
      <c r="Y109" s="376"/>
      <c r="Z109" s="376"/>
      <c r="AA109" s="376"/>
      <c r="AB109" s="376"/>
      <c r="AC109" s="376"/>
      <c r="AD109" s="376"/>
      <c r="AE109" s="376"/>
      <c r="AF109" s="376"/>
      <c r="AG109" s="376"/>
      <c r="AH109" s="376"/>
      <c r="AI109" s="376"/>
      <c r="AJ109" s="376"/>
      <c r="AK109" s="376"/>
      <c r="AL109" s="376"/>
      <c r="AM109" s="376"/>
      <c r="AN109" s="376"/>
      <c r="AO109" s="376"/>
      <c r="AP109" s="376"/>
      <c r="AQ109" s="376"/>
      <c r="AR109" s="376"/>
      <c r="AS109" s="376"/>
      <c r="AT109" s="376"/>
      <c r="AU109" s="376"/>
      <c r="AV109" s="376"/>
      <c r="AW109" s="376"/>
      <c r="AX109" s="376"/>
      <c r="AY109" s="376"/>
      <c r="AZ109" s="376"/>
      <c r="BA109" s="376"/>
      <c r="BB109" s="376"/>
      <c r="BC109" s="376"/>
      <c r="BD109" s="376"/>
      <c r="BE109" s="376"/>
      <c r="BF109" s="376"/>
      <c r="BG109" s="376"/>
      <c r="BH109" s="376"/>
      <c r="BI109" s="376"/>
      <c r="BJ109" s="376"/>
      <c r="BK109" s="376"/>
      <c r="BL109" s="376"/>
      <c r="BM109" s="376"/>
      <c r="BN109" s="376"/>
      <c r="BO109" s="376"/>
      <c r="BP109" s="376"/>
      <c r="BQ109" s="376"/>
      <c r="BR109" s="376"/>
      <c r="BS109" s="376"/>
      <c r="BT109" s="376"/>
      <c r="BU109" s="376"/>
      <c r="BV109" s="376"/>
      <c r="BW109" s="376"/>
      <c r="BX109" s="376"/>
      <c r="BY109" s="376"/>
      <c r="BZ109" s="376"/>
      <c r="CA109" s="376"/>
      <c r="CB109" s="376"/>
      <c r="CC109" s="376"/>
      <c r="CD109" s="376"/>
      <c r="CE109" s="376"/>
      <c r="CF109" s="376"/>
    </row>
    <row r="110" spans="2:84">
      <c r="B110" s="741" t="s">
        <v>676</v>
      </c>
      <c r="C110" s="1013" t="str">
        <f ca="1">IF(AnoRevRea=VLOOKUP(LnkTXTSigla,Informacoes[],15,FALSE),"REVISÃO","REAJUSTE")</f>
        <v>REAJUSTE</v>
      </c>
      <c r="D110" s="1014"/>
      <c r="E110" s="1014"/>
      <c r="F110" s="1014"/>
      <c r="L110" s="551"/>
      <c r="M110" s="534"/>
      <c r="O110" s="9"/>
      <c r="R110" s="376"/>
      <c r="S110" s="376"/>
      <c r="T110" s="376"/>
      <c r="U110" s="376"/>
      <c r="V110" s="376"/>
      <c r="W110" s="376"/>
      <c r="X110" s="376"/>
      <c r="Y110" s="376"/>
      <c r="Z110" s="376"/>
      <c r="AA110" s="376"/>
      <c r="AB110" s="376"/>
      <c r="AC110" s="376"/>
      <c r="AD110" s="376"/>
      <c r="AE110" s="376"/>
      <c r="AF110" s="376"/>
      <c r="AG110" s="376"/>
      <c r="AH110" s="376"/>
      <c r="AI110" s="376"/>
      <c r="AJ110" s="376"/>
      <c r="AK110" s="376"/>
      <c r="AL110" s="376"/>
      <c r="AM110" s="376"/>
      <c r="AN110" s="376"/>
      <c r="AO110" s="376"/>
      <c r="AP110" s="376"/>
      <c r="AQ110" s="376"/>
      <c r="AR110" s="376"/>
      <c r="AS110" s="376"/>
      <c r="AT110" s="376"/>
      <c r="AU110" s="376"/>
      <c r="AV110" s="376"/>
      <c r="AW110" s="376"/>
      <c r="AX110" s="376"/>
      <c r="AY110" s="376"/>
      <c r="AZ110" s="376"/>
      <c r="BA110" s="376"/>
      <c r="BB110" s="376"/>
      <c r="BC110" s="376"/>
      <c r="BD110" s="376"/>
      <c r="BE110" s="376"/>
      <c r="BF110" s="376"/>
      <c r="BG110" s="376"/>
      <c r="BH110" s="376"/>
      <c r="BI110" s="376"/>
      <c r="BJ110" s="376"/>
      <c r="BK110" s="376"/>
      <c r="BL110" s="376"/>
      <c r="BM110" s="376"/>
      <c r="BN110" s="376"/>
      <c r="BO110" s="376"/>
      <c r="BP110" s="376"/>
      <c r="BQ110" s="376"/>
      <c r="BR110" s="376"/>
      <c r="BS110" s="376"/>
      <c r="BT110" s="376"/>
      <c r="BU110" s="376"/>
      <c r="BV110" s="376"/>
      <c r="BW110" s="376"/>
      <c r="BX110" s="376"/>
      <c r="BY110" s="376"/>
      <c r="BZ110" s="376"/>
      <c r="CA110" s="376"/>
      <c r="CB110" s="376"/>
      <c r="CC110" s="376"/>
      <c r="CD110" s="376"/>
      <c r="CE110" s="376"/>
      <c r="CF110" s="376"/>
    </row>
    <row r="111" spans="2:84" ht="31.5" customHeight="1">
      <c r="B111" s="741" t="s">
        <v>677</v>
      </c>
      <c r="C111" s="1013" t="str">
        <f ca="1">IF(C110="Reajuste", "Reajuste Tarifário Anual - RTA", "Revisão Tarifária Periódica - RTP")</f>
        <v>Reajuste Tarifário Anual - RTA</v>
      </c>
      <c r="D111" s="1013"/>
      <c r="E111" s="1013"/>
      <c r="F111" s="1013"/>
      <c r="L111" s="551"/>
      <c r="M111" s="534"/>
      <c r="O111" s="9"/>
      <c r="R111" s="376"/>
      <c r="S111" s="376"/>
      <c r="T111" s="376"/>
      <c r="U111" s="376"/>
      <c r="V111" s="376"/>
      <c r="W111" s="376"/>
      <c r="X111" s="376"/>
      <c r="Y111" s="376"/>
      <c r="Z111" s="376"/>
      <c r="AA111" s="376"/>
      <c r="AB111" s="376"/>
      <c r="AC111" s="376"/>
      <c r="AD111" s="376"/>
      <c r="AE111" s="376"/>
      <c r="AF111" s="376"/>
      <c r="AG111" s="376"/>
      <c r="AH111" s="376"/>
      <c r="AI111" s="376"/>
      <c r="AJ111" s="376"/>
      <c r="AK111" s="376"/>
      <c r="AL111" s="376"/>
      <c r="AM111" s="376"/>
      <c r="AN111" s="376"/>
      <c r="AO111" s="376"/>
      <c r="AP111" s="376"/>
      <c r="AQ111" s="376"/>
      <c r="AR111" s="376"/>
      <c r="AS111" s="376"/>
      <c r="AT111" s="376"/>
      <c r="AU111" s="376"/>
      <c r="AV111" s="376"/>
      <c r="AW111" s="376"/>
      <c r="AX111" s="376"/>
      <c r="AY111" s="376"/>
      <c r="AZ111" s="376"/>
      <c r="BA111" s="376"/>
      <c r="BB111" s="376"/>
      <c r="BC111" s="376"/>
      <c r="BD111" s="376"/>
      <c r="BE111" s="376"/>
      <c r="BF111" s="376"/>
      <c r="BG111" s="376"/>
      <c r="BH111" s="376"/>
      <c r="BI111" s="376"/>
      <c r="BJ111" s="376"/>
      <c r="BK111" s="376"/>
      <c r="BL111" s="376"/>
      <c r="BM111" s="376"/>
      <c r="BN111" s="376"/>
      <c r="BO111" s="376"/>
      <c r="BP111" s="376"/>
      <c r="BQ111" s="376"/>
      <c r="BR111" s="376"/>
      <c r="BS111" s="376"/>
      <c r="BT111" s="376"/>
      <c r="BU111" s="376"/>
      <c r="BV111" s="376"/>
      <c r="BW111" s="376"/>
      <c r="BX111" s="376"/>
      <c r="BY111" s="376"/>
      <c r="BZ111" s="376"/>
      <c r="CA111" s="376"/>
      <c r="CB111" s="376"/>
      <c r="CC111" s="376"/>
      <c r="CD111" s="376"/>
      <c r="CE111" s="376"/>
      <c r="CF111" s="376"/>
    </row>
    <row r="112" spans="2:84">
      <c r="B112" s="741"/>
      <c r="C112" s="745"/>
      <c r="D112" s="745"/>
      <c r="E112" s="745"/>
      <c r="F112" s="745"/>
      <c r="L112" s="551"/>
      <c r="M112" s="534"/>
      <c r="O112" s="9"/>
      <c r="R112" s="376"/>
      <c r="S112" s="376"/>
      <c r="T112" s="376"/>
      <c r="U112" s="376"/>
      <c r="V112" s="376"/>
      <c r="W112" s="376"/>
      <c r="X112" s="376"/>
      <c r="Y112" s="376"/>
      <c r="Z112" s="376"/>
      <c r="AA112" s="376"/>
      <c r="AB112" s="376"/>
      <c r="AC112" s="376"/>
      <c r="AD112" s="376"/>
      <c r="AE112" s="376"/>
      <c r="AF112" s="376"/>
      <c r="AG112" s="376"/>
      <c r="AH112" s="376"/>
      <c r="AI112" s="376"/>
      <c r="AJ112" s="376"/>
      <c r="AK112" s="376"/>
      <c r="AL112" s="376"/>
      <c r="AM112" s="376"/>
      <c r="AN112" s="376"/>
      <c r="AO112" s="376"/>
      <c r="AP112" s="376"/>
      <c r="AQ112" s="376"/>
      <c r="AR112" s="376"/>
      <c r="AS112" s="376"/>
      <c r="AT112" s="376"/>
      <c r="AU112" s="376"/>
      <c r="AV112" s="376"/>
      <c r="AW112" s="376"/>
      <c r="AX112" s="376"/>
      <c r="AY112" s="376"/>
      <c r="AZ112" s="376"/>
      <c r="BA112" s="376"/>
      <c r="BB112" s="376"/>
      <c r="BC112" s="376"/>
      <c r="BD112" s="376"/>
      <c r="BE112" s="376"/>
      <c r="BF112" s="376"/>
      <c r="BG112" s="376"/>
      <c r="BH112" s="376"/>
      <c r="BI112" s="376"/>
      <c r="BJ112" s="376"/>
      <c r="BK112" s="376"/>
      <c r="BL112" s="376"/>
      <c r="BM112" s="376"/>
      <c r="BN112" s="376"/>
      <c r="BO112" s="376"/>
      <c r="BP112" s="376"/>
      <c r="BQ112" s="376"/>
      <c r="BR112" s="376"/>
      <c r="BS112" s="376"/>
      <c r="BT112" s="376"/>
      <c r="BU112" s="376"/>
      <c r="BV112" s="376"/>
      <c r="BW112" s="376"/>
      <c r="BX112" s="376"/>
      <c r="BY112" s="376"/>
      <c r="BZ112" s="376"/>
      <c r="CA112" s="376"/>
      <c r="CB112" s="376"/>
      <c r="CC112" s="376"/>
      <c r="CD112" s="376"/>
      <c r="CE112" s="376"/>
      <c r="CF112" s="376"/>
    </row>
    <row r="113" spans="2:84">
      <c r="B113" s="740" t="s">
        <v>678</v>
      </c>
      <c r="C113" s="743" t="str">
        <f>VLOOKUP(C9,Informacoes[],19,FALSE)</f>
        <v>Não</v>
      </c>
      <c r="D113" s="743"/>
      <c r="E113" s="743"/>
      <c r="F113" s="743"/>
      <c r="L113" s="551"/>
      <c r="M113" s="534"/>
      <c r="O113" s="9"/>
      <c r="R113" s="376"/>
      <c r="S113" s="376"/>
      <c r="T113" s="376"/>
      <c r="U113" s="376"/>
      <c r="V113" s="376"/>
      <c r="W113" s="376"/>
      <c r="X113" s="376"/>
      <c r="Y113" s="376"/>
      <c r="Z113" s="376"/>
      <c r="AA113" s="376"/>
      <c r="AB113" s="376"/>
      <c r="AC113" s="376"/>
      <c r="AD113" s="376"/>
      <c r="AE113" s="376"/>
      <c r="AF113" s="376"/>
      <c r="AG113" s="376"/>
      <c r="AH113" s="376"/>
      <c r="AI113" s="376"/>
      <c r="AJ113" s="376"/>
      <c r="AK113" s="376"/>
      <c r="AL113" s="376"/>
      <c r="AM113" s="376"/>
      <c r="AN113" s="376"/>
      <c r="AO113" s="376"/>
      <c r="AP113" s="376"/>
      <c r="AQ113" s="376"/>
      <c r="AR113" s="376"/>
      <c r="AS113" s="376"/>
      <c r="AT113" s="376"/>
      <c r="AU113" s="376"/>
      <c r="AV113" s="376"/>
      <c r="AW113" s="376"/>
      <c r="AX113" s="376"/>
      <c r="AY113" s="376"/>
      <c r="AZ113" s="376"/>
      <c r="BA113" s="376"/>
      <c r="BB113" s="376"/>
      <c r="BC113" s="376"/>
      <c r="BD113" s="376"/>
      <c r="BE113" s="376"/>
      <c r="BF113" s="376"/>
      <c r="BG113" s="376"/>
      <c r="BH113" s="376"/>
      <c r="BI113" s="376"/>
      <c r="BJ113" s="376"/>
      <c r="BK113" s="376"/>
      <c r="BL113" s="376"/>
      <c r="BM113" s="376"/>
      <c r="BN113" s="376"/>
      <c r="BO113" s="376"/>
      <c r="BP113" s="376"/>
      <c r="BQ113" s="376"/>
      <c r="BR113" s="376"/>
      <c r="BS113" s="376"/>
      <c r="BT113" s="376"/>
      <c r="BU113" s="376"/>
      <c r="BV113" s="376"/>
      <c r="BW113" s="376"/>
      <c r="BX113" s="376"/>
      <c r="BY113" s="376"/>
      <c r="BZ113" s="376"/>
      <c r="CA113" s="376"/>
      <c r="CB113" s="376"/>
      <c r="CC113" s="376"/>
      <c r="CD113" s="376"/>
      <c r="CE113" s="376"/>
      <c r="CF113" s="376"/>
    </row>
    <row r="114" spans="2:84">
      <c r="B114" s="741" t="s">
        <v>679</v>
      </c>
      <c r="C114" s="744">
        <f>VLOOKUP(C9,Informacoes[],20,FALSE)</f>
        <v>0</v>
      </c>
      <c r="D114" s="744"/>
      <c r="E114" s="744"/>
      <c r="F114" s="744"/>
      <c r="L114" s="551"/>
      <c r="M114" s="534"/>
      <c r="O114" s="9"/>
      <c r="R114" s="376"/>
      <c r="S114" s="376"/>
      <c r="T114" s="376"/>
      <c r="U114" s="376"/>
      <c r="V114" s="376"/>
      <c r="W114" s="376"/>
      <c r="X114" s="376"/>
      <c r="Y114" s="376"/>
      <c r="Z114" s="376"/>
      <c r="AA114" s="376"/>
      <c r="AB114" s="376"/>
      <c r="AC114" s="376"/>
      <c r="AD114" s="376"/>
      <c r="AE114" s="376"/>
      <c r="AF114" s="376"/>
      <c r="AG114" s="376"/>
      <c r="AH114" s="376"/>
      <c r="AI114" s="376"/>
      <c r="AJ114" s="376"/>
      <c r="AK114" s="376"/>
      <c r="AL114" s="376"/>
      <c r="AM114" s="376"/>
      <c r="AN114" s="376"/>
      <c r="AO114" s="376"/>
      <c r="AP114" s="376"/>
      <c r="AQ114" s="376"/>
      <c r="AR114" s="376"/>
      <c r="AS114" s="376"/>
      <c r="AT114" s="376"/>
      <c r="AU114" s="376"/>
      <c r="AV114" s="376"/>
      <c r="AW114" s="376"/>
      <c r="AX114" s="376"/>
      <c r="AY114" s="376"/>
      <c r="AZ114" s="376"/>
      <c r="BA114" s="376"/>
      <c r="BB114" s="376"/>
      <c r="BC114" s="376"/>
      <c r="BD114" s="376"/>
      <c r="BE114" s="376"/>
      <c r="BF114" s="376"/>
      <c r="BG114" s="376"/>
      <c r="BH114" s="376"/>
      <c r="BI114" s="376"/>
      <c r="BJ114" s="376"/>
      <c r="BK114" s="376"/>
      <c r="BL114" s="376"/>
      <c r="BM114" s="376"/>
      <c r="BN114" s="376"/>
      <c r="BO114" s="376"/>
      <c r="BP114" s="376"/>
      <c r="BQ114" s="376"/>
      <c r="BR114" s="376"/>
      <c r="BS114" s="376"/>
      <c r="BT114" s="376"/>
      <c r="BU114" s="376"/>
      <c r="BV114" s="376"/>
      <c r="BW114" s="376"/>
      <c r="BX114" s="376"/>
      <c r="BY114" s="376"/>
      <c r="BZ114" s="376"/>
      <c r="CA114" s="376"/>
      <c r="CB114" s="376"/>
      <c r="CC114" s="376"/>
      <c r="CD114" s="376"/>
      <c r="CE114" s="376"/>
      <c r="CF114" s="376"/>
    </row>
    <row r="115" spans="2:84">
      <c r="L115" s="551"/>
      <c r="M115" s="534"/>
      <c r="O115" s="9"/>
      <c r="R115" s="376"/>
      <c r="S115" s="376"/>
      <c r="T115" s="376"/>
      <c r="U115" s="376"/>
      <c r="V115" s="376"/>
      <c r="W115" s="376"/>
      <c r="X115" s="376"/>
      <c r="Y115" s="376"/>
      <c r="Z115" s="376"/>
      <c r="AA115" s="376"/>
      <c r="AB115" s="376"/>
      <c r="AC115" s="376"/>
      <c r="AD115" s="376"/>
      <c r="AE115" s="376"/>
      <c r="AF115" s="376"/>
      <c r="AG115" s="376"/>
      <c r="AH115" s="376"/>
      <c r="AI115" s="376"/>
      <c r="AJ115" s="376"/>
      <c r="AK115" s="376"/>
      <c r="AL115" s="376"/>
      <c r="AM115" s="376"/>
      <c r="AN115" s="376"/>
      <c r="AO115" s="376"/>
      <c r="AP115" s="376"/>
      <c r="AQ115" s="376"/>
      <c r="AR115" s="376"/>
      <c r="AS115" s="376"/>
      <c r="AT115" s="376"/>
      <c r="AU115" s="376"/>
      <c r="AV115" s="376"/>
      <c r="AW115" s="376"/>
      <c r="AX115" s="376"/>
      <c r="AY115" s="376"/>
      <c r="AZ115" s="376"/>
      <c r="BA115" s="376"/>
      <c r="BB115" s="376"/>
      <c r="BC115" s="376"/>
      <c r="BD115" s="376"/>
      <c r="BE115" s="376"/>
      <c r="BF115" s="376"/>
      <c r="BG115" s="376"/>
      <c r="BH115" s="376"/>
      <c r="BI115" s="376"/>
      <c r="BJ115" s="376"/>
      <c r="BK115" s="376"/>
      <c r="BL115" s="376"/>
      <c r="BM115" s="376"/>
      <c r="BN115" s="376"/>
      <c r="BO115" s="376"/>
      <c r="BP115" s="376"/>
      <c r="BQ115" s="376"/>
      <c r="BR115" s="376"/>
      <c r="BS115" s="376"/>
      <c r="BT115" s="376"/>
      <c r="BU115" s="376"/>
      <c r="BV115" s="376"/>
      <c r="BW115" s="376"/>
      <c r="BX115" s="376"/>
      <c r="BY115" s="376"/>
      <c r="BZ115" s="376"/>
      <c r="CA115" s="376"/>
      <c r="CB115" s="376"/>
      <c r="CC115" s="376"/>
      <c r="CD115" s="376"/>
      <c r="CE115" s="376"/>
      <c r="CF115" s="376"/>
    </row>
    <row r="116" spans="2:84">
      <c r="L116" s="551"/>
      <c r="M116" s="534"/>
      <c r="O116" s="9"/>
      <c r="R116" s="376"/>
      <c r="S116" s="376"/>
      <c r="T116" s="376"/>
      <c r="U116" s="376"/>
      <c r="V116" s="376"/>
      <c r="W116" s="376"/>
      <c r="X116" s="376"/>
      <c r="Y116" s="376"/>
      <c r="Z116" s="376"/>
      <c r="AA116" s="376"/>
      <c r="AB116" s="376"/>
      <c r="AC116" s="376"/>
      <c r="AD116" s="376"/>
      <c r="AE116" s="376"/>
      <c r="AF116" s="376"/>
      <c r="AG116" s="376"/>
      <c r="AH116" s="376"/>
      <c r="AI116" s="376"/>
      <c r="AJ116" s="376"/>
      <c r="AK116" s="376"/>
      <c r="AL116" s="376"/>
      <c r="AM116" s="376"/>
      <c r="AN116" s="376"/>
      <c r="AO116" s="376"/>
      <c r="AP116" s="376"/>
      <c r="AQ116" s="376"/>
      <c r="AR116" s="376"/>
      <c r="AS116" s="376"/>
      <c r="AT116" s="376"/>
      <c r="AU116" s="376"/>
      <c r="AV116" s="376"/>
      <c r="AW116" s="376"/>
      <c r="AX116" s="376"/>
      <c r="AY116" s="376"/>
      <c r="AZ116" s="376"/>
      <c r="BA116" s="376"/>
      <c r="BB116" s="376"/>
      <c r="BC116" s="376"/>
      <c r="BD116" s="376"/>
      <c r="BE116" s="376"/>
      <c r="BF116" s="376"/>
      <c r="BG116" s="376"/>
      <c r="BH116" s="376"/>
      <c r="BI116" s="376"/>
      <c r="BJ116" s="376"/>
      <c r="BK116" s="376"/>
      <c r="BL116" s="376"/>
      <c r="BM116" s="376"/>
      <c r="BN116" s="376"/>
      <c r="BO116" s="376"/>
      <c r="BP116" s="376"/>
      <c r="BQ116" s="376"/>
      <c r="BR116" s="376"/>
      <c r="BS116" s="376"/>
      <c r="BT116" s="376"/>
      <c r="BU116" s="376"/>
      <c r="BV116" s="376"/>
      <c r="BW116" s="376"/>
      <c r="BX116" s="376"/>
      <c r="BY116" s="376"/>
      <c r="BZ116" s="376"/>
      <c r="CA116" s="376"/>
      <c r="CB116" s="376"/>
      <c r="CC116" s="376"/>
      <c r="CD116" s="376"/>
      <c r="CE116" s="376"/>
      <c r="CF116" s="376"/>
    </row>
    <row r="117" spans="2:84">
      <c r="L117" s="551"/>
      <c r="M117" s="534"/>
      <c r="O117" s="9"/>
      <c r="R117" s="376"/>
      <c r="S117" s="376"/>
      <c r="T117" s="376"/>
      <c r="U117" s="376"/>
      <c r="V117" s="376"/>
      <c r="W117" s="376"/>
      <c r="X117" s="376"/>
      <c r="Y117" s="376"/>
      <c r="Z117" s="376"/>
      <c r="AA117" s="376"/>
      <c r="AB117" s="376"/>
      <c r="AC117" s="376"/>
      <c r="AD117" s="376"/>
      <c r="AE117" s="376"/>
      <c r="AF117" s="376"/>
      <c r="AG117" s="376"/>
      <c r="AH117" s="376"/>
      <c r="AI117" s="376"/>
      <c r="AJ117" s="376"/>
      <c r="AK117" s="376"/>
      <c r="AL117" s="376"/>
      <c r="AM117" s="376"/>
      <c r="AN117" s="376"/>
      <c r="AO117" s="376"/>
      <c r="AP117" s="376"/>
      <c r="AQ117" s="376"/>
      <c r="AR117" s="376"/>
      <c r="AS117" s="376"/>
      <c r="AT117" s="376"/>
      <c r="AU117" s="376"/>
      <c r="AV117" s="376"/>
      <c r="AW117" s="376"/>
      <c r="AX117" s="376"/>
      <c r="AY117" s="376"/>
      <c r="AZ117" s="376"/>
      <c r="BA117" s="376"/>
      <c r="BB117" s="376"/>
      <c r="BC117" s="376"/>
      <c r="BD117" s="376"/>
      <c r="BE117" s="376"/>
      <c r="BF117" s="376"/>
      <c r="BG117" s="376"/>
      <c r="BH117" s="376"/>
      <c r="BI117" s="376"/>
      <c r="BJ117" s="376"/>
      <c r="BK117" s="376"/>
      <c r="BL117" s="376"/>
      <c r="BM117" s="376"/>
      <c r="BN117" s="376"/>
      <c r="BO117" s="376"/>
      <c r="BP117" s="376"/>
      <c r="BQ117" s="376"/>
      <c r="BR117" s="376"/>
      <c r="BS117" s="376"/>
      <c r="BT117" s="376"/>
      <c r="BU117" s="376"/>
      <c r="BV117" s="376"/>
      <c r="BW117" s="376"/>
      <c r="BX117" s="376"/>
      <c r="BY117" s="376"/>
      <c r="BZ117" s="376"/>
      <c r="CA117" s="376"/>
      <c r="CB117" s="376"/>
      <c r="CC117" s="376"/>
      <c r="CD117" s="376"/>
      <c r="CE117" s="376"/>
      <c r="CF117" s="376"/>
    </row>
    <row r="118" spans="2:84" ht="16.5" customHeight="1">
      <c r="B118" s="229" t="s">
        <v>680</v>
      </c>
      <c r="C118" s="229"/>
      <c r="L118" s="551"/>
      <c r="M118" s="534"/>
      <c r="O118" s="9"/>
      <c r="R118" s="376"/>
      <c r="S118" s="376"/>
      <c r="T118" s="376"/>
      <c r="U118" s="376"/>
      <c r="V118" s="376"/>
      <c r="W118" s="376"/>
      <c r="X118" s="376"/>
      <c r="Y118" s="376"/>
      <c r="Z118" s="376"/>
      <c r="AA118" s="376"/>
      <c r="AB118" s="376"/>
      <c r="AC118" s="376"/>
      <c r="AD118" s="376"/>
      <c r="AE118" s="376"/>
      <c r="AF118" s="376"/>
      <c r="AG118" s="376"/>
      <c r="AH118" s="376"/>
      <c r="AI118" s="376"/>
      <c r="AJ118" s="376"/>
      <c r="AK118" s="376"/>
      <c r="AL118" s="376"/>
      <c r="AM118" s="376"/>
      <c r="AN118" s="376"/>
      <c r="AO118" s="376"/>
      <c r="AP118" s="376"/>
      <c r="AQ118" s="376"/>
      <c r="AR118" s="376"/>
      <c r="AS118" s="376"/>
      <c r="AT118" s="376"/>
      <c r="AU118" s="376"/>
      <c r="AV118" s="376"/>
      <c r="AW118" s="376"/>
      <c r="AX118" s="376"/>
      <c r="AY118" s="376"/>
      <c r="AZ118" s="376"/>
      <c r="BA118" s="376"/>
      <c r="BB118" s="376"/>
      <c r="BC118" s="376"/>
      <c r="BD118" s="376"/>
      <c r="BE118" s="376"/>
      <c r="BF118" s="376"/>
      <c r="BG118" s="376"/>
      <c r="BH118" s="376"/>
      <c r="BI118" s="376"/>
      <c r="BJ118" s="376"/>
      <c r="BK118" s="376"/>
      <c r="BL118" s="376"/>
      <c r="BM118" s="376"/>
      <c r="BN118" s="376"/>
      <c r="BO118" s="376"/>
      <c r="BP118" s="376"/>
      <c r="BQ118" s="376"/>
      <c r="BR118" s="376"/>
      <c r="BS118" s="376"/>
      <c r="BT118" s="376"/>
      <c r="BU118" s="376"/>
      <c r="BV118" s="376"/>
      <c r="BW118" s="376"/>
      <c r="BX118" s="376"/>
      <c r="BY118" s="376"/>
      <c r="BZ118" s="376"/>
      <c r="CA118" s="376"/>
      <c r="CB118" s="376"/>
      <c r="CC118" s="376"/>
      <c r="CD118" s="376"/>
      <c r="CE118" s="376"/>
      <c r="CF118" s="376"/>
    </row>
    <row r="119" spans="2:84">
      <c r="B119" s="1015" t="s">
        <v>198</v>
      </c>
      <c r="C119" s="1015" t="s">
        <v>198</v>
      </c>
      <c r="L119" s="551"/>
      <c r="M119" s="534"/>
      <c r="O119" s="9"/>
      <c r="R119" s="376"/>
      <c r="S119" s="376"/>
      <c r="T119" s="376"/>
      <c r="U119" s="376"/>
      <c r="V119" s="376"/>
      <c r="W119" s="376"/>
      <c r="X119" s="376"/>
      <c r="Y119" s="376"/>
      <c r="Z119" s="376"/>
      <c r="AA119" s="376"/>
      <c r="AB119" s="376"/>
      <c r="AC119" s="376"/>
      <c r="AD119" s="376"/>
      <c r="AE119" s="376"/>
      <c r="AF119" s="376"/>
      <c r="AG119" s="376"/>
      <c r="AH119" s="376"/>
      <c r="AI119" s="376"/>
      <c r="AJ119" s="376"/>
      <c r="AK119" s="376"/>
      <c r="AL119" s="376"/>
      <c r="AM119" s="376"/>
      <c r="AN119" s="376"/>
      <c r="AO119" s="376"/>
      <c r="AP119" s="376"/>
      <c r="AQ119" s="376"/>
      <c r="AR119" s="376"/>
      <c r="AS119" s="376"/>
      <c r="AT119" s="376"/>
      <c r="AU119" s="376"/>
      <c r="AV119" s="376"/>
      <c r="AW119" s="376"/>
      <c r="AX119" s="376"/>
      <c r="AY119" s="376"/>
      <c r="AZ119" s="376"/>
      <c r="BA119" s="376"/>
      <c r="BB119" s="376"/>
      <c r="BC119" s="376"/>
      <c r="BD119" s="376"/>
      <c r="BE119" s="376"/>
      <c r="BF119" s="376"/>
      <c r="BG119" s="376"/>
      <c r="BH119" s="376"/>
      <c r="BI119" s="376"/>
      <c r="BJ119" s="376"/>
      <c r="BK119" s="376"/>
      <c r="BL119" s="376"/>
      <c r="BM119" s="376"/>
      <c r="BN119" s="376"/>
      <c r="BO119" s="376"/>
      <c r="BP119" s="376"/>
      <c r="BQ119" s="376"/>
      <c r="BR119" s="376"/>
      <c r="BS119" s="376"/>
      <c r="BT119" s="376"/>
      <c r="BU119" s="376"/>
      <c r="BV119" s="376"/>
      <c r="BW119" s="376"/>
      <c r="BX119" s="376"/>
      <c r="BY119" s="376"/>
      <c r="BZ119" s="376"/>
      <c r="CA119" s="376"/>
      <c r="CB119" s="376"/>
      <c r="CC119" s="376"/>
      <c r="CD119" s="376"/>
      <c r="CE119" s="376"/>
      <c r="CF119" s="376"/>
    </row>
    <row r="120" spans="2:84">
      <c r="B120" s="1016" t="str">
        <f>LnkTXTSigla</f>
        <v>Cedri</v>
      </c>
      <c r="C120" s="1017" t="str">
        <f>LnkTXTSuprid1</f>
        <v>Elektro</v>
      </c>
      <c r="L120" s="551"/>
      <c r="M120" s="534"/>
      <c r="O120" s="9"/>
      <c r="R120" s="376"/>
      <c r="S120" s="376"/>
      <c r="T120" s="376"/>
      <c r="U120" s="376"/>
      <c r="V120" s="376"/>
      <c r="W120" s="376"/>
      <c r="X120" s="376"/>
      <c r="Y120" s="376"/>
      <c r="Z120" s="376"/>
      <c r="AA120" s="376"/>
      <c r="AB120" s="376"/>
      <c r="AC120" s="376"/>
      <c r="AD120" s="376"/>
      <c r="AE120" s="376"/>
      <c r="AF120" s="376"/>
      <c r="AG120" s="376"/>
      <c r="AH120" s="376"/>
      <c r="AI120" s="376"/>
      <c r="AJ120" s="376"/>
      <c r="AK120" s="376"/>
      <c r="AL120" s="376"/>
      <c r="AM120" s="376"/>
      <c r="AN120" s="376"/>
      <c r="AO120" s="376"/>
      <c r="AP120" s="376"/>
      <c r="AQ120" s="376"/>
      <c r="AR120" s="376"/>
      <c r="AS120" s="376"/>
      <c r="AT120" s="376"/>
      <c r="AU120" s="376"/>
      <c r="AV120" s="376"/>
      <c r="AW120" s="376"/>
      <c r="AX120" s="376"/>
      <c r="AY120" s="376"/>
      <c r="AZ120" s="376"/>
      <c r="BA120" s="376"/>
      <c r="BB120" s="376"/>
      <c r="BC120" s="376"/>
      <c r="BD120" s="376"/>
      <c r="BE120" s="376"/>
      <c r="BF120" s="376"/>
      <c r="BG120" s="376"/>
      <c r="BH120" s="376"/>
      <c r="BI120" s="376"/>
      <c r="BJ120" s="376"/>
      <c r="BK120" s="376"/>
      <c r="BL120" s="376"/>
      <c r="BM120" s="376"/>
      <c r="BN120" s="376"/>
      <c r="BO120" s="376"/>
      <c r="BP120" s="376"/>
      <c r="BQ120" s="376"/>
      <c r="BR120" s="376"/>
      <c r="BS120" s="376"/>
      <c r="BT120" s="376"/>
      <c r="BU120" s="376"/>
      <c r="BV120" s="376"/>
      <c r="BW120" s="376"/>
      <c r="BX120" s="376"/>
      <c r="BY120" s="376"/>
      <c r="BZ120" s="376"/>
      <c r="CA120" s="376"/>
      <c r="CB120" s="376"/>
      <c r="CC120" s="376"/>
      <c r="CD120" s="376"/>
      <c r="CE120" s="376"/>
      <c r="CF120" s="376"/>
    </row>
    <row r="121" spans="2:84">
      <c r="L121" s="551"/>
      <c r="M121" s="534"/>
      <c r="O121" s="9"/>
      <c r="R121" s="376"/>
      <c r="S121" s="376"/>
      <c r="T121" s="376"/>
      <c r="U121" s="376"/>
      <c r="V121" s="376"/>
      <c r="W121" s="376"/>
      <c r="X121" s="376"/>
      <c r="Y121" s="376"/>
      <c r="Z121" s="376"/>
      <c r="AA121" s="376"/>
      <c r="AB121" s="376"/>
      <c r="AC121" s="376"/>
      <c r="AD121" s="376"/>
      <c r="AE121" s="376"/>
      <c r="AF121" s="376"/>
      <c r="AG121" s="376"/>
      <c r="AH121" s="376"/>
      <c r="AI121" s="376"/>
      <c r="AJ121" s="376"/>
      <c r="AK121" s="376"/>
      <c r="AL121" s="376"/>
      <c r="AM121" s="376"/>
      <c r="AN121" s="376"/>
      <c r="AO121" s="376"/>
      <c r="AP121" s="376"/>
      <c r="AQ121" s="376"/>
      <c r="AR121" s="376"/>
      <c r="AS121" s="376"/>
      <c r="AT121" s="376"/>
      <c r="AU121" s="376"/>
      <c r="AV121" s="376"/>
      <c r="AW121" s="376"/>
      <c r="AX121" s="376"/>
      <c r="AY121" s="376"/>
      <c r="AZ121" s="376"/>
      <c r="BA121" s="376"/>
      <c r="BB121" s="376"/>
      <c r="BC121" s="376"/>
      <c r="BD121" s="376"/>
      <c r="BE121" s="376"/>
      <c r="BF121" s="376"/>
      <c r="BG121" s="376"/>
      <c r="BH121" s="376"/>
      <c r="BI121" s="376"/>
      <c r="BJ121" s="376"/>
      <c r="BK121" s="376"/>
      <c r="BL121" s="376"/>
      <c r="BM121" s="376"/>
      <c r="BN121" s="376"/>
      <c r="BO121" s="376"/>
      <c r="BP121" s="376"/>
      <c r="BQ121" s="376"/>
      <c r="BR121" s="376"/>
      <c r="BS121" s="376"/>
      <c r="BT121" s="376"/>
      <c r="BU121" s="376"/>
      <c r="BV121" s="376"/>
      <c r="BW121" s="376"/>
      <c r="BX121" s="376"/>
      <c r="BY121" s="376"/>
      <c r="BZ121" s="376"/>
      <c r="CA121" s="376"/>
      <c r="CB121" s="376"/>
      <c r="CC121" s="376"/>
      <c r="CD121" s="376"/>
      <c r="CE121" s="376"/>
      <c r="CF121" s="376"/>
    </row>
    <row r="122" spans="2:84">
      <c r="L122" s="551"/>
      <c r="M122" s="534"/>
      <c r="O122" s="9"/>
      <c r="R122" s="376"/>
      <c r="S122" s="376"/>
      <c r="T122" s="376"/>
      <c r="U122" s="376"/>
      <c r="V122" s="376"/>
      <c r="W122" s="376"/>
      <c r="X122" s="376"/>
      <c r="Y122" s="376"/>
      <c r="Z122" s="376"/>
      <c r="AA122" s="376"/>
      <c r="AB122" s="376"/>
      <c r="AC122" s="376"/>
      <c r="AD122" s="376"/>
      <c r="AE122" s="376"/>
      <c r="AF122" s="376"/>
      <c r="AG122" s="376"/>
      <c r="AH122" s="376"/>
      <c r="AI122" s="376"/>
      <c r="AJ122" s="376"/>
      <c r="AK122" s="376"/>
      <c r="AL122" s="376"/>
      <c r="AM122" s="376"/>
      <c r="AN122" s="376"/>
      <c r="AO122" s="376"/>
      <c r="AP122" s="376"/>
      <c r="AQ122" s="376"/>
      <c r="AR122" s="376"/>
      <c r="AS122" s="376"/>
      <c r="AT122" s="376"/>
      <c r="AU122" s="376"/>
      <c r="AV122" s="376"/>
      <c r="AW122" s="376"/>
      <c r="AX122" s="376"/>
      <c r="AY122" s="376"/>
      <c r="AZ122" s="376"/>
      <c r="BA122" s="376"/>
      <c r="BB122" s="376"/>
      <c r="BC122" s="376"/>
      <c r="BD122" s="376"/>
      <c r="BE122" s="376"/>
      <c r="BF122" s="376"/>
      <c r="BG122" s="376"/>
      <c r="BH122" s="376"/>
      <c r="BI122" s="376"/>
      <c r="BJ122" s="376"/>
      <c r="BK122" s="376"/>
      <c r="BL122" s="376"/>
      <c r="BM122" s="376"/>
      <c r="BN122" s="376"/>
      <c r="BO122" s="376"/>
      <c r="BP122" s="376"/>
      <c r="BQ122" s="376"/>
      <c r="BR122" s="376"/>
      <c r="BS122" s="376"/>
      <c r="BT122" s="376"/>
      <c r="BU122" s="376"/>
      <c r="BV122" s="376"/>
      <c r="BW122" s="376"/>
      <c r="BX122" s="376"/>
      <c r="BY122" s="376"/>
      <c r="BZ122" s="376"/>
      <c r="CA122" s="376"/>
      <c r="CB122" s="376"/>
      <c r="CC122" s="376"/>
      <c r="CD122" s="376"/>
      <c r="CE122" s="376"/>
      <c r="CF122" s="376"/>
    </row>
    <row r="123" spans="2:84">
      <c r="L123" s="551"/>
      <c r="M123" s="534"/>
      <c r="O123" s="9"/>
      <c r="R123" s="376"/>
      <c r="S123" s="376"/>
      <c r="T123" s="376"/>
      <c r="U123" s="376"/>
      <c r="V123" s="376"/>
      <c r="W123" s="376"/>
      <c r="X123" s="376"/>
      <c r="Y123" s="376"/>
      <c r="Z123" s="376"/>
      <c r="AA123" s="376"/>
      <c r="AB123" s="376"/>
      <c r="AC123" s="376"/>
      <c r="AD123" s="376"/>
      <c r="AE123" s="376"/>
      <c r="AF123" s="376"/>
      <c r="AG123" s="376"/>
      <c r="AH123" s="376"/>
      <c r="AI123" s="376"/>
      <c r="AJ123" s="376"/>
      <c r="AK123" s="376"/>
      <c r="AL123" s="376"/>
      <c r="AM123" s="376"/>
      <c r="AN123" s="376"/>
      <c r="AO123" s="376"/>
      <c r="AP123" s="376"/>
      <c r="AQ123" s="376"/>
      <c r="AR123" s="376"/>
      <c r="AS123" s="376"/>
      <c r="AT123" s="376"/>
      <c r="AU123" s="376"/>
      <c r="AV123" s="376"/>
      <c r="AW123" s="376"/>
      <c r="AX123" s="376"/>
      <c r="AY123" s="376"/>
      <c r="AZ123" s="376"/>
      <c r="BA123" s="376"/>
      <c r="BB123" s="376"/>
      <c r="BC123" s="376"/>
      <c r="BD123" s="376"/>
      <c r="BE123" s="376"/>
      <c r="BF123" s="376"/>
      <c r="BG123" s="376"/>
      <c r="BH123" s="376"/>
      <c r="BI123" s="376"/>
      <c r="BJ123" s="376"/>
      <c r="BK123" s="376"/>
      <c r="BL123" s="376"/>
      <c r="BM123" s="376"/>
      <c r="BN123" s="376"/>
      <c r="BO123" s="376"/>
      <c r="BP123" s="376"/>
      <c r="BQ123" s="376"/>
      <c r="BR123" s="376"/>
      <c r="BS123" s="376"/>
      <c r="BT123" s="376"/>
      <c r="BU123" s="376"/>
      <c r="BV123" s="376"/>
      <c r="BW123" s="376"/>
      <c r="BX123" s="376"/>
      <c r="BY123" s="376"/>
      <c r="BZ123" s="376"/>
      <c r="CA123" s="376"/>
      <c r="CB123" s="376"/>
      <c r="CC123" s="376"/>
      <c r="CD123" s="376"/>
      <c r="CE123" s="376"/>
      <c r="CF123" s="376"/>
    </row>
    <row r="124" spans="2:84">
      <c r="L124" s="551"/>
      <c r="M124" s="534"/>
      <c r="O124" s="9"/>
      <c r="R124" s="376"/>
      <c r="S124" s="376"/>
      <c r="T124" s="376"/>
      <c r="U124" s="376"/>
      <c r="V124" s="376"/>
      <c r="W124" s="376"/>
      <c r="X124" s="376"/>
      <c r="Y124" s="376"/>
      <c r="Z124" s="376"/>
      <c r="AA124" s="376"/>
      <c r="AB124" s="376"/>
      <c r="AC124" s="376"/>
      <c r="AD124" s="376"/>
      <c r="AE124" s="376"/>
      <c r="AF124" s="376"/>
      <c r="AG124" s="376"/>
      <c r="AH124" s="376"/>
      <c r="AI124" s="376"/>
      <c r="AJ124" s="376"/>
      <c r="AK124" s="376"/>
      <c r="AL124" s="376"/>
      <c r="AM124" s="376"/>
      <c r="AN124" s="376"/>
      <c r="AO124" s="376"/>
      <c r="AP124" s="376"/>
      <c r="AQ124" s="376"/>
      <c r="AR124" s="376"/>
      <c r="AS124" s="376"/>
      <c r="AT124" s="376"/>
      <c r="AU124" s="376"/>
      <c r="AV124" s="376"/>
      <c r="AW124" s="376"/>
      <c r="AX124" s="376"/>
      <c r="AY124" s="376"/>
      <c r="AZ124" s="376"/>
      <c r="BA124" s="376"/>
      <c r="BB124" s="376"/>
      <c r="BC124" s="376"/>
      <c r="BD124" s="376"/>
      <c r="BE124" s="376"/>
      <c r="BF124" s="376"/>
      <c r="BG124" s="376"/>
      <c r="BH124" s="376"/>
      <c r="BI124" s="376"/>
      <c r="BJ124" s="376"/>
      <c r="BK124" s="376"/>
      <c r="BL124" s="376"/>
      <c r="BM124" s="376"/>
      <c r="BN124" s="376"/>
      <c r="BO124" s="376"/>
      <c r="BP124" s="376"/>
      <c r="BQ124" s="376"/>
      <c r="BR124" s="376"/>
      <c r="BS124" s="376"/>
      <c r="BT124" s="376"/>
      <c r="BU124" s="376"/>
      <c r="BV124" s="376"/>
      <c r="BW124" s="376"/>
      <c r="BX124" s="376"/>
      <c r="BY124" s="376"/>
      <c r="BZ124" s="376"/>
      <c r="CA124" s="376"/>
      <c r="CB124" s="376"/>
      <c r="CC124" s="376"/>
      <c r="CD124" s="376"/>
      <c r="CE124" s="376"/>
      <c r="CF124" s="376"/>
    </row>
    <row r="125" spans="2:84">
      <c r="L125" s="551"/>
      <c r="M125" s="534"/>
      <c r="O125" s="9"/>
      <c r="Q125" s="233"/>
      <c r="R125" s="376"/>
      <c r="S125" s="376"/>
      <c r="T125" s="376"/>
      <c r="U125" s="376"/>
      <c r="V125" s="376"/>
      <c r="W125" s="376"/>
      <c r="X125" s="376"/>
      <c r="Y125" s="376"/>
      <c r="Z125" s="376"/>
      <c r="AA125" s="376"/>
      <c r="AB125" s="376"/>
      <c r="AC125" s="376"/>
      <c r="AD125" s="376"/>
      <c r="AE125" s="376"/>
      <c r="AF125" s="376"/>
      <c r="AG125" s="376"/>
      <c r="AH125" s="376"/>
      <c r="AI125" s="376"/>
      <c r="AJ125" s="376"/>
      <c r="AK125" s="376"/>
      <c r="AL125" s="376"/>
      <c r="AM125" s="376"/>
      <c r="AN125" s="376"/>
      <c r="AO125" s="376"/>
      <c r="AP125" s="376"/>
      <c r="AQ125" s="376"/>
      <c r="AR125" s="376"/>
      <c r="AS125" s="376"/>
      <c r="AT125" s="376"/>
      <c r="AU125" s="376"/>
      <c r="AV125" s="376"/>
      <c r="AW125" s="376"/>
      <c r="AX125" s="376"/>
      <c r="AY125" s="376"/>
      <c r="AZ125" s="376"/>
      <c r="BA125" s="376"/>
      <c r="BB125" s="376"/>
      <c r="BC125" s="376"/>
      <c r="BD125" s="376"/>
      <c r="BE125" s="376"/>
      <c r="BF125" s="376"/>
      <c r="BG125" s="376"/>
      <c r="BH125" s="376"/>
      <c r="BI125" s="376"/>
      <c r="BJ125" s="376"/>
      <c r="BK125" s="376"/>
      <c r="BL125" s="376"/>
      <c r="BM125" s="376"/>
      <c r="BN125" s="376"/>
      <c r="BO125" s="376"/>
      <c r="BP125" s="376"/>
      <c r="BQ125" s="376"/>
      <c r="BR125" s="376"/>
      <c r="BS125" s="376"/>
      <c r="BT125" s="376"/>
      <c r="BU125" s="376"/>
      <c r="BV125" s="376"/>
      <c r="BW125" s="376"/>
      <c r="BX125" s="376"/>
      <c r="BY125" s="376"/>
      <c r="BZ125" s="376"/>
      <c r="CA125" s="376"/>
      <c r="CB125" s="376"/>
      <c r="CC125" s="376"/>
      <c r="CD125" s="376"/>
      <c r="CE125" s="376"/>
      <c r="CF125" s="376"/>
    </row>
    <row r="126" spans="2:84">
      <c r="L126" s="551"/>
      <c r="M126" s="534"/>
      <c r="O126" s="9"/>
      <c r="Q126" s="233"/>
      <c r="R126" s="376"/>
      <c r="S126" s="376"/>
      <c r="T126" s="376"/>
      <c r="U126" s="376"/>
      <c r="V126" s="376"/>
      <c r="W126" s="376"/>
      <c r="X126" s="376"/>
      <c r="Y126" s="376"/>
      <c r="Z126" s="376"/>
      <c r="AA126" s="376"/>
      <c r="AB126" s="376"/>
      <c r="AC126" s="376"/>
      <c r="AD126" s="376"/>
      <c r="AE126" s="376"/>
      <c r="AF126" s="376"/>
      <c r="AG126" s="376"/>
      <c r="AH126" s="376"/>
      <c r="AI126" s="376"/>
      <c r="AJ126" s="376"/>
      <c r="AK126" s="376"/>
      <c r="AL126" s="376"/>
      <c r="AM126" s="376"/>
      <c r="AN126" s="376"/>
      <c r="AO126" s="376"/>
      <c r="AP126" s="376"/>
      <c r="AQ126" s="376"/>
      <c r="AR126" s="376"/>
      <c r="AS126" s="376"/>
      <c r="AT126" s="376"/>
      <c r="AU126" s="376"/>
      <c r="AV126" s="376"/>
      <c r="AW126" s="376"/>
      <c r="AX126" s="376"/>
      <c r="AY126" s="376"/>
      <c r="AZ126" s="376"/>
      <c r="BA126" s="376"/>
      <c r="BB126" s="376"/>
      <c r="BC126" s="376"/>
      <c r="BD126" s="376"/>
      <c r="BE126" s="376"/>
      <c r="BF126" s="376"/>
      <c r="BG126" s="376"/>
      <c r="BH126" s="376"/>
      <c r="BI126" s="376"/>
      <c r="BJ126" s="376"/>
      <c r="BK126" s="376"/>
      <c r="BL126" s="376"/>
      <c r="BM126" s="376"/>
      <c r="BN126" s="376"/>
      <c r="BO126" s="376"/>
      <c r="BP126" s="376"/>
      <c r="BQ126" s="376"/>
      <c r="BR126" s="376"/>
      <c r="BS126" s="376"/>
      <c r="BT126" s="376"/>
      <c r="BU126" s="376"/>
      <c r="BV126" s="376"/>
      <c r="BW126" s="376"/>
      <c r="BX126" s="376"/>
      <c r="BY126" s="376"/>
      <c r="BZ126" s="376"/>
      <c r="CA126" s="376"/>
      <c r="CB126" s="376"/>
      <c r="CC126" s="376"/>
      <c r="CD126" s="376"/>
      <c r="CE126" s="376"/>
      <c r="CF126" s="376"/>
    </row>
    <row r="127" spans="2:84" ht="16.5" customHeight="1">
      <c r="L127" s="551"/>
      <c r="M127" s="534"/>
      <c r="O127" s="9"/>
      <c r="Q127" s="233"/>
      <c r="R127" s="376"/>
      <c r="S127" s="376"/>
      <c r="T127" s="376"/>
      <c r="U127" s="376"/>
      <c r="V127" s="376"/>
      <c r="W127" s="376"/>
      <c r="X127" s="376"/>
      <c r="Y127" s="376"/>
      <c r="Z127" s="376"/>
      <c r="AA127" s="376"/>
      <c r="AB127" s="376"/>
      <c r="AC127" s="376"/>
      <c r="AD127" s="376"/>
      <c r="AE127" s="376"/>
      <c r="AF127" s="376"/>
      <c r="AG127" s="376"/>
      <c r="AH127" s="376"/>
      <c r="AI127" s="376"/>
      <c r="AJ127" s="376"/>
      <c r="AK127" s="376"/>
      <c r="AL127" s="376"/>
      <c r="AM127" s="376"/>
      <c r="AN127" s="376"/>
      <c r="AO127" s="376"/>
      <c r="AP127" s="376"/>
      <c r="AQ127" s="376"/>
      <c r="AR127" s="376"/>
      <c r="AS127" s="376"/>
      <c r="AT127" s="376"/>
      <c r="AU127" s="376"/>
      <c r="AV127" s="376"/>
      <c r="AW127" s="376"/>
      <c r="AX127" s="376"/>
      <c r="AY127" s="376"/>
      <c r="AZ127" s="376"/>
      <c r="BA127" s="376"/>
      <c r="BB127" s="376"/>
      <c r="BC127" s="376"/>
      <c r="BD127" s="376"/>
      <c r="BE127" s="376"/>
      <c r="BF127" s="376"/>
      <c r="BG127" s="376"/>
      <c r="BH127" s="376"/>
      <c r="BI127" s="376"/>
      <c r="BJ127" s="376"/>
      <c r="BK127" s="376"/>
      <c r="BL127" s="376"/>
      <c r="BM127" s="376"/>
      <c r="BN127" s="376"/>
      <c r="BO127" s="376"/>
      <c r="BP127" s="376"/>
      <c r="BQ127" s="376"/>
      <c r="BR127" s="376"/>
      <c r="BS127" s="376"/>
      <c r="BT127" s="376"/>
      <c r="BU127" s="376"/>
      <c r="BV127" s="376"/>
      <c r="BW127" s="376"/>
      <c r="BX127" s="376"/>
      <c r="BY127" s="376"/>
      <c r="BZ127" s="376"/>
      <c r="CA127" s="376"/>
      <c r="CB127" s="376"/>
      <c r="CC127" s="376"/>
      <c r="CD127" s="376"/>
      <c r="CE127" s="376"/>
      <c r="CF127" s="376"/>
    </row>
    <row r="128" spans="2:84">
      <c r="L128" s="551"/>
      <c r="M128" s="534"/>
      <c r="O128" s="9"/>
      <c r="Q128" s="233"/>
      <c r="R128" s="376"/>
      <c r="S128" s="376"/>
      <c r="T128" s="376"/>
      <c r="U128" s="376"/>
      <c r="V128" s="376"/>
      <c r="W128" s="376"/>
      <c r="X128" s="376"/>
      <c r="Y128" s="376"/>
      <c r="Z128" s="376"/>
      <c r="AA128" s="376"/>
      <c r="AB128" s="376"/>
      <c r="AC128" s="376"/>
      <c r="AD128" s="376"/>
      <c r="AE128" s="376"/>
      <c r="AF128" s="376"/>
      <c r="AG128" s="376"/>
      <c r="AH128" s="376"/>
      <c r="AI128" s="376"/>
      <c r="AJ128" s="376"/>
      <c r="AK128" s="376"/>
      <c r="AL128" s="376"/>
      <c r="AM128" s="376"/>
      <c r="AN128" s="376"/>
      <c r="AO128" s="376"/>
      <c r="AP128" s="376"/>
      <c r="AQ128" s="376"/>
      <c r="AR128" s="376"/>
      <c r="AS128" s="376"/>
      <c r="AT128" s="376"/>
      <c r="AU128" s="376"/>
      <c r="AV128" s="376"/>
      <c r="AW128" s="376"/>
      <c r="AX128" s="376"/>
      <c r="AY128" s="376"/>
      <c r="AZ128" s="376"/>
      <c r="BA128" s="376"/>
      <c r="BB128" s="376"/>
      <c r="BC128" s="376"/>
      <c r="BD128" s="376"/>
      <c r="BE128" s="376"/>
      <c r="BF128" s="376"/>
      <c r="BG128" s="376"/>
      <c r="BH128" s="376"/>
      <c r="BI128" s="376"/>
      <c r="BJ128" s="376"/>
      <c r="BK128" s="376"/>
      <c r="BL128" s="376"/>
      <c r="BM128" s="376"/>
      <c r="BN128" s="376"/>
      <c r="BO128" s="376"/>
      <c r="BP128" s="376"/>
      <c r="BQ128" s="376"/>
      <c r="BR128" s="376"/>
      <c r="BS128" s="376"/>
      <c r="BT128" s="376"/>
      <c r="BU128" s="376"/>
      <c r="BV128" s="376"/>
      <c r="BW128" s="376"/>
      <c r="BX128" s="376"/>
      <c r="BY128" s="376"/>
      <c r="BZ128" s="376"/>
      <c r="CA128" s="376"/>
      <c r="CB128" s="376"/>
      <c r="CC128" s="376"/>
      <c r="CD128" s="376"/>
      <c r="CE128" s="376"/>
      <c r="CF128" s="376"/>
    </row>
    <row r="129" spans="13:84">
      <c r="M129" s="534"/>
      <c r="O129" s="9"/>
      <c r="Q129" s="233"/>
      <c r="R129" s="376"/>
      <c r="S129" s="376"/>
      <c r="T129" s="376"/>
      <c r="U129" s="376"/>
      <c r="V129" s="376"/>
      <c r="W129" s="376"/>
      <c r="X129" s="376"/>
      <c r="Y129" s="376"/>
      <c r="Z129" s="376"/>
      <c r="AA129" s="376"/>
      <c r="AB129" s="376"/>
      <c r="AC129" s="376"/>
      <c r="AD129" s="376"/>
      <c r="AE129" s="376"/>
      <c r="AF129" s="376"/>
      <c r="AG129" s="376"/>
      <c r="AH129" s="376"/>
      <c r="AI129" s="376"/>
      <c r="AJ129" s="376"/>
      <c r="AK129" s="376"/>
      <c r="AL129" s="376"/>
      <c r="AM129" s="376"/>
      <c r="AN129" s="376"/>
      <c r="AO129" s="376"/>
      <c r="AP129" s="376"/>
      <c r="AQ129" s="376"/>
      <c r="AR129" s="376"/>
      <c r="AS129" s="376"/>
      <c r="AT129" s="376"/>
      <c r="AU129" s="376"/>
      <c r="AV129" s="376"/>
      <c r="AW129" s="376"/>
      <c r="AX129" s="376"/>
      <c r="AY129" s="376"/>
      <c r="AZ129" s="376"/>
      <c r="BA129" s="376"/>
      <c r="BB129" s="376"/>
      <c r="BC129" s="376"/>
      <c r="BD129" s="376"/>
      <c r="BE129" s="376"/>
      <c r="BF129" s="376"/>
      <c r="BG129" s="376"/>
      <c r="BH129" s="376"/>
      <c r="BI129" s="376"/>
      <c r="BJ129" s="376"/>
      <c r="BK129" s="376"/>
      <c r="BL129" s="376"/>
      <c r="BM129" s="376"/>
      <c r="BN129" s="376"/>
      <c r="BO129" s="376"/>
      <c r="BP129" s="376"/>
      <c r="BQ129" s="376"/>
      <c r="BR129" s="376"/>
      <c r="BS129" s="376"/>
      <c r="BT129" s="376"/>
      <c r="BU129" s="376"/>
      <c r="BV129" s="376"/>
      <c r="BW129" s="376"/>
      <c r="BX129" s="376"/>
      <c r="BY129" s="376"/>
      <c r="BZ129" s="376"/>
      <c r="CA129" s="376"/>
      <c r="CB129" s="376"/>
      <c r="CC129" s="376"/>
      <c r="CD129" s="376"/>
      <c r="CE129" s="376"/>
      <c r="CF129" s="376"/>
    </row>
    <row r="130" spans="13:84">
      <c r="M130" s="534"/>
      <c r="O130" s="9"/>
      <c r="Q130" s="233"/>
      <c r="R130" s="376"/>
      <c r="S130" s="376"/>
      <c r="T130" s="376"/>
      <c r="U130" s="376"/>
      <c r="V130" s="376"/>
      <c r="W130" s="376"/>
      <c r="X130" s="376"/>
      <c r="Y130" s="376"/>
      <c r="Z130" s="376"/>
      <c r="AA130" s="376"/>
      <c r="AB130" s="376"/>
      <c r="AC130" s="376"/>
      <c r="AD130" s="376"/>
      <c r="AE130" s="376"/>
      <c r="AF130" s="376"/>
      <c r="AG130" s="376"/>
      <c r="AH130" s="376"/>
      <c r="AI130" s="376"/>
      <c r="AJ130" s="376"/>
      <c r="AK130" s="376"/>
      <c r="AL130" s="376"/>
      <c r="AM130" s="376"/>
      <c r="AN130" s="376"/>
      <c r="AO130" s="376"/>
      <c r="AP130" s="376"/>
      <c r="AQ130" s="376"/>
      <c r="AR130" s="376"/>
      <c r="AS130" s="376"/>
      <c r="AT130" s="376"/>
      <c r="AU130" s="376"/>
      <c r="AV130" s="376"/>
      <c r="AW130" s="376"/>
      <c r="AX130" s="376"/>
      <c r="AY130" s="376"/>
      <c r="AZ130" s="376"/>
      <c r="BA130" s="376"/>
      <c r="BB130" s="376"/>
      <c r="BC130" s="376"/>
      <c r="BD130" s="376"/>
      <c r="BE130" s="376"/>
      <c r="BF130" s="376"/>
      <c r="BG130" s="376"/>
      <c r="BH130" s="376"/>
      <c r="BI130" s="376"/>
      <c r="BJ130" s="376"/>
      <c r="BK130" s="376"/>
      <c r="BL130" s="376"/>
      <c r="BM130" s="376"/>
      <c r="BN130" s="376"/>
      <c r="BO130" s="376"/>
      <c r="BP130" s="376"/>
      <c r="BQ130" s="376"/>
      <c r="BR130" s="376"/>
      <c r="BS130" s="376"/>
      <c r="BT130" s="376"/>
      <c r="BU130" s="376"/>
      <c r="BV130" s="376"/>
      <c r="BW130" s="376"/>
      <c r="BX130" s="376"/>
      <c r="BY130" s="376"/>
      <c r="BZ130" s="376"/>
      <c r="CA130" s="376"/>
      <c r="CB130" s="376"/>
      <c r="CC130" s="376"/>
      <c r="CD130" s="376"/>
      <c r="CE130" s="376"/>
      <c r="CF130" s="376"/>
    </row>
    <row r="131" spans="13:84">
      <c r="M131" s="534"/>
      <c r="O131" s="9"/>
      <c r="Q131" s="233"/>
      <c r="R131" s="376"/>
      <c r="S131" s="376"/>
      <c r="T131" s="376"/>
      <c r="U131" s="376"/>
      <c r="V131" s="376"/>
      <c r="W131" s="376"/>
      <c r="X131" s="376"/>
      <c r="Y131" s="376"/>
      <c r="Z131" s="376"/>
      <c r="AA131" s="376"/>
      <c r="AB131" s="376"/>
      <c r="AC131" s="376"/>
      <c r="AD131" s="376"/>
      <c r="AE131" s="376"/>
      <c r="AF131" s="376"/>
      <c r="AG131" s="376"/>
      <c r="AH131" s="376"/>
      <c r="AI131" s="376"/>
      <c r="AJ131" s="376"/>
      <c r="AK131" s="376"/>
      <c r="AL131" s="376"/>
      <c r="AM131" s="376"/>
      <c r="AN131" s="376"/>
      <c r="AO131" s="376"/>
      <c r="AP131" s="376"/>
      <c r="AQ131" s="376"/>
      <c r="AR131" s="376"/>
      <c r="AS131" s="376"/>
      <c r="AT131" s="376"/>
      <c r="AU131" s="376"/>
      <c r="AV131" s="376"/>
      <c r="AW131" s="376"/>
      <c r="AX131" s="376"/>
      <c r="AY131" s="376"/>
      <c r="AZ131" s="376"/>
      <c r="BA131" s="376"/>
      <c r="BB131" s="376"/>
      <c r="BC131" s="376"/>
      <c r="BD131" s="376"/>
      <c r="BE131" s="376"/>
      <c r="BF131" s="376"/>
      <c r="BG131" s="376"/>
      <c r="BH131" s="376"/>
      <c r="BI131" s="376"/>
      <c r="BJ131" s="376"/>
      <c r="BK131" s="376"/>
      <c r="BL131" s="376"/>
      <c r="BM131" s="376"/>
      <c r="BN131" s="376"/>
      <c r="BO131" s="376"/>
      <c r="BP131" s="376"/>
      <c r="BQ131" s="376"/>
      <c r="BR131" s="376"/>
      <c r="BS131" s="376"/>
      <c r="BT131" s="376"/>
      <c r="BU131" s="376"/>
      <c r="BV131" s="376"/>
      <c r="BW131" s="376"/>
      <c r="BX131" s="376"/>
      <c r="BY131" s="376"/>
      <c r="BZ131" s="376"/>
      <c r="CA131" s="376"/>
      <c r="CB131" s="376"/>
      <c r="CC131" s="376"/>
      <c r="CD131" s="376"/>
      <c r="CE131" s="376"/>
      <c r="CF131" s="376"/>
    </row>
    <row r="132" spans="13:84">
      <c r="M132" s="534"/>
      <c r="O132" s="9"/>
      <c r="Q132" s="233"/>
      <c r="R132" s="376"/>
      <c r="S132" s="376"/>
      <c r="T132" s="376"/>
      <c r="U132" s="376"/>
      <c r="V132" s="376"/>
      <c r="W132" s="376"/>
      <c r="X132" s="376"/>
      <c r="Y132" s="376"/>
      <c r="Z132" s="376"/>
      <c r="AA132" s="376"/>
      <c r="AB132" s="376"/>
      <c r="AC132" s="376"/>
      <c r="AD132" s="376"/>
      <c r="AE132" s="376"/>
      <c r="AF132" s="376"/>
      <c r="AG132" s="376"/>
      <c r="AH132" s="376"/>
      <c r="AI132" s="376"/>
      <c r="AJ132" s="376"/>
      <c r="AK132" s="376"/>
      <c r="AL132" s="376"/>
      <c r="AM132" s="376"/>
      <c r="AN132" s="376"/>
      <c r="AO132" s="376"/>
      <c r="AP132" s="376"/>
      <c r="AQ132" s="376"/>
      <c r="AR132" s="376"/>
      <c r="AS132" s="376"/>
      <c r="AT132" s="376"/>
      <c r="AU132" s="376"/>
      <c r="AV132" s="376"/>
      <c r="AW132" s="376"/>
      <c r="AX132" s="376"/>
      <c r="AY132" s="376"/>
      <c r="AZ132" s="376"/>
      <c r="BA132" s="376"/>
      <c r="BB132" s="376"/>
      <c r="BC132" s="376"/>
      <c r="BD132" s="376"/>
      <c r="BE132" s="376"/>
      <c r="BF132" s="376"/>
      <c r="BG132" s="376"/>
      <c r="BH132" s="376"/>
      <c r="BI132" s="376"/>
      <c r="BJ132" s="376"/>
      <c r="BK132" s="376"/>
      <c r="BL132" s="376"/>
      <c r="BM132" s="376"/>
      <c r="BN132" s="376"/>
      <c r="BO132" s="376"/>
      <c r="BP132" s="376"/>
      <c r="BQ132" s="376"/>
      <c r="BR132" s="376"/>
      <c r="BS132" s="376"/>
      <c r="BT132" s="376"/>
      <c r="BU132" s="376"/>
      <c r="BV132" s="376"/>
      <c r="BW132" s="376"/>
      <c r="BX132" s="376"/>
      <c r="BY132" s="376"/>
      <c r="BZ132" s="376"/>
      <c r="CA132" s="376"/>
      <c r="CB132" s="376"/>
      <c r="CC132" s="376"/>
      <c r="CD132" s="376"/>
      <c r="CE132" s="376"/>
      <c r="CF132" s="376"/>
    </row>
    <row r="133" spans="13:84">
      <c r="M133" s="534"/>
      <c r="O133" s="9"/>
      <c r="Q133" s="233"/>
      <c r="R133" s="376"/>
      <c r="S133" s="376"/>
      <c r="T133" s="376"/>
      <c r="U133" s="376"/>
      <c r="V133" s="376"/>
      <c r="W133" s="376"/>
      <c r="X133" s="376"/>
      <c r="Y133" s="376"/>
      <c r="Z133" s="376"/>
      <c r="AA133" s="376"/>
      <c r="AB133" s="376"/>
      <c r="AC133" s="376"/>
      <c r="AD133" s="376"/>
      <c r="AE133" s="376"/>
      <c r="AF133" s="376"/>
      <c r="AG133" s="376"/>
      <c r="AH133" s="376"/>
      <c r="AI133" s="376"/>
      <c r="AJ133" s="376"/>
      <c r="AK133" s="376"/>
      <c r="AL133" s="376"/>
      <c r="AM133" s="376"/>
      <c r="AN133" s="376"/>
      <c r="AO133" s="376"/>
      <c r="AP133" s="376"/>
      <c r="AQ133" s="376"/>
      <c r="AR133" s="376"/>
      <c r="AS133" s="376"/>
      <c r="AT133" s="376"/>
      <c r="AU133" s="376"/>
      <c r="AV133" s="376"/>
      <c r="AW133" s="376"/>
      <c r="AX133" s="376"/>
      <c r="AY133" s="376"/>
      <c r="AZ133" s="376"/>
      <c r="BA133" s="376"/>
      <c r="BB133" s="376"/>
      <c r="BC133" s="376"/>
      <c r="BD133" s="376"/>
      <c r="BE133" s="376"/>
      <c r="BF133" s="376"/>
      <c r="BG133" s="376"/>
      <c r="BH133" s="376"/>
      <c r="BI133" s="376"/>
      <c r="BJ133" s="376"/>
      <c r="BK133" s="376"/>
      <c r="BL133" s="376"/>
      <c r="BM133" s="376"/>
      <c r="BN133" s="376"/>
      <c r="BO133" s="376"/>
      <c r="BP133" s="376"/>
      <c r="BQ133" s="376"/>
      <c r="BR133" s="376"/>
      <c r="BS133" s="376"/>
      <c r="BT133" s="376"/>
      <c r="BU133" s="376"/>
      <c r="BV133" s="376"/>
      <c r="BW133" s="376"/>
      <c r="BX133" s="376"/>
      <c r="BY133" s="376"/>
      <c r="BZ133" s="376"/>
      <c r="CA133" s="376"/>
      <c r="CB133" s="376"/>
      <c r="CC133" s="376"/>
      <c r="CD133" s="376"/>
      <c r="CE133" s="376"/>
      <c r="CF133" s="376"/>
    </row>
    <row r="134" spans="13:84">
      <c r="M134" s="534"/>
      <c r="O134" s="9"/>
      <c r="Q134" s="233"/>
      <c r="R134" s="376"/>
      <c r="S134" s="376"/>
      <c r="T134" s="376"/>
      <c r="U134" s="376"/>
      <c r="V134" s="376"/>
      <c r="W134" s="376"/>
      <c r="X134" s="376"/>
      <c r="Y134" s="376"/>
      <c r="Z134" s="376"/>
      <c r="AA134" s="376"/>
      <c r="AB134" s="376"/>
      <c r="AC134" s="376"/>
      <c r="AD134" s="376"/>
      <c r="AE134" s="376"/>
      <c r="AF134" s="376"/>
      <c r="AG134" s="376"/>
      <c r="AH134" s="376"/>
      <c r="AI134" s="376"/>
      <c r="AJ134" s="376"/>
      <c r="AK134" s="376"/>
      <c r="AL134" s="376"/>
      <c r="AM134" s="376"/>
      <c r="AN134" s="376"/>
      <c r="AO134" s="376"/>
      <c r="AP134" s="376"/>
      <c r="AQ134" s="376"/>
      <c r="AR134" s="376"/>
      <c r="AS134" s="376"/>
      <c r="AT134" s="376"/>
      <c r="AU134" s="376"/>
      <c r="AV134" s="376"/>
      <c r="AW134" s="376"/>
      <c r="AX134" s="376"/>
      <c r="AY134" s="376"/>
      <c r="AZ134" s="376"/>
      <c r="BA134" s="376"/>
      <c r="BB134" s="376"/>
      <c r="BC134" s="376"/>
      <c r="BD134" s="376"/>
      <c r="BE134" s="376"/>
      <c r="BF134" s="376"/>
      <c r="BG134" s="376"/>
      <c r="BH134" s="376"/>
      <c r="BI134" s="376"/>
      <c r="BJ134" s="376"/>
      <c r="BK134" s="376"/>
      <c r="BL134" s="376"/>
      <c r="BM134" s="376"/>
      <c r="BN134" s="376"/>
      <c r="BO134" s="376"/>
      <c r="BP134" s="376"/>
      <c r="BQ134" s="376"/>
      <c r="BR134" s="376"/>
      <c r="BS134" s="376"/>
      <c r="BT134" s="376"/>
      <c r="BU134" s="376"/>
      <c r="BV134" s="376"/>
      <c r="BW134" s="376"/>
      <c r="BX134" s="376"/>
      <c r="BY134" s="376"/>
      <c r="BZ134" s="376"/>
      <c r="CA134" s="376"/>
      <c r="CB134" s="376"/>
      <c r="CC134" s="376"/>
      <c r="CD134" s="376"/>
      <c r="CE134" s="376"/>
      <c r="CF134" s="376"/>
    </row>
    <row r="135" spans="13:84">
      <c r="M135" s="534"/>
      <c r="O135" s="9"/>
      <c r="Q135" s="233"/>
      <c r="R135" s="376"/>
      <c r="S135" s="376"/>
      <c r="T135" s="376"/>
      <c r="U135" s="376"/>
      <c r="V135" s="376"/>
      <c r="W135" s="376"/>
      <c r="X135" s="376"/>
      <c r="Y135" s="376"/>
      <c r="Z135" s="376"/>
      <c r="AA135" s="376"/>
      <c r="AB135" s="376"/>
      <c r="AC135" s="376"/>
      <c r="AD135" s="376"/>
      <c r="AE135" s="376"/>
      <c r="AF135" s="376"/>
      <c r="AG135" s="376"/>
      <c r="AH135" s="376"/>
      <c r="AI135" s="376"/>
      <c r="AJ135" s="376"/>
      <c r="AK135" s="376"/>
      <c r="AL135" s="376"/>
      <c r="AM135" s="376"/>
      <c r="AN135" s="376"/>
      <c r="AO135" s="376"/>
      <c r="AP135" s="376"/>
      <c r="AQ135" s="376"/>
      <c r="AR135" s="376"/>
      <c r="AS135" s="376"/>
      <c r="AT135" s="376"/>
      <c r="AU135" s="376"/>
      <c r="AV135" s="376"/>
      <c r="AW135" s="376"/>
      <c r="AX135" s="376"/>
      <c r="AY135" s="376"/>
      <c r="AZ135" s="376"/>
      <c r="BA135" s="376"/>
      <c r="BB135" s="376"/>
      <c r="BC135" s="376"/>
      <c r="BD135" s="376"/>
      <c r="BE135" s="376"/>
      <c r="BF135" s="376"/>
      <c r="BG135" s="376"/>
      <c r="BH135" s="376"/>
      <c r="BI135" s="376"/>
      <c r="BJ135" s="376"/>
      <c r="BK135" s="376"/>
      <c r="BL135" s="376"/>
      <c r="BM135" s="376"/>
      <c r="BN135" s="376"/>
      <c r="BO135" s="376"/>
      <c r="BP135" s="376"/>
      <c r="BQ135" s="376"/>
      <c r="BR135" s="376"/>
      <c r="BS135" s="376"/>
      <c r="BT135" s="376"/>
      <c r="BU135" s="376"/>
      <c r="BV135" s="376"/>
      <c r="BW135" s="376"/>
      <c r="BX135" s="376"/>
      <c r="BY135" s="376"/>
      <c r="BZ135" s="376"/>
      <c r="CA135" s="376"/>
      <c r="CB135" s="376"/>
      <c r="CC135" s="376"/>
      <c r="CD135" s="376"/>
      <c r="CE135" s="376"/>
      <c r="CF135" s="376"/>
    </row>
    <row r="136" spans="13:84" ht="16.5" customHeight="1">
      <c r="M136" s="534"/>
      <c r="O136" s="9"/>
      <c r="Q136" s="233"/>
      <c r="R136" s="376"/>
      <c r="S136" s="376"/>
      <c r="T136" s="376"/>
      <c r="U136" s="376"/>
      <c r="V136" s="376"/>
      <c r="W136" s="376"/>
      <c r="X136" s="376"/>
      <c r="Y136" s="376"/>
      <c r="Z136" s="376"/>
      <c r="AA136" s="376"/>
      <c r="AB136" s="376"/>
      <c r="AC136" s="376"/>
      <c r="AD136" s="376"/>
      <c r="AE136" s="376"/>
      <c r="AF136" s="376"/>
      <c r="AG136" s="376"/>
      <c r="AH136" s="376"/>
      <c r="AI136" s="376"/>
      <c r="AJ136" s="376"/>
      <c r="AK136" s="376"/>
      <c r="AL136" s="376"/>
      <c r="AM136" s="376"/>
      <c r="AN136" s="376"/>
      <c r="AO136" s="376"/>
      <c r="AP136" s="376"/>
      <c r="AQ136" s="376"/>
      <c r="AR136" s="376"/>
      <c r="AS136" s="376"/>
      <c r="AT136" s="376"/>
      <c r="AU136" s="376"/>
      <c r="AV136" s="376"/>
      <c r="AW136" s="376"/>
      <c r="AX136" s="376"/>
      <c r="AY136" s="376"/>
      <c r="AZ136" s="376"/>
      <c r="BA136" s="376"/>
      <c r="BB136" s="376"/>
      <c r="BC136" s="376"/>
      <c r="BD136" s="376"/>
      <c r="BE136" s="376"/>
      <c r="BF136" s="376"/>
      <c r="BG136" s="376"/>
      <c r="BH136" s="376"/>
      <c r="BI136" s="376"/>
      <c r="BJ136" s="376"/>
      <c r="BK136" s="376"/>
      <c r="BL136" s="376"/>
      <c r="BM136" s="376"/>
      <c r="BN136" s="376"/>
      <c r="BO136" s="376"/>
      <c r="BP136" s="376"/>
      <c r="BQ136" s="376"/>
      <c r="BR136" s="376"/>
      <c r="BS136" s="376"/>
      <c r="BT136" s="376"/>
      <c r="BU136" s="376"/>
      <c r="BV136" s="376"/>
      <c r="BW136" s="376"/>
      <c r="BX136" s="376"/>
      <c r="BY136" s="376"/>
      <c r="BZ136" s="376"/>
      <c r="CA136" s="376"/>
      <c r="CB136" s="376"/>
      <c r="CC136" s="376"/>
      <c r="CD136" s="376"/>
      <c r="CE136" s="376"/>
      <c r="CF136" s="376"/>
    </row>
    <row r="137" spans="13:84">
      <c r="M137" s="534"/>
      <c r="O137" s="9"/>
      <c r="Q137" s="233"/>
      <c r="R137" s="376"/>
      <c r="S137" s="376"/>
      <c r="T137" s="376"/>
      <c r="U137" s="376"/>
      <c r="V137" s="376"/>
      <c r="W137" s="376"/>
      <c r="X137" s="376"/>
      <c r="Y137" s="376"/>
      <c r="Z137" s="376"/>
      <c r="AA137" s="376"/>
      <c r="AB137" s="376"/>
      <c r="AC137" s="376"/>
      <c r="AD137" s="376"/>
      <c r="AE137" s="376"/>
      <c r="AF137" s="376"/>
      <c r="AG137" s="376"/>
      <c r="AH137" s="376"/>
      <c r="AI137" s="376"/>
      <c r="AJ137" s="376"/>
      <c r="AK137" s="376"/>
      <c r="AL137" s="376"/>
      <c r="AM137" s="376"/>
      <c r="AN137" s="376"/>
      <c r="AO137" s="376"/>
      <c r="AP137" s="376"/>
      <c r="AQ137" s="376"/>
      <c r="AR137" s="376"/>
      <c r="AS137" s="376"/>
      <c r="AT137" s="376"/>
      <c r="AU137" s="376"/>
      <c r="AV137" s="376"/>
      <c r="AW137" s="376"/>
      <c r="AX137" s="376"/>
      <c r="AY137" s="376"/>
      <c r="AZ137" s="376"/>
      <c r="BA137" s="376"/>
      <c r="BB137" s="376"/>
      <c r="BC137" s="376"/>
      <c r="BD137" s="376"/>
      <c r="BE137" s="376"/>
      <c r="BF137" s="376"/>
      <c r="BG137" s="376"/>
      <c r="BH137" s="376"/>
      <c r="BI137" s="376"/>
      <c r="BJ137" s="376"/>
      <c r="BK137" s="376"/>
      <c r="BL137" s="376"/>
      <c r="BM137" s="376"/>
      <c r="BN137" s="376"/>
      <c r="BO137" s="376"/>
      <c r="BP137" s="376"/>
      <c r="BQ137" s="376"/>
      <c r="BR137" s="376"/>
      <c r="BS137" s="376"/>
      <c r="BT137" s="376"/>
      <c r="BU137" s="376"/>
      <c r="BV137" s="376"/>
      <c r="BW137" s="376"/>
      <c r="BX137" s="376"/>
      <c r="BY137" s="376"/>
      <c r="BZ137" s="376"/>
      <c r="CA137" s="376"/>
      <c r="CB137" s="376"/>
      <c r="CC137" s="376"/>
      <c r="CD137" s="376"/>
      <c r="CE137" s="376"/>
      <c r="CF137" s="376"/>
    </row>
    <row r="138" spans="13:84">
      <c r="M138" s="534"/>
      <c r="O138" s="9"/>
      <c r="Q138" s="233"/>
      <c r="R138" s="376"/>
      <c r="S138" s="376"/>
      <c r="T138" s="376"/>
      <c r="U138" s="376"/>
      <c r="V138" s="376"/>
      <c r="W138" s="376"/>
      <c r="X138" s="376"/>
      <c r="Y138" s="376"/>
      <c r="Z138" s="376"/>
      <c r="AA138" s="376"/>
      <c r="AB138" s="376"/>
      <c r="AC138" s="376"/>
      <c r="AD138" s="376"/>
      <c r="AE138" s="376"/>
      <c r="AF138" s="376"/>
      <c r="AG138" s="376"/>
      <c r="AH138" s="376"/>
      <c r="AI138" s="376"/>
      <c r="AJ138" s="376"/>
      <c r="AK138" s="376"/>
      <c r="AL138" s="376"/>
      <c r="AM138" s="376"/>
      <c r="AN138" s="376"/>
      <c r="AO138" s="376"/>
      <c r="AP138" s="376"/>
      <c r="AQ138" s="376"/>
      <c r="AR138" s="376"/>
      <c r="AS138" s="376"/>
      <c r="AT138" s="376"/>
      <c r="AU138" s="376"/>
      <c r="AV138" s="376"/>
      <c r="AW138" s="376"/>
      <c r="AX138" s="376"/>
      <c r="AY138" s="376"/>
      <c r="AZ138" s="376"/>
      <c r="BA138" s="376"/>
      <c r="BB138" s="376"/>
      <c r="BC138" s="376"/>
      <c r="BD138" s="376"/>
      <c r="BE138" s="376"/>
      <c r="BF138" s="376"/>
      <c r="BG138" s="376"/>
      <c r="BH138" s="376"/>
      <c r="BI138" s="376"/>
      <c r="BJ138" s="376"/>
      <c r="BK138" s="376"/>
      <c r="BL138" s="376"/>
      <c r="BM138" s="376"/>
      <c r="BN138" s="376"/>
      <c r="BO138" s="376"/>
      <c r="BP138" s="376"/>
      <c r="BQ138" s="376"/>
      <c r="BR138" s="376"/>
      <c r="BS138" s="376"/>
      <c r="BT138" s="376"/>
      <c r="BU138" s="376"/>
      <c r="BV138" s="376"/>
      <c r="BW138" s="376"/>
      <c r="BX138" s="376"/>
      <c r="BY138" s="376"/>
      <c r="BZ138" s="376"/>
      <c r="CA138" s="376"/>
      <c r="CB138" s="376"/>
      <c r="CC138" s="376"/>
      <c r="CD138" s="376"/>
      <c r="CE138" s="376"/>
      <c r="CF138" s="376"/>
    </row>
    <row r="139" spans="13:84">
      <c r="M139" s="534"/>
      <c r="O139" s="9"/>
      <c r="Q139" s="233"/>
      <c r="R139" s="376"/>
      <c r="S139" s="376"/>
      <c r="T139" s="376"/>
      <c r="U139" s="376"/>
      <c r="V139" s="376"/>
      <c r="W139" s="376"/>
      <c r="X139" s="376"/>
      <c r="Y139" s="376"/>
      <c r="Z139" s="376"/>
      <c r="AA139" s="376"/>
      <c r="AB139" s="376"/>
      <c r="AC139" s="376"/>
      <c r="AD139" s="376"/>
      <c r="AE139" s="376"/>
      <c r="AF139" s="376"/>
      <c r="AG139" s="376"/>
      <c r="AH139" s="376"/>
      <c r="AI139" s="376"/>
      <c r="AJ139" s="376"/>
      <c r="AK139" s="376"/>
      <c r="AL139" s="376"/>
      <c r="AM139" s="376"/>
      <c r="AN139" s="376"/>
      <c r="AO139" s="376"/>
      <c r="AP139" s="376"/>
      <c r="AQ139" s="376"/>
      <c r="AR139" s="376"/>
      <c r="AS139" s="376"/>
      <c r="AT139" s="376"/>
      <c r="AU139" s="376"/>
      <c r="AV139" s="376"/>
      <c r="AW139" s="376"/>
      <c r="AX139" s="376"/>
      <c r="AY139" s="376"/>
      <c r="AZ139" s="376"/>
      <c r="BA139" s="376"/>
      <c r="BB139" s="376"/>
      <c r="BC139" s="376"/>
      <c r="BD139" s="376"/>
      <c r="BE139" s="376"/>
      <c r="BF139" s="376"/>
      <c r="BG139" s="376"/>
      <c r="BH139" s="376"/>
      <c r="BI139" s="376"/>
      <c r="BJ139" s="376"/>
      <c r="BK139" s="376"/>
      <c r="BL139" s="376"/>
      <c r="BM139" s="376"/>
      <c r="BN139" s="376"/>
      <c r="BO139" s="376"/>
      <c r="BP139" s="376"/>
      <c r="BQ139" s="376"/>
      <c r="BR139" s="376"/>
      <c r="BS139" s="376"/>
      <c r="BT139" s="376"/>
      <c r="BU139" s="376"/>
      <c r="BV139" s="376"/>
      <c r="BW139" s="376"/>
      <c r="BX139" s="376"/>
      <c r="BY139" s="376"/>
      <c r="BZ139" s="376"/>
      <c r="CA139" s="376"/>
      <c r="CB139" s="376"/>
      <c r="CC139" s="376"/>
      <c r="CD139" s="376"/>
      <c r="CE139" s="376"/>
      <c r="CF139" s="376"/>
    </row>
    <row r="140" spans="13:84">
      <c r="M140" s="534"/>
      <c r="O140" s="9"/>
      <c r="Q140" s="233"/>
      <c r="R140" s="376"/>
      <c r="S140" s="376"/>
      <c r="T140" s="376"/>
      <c r="U140" s="376"/>
      <c r="V140" s="376"/>
      <c r="W140" s="376"/>
      <c r="X140" s="376"/>
      <c r="Y140" s="376"/>
      <c r="Z140" s="376"/>
      <c r="AA140" s="376"/>
      <c r="AB140" s="376"/>
      <c r="AC140" s="376"/>
      <c r="AD140" s="376"/>
      <c r="AE140" s="376"/>
      <c r="AF140" s="376"/>
      <c r="AG140" s="376"/>
      <c r="AH140" s="376"/>
      <c r="AI140" s="376"/>
      <c r="AJ140" s="376"/>
      <c r="AK140" s="376"/>
      <c r="AL140" s="376"/>
      <c r="AM140" s="376"/>
      <c r="AN140" s="376"/>
      <c r="AO140" s="376"/>
      <c r="AP140" s="376"/>
      <c r="AQ140" s="376"/>
      <c r="AR140" s="376"/>
      <c r="AS140" s="376"/>
      <c r="AT140" s="376"/>
      <c r="AU140" s="376"/>
      <c r="AV140" s="376"/>
      <c r="AW140" s="376"/>
      <c r="AX140" s="376"/>
      <c r="AY140" s="376"/>
      <c r="AZ140" s="376"/>
      <c r="BA140" s="376"/>
      <c r="BB140" s="376"/>
      <c r="BC140" s="376"/>
      <c r="BD140" s="376"/>
      <c r="BE140" s="376"/>
      <c r="BF140" s="376"/>
      <c r="BG140" s="376"/>
      <c r="BH140" s="376"/>
      <c r="BI140" s="376"/>
      <c r="BJ140" s="376"/>
      <c r="BK140" s="376"/>
      <c r="BL140" s="376"/>
      <c r="BM140" s="376"/>
      <c r="BN140" s="376"/>
      <c r="BO140" s="376"/>
      <c r="BP140" s="376"/>
      <c r="BQ140" s="376"/>
      <c r="BR140" s="376"/>
      <c r="BS140" s="376"/>
      <c r="BT140" s="376"/>
      <c r="BU140" s="376"/>
      <c r="BV140" s="376"/>
      <c r="BW140" s="376"/>
      <c r="BX140" s="376"/>
      <c r="BY140" s="376"/>
      <c r="BZ140" s="376"/>
      <c r="CA140" s="376"/>
      <c r="CB140" s="376"/>
      <c r="CC140" s="376"/>
      <c r="CD140" s="376"/>
      <c r="CE140" s="376"/>
      <c r="CF140" s="376"/>
    </row>
    <row r="141" spans="13:84">
      <c r="M141" s="534"/>
      <c r="O141" s="9"/>
      <c r="Q141" s="233"/>
      <c r="R141" s="376"/>
      <c r="S141" s="376"/>
      <c r="T141" s="376"/>
      <c r="U141" s="376"/>
      <c r="V141" s="376"/>
      <c r="W141" s="376"/>
      <c r="X141" s="376"/>
      <c r="Y141" s="376"/>
      <c r="Z141" s="376"/>
      <c r="AA141" s="376"/>
      <c r="AB141" s="376"/>
      <c r="AC141" s="376"/>
      <c r="AD141" s="376"/>
      <c r="AE141" s="376"/>
      <c r="AF141" s="376"/>
      <c r="AG141" s="376"/>
      <c r="AH141" s="376"/>
      <c r="AI141" s="376"/>
      <c r="AJ141" s="376"/>
      <c r="AK141" s="376"/>
      <c r="AL141" s="376"/>
      <c r="AM141" s="376"/>
      <c r="AN141" s="376"/>
      <c r="AO141" s="376"/>
      <c r="AP141" s="376"/>
      <c r="AQ141" s="376"/>
      <c r="AR141" s="376"/>
      <c r="AS141" s="376"/>
      <c r="AT141" s="376"/>
      <c r="AU141" s="376"/>
      <c r="AV141" s="376"/>
      <c r="AW141" s="376"/>
      <c r="AX141" s="376"/>
      <c r="AY141" s="376"/>
      <c r="AZ141" s="376"/>
      <c r="BA141" s="376"/>
      <c r="BB141" s="376"/>
      <c r="BC141" s="376"/>
      <c r="BD141" s="376"/>
      <c r="BE141" s="376"/>
      <c r="BF141" s="376"/>
      <c r="BG141" s="376"/>
      <c r="BH141" s="376"/>
      <c r="BI141" s="376"/>
      <c r="BJ141" s="376"/>
      <c r="BK141" s="376"/>
      <c r="BL141" s="376"/>
      <c r="BM141" s="376"/>
      <c r="BN141" s="376"/>
      <c r="BO141" s="376"/>
      <c r="BP141" s="376"/>
      <c r="BQ141" s="376"/>
      <c r="BR141" s="376"/>
      <c r="BS141" s="376"/>
      <c r="BT141" s="376"/>
      <c r="BU141" s="376"/>
      <c r="BV141" s="376"/>
      <c r="BW141" s="376"/>
      <c r="BX141" s="376"/>
      <c r="BY141" s="376"/>
      <c r="BZ141" s="376"/>
      <c r="CA141" s="376"/>
      <c r="CB141" s="376"/>
      <c r="CC141" s="376"/>
      <c r="CD141" s="376"/>
      <c r="CE141" s="376"/>
      <c r="CF141" s="376"/>
    </row>
    <row r="142" spans="13:84">
      <c r="M142" s="534"/>
      <c r="O142" s="9"/>
      <c r="Q142" s="233"/>
      <c r="R142" s="376"/>
      <c r="S142" s="376"/>
      <c r="T142" s="376"/>
      <c r="U142" s="376"/>
      <c r="V142" s="376"/>
      <c r="W142" s="376"/>
      <c r="X142" s="376"/>
      <c r="Y142" s="376"/>
      <c r="Z142" s="376"/>
      <c r="AA142" s="376"/>
      <c r="AB142" s="376"/>
      <c r="AC142" s="376"/>
      <c r="AD142" s="376"/>
      <c r="AE142" s="376"/>
      <c r="AF142" s="376"/>
      <c r="AG142" s="376"/>
      <c r="AH142" s="376"/>
      <c r="AI142" s="376"/>
      <c r="AJ142" s="376"/>
      <c r="AK142" s="376"/>
      <c r="AL142" s="376"/>
      <c r="AM142" s="376"/>
      <c r="AN142" s="376"/>
      <c r="AO142" s="376"/>
      <c r="AP142" s="376"/>
      <c r="AQ142" s="376"/>
      <c r="AR142" s="376"/>
      <c r="AS142" s="376"/>
      <c r="AT142" s="376"/>
      <c r="AU142" s="376"/>
      <c r="AV142" s="376"/>
      <c r="AW142" s="376"/>
      <c r="AX142" s="376"/>
      <c r="AY142" s="376"/>
      <c r="AZ142" s="376"/>
      <c r="BA142" s="376"/>
      <c r="BB142" s="376"/>
      <c r="BC142" s="376"/>
      <c r="BD142" s="376"/>
      <c r="BE142" s="376"/>
      <c r="BF142" s="376"/>
      <c r="BG142" s="376"/>
      <c r="BH142" s="376"/>
      <c r="BI142" s="376"/>
      <c r="BJ142" s="376"/>
      <c r="BK142" s="376"/>
      <c r="BL142" s="376"/>
      <c r="BM142" s="376"/>
      <c r="BN142" s="376"/>
      <c r="BO142" s="376"/>
      <c r="BP142" s="376"/>
      <c r="BQ142" s="376"/>
      <c r="BR142" s="376"/>
      <c r="BS142" s="376"/>
      <c r="BT142" s="376"/>
      <c r="BU142" s="376"/>
      <c r="BV142" s="376"/>
      <c r="BW142" s="376"/>
      <c r="BX142" s="376"/>
      <c r="BY142" s="376"/>
      <c r="BZ142" s="376"/>
      <c r="CA142" s="376"/>
      <c r="CB142" s="376"/>
      <c r="CC142" s="376"/>
      <c r="CD142" s="376"/>
      <c r="CE142" s="376"/>
      <c r="CF142" s="376"/>
    </row>
    <row r="143" spans="13:84">
      <c r="M143" s="534"/>
      <c r="O143" s="9"/>
      <c r="Q143" s="233"/>
      <c r="R143" s="376"/>
      <c r="S143" s="376"/>
      <c r="T143" s="376"/>
      <c r="U143" s="376"/>
      <c r="V143" s="376"/>
      <c r="W143" s="376"/>
      <c r="X143" s="376"/>
      <c r="Y143" s="376"/>
      <c r="Z143" s="376"/>
      <c r="AA143" s="376"/>
      <c r="AB143" s="376"/>
      <c r="AC143" s="376"/>
      <c r="AD143" s="376"/>
      <c r="AE143" s="376"/>
      <c r="AF143" s="376"/>
      <c r="AG143" s="376"/>
      <c r="AH143" s="376"/>
      <c r="AI143" s="376"/>
      <c r="AJ143" s="376"/>
      <c r="AK143" s="376"/>
      <c r="AL143" s="376"/>
      <c r="AM143" s="376"/>
      <c r="AN143" s="376"/>
      <c r="AO143" s="376"/>
      <c r="AP143" s="376"/>
      <c r="AQ143" s="376"/>
      <c r="AR143" s="376"/>
      <c r="AS143" s="376"/>
      <c r="AT143" s="376"/>
      <c r="AU143" s="376"/>
      <c r="AV143" s="376"/>
      <c r="AW143" s="376"/>
      <c r="AX143" s="376"/>
      <c r="AY143" s="376"/>
      <c r="AZ143" s="376"/>
      <c r="BA143" s="376"/>
      <c r="BB143" s="376"/>
      <c r="BC143" s="376"/>
      <c r="BD143" s="376"/>
      <c r="BE143" s="376"/>
      <c r="BF143" s="376"/>
      <c r="BG143" s="376"/>
      <c r="BH143" s="376"/>
      <c r="BI143" s="376"/>
      <c r="BJ143" s="376"/>
      <c r="BK143" s="376"/>
      <c r="BL143" s="376"/>
      <c r="BM143" s="376"/>
      <c r="BN143" s="376"/>
      <c r="BO143" s="376"/>
      <c r="BP143" s="376"/>
      <c r="BQ143" s="376"/>
      <c r="BR143" s="376"/>
      <c r="BS143" s="376"/>
      <c r="BT143" s="376"/>
      <c r="BU143" s="376"/>
      <c r="BV143" s="376"/>
      <c r="BW143" s="376"/>
      <c r="BX143" s="376"/>
      <c r="BY143" s="376"/>
      <c r="BZ143" s="376"/>
      <c r="CA143" s="376"/>
      <c r="CB143" s="376"/>
      <c r="CC143" s="376"/>
      <c r="CD143" s="376"/>
      <c r="CE143" s="376"/>
      <c r="CF143" s="376"/>
    </row>
    <row r="144" spans="13:84">
      <c r="M144" s="534"/>
      <c r="O144" s="9"/>
      <c r="Q144" s="233"/>
      <c r="R144" s="376"/>
      <c r="S144" s="376"/>
      <c r="T144" s="376"/>
      <c r="U144" s="376"/>
      <c r="V144" s="376"/>
      <c r="W144" s="376"/>
      <c r="X144" s="376"/>
      <c r="Y144" s="376"/>
      <c r="Z144" s="376"/>
      <c r="AA144" s="376"/>
      <c r="AB144" s="376"/>
      <c r="AC144" s="376"/>
      <c r="AD144" s="376"/>
      <c r="AE144" s="376"/>
      <c r="AF144" s="376"/>
      <c r="AG144" s="376"/>
      <c r="AH144" s="376"/>
      <c r="AI144" s="376"/>
      <c r="AJ144" s="376"/>
      <c r="AK144" s="376"/>
      <c r="AL144" s="376"/>
      <c r="AM144" s="376"/>
      <c r="AN144" s="376"/>
      <c r="AO144" s="376"/>
      <c r="AP144" s="376"/>
      <c r="AQ144" s="376"/>
      <c r="AR144" s="376"/>
      <c r="AS144" s="376"/>
      <c r="AT144" s="376"/>
      <c r="AU144" s="376"/>
      <c r="AV144" s="376"/>
      <c r="AW144" s="376"/>
      <c r="AX144" s="376"/>
      <c r="AY144" s="376"/>
      <c r="AZ144" s="376"/>
      <c r="BA144" s="376"/>
      <c r="BB144" s="376"/>
      <c r="BC144" s="376"/>
      <c r="BD144" s="376"/>
      <c r="BE144" s="376"/>
      <c r="BF144" s="376"/>
      <c r="BG144" s="376"/>
      <c r="BH144" s="376"/>
      <c r="BI144" s="376"/>
      <c r="BJ144" s="376"/>
      <c r="BK144" s="376"/>
      <c r="BL144" s="376"/>
      <c r="BM144" s="376"/>
      <c r="BN144" s="376"/>
      <c r="BO144" s="376"/>
      <c r="BP144" s="376"/>
      <c r="BQ144" s="376"/>
      <c r="BR144" s="376"/>
      <c r="BS144" s="376"/>
      <c r="BT144" s="376"/>
      <c r="BU144" s="376"/>
      <c r="BV144" s="376"/>
      <c r="BW144" s="376"/>
      <c r="BX144" s="376"/>
      <c r="BY144" s="376"/>
      <c r="BZ144" s="376"/>
      <c r="CA144" s="376"/>
      <c r="CB144" s="376"/>
      <c r="CC144" s="376"/>
      <c r="CD144" s="376"/>
      <c r="CE144" s="376"/>
      <c r="CF144" s="376"/>
    </row>
    <row r="145" spans="13:84">
      <c r="M145" s="534"/>
      <c r="O145" s="9"/>
      <c r="Q145" s="233"/>
      <c r="R145" s="376"/>
      <c r="S145" s="376"/>
      <c r="T145" s="376"/>
      <c r="U145" s="376"/>
      <c r="V145" s="376"/>
      <c r="W145" s="376"/>
      <c r="X145" s="376"/>
      <c r="Y145" s="376"/>
      <c r="Z145" s="376"/>
      <c r="AA145" s="376"/>
      <c r="AB145" s="376"/>
      <c r="AC145" s="376"/>
      <c r="AD145" s="376"/>
      <c r="AE145" s="376"/>
      <c r="AF145" s="376"/>
      <c r="AG145" s="376"/>
      <c r="AH145" s="376"/>
      <c r="AI145" s="376"/>
      <c r="AJ145" s="376"/>
      <c r="AK145" s="376"/>
      <c r="AL145" s="376"/>
      <c r="AM145" s="376"/>
      <c r="AN145" s="376"/>
      <c r="AO145" s="376"/>
      <c r="AP145" s="376"/>
      <c r="AQ145" s="376"/>
      <c r="AR145" s="376"/>
      <c r="AS145" s="376"/>
      <c r="AT145" s="376"/>
      <c r="AU145" s="376"/>
      <c r="AV145" s="376"/>
      <c r="AW145" s="376"/>
      <c r="AX145" s="376"/>
      <c r="AY145" s="376"/>
      <c r="AZ145" s="376"/>
      <c r="BA145" s="376"/>
      <c r="BB145" s="376"/>
      <c r="BC145" s="376"/>
      <c r="BD145" s="376"/>
      <c r="BE145" s="376"/>
      <c r="BF145" s="376"/>
      <c r="BG145" s="376"/>
      <c r="BH145" s="376"/>
      <c r="BI145" s="376"/>
      <c r="BJ145" s="376"/>
      <c r="BK145" s="376"/>
      <c r="BL145" s="376"/>
      <c r="BM145" s="376"/>
      <c r="BN145" s="376"/>
      <c r="BO145" s="376"/>
      <c r="BP145" s="376"/>
      <c r="BQ145" s="376"/>
      <c r="BR145" s="376"/>
      <c r="BS145" s="376"/>
      <c r="BT145" s="376"/>
      <c r="BU145" s="376"/>
      <c r="BV145" s="376"/>
      <c r="BW145" s="376"/>
      <c r="BX145" s="376"/>
      <c r="BY145" s="376"/>
      <c r="BZ145" s="376"/>
      <c r="CA145" s="376"/>
      <c r="CB145" s="376"/>
      <c r="CC145" s="376"/>
      <c r="CD145" s="376"/>
      <c r="CE145" s="376"/>
      <c r="CF145" s="376"/>
    </row>
    <row r="146" spans="13:84">
      <c r="M146" s="534"/>
      <c r="O146" s="9"/>
      <c r="Q146" s="233"/>
      <c r="R146" s="376"/>
      <c r="S146" s="376"/>
      <c r="T146" s="376"/>
      <c r="U146" s="376"/>
      <c r="V146" s="376"/>
      <c r="W146" s="376"/>
      <c r="X146" s="376"/>
      <c r="Y146" s="376"/>
      <c r="Z146" s="376"/>
      <c r="AA146" s="376"/>
      <c r="AB146" s="376"/>
      <c r="AC146" s="376"/>
      <c r="AD146" s="376"/>
      <c r="AE146" s="376"/>
      <c r="AF146" s="376"/>
      <c r="AG146" s="376"/>
      <c r="AH146" s="376"/>
      <c r="AI146" s="376"/>
      <c r="AJ146" s="376"/>
      <c r="AK146" s="376"/>
      <c r="AL146" s="376"/>
      <c r="AM146" s="376"/>
      <c r="AN146" s="376"/>
      <c r="AO146" s="376"/>
      <c r="AP146" s="376"/>
      <c r="AQ146" s="376"/>
      <c r="AR146" s="376"/>
      <c r="AS146" s="376"/>
      <c r="AT146" s="376"/>
      <c r="AU146" s="376"/>
      <c r="AV146" s="376"/>
      <c r="AW146" s="376"/>
      <c r="AX146" s="376"/>
      <c r="AY146" s="376"/>
      <c r="AZ146" s="376"/>
      <c r="BA146" s="376"/>
      <c r="BB146" s="376"/>
      <c r="BC146" s="376"/>
      <c r="BD146" s="376"/>
      <c r="BE146" s="376"/>
      <c r="BF146" s="376"/>
      <c r="BG146" s="376"/>
      <c r="BH146" s="376"/>
      <c r="BI146" s="376"/>
      <c r="BJ146" s="376"/>
      <c r="BK146" s="376"/>
      <c r="BL146" s="376"/>
      <c r="BM146" s="376"/>
      <c r="BN146" s="376"/>
      <c r="BO146" s="376"/>
      <c r="BP146" s="376"/>
      <c r="BQ146" s="376"/>
      <c r="BR146" s="376"/>
      <c r="BS146" s="376"/>
      <c r="BT146" s="376"/>
      <c r="BU146" s="376"/>
      <c r="BV146" s="376"/>
      <c r="BW146" s="376"/>
      <c r="BX146" s="376"/>
      <c r="BY146" s="376"/>
      <c r="BZ146" s="376"/>
      <c r="CA146" s="376"/>
      <c r="CB146" s="376"/>
      <c r="CC146" s="376"/>
      <c r="CD146" s="376"/>
      <c r="CE146" s="376"/>
      <c r="CF146" s="376"/>
    </row>
    <row r="147" spans="13:84">
      <c r="M147" s="534"/>
    </row>
    <row r="148" spans="13:84">
      <c r="M148" s="534"/>
    </row>
    <row r="149" spans="13:84">
      <c r="M149" s="534"/>
    </row>
    <row r="150" spans="13:84">
      <c r="M150" s="534"/>
    </row>
    <row r="151" spans="13:84">
      <c r="M151" s="534"/>
    </row>
    <row r="152" spans="13:84">
      <c r="M152" s="534"/>
    </row>
    <row r="153" spans="13:84">
      <c r="M153" s="534"/>
    </row>
    <row r="154" spans="13:84">
      <c r="M154" s="534"/>
    </row>
    <row r="155" spans="13:84">
      <c r="M155" s="534"/>
    </row>
    <row r="156" spans="13:84">
      <c r="M156" s="534"/>
    </row>
    <row r="157" spans="13:84">
      <c r="M157" s="534"/>
    </row>
    <row r="158" spans="13:84">
      <c r="M158" s="534"/>
    </row>
    <row r="159" spans="13:84">
      <c r="M159" s="534"/>
    </row>
    <row r="160" spans="13:84">
      <c r="M160" s="534"/>
    </row>
    <row r="161" spans="13:13">
      <c r="M161" s="534"/>
    </row>
    <row r="162" spans="13:13">
      <c r="M162" s="534"/>
    </row>
    <row r="163" spans="13:13">
      <c r="M163" s="534"/>
    </row>
    <row r="164" spans="13:13">
      <c r="M164" s="534"/>
    </row>
    <row r="165" spans="13:13">
      <c r="M165" s="534"/>
    </row>
    <row r="166" spans="13:13">
      <c r="M166" s="534"/>
    </row>
    <row r="167" spans="13:13">
      <c r="M167" s="534"/>
    </row>
    <row r="168" spans="13:13">
      <c r="M168" s="534"/>
    </row>
    <row r="169" spans="13:13">
      <c r="M169" s="534"/>
    </row>
    <row r="170" spans="13:13">
      <c r="M170" s="534"/>
    </row>
    <row r="171" spans="13:13">
      <c r="M171" s="534"/>
    </row>
    <row r="172" spans="13:13">
      <c r="M172" s="534"/>
    </row>
    <row r="173" spans="13:13">
      <c r="M173" s="534"/>
    </row>
    <row r="174" spans="13:13">
      <c r="M174" s="534"/>
    </row>
    <row r="175" spans="13:13">
      <c r="M175" s="534"/>
    </row>
    <row r="176" spans="13:13">
      <c r="M176" s="534"/>
    </row>
    <row r="177" spans="13:13">
      <c r="M177" s="534"/>
    </row>
    <row r="178" spans="13:13">
      <c r="M178" s="534"/>
    </row>
    <row r="179" spans="13:13">
      <c r="M179" s="534"/>
    </row>
    <row r="180" spans="13:13">
      <c r="M180" s="534"/>
    </row>
    <row r="181" spans="13:13">
      <c r="M181" s="534"/>
    </row>
    <row r="182" spans="13:13">
      <c r="M182" s="534"/>
    </row>
    <row r="183" spans="13:13">
      <c r="M183" s="534"/>
    </row>
    <row r="184" spans="13:13">
      <c r="M184" s="534"/>
    </row>
    <row r="185" spans="13:13">
      <c r="M185" s="534"/>
    </row>
    <row r="186" spans="13:13">
      <c r="M186" s="534"/>
    </row>
  </sheetData>
  <dataConsolidate function="product" link="1">
    <dataRefs count="1">
      <dataRef ref="H66:H69" sheet="CAPA"/>
    </dataRefs>
  </dataConsolidate>
  <mergeCells count="22">
    <mergeCell ref="AZ2:BF2"/>
    <mergeCell ref="E9:H9"/>
    <mergeCell ref="E66:F66"/>
    <mergeCell ref="E63:F63"/>
    <mergeCell ref="E64:F64"/>
    <mergeCell ref="E65:F65"/>
    <mergeCell ref="F39:G39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C28:D28"/>
    <mergeCell ref="E62:F62"/>
    <mergeCell ref="E70:F70"/>
    <mergeCell ref="E74:F74"/>
    <mergeCell ref="B31:C31"/>
  </mergeCells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066" r:id="rId4" name="CommandButton1">
          <controlPr defaultSize="0" autoLine="0" r:id="rId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4" name="CommandButton1"/>
      </mc:Fallback>
    </mc:AlternateContent>
    <mc:AlternateContent xmlns:mc="http://schemas.openxmlformats.org/markup-compatibility/2006">
      <mc:Choice Requires="x14">
        <control shapeId="45080" r:id="rId6" name="InfoIniciais">
          <controlPr defaultSize="0" autoLine="0" r:id="rId7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6" name="InfoIniciais"/>
      </mc:Fallback>
    </mc:AlternateContent>
    <mc:AlternateContent xmlns:mc="http://schemas.openxmlformats.org/markup-compatibility/2006">
      <mc:Choice Requires="x14">
        <control shapeId="45081" r:id="rId8" name="Indice">
          <controlPr defaultSize="0" autoLine="0" r:id="rId9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8" name="Indice"/>
      </mc:Fallback>
    </mc:AlternateContent>
    <mc:AlternateContent xmlns:mc="http://schemas.openxmlformats.org/markup-compatibility/2006">
      <mc:Choice Requires="x14">
        <control shapeId="45083" r:id="rId10" name="CheckRA0">
          <controlPr defaultSize="0" autoLine="0" autoPict="0" r:id="rId11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0" name="CheckRA0"/>
      </mc:Fallback>
    </mc:AlternateContent>
    <mc:AlternateContent xmlns:mc="http://schemas.openxmlformats.org/markup-compatibility/2006">
      <mc:Choice Requires="x14">
        <control shapeId="45084" r:id="rId12" name="CheckDemEn">
          <controlPr defaultSize="0" autoLine="0" r:id="rId13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2" name="CheckDemEn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145" r:id="rId16" name="Reset_Planilha">
          <controlPr defaultSize="0" autoLine="0" r:id="rId17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6" name="Reset_Planilha"/>
      </mc:Fallback>
    </mc:AlternateContent>
    <mc:AlternateContent xmlns:mc="http://schemas.openxmlformats.org/markup-compatibility/2006">
      <mc:Choice Requires="x14">
        <control shapeId="45166" r:id="rId18" name="Checksuprimento">
          <controlPr defaultSize="0" autoLine="0" autoPict="0" r:id="rId19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8" name="Checksuprimento"/>
      </mc:Fallback>
    </mc:AlternateContent>
    <mc:AlternateContent xmlns:mc="http://schemas.openxmlformats.org/markup-compatibility/2006">
      <mc:Choice Requires="x14">
        <control shapeId="45167" r:id="rId20" name="CheckAtualizacaosupriment">
          <controlPr defaultSize="0" autoLine="0" r:id="rId21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20" name="CheckAtualizacaosupriment"/>
      </mc:Fallback>
    </mc:AlternateContent>
    <mc:AlternateContent xmlns:mc="http://schemas.openxmlformats.org/markup-compatibility/2006">
      <mc:Choice Requires="x14">
        <control shapeId="45169" r:id="rId22" name="CheckBoxEnergia">
          <controlPr defaultSize="0" autoLine="0" r:id="rId23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22" name="CheckBoxEnergia"/>
      </mc:Fallback>
    </mc:AlternateContent>
    <mc:AlternateContent xmlns:mc="http://schemas.openxmlformats.org/markup-compatibility/2006">
      <mc:Choice Requires="x14">
        <control shapeId="45170" r:id="rId24" name="CheckBoxCVA">
          <controlPr defaultSize="0" autoLine="0" r:id="rId2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24" name="CheckBoxCVA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Gerais'!$X$10:$X$61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5"/>
  <sheetViews>
    <sheetView showGridLines="0" tabSelected="1" topLeftCell="F1" zoomScaleNormal="100" workbookViewId="0">
      <selection activeCell="L7" sqref="L7"/>
    </sheetView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28515625" style="68" customWidth="1"/>
    <col min="4" max="4" width="20.42578125" style="68" customWidth="1"/>
    <col min="5" max="5" width="12.85546875" style="68" customWidth="1"/>
    <col min="6" max="6" width="15.57031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7"/>
      <c r="B1" s="1018" t="s">
        <v>681</v>
      </c>
      <c r="C1" s="1019"/>
      <c r="D1" s="70"/>
      <c r="E1" s="70"/>
      <c r="F1" s="70"/>
      <c r="G1" s="75"/>
    </row>
    <row r="2" spans="1:15" ht="16.5">
      <c r="A2" s="137"/>
      <c r="B2" s="620" t="str">
        <f ca="1">CAPA!C9&amp; " - " &amp;CAPA!C110&amp;" "&amp;AnoRefTar</f>
        <v>Cedri - REAJUSTE 2022</v>
      </c>
      <c r="C2" s="70"/>
      <c r="D2" s="70"/>
      <c r="E2" s="70"/>
      <c r="F2" s="70"/>
      <c r="G2" s="75"/>
      <c r="H2" s="376" t="s">
        <v>682</v>
      </c>
      <c r="I2" s="658">
        <v>44823.649618055555</v>
      </c>
      <c r="K2" s="693" t="s">
        <v>683</v>
      </c>
      <c r="L2" s="694"/>
    </row>
    <row r="3" spans="1:15" ht="16.5" customHeight="1">
      <c r="A3" s="137"/>
      <c r="B3" s="934" t="s">
        <v>684</v>
      </c>
      <c r="C3" s="784"/>
      <c r="D3" s="75"/>
      <c r="E3" s="75"/>
      <c r="F3" s="75"/>
      <c r="G3" s="75"/>
      <c r="H3" s="659" t="s">
        <v>685</v>
      </c>
      <c r="I3" s="659">
        <v>13</v>
      </c>
      <c r="K3" s="695" t="s">
        <v>686</v>
      </c>
      <c r="L3" s="656">
        <v>0.16443514661160497</v>
      </c>
    </row>
    <row r="4" spans="1:15" ht="16.5">
      <c r="A4" s="137"/>
      <c r="G4" s="75"/>
      <c r="J4" s="9"/>
      <c r="K4" s="695" t="s">
        <v>687</v>
      </c>
      <c r="L4" s="656">
        <v>0.11593202695126559</v>
      </c>
    </row>
    <row r="5" spans="1:15" ht="16.5" customHeight="1">
      <c r="A5" s="137"/>
      <c r="B5" s="1020" t="s">
        <v>688</v>
      </c>
      <c r="C5" s="1021">
        <f ca="1">D39+D34</f>
        <v>15723657.984411031</v>
      </c>
      <c r="D5" s="142"/>
      <c r="E5" s="79"/>
      <c r="G5" s="75"/>
      <c r="H5" s="657"/>
      <c r="J5" s="270"/>
      <c r="K5" s="696" t="s">
        <v>689</v>
      </c>
      <c r="L5" s="664">
        <v>0.13960279381483365</v>
      </c>
    </row>
    <row r="6" spans="1:15" ht="16.5" customHeight="1">
      <c r="A6" s="137"/>
      <c r="B6" s="76" t="s">
        <v>690</v>
      </c>
      <c r="C6" s="77">
        <f ca="1">Mercado_RA0_Reais</f>
        <v>14778260.972920001</v>
      </c>
      <c r="D6" s="77"/>
      <c r="E6" s="471"/>
      <c r="F6" s="75"/>
      <c r="G6" s="138"/>
      <c r="H6" s="81"/>
      <c r="J6" s="270"/>
      <c r="K6" s="697" t="s">
        <v>691</v>
      </c>
      <c r="L6" s="698">
        <v>754.5</v>
      </c>
      <c r="M6" s="79"/>
    </row>
    <row r="7" spans="1:15" ht="16.5" customHeight="1">
      <c r="A7" s="137"/>
      <c r="B7" s="1022" t="s">
        <v>2318</v>
      </c>
      <c r="C7" s="1023">
        <f ca="1">ROUND((C5/C6-1),4)</f>
        <v>6.4000000000000001E-2</v>
      </c>
      <c r="D7" s="488"/>
      <c r="E7" s="75"/>
      <c r="F7" s="75"/>
      <c r="G7" s="75"/>
      <c r="H7" s="81"/>
      <c r="K7" s="49" t="s">
        <v>692</v>
      </c>
      <c r="L7" s="1775">
        <f>L6/'Tabelas e Gráficos'!U39-1</f>
        <v>0.10327986313188187</v>
      </c>
    </row>
    <row r="8" spans="1:15" ht="16.5" customHeight="1">
      <c r="A8" s="137"/>
      <c r="B8" s="78" t="s">
        <v>693</v>
      </c>
      <c r="C8" s="252">
        <f ca="1">ROUND(Financeiros!E7,4)</f>
        <v>-0.20449999999999999</v>
      </c>
      <c r="D8" s="489"/>
      <c r="E8" s="75"/>
      <c r="F8" s="486"/>
      <c r="G8" s="75"/>
      <c r="H8" s="81"/>
      <c r="K8" s="699" t="s">
        <v>694</v>
      </c>
      <c r="L8" s="700" t="s">
        <v>2040</v>
      </c>
      <c r="M8" s="660" t="s">
        <v>696</v>
      </c>
    </row>
    <row r="9" spans="1:15" ht="16.5" customHeight="1">
      <c r="A9" s="137"/>
      <c r="B9" s="1024" t="s">
        <v>2319</v>
      </c>
      <c r="C9" s="1025">
        <f ca="1">ROUND((C7+C8),5)</f>
        <v>-0.14050000000000001</v>
      </c>
      <c r="D9" s="488"/>
      <c r="E9" s="488"/>
      <c r="F9" s="75"/>
      <c r="G9" s="75"/>
      <c r="K9" s="695" t="s">
        <v>697</v>
      </c>
      <c r="L9" s="701">
        <f>Aj.Subsídio!G28*12</f>
        <v>496457.16000000003</v>
      </c>
      <c r="M9" s="701">
        <v>981589.01383372699</v>
      </c>
    </row>
    <row r="10" spans="1:15" ht="16.5" customHeight="1">
      <c r="A10" s="137"/>
      <c r="B10" s="1024" t="s">
        <v>698</v>
      </c>
      <c r="C10" s="1025">
        <f ca="1">ROUND((LnkTXTEfeito-LnkTXTIRTTotal),4)</f>
        <v>0.28010000000000002</v>
      </c>
      <c r="D10" s="704">
        <f ca="1">LnKTxTRA1+Financeiros!D5</f>
        <v>12700989.087026265</v>
      </c>
      <c r="E10" s="75"/>
      <c r="F10" s="75"/>
      <c r="G10" s="75"/>
      <c r="K10" s="695" t="s">
        <v>699</v>
      </c>
      <c r="L10" s="701">
        <f>Aj.Subsídio!G29*12</f>
        <v>0</v>
      </c>
      <c r="M10" s="701">
        <v>0</v>
      </c>
    </row>
    <row r="11" spans="1:15" ht="16.5" customHeight="1">
      <c r="A11" s="137"/>
      <c r="B11" s="934" t="s">
        <v>700</v>
      </c>
      <c r="C11" s="784"/>
      <c r="D11" s="1026"/>
      <c r="E11" s="1026"/>
      <c r="F11" s="1026"/>
      <c r="G11" s="75"/>
      <c r="K11" s="695" t="s">
        <v>701</v>
      </c>
      <c r="L11" s="701">
        <f>Aj.Subsídio!G30*12</f>
        <v>0</v>
      </c>
      <c r="M11" s="701">
        <v>0</v>
      </c>
    </row>
    <row r="12" spans="1:15" ht="16.5" customHeight="1">
      <c r="E12" s="1027"/>
      <c r="F12" s="1027"/>
      <c r="K12" s="695" t="s">
        <v>702</v>
      </c>
      <c r="L12" s="701">
        <f>Aj.Subsídio!G31*12</f>
        <v>124294.79999999999</v>
      </c>
      <c r="M12" s="701">
        <v>65860.872533711139</v>
      </c>
      <c r="O12" s="836"/>
    </row>
    <row r="13" spans="1:15" ht="15" customHeight="1">
      <c r="B13" s="1028"/>
      <c r="C13" s="1029" t="s">
        <v>695</v>
      </c>
      <c r="D13" s="1030" t="s">
        <v>696</v>
      </c>
      <c r="E13" s="1029" t="s">
        <v>703</v>
      </c>
      <c r="F13" s="1028" t="s">
        <v>704</v>
      </c>
      <c r="K13" s="695" t="s">
        <v>705</v>
      </c>
      <c r="L13" s="701">
        <f>Aj.Subsídio!G32*12</f>
        <v>114268.32</v>
      </c>
      <c r="M13" s="701">
        <v>62652.322926356268</v>
      </c>
      <c r="O13" s="836"/>
    </row>
    <row r="14" spans="1:15" ht="14.25">
      <c r="B14" s="1031" t="s">
        <v>706</v>
      </c>
      <c r="C14" s="1032">
        <f ca="1">SUM(C15:C23)</f>
        <v>1997967.7134773193</v>
      </c>
      <c r="D14" s="1033">
        <f ca="1">SUM(D15:D23)</f>
        <v>2645608.6585800629</v>
      </c>
      <c r="E14" s="1034">
        <f t="shared" ref="E14:E34" ca="1" si="0">(D14-C14)/LnkTXTRA0</f>
        <v>4.382389418413267E-2</v>
      </c>
      <c r="F14" s="1035">
        <f ca="1">IF(ISERROR(D14/C14-1),"-",D14/C14-1)</f>
        <v>0.32414985524244089</v>
      </c>
      <c r="G14" s="287"/>
      <c r="H14" s="100"/>
      <c r="K14" s="695" t="s">
        <v>707</v>
      </c>
      <c r="L14" s="701">
        <f>Aj.Subsídio!G33*12</f>
        <v>0</v>
      </c>
      <c r="M14" s="701">
        <v>0</v>
      </c>
      <c r="O14" s="836"/>
    </row>
    <row r="15" spans="1:15" ht="14.25">
      <c r="B15" s="78" t="s">
        <v>708</v>
      </c>
      <c r="C15" s="223"/>
      <c r="D15" s="131"/>
      <c r="E15" s="221">
        <f t="shared" ca="1" si="0"/>
        <v>0</v>
      </c>
      <c r="F15" s="253" t="str">
        <f t="shared" ref="F15:F32" si="1">IF(ISERROR(D15/C15-1),"-",D15/C15-1)</f>
        <v>-</v>
      </c>
      <c r="G15" s="287"/>
      <c r="K15" s="49"/>
      <c r="L15" s="814"/>
      <c r="M15" s="49"/>
    </row>
    <row r="16" spans="1:15" ht="14.25">
      <c r="B16" s="78" t="s">
        <v>709</v>
      </c>
      <c r="C16" s="223"/>
      <c r="D16" s="131"/>
      <c r="E16" s="221">
        <f t="shared" ca="1" si="0"/>
        <v>0</v>
      </c>
      <c r="F16" s="253" t="str">
        <f t="shared" si="1"/>
        <v>-</v>
      </c>
      <c r="G16" s="287"/>
      <c r="L16" s="814"/>
    </row>
    <row r="17" spans="2:14" ht="14.25">
      <c r="B17" s="78" t="s">
        <v>710</v>
      </c>
      <c r="C17" s="223">
        <f ca="1">Mercado_Faturado_Encargo_TFSEE_BRUTO</f>
        <v>32470.265140638967</v>
      </c>
      <c r="D17" s="131">
        <f ca="1">Encargos!C6</f>
        <v>32726.000289716503</v>
      </c>
      <c r="E17" s="221">
        <f t="shared" ca="1" si="0"/>
        <v>1.7304820204904411E-5</v>
      </c>
      <c r="F17" s="253">
        <f t="shared" ca="1" si="1"/>
        <v>7.8759796992684539E-3</v>
      </c>
      <c r="G17" s="287"/>
    </row>
    <row r="18" spans="2:14" ht="14.25">
      <c r="B18" s="78" t="s">
        <v>711</v>
      </c>
      <c r="C18" s="224">
        <f ca="1">Mercado_Faturado_Encargo_CDE_BRUTO+Calc_Mercado!S75</f>
        <v>1763333.7489782837</v>
      </c>
      <c r="D18" s="225">
        <f ca="1">Encargos!C7</f>
        <v>2305705.8123503467</v>
      </c>
      <c r="E18" s="222">
        <f t="shared" ca="1" si="0"/>
        <v>3.6700668932962886E-2</v>
      </c>
      <c r="F18" s="253">
        <f t="shared" ca="1" si="1"/>
        <v>0.30758332827595791</v>
      </c>
      <c r="G18" s="287"/>
      <c r="H18" s="140"/>
      <c r="K18" s="49" t="s">
        <v>712</v>
      </c>
      <c r="L18" s="702">
        <v>44823.653923611113</v>
      </c>
      <c r="M18" s="49"/>
      <c r="N18" s="614"/>
    </row>
    <row r="19" spans="2:14" ht="2.25" customHeight="1">
      <c r="B19" s="78"/>
      <c r="C19" s="223"/>
      <c r="D19" s="131">
        <f>Encargos!C8</f>
        <v>0</v>
      </c>
      <c r="E19" s="221">
        <f t="shared" ca="1" si="0"/>
        <v>0</v>
      </c>
      <c r="F19" s="253" t="str">
        <f t="shared" si="1"/>
        <v>-</v>
      </c>
      <c r="G19" s="287"/>
      <c r="K19" s="695" t="s">
        <v>713</v>
      </c>
      <c r="L19" s="695"/>
      <c r="M19" s="695"/>
      <c r="N19" s="290"/>
    </row>
    <row r="20" spans="2:14" ht="14.25">
      <c r="B20" s="78" t="s">
        <v>714</v>
      </c>
      <c r="C20" s="223">
        <f ca="1">Mercado_Faturado_Encargo_ESSERR_BRUTO</f>
        <v>0</v>
      </c>
      <c r="D20" s="131">
        <f>Encargos!C9</f>
        <v>0</v>
      </c>
      <c r="E20" s="221">
        <f t="shared" ca="1" si="0"/>
        <v>0</v>
      </c>
      <c r="F20" s="253" t="str">
        <f t="shared" ca="1" si="1"/>
        <v>-</v>
      </c>
      <c r="G20" s="287"/>
      <c r="K20" s="695" t="s">
        <v>715</v>
      </c>
      <c r="L20" s="703"/>
      <c r="M20" s="703"/>
    </row>
    <row r="21" spans="2:14" ht="14.25">
      <c r="B21" s="78" t="s">
        <v>47</v>
      </c>
      <c r="C21" s="223">
        <f ca="1">Mercado_Faturado_Encargo_PROINFA_BRUTO</f>
        <v>202163.69935839661</v>
      </c>
      <c r="D21" s="131">
        <f ca="1">Encargos!C10</f>
        <v>307176.84594000003</v>
      </c>
      <c r="E21" s="221">
        <f t="shared" ca="1" si="0"/>
        <v>7.1059204309648974E-3</v>
      </c>
      <c r="F21" s="253">
        <f t="shared" ca="1" si="1"/>
        <v>0.51944610686726556</v>
      </c>
      <c r="G21" s="287"/>
      <c r="L21" s="196"/>
    </row>
    <row r="22" spans="2:14" ht="14.25">
      <c r="B22" s="78" t="s">
        <v>716</v>
      </c>
      <c r="C22" s="223">
        <f ca="1">Mercado_Faturado_Encargo_PeD_BRUTO*0</f>
        <v>0</v>
      </c>
      <c r="D22" s="1744">
        <f>IFERROR(Encargos!C11,0)*0</f>
        <v>0</v>
      </c>
      <c r="E22" s="221">
        <f t="shared" ca="1" si="0"/>
        <v>0</v>
      </c>
      <c r="F22" s="253" t="str">
        <f t="shared" ca="1" si="1"/>
        <v>-</v>
      </c>
      <c r="G22" s="287"/>
      <c r="L22" s="196"/>
    </row>
    <row r="23" spans="2:14" ht="14.25">
      <c r="B23" s="78" t="s">
        <v>49</v>
      </c>
      <c r="C23" s="223">
        <f ca="1">Mercado_Faturado_Encargo_ONS_BRUTO*0</f>
        <v>0</v>
      </c>
      <c r="D23" s="131">
        <f>Encargos!C12</f>
        <v>0</v>
      </c>
      <c r="E23" s="221">
        <f t="shared" ca="1" si="0"/>
        <v>0</v>
      </c>
      <c r="F23" s="253" t="str">
        <f t="shared" ca="1" si="1"/>
        <v>-</v>
      </c>
      <c r="G23" s="287"/>
      <c r="L23" s="196"/>
    </row>
    <row r="24" spans="2:14" ht="16.5">
      <c r="B24" s="1036" t="s">
        <v>717</v>
      </c>
      <c r="C24" s="1032">
        <f ca="1">SUM(C25:C32)</f>
        <v>2044287.8320509181</v>
      </c>
      <c r="D24" s="1033">
        <f>SUM(D25:D32)</f>
        <v>2472691.1461900002</v>
      </c>
      <c r="E24" s="1034">
        <f t="shared" ca="1" si="0"/>
        <v>2.8988750092050576E-2</v>
      </c>
      <c r="F24" s="1035">
        <f t="shared" ca="1" si="1"/>
        <v>0.20956115250624441</v>
      </c>
      <c r="G24" s="287"/>
      <c r="J24"/>
      <c r="K24" s="23"/>
      <c r="L24" s="196"/>
    </row>
    <row r="25" spans="2:14" ht="14.25">
      <c r="B25" s="81" t="s">
        <v>635</v>
      </c>
      <c r="C25" s="223">
        <f ca="1">IFERROR(Calc_Mercado!C91,0)</f>
        <v>0</v>
      </c>
      <c r="D25" s="131">
        <f>'Rede Básica + Ajuste'!D9+'Rede Básica + Ajuste'!D10</f>
        <v>0</v>
      </c>
      <c r="E25" s="221">
        <f t="shared" ref="E25:E32" ca="1" si="2">(D25-C25)/LnkTXTRA0</f>
        <v>0</v>
      </c>
      <c r="F25" s="254" t="str">
        <f t="shared" ca="1" si="1"/>
        <v>-</v>
      </c>
      <c r="G25" s="287"/>
      <c r="J25" s="196"/>
      <c r="K25" s="196"/>
      <c r="L25" s="196"/>
    </row>
    <row r="26" spans="2:14" ht="14.25">
      <c r="B26" s="81" t="s">
        <v>637</v>
      </c>
      <c r="C26" s="223">
        <f ca="1">IFERROR(Calc_Mercado!C89,0)</f>
        <v>0</v>
      </c>
      <c r="D26" s="1744">
        <f>'Rede Básica + Ajuste'!E9+'Rede Básica + Ajuste'!E10</f>
        <v>0</v>
      </c>
      <c r="E26" s="221">
        <f t="shared" ca="1" si="2"/>
        <v>0</v>
      </c>
      <c r="F26" s="254" t="str">
        <f t="shared" ca="1" si="1"/>
        <v>-</v>
      </c>
      <c r="G26" s="287"/>
      <c r="J26" s="196"/>
      <c r="K26" s="196"/>
      <c r="L26" s="196"/>
    </row>
    <row r="27" spans="2:14" ht="14.25">
      <c r="B27" s="81" t="s">
        <v>718</v>
      </c>
      <c r="C27" s="197"/>
      <c r="D27" s="1745">
        <v>0</v>
      </c>
      <c r="E27" s="221">
        <f t="shared" ca="1" si="2"/>
        <v>0</v>
      </c>
      <c r="F27" s="254" t="str">
        <f t="shared" si="1"/>
        <v>-</v>
      </c>
      <c r="G27" s="287"/>
      <c r="H27" s="257"/>
    </row>
    <row r="28" spans="2:14" ht="14.25">
      <c r="B28" s="81" t="s">
        <v>719</v>
      </c>
      <c r="C28" s="197"/>
      <c r="D28" s="1745">
        <v>0</v>
      </c>
      <c r="E28" s="221">
        <f t="shared" ca="1" si="2"/>
        <v>0</v>
      </c>
      <c r="F28" s="254" t="str">
        <f t="shared" si="1"/>
        <v>-</v>
      </c>
      <c r="G28" s="287"/>
      <c r="H28" s="257"/>
    </row>
    <row r="29" spans="2:14" ht="16.5" customHeight="1">
      <c r="B29" s="81" t="s">
        <v>720</v>
      </c>
      <c r="C29" s="223"/>
      <c r="D29" s="1745">
        <v>0</v>
      </c>
      <c r="E29" s="221">
        <f t="shared" ca="1" si="2"/>
        <v>0</v>
      </c>
      <c r="F29" s="254" t="str">
        <f t="shared" si="1"/>
        <v>-</v>
      </c>
      <c r="G29" s="287"/>
      <c r="H29" s="257"/>
    </row>
    <row r="30" spans="2:14" ht="14.25">
      <c r="B30" s="81" t="s">
        <v>721</v>
      </c>
      <c r="C30" s="223"/>
      <c r="D30" s="1745">
        <v>0</v>
      </c>
      <c r="E30" s="221">
        <f t="shared" ca="1" si="2"/>
        <v>0</v>
      </c>
      <c r="F30" s="254" t="str">
        <f t="shared" si="1"/>
        <v>-</v>
      </c>
      <c r="G30" s="287"/>
      <c r="H30" s="257"/>
    </row>
    <row r="31" spans="2:14" ht="14.25">
      <c r="B31" s="81" t="s">
        <v>638</v>
      </c>
      <c r="C31" s="223">
        <f ca="1">IFERROR(Calc_Mercado!C95,0)</f>
        <v>0</v>
      </c>
      <c r="D31" s="1744">
        <f>'Conexão '!E21</f>
        <v>0</v>
      </c>
      <c r="E31" s="221">
        <f t="shared" ca="1" si="2"/>
        <v>0</v>
      </c>
      <c r="F31" s="254" t="str">
        <f t="shared" ca="1" si="1"/>
        <v>-</v>
      </c>
      <c r="G31" s="116"/>
      <c r="H31" s="116"/>
    </row>
    <row r="32" spans="2:14" ht="14.25">
      <c r="B32" s="81" t="s">
        <v>639</v>
      </c>
      <c r="C32" s="223">
        <f ca="1">Calc_Mercado!C96</f>
        <v>2044287.8320509181</v>
      </c>
      <c r="D32" s="1744">
        <f>CUSD!C3</f>
        <v>2472691.1461900002</v>
      </c>
      <c r="E32" s="221">
        <f t="shared" ca="1" si="2"/>
        <v>2.8988750092050576E-2</v>
      </c>
      <c r="F32" s="254">
        <f t="shared" ca="1" si="1"/>
        <v>0.20956115250624441</v>
      </c>
      <c r="G32" s="287"/>
    </row>
    <row r="33" spans="2:8" ht="14.25">
      <c r="B33" s="1036" t="s">
        <v>108</v>
      </c>
      <c r="C33" s="1032">
        <f ca="1">SUM(Calc_Mercado!C79:C84)</f>
        <v>3536904.5995487506</v>
      </c>
      <c r="D33" s="1033">
        <f ca="1">Energia!F24</f>
        <v>3386788.7396409675</v>
      </c>
      <c r="E33" s="1034">
        <f t="shared" ca="1" si="0"/>
        <v>-1.0157883947431879E-2</v>
      </c>
      <c r="F33" s="1035">
        <f ca="1">IF(ISERROR(D33/C33-1),"-",D33/C33-1)</f>
        <v>-4.2442722353024598E-2</v>
      </c>
      <c r="G33" s="287"/>
    </row>
    <row r="34" spans="2:8" ht="14.25">
      <c r="B34" s="1037" t="s">
        <v>722</v>
      </c>
      <c r="C34" s="1038">
        <f ca="1">C14+C24+C33</f>
        <v>7579160.1450769883</v>
      </c>
      <c r="D34" s="1039">
        <f ca="1">D33+D24+D14</f>
        <v>8505088.5444110297</v>
      </c>
      <c r="E34" s="1040">
        <f t="shared" ca="1" si="0"/>
        <v>6.265476032875128E-2</v>
      </c>
      <c r="F34" s="1041">
        <f ca="1">IF(ISERROR(D34/C34-1),"-",D34/C34-1)</f>
        <v>0.12216767842482845</v>
      </c>
      <c r="G34" s="287"/>
    </row>
    <row r="35" spans="2:8" ht="14.25">
      <c r="G35" s="69"/>
      <c r="H35" s="107"/>
    </row>
    <row r="36" spans="2:8" ht="14.25">
      <c r="B36" s="934" t="s">
        <v>104</v>
      </c>
      <c r="C36" s="784"/>
      <c r="D36" s="784"/>
      <c r="E36" s="1026"/>
      <c r="F36" s="1026"/>
      <c r="G36" s="69"/>
    </row>
    <row r="37" spans="2:8" ht="8.25" customHeight="1">
      <c r="G37" s="69"/>
      <c r="H37" s="140"/>
    </row>
    <row r="38" spans="2:8" ht="15.75" customHeight="1">
      <c r="B38" s="661"/>
      <c r="C38" s="661" t="s">
        <v>695</v>
      </c>
      <c r="D38" s="661" t="s">
        <v>696</v>
      </c>
      <c r="E38" s="1042" t="s">
        <v>703</v>
      </c>
      <c r="F38" s="661" t="s">
        <v>704</v>
      </c>
      <c r="G38" s="69"/>
      <c r="H38" s="141"/>
    </row>
    <row r="39" spans="2:8" ht="15.75" customHeight="1">
      <c r="B39" s="1043" t="s">
        <v>723</v>
      </c>
      <c r="C39" s="1044">
        <f ca="1">LnkTXTRA0-C34</f>
        <v>7199100.8278430123</v>
      </c>
      <c r="D39" s="1045">
        <f>IFERROR(SMALL(IF(LnkTXTPBReq=0,CAPA!K29,LnkTXTPBReq):LNKTXTLImPB,1),0)</f>
        <v>7218569.4400000004</v>
      </c>
      <c r="E39" s="1046">
        <f ca="1">(D39-C39)/LnkTXTRA0</f>
        <v>1.3173818078231817E-3</v>
      </c>
      <c r="F39" s="1047">
        <f ca="1">IF(ISERROR(D39/C39-1),"-",D39/C39-1)</f>
        <v>2.7043116387106547E-3</v>
      </c>
      <c r="G39" s="69"/>
      <c r="H39" s="140"/>
    </row>
    <row r="40" spans="2:8" ht="14.25">
      <c r="B40" s="705"/>
      <c r="C40" s="706"/>
      <c r="D40" s="707"/>
      <c r="E40" s="705"/>
      <c r="F40" s="705"/>
    </row>
    <row r="41" spans="2:8" ht="14.25">
      <c r="B41" s="934" t="s">
        <v>724</v>
      </c>
      <c r="C41" s="784"/>
      <c r="D41" s="784"/>
      <c r="E41" s="1026"/>
      <c r="F41" s="1026"/>
    </row>
    <row r="42" spans="2:8" ht="9" customHeight="1">
      <c r="E42" s="75"/>
      <c r="F42" s="75"/>
    </row>
    <row r="43" spans="2:8" ht="15.75" customHeight="1">
      <c r="B43" s="705"/>
      <c r="C43" s="1028" t="s">
        <v>725</v>
      </c>
      <c r="D43" s="1028" t="s">
        <v>703</v>
      </c>
      <c r="E43" s="461" t="s">
        <v>726</v>
      </c>
      <c r="F43" s="461"/>
      <c r="G43" s="461"/>
    </row>
    <row r="44" spans="2:8" ht="15.75" customHeight="1">
      <c r="B44" s="1048" t="s">
        <v>727</v>
      </c>
      <c r="C44" s="1049">
        <f ca="1">SUM(C45:C85)</f>
        <v>-3022668.8973847665</v>
      </c>
      <c r="D44" s="1754">
        <f ca="1">C44/Financeiros!D4</f>
        <v>-0.20453481657439729</v>
      </c>
      <c r="E44" s="461">
        <f t="shared" ref="E44:E101" ca="1" si="3">IF(D44=0,0,1)</f>
        <v>1</v>
      </c>
      <c r="F44" s="461"/>
      <c r="G44" s="461"/>
    </row>
    <row r="45" spans="2:8" ht="15.75" customHeight="1">
      <c r="B45" s="82" t="str">
        <f>'Tabelas e Gráficos'!AM167</f>
        <v>Repasse de PIS COFINS</v>
      </c>
      <c r="C45" s="447">
        <f ca="1">'Tabelas e Gráficos'!AN167</f>
        <v>275245.34535703011</v>
      </c>
      <c r="D45" s="466">
        <f ca="1">C45/Financeiros!$D$4</f>
        <v>1.8625015883898352E-2</v>
      </c>
      <c r="E45" s="461">
        <f t="shared" ca="1" si="3"/>
        <v>1</v>
      </c>
      <c r="F45" s="461"/>
      <c r="G45" s="461"/>
    </row>
    <row r="46" spans="2:8" ht="15.75" customHeight="1">
      <c r="B46" s="82" t="str">
        <f>'Tabelas e Gráficos'!AM168</f>
        <v>Neutralidade Encargos Setoriais</v>
      </c>
      <c r="C46" s="447">
        <f ca="1">'Tabelas e Gráficos'!AN168</f>
        <v>-9003.4518624144839</v>
      </c>
      <c r="D46" s="466">
        <f ca="1">C46/Financeiros!$D$4</f>
        <v>-6.0923622061571383E-4</v>
      </c>
      <c r="E46" s="461">
        <f t="shared" ca="1" si="3"/>
        <v>1</v>
      </c>
      <c r="F46" s="461"/>
      <c r="G46" s="461"/>
    </row>
    <row r="47" spans="2:8" ht="15.75" customHeight="1">
      <c r="B47" s="82" t="str">
        <f>'Tabelas e Gráficos'!AM169</f>
        <v>Neutralidade Financeiros e Encargos Conta Covid</v>
      </c>
      <c r="C47" s="447">
        <f ca="1">'Tabelas e Gráficos'!AN169</f>
        <v>-3474.370163392417</v>
      </c>
      <c r="D47" s="466">
        <f ca="1">C47/Financeiros!$D$4</f>
        <v>-2.3510006825288351E-4</v>
      </c>
      <c r="E47" s="461">
        <f t="shared" ca="1" si="3"/>
        <v>1</v>
      </c>
      <c r="F47" s="461"/>
      <c r="G47" s="461"/>
    </row>
    <row r="48" spans="2:8" ht="15.75" hidden="1" customHeight="1">
      <c r="B48" s="82" t="str">
        <f>'Tabelas e Gráficos'!AM170</f>
        <v>Neutralidades Crédito de Pis cofins</v>
      </c>
      <c r="C48" s="447">
        <f ca="1">'Tabelas e Gráficos'!AN170</f>
        <v>0</v>
      </c>
      <c r="D48" s="466">
        <f ca="1">C48/Financeiros!$D$4</f>
        <v>0</v>
      </c>
      <c r="E48" s="461">
        <f t="shared" ca="1" si="3"/>
        <v>0</v>
      </c>
      <c r="F48" s="461"/>
      <c r="G48" s="461"/>
    </row>
    <row r="49" spans="2:7" ht="15.75" hidden="1" customHeight="1">
      <c r="B49" s="82" t="str">
        <f>'Tabelas e Gráficos'!AM171</f>
        <v>Ajuste CUST RB + PIS Cofins</v>
      </c>
      <c r="C49" s="447">
        <f>'Tabelas e Gráficos'!AN171</f>
        <v>0</v>
      </c>
      <c r="D49" s="466">
        <f ca="1">C49/Financeiros!$D$4</f>
        <v>0</v>
      </c>
      <c r="E49" s="461">
        <f t="shared" ca="1" si="3"/>
        <v>0</v>
      </c>
      <c r="F49" s="461"/>
      <c r="G49" s="461"/>
    </row>
    <row r="50" spans="2:7" ht="15.75" hidden="1" customHeight="1">
      <c r="B50" s="82">
        <f>'Tabelas e Gráficos'!AM172</f>
        <v>0</v>
      </c>
      <c r="C50" s="447">
        <f>'Tabelas e Gráficos'!AN172</f>
        <v>0</v>
      </c>
      <c r="D50" s="466">
        <f ca="1">C50/Financeiros!$D$4</f>
        <v>0</v>
      </c>
      <c r="E50" s="461">
        <f t="shared" ca="1" si="3"/>
        <v>0</v>
      </c>
      <c r="F50" s="461"/>
      <c r="G50" s="461"/>
    </row>
    <row r="51" spans="2:7" ht="15.75" hidden="1" customHeight="1">
      <c r="B51" s="82">
        <f>'Tabelas e Gráficos'!AM173</f>
        <v>0</v>
      </c>
      <c r="C51" s="447">
        <f>'Tabelas e Gráficos'!AN173</f>
        <v>0</v>
      </c>
      <c r="D51" s="466">
        <f ca="1">C51/Financeiros!$D$4</f>
        <v>0</v>
      </c>
      <c r="E51" s="461">
        <f t="shared" ca="1" si="3"/>
        <v>0</v>
      </c>
    </row>
    <row r="52" spans="2:7" ht="15.75" hidden="1" customHeight="1">
      <c r="B52" s="82" t="str">
        <f>'Tabelas e Gráficos'!AM174</f>
        <v>Manual de Contabilidade do Setor Elétrico</v>
      </c>
      <c r="C52" s="447">
        <f>'Tabelas e Gráficos'!AN174</f>
        <v>0</v>
      </c>
      <c r="D52" s="466">
        <f ca="1">C52/Financeiros!$D$4</f>
        <v>0</v>
      </c>
      <c r="E52" s="461">
        <f t="shared" ca="1" si="3"/>
        <v>0</v>
      </c>
    </row>
    <row r="53" spans="2:7" ht="15.75" hidden="1" customHeight="1">
      <c r="B53" s="82" t="str">
        <f>'Tabelas e Gráficos'!AM175</f>
        <v>Financeiro CDE Eletrobras</v>
      </c>
      <c r="C53" s="447">
        <f>'Tabelas e Gráficos'!AN175</f>
        <v>0</v>
      </c>
      <c r="D53" s="466">
        <f ca="1">C53/Financeiros!$D$4</f>
        <v>0</v>
      </c>
      <c r="E53" s="461">
        <f t="shared" ca="1" si="3"/>
        <v>0</v>
      </c>
    </row>
    <row r="54" spans="2:7" ht="15.75" hidden="1" customHeight="1">
      <c r="B54" s="82" t="str">
        <f>'Tabelas e Gráficos'!AM176</f>
        <v>Ajustes Processo Anterior</v>
      </c>
      <c r="C54" s="447">
        <f>'Tabelas e Gráficos'!AN176</f>
        <v>0</v>
      </c>
      <c r="D54" s="466">
        <f ca="1">C54/Financeiros!$D$4</f>
        <v>0</v>
      </c>
      <c r="E54" s="461">
        <f t="shared" ca="1" si="3"/>
        <v>0</v>
      </c>
    </row>
    <row r="55" spans="2:7" ht="15.75" customHeight="1">
      <c r="B55" s="82" t="str">
        <f>'Tabelas e Gráficos'!AM177</f>
        <v>Compensação DIC FIC</v>
      </c>
      <c r="C55" s="447">
        <f>'Tabelas e Gráficos'!AN177</f>
        <v>-9792.7939776082167</v>
      </c>
      <c r="D55" s="466">
        <f ca="1">C55/Financeiros!$D$4</f>
        <v>-6.6264860226468729E-4</v>
      </c>
      <c r="E55" s="461">
        <f t="shared" ca="1" si="3"/>
        <v>1</v>
      </c>
    </row>
    <row r="56" spans="2:7" ht="15.75" customHeight="1">
      <c r="B56" s="82" t="str">
        <f>'Tabelas e Gráficos'!AM178</f>
        <v>Subvenção CDE</v>
      </c>
      <c r="C56" s="447">
        <f ca="1">'Tabelas e Gráficos'!AN178</f>
        <v>-2975069.7960253092</v>
      </c>
      <c r="D56" s="466">
        <f ca="1">C56/Financeiros!$D$4</f>
        <v>-0.20131393006774548</v>
      </c>
      <c r="E56" s="461">
        <f t="shared" ca="1" si="3"/>
        <v>1</v>
      </c>
    </row>
    <row r="57" spans="2:7" ht="15.75" customHeight="1">
      <c r="B57" s="82" t="str">
        <f>'Tabelas e Gráficos'!AM179</f>
        <v>Retenção de Adicionais de Bandeiras Tarifárias</v>
      </c>
      <c r="C57" s="447">
        <f>'Tabelas e Gráficos'!AN179</f>
        <v>-88163.743639273118</v>
      </c>
      <c r="D57" s="466">
        <f ca="1">C57/Financeiros!$D$4</f>
        <v>-5.9657725493430002E-3</v>
      </c>
      <c r="E57" s="461">
        <f t="shared" ca="1" si="3"/>
        <v>1</v>
      </c>
    </row>
    <row r="58" spans="2:7" ht="15.75" hidden="1" customHeight="1">
      <c r="B58" s="82" t="str">
        <f>'Tabelas e Gráficos'!AM180</f>
        <v>Multa LPT</v>
      </c>
      <c r="C58" s="447">
        <f>'Tabelas e Gráficos'!AN180</f>
        <v>0</v>
      </c>
      <c r="D58" s="466">
        <f ca="1">C58/Financeiros!$D$4</f>
        <v>0</v>
      </c>
      <c r="E58" s="461">
        <f t="shared" ca="1" si="3"/>
        <v>0</v>
      </c>
    </row>
    <row r="59" spans="2:7" ht="15.75" hidden="1" customHeight="1">
      <c r="B59" s="82" t="str">
        <f>'Tabelas e Gráficos'!AM181</f>
        <v>Repasse de ICMS</v>
      </c>
      <c r="C59" s="447">
        <f>'Tabelas e Gráficos'!AN181</f>
        <v>0</v>
      </c>
      <c r="D59" s="466">
        <f ca="1">C59/Financeiros!$D$4</f>
        <v>0</v>
      </c>
      <c r="E59" s="461">
        <f t="shared" ca="1" si="3"/>
        <v>0</v>
      </c>
    </row>
    <row r="60" spans="2:7" ht="15.75" hidden="1" customHeight="1">
      <c r="B60" s="82">
        <f>'Tabelas e Gráficos'!AM182</f>
        <v>0</v>
      </c>
      <c r="C60" s="447">
        <f>'Tabelas e Gráficos'!AN182</f>
        <v>0</v>
      </c>
      <c r="D60" s="466">
        <f ca="1">C60/Financeiros!$D$4</f>
        <v>0</v>
      </c>
      <c r="E60" s="461">
        <f t="shared" ca="1" si="3"/>
        <v>0</v>
      </c>
    </row>
    <row r="61" spans="2:7" ht="15.75" hidden="1" customHeight="1">
      <c r="B61" s="82" t="str">
        <f>'Tabelas e Gráficos'!AM183</f>
        <v>Ressarcimento P&amp;D</v>
      </c>
      <c r="C61" s="447">
        <f>'Tabelas e Gráficos'!AN183</f>
        <v>0</v>
      </c>
      <c r="D61" s="466">
        <f ca="1">C61/Financeiros!$D$4</f>
        <v>0</v>
      </c>
      <c r="E61" s="461">
        <f t="shared" ca="1" si="3"/>
        <v>0</v>
      </c>
    </row>
    <row r="62" spans="2:7" ht="15.75" hidden="1" customHeight="1">
      <c r="B62" s="82" t="str">
        <f>'Tabelas e Gráficos'!AM184</f>
        <v>Efeito Conta COVID</v>
      </c>
      <c r="C62" s="447">
        <f>'Tabelas e Gráficos'!AN184</f>
        <v>0</v>
      </c>
      <c r="D62" s="466">
        <f ca="1">C62/Financeiros!$D$4</f>
        <v>0</v>
      </c>
      <c r="E62" s="461">
        <f t="shared" ca="1" si="3"/>
        <v>0</v>
      </c>
    </row>
    <row r="63" spans="2:7" ht="15.75" hidden="1" customHeight="1">
      <c r="B63" s="82" t="str">
        <f>'Tabelas e Gráficos'!AM185</f>
        <v>Diferimento de Parcela B</v>
      </c>
      <c r="C63" s="447">
        <f>'Tabelas e Gráficos'!AN185</f>
        <v>0</v>
      </c>
      <c r="D63" s="466">
        <f ca="1">C63/Financeiros!$D$4</f>
        <v>0</v>
      </c>
      <c r="E63" s="461">
        <f t="shared" ca="1" si="3"/>
        <v>0</v>
      </c>
    </row>
    <row r="64" spans="2:7" ht="15.75" hidden="1" customHeight="1">
      <c r="B64" s="82" t="str">
        <f>'Tabelas e Gráficos'!AM186</f>
        <v>Efeito COVID da Supridora</v>
      </c>
      <c r="C64" s="447">
        <f>'Tabelas e Gráficos'!AN186</f>
        <v>0</v>
      </c>
      <c r="D64" s="466">
        <f ca="1">C64/Financeiros!$D$4</f>
        <v>0</v>
      </c>
      <c r="E64" s="461">
        <f t="shared" ca="1" si="3"/>
        <v>0</v>
      </c>
    </row>
    <row r="65" spans="2:5" ht="15.75" hidden="1" customHeight="1">
      <c r="B65" s="82" t="str">
        <f>'Tabelas e Gráficos'!AM187</f>
        <v>Crédito de Pis Cofins sobre ICMS</v>
      </c>
      <c r="C65" s="447">
        <f>'Tabelas e Gráficos'!AN187</f>
        <v>0</v>
      </c>
      <c r="D65" s="466">
        <f ca="1">C65/Financeiros!$D$4</f>
        <v>0</v>
      </c>
      <c r="E65" s="461">
        <f t="shared" ca="1" si="3"/>
        <v>0</v>
      </c>
    </row>
    <row r="66" spans="2:5" ht="15.75" hidden="1" customHeight="1">
      <c r="B66" s="82" t="str">
        <f>'Tabelas e Gráficos'!AM188</f>
        <v xml:space="preserve">Diferimento de PIS COFINS </v>
      </c>
      <c r="C66" s="447">
        <f>'Tabelas e Gráficos'!AN188</f>
        <v>0</v>
      </c>
      <c r="D66" s="466">
        <f ca="1">C66/Financeiros!$D$4</f>
        <v>0</v>
      </c>
      <c r="E66" s="461">
        <f t="shared" ca="1" si="3"/>
        <v>0</v>
      </c>
    </row>
    <row r="67" spans="2:5" ht="15.75" hidden="1" customHeight="1">
      <c r="B67" s="82">
        <f>'Tabelas e Gráficos'!AM189</f>
        <v>0</v>
      </c>
      <c r="C67" s="447">
        <f>'Tabelas e Gráficos'!AN189</f>
        <v>0</v>
      </c>
      <c r="D67" s="466">
        <f ca="1">C67/Financeiros!$D$4</f>
        <v>0</v>
      </c>
      <c r="E67" s="461">
        <f t="shared" ca="1" si="3"/>
        <v>0</v>
      </c>
    </row>
    <row r="68" spans="2:5" ht="15.75" hidden="1" customHeight="1">
      <c r="B68" s="82" t="str">
        <f>'Tabelas e Gráficos'!AM190</f>
        <v>Financeiros associados ao §7º do Art. 88 da Ren 414/2021</v>
      </c>
      <c r="C68" s="447">
        <f>'Tabelas e Gráficos'!AN190</f>
        <v>0</v>
      </c>
      <c r="D68" s="466">
        <f ca="1">C68/Financeiros!$D$4</f>
        <v>0</v>
      </c>
      <c r="E68" s="461">
        <f t="shared" ca="1" si="3"/>
        <v>0</v>
      </c>
    </row>
    <row r="69" spans="2:5" ht="15.75" customHeight="1">
      <c r="B69" s="82" t="str">
        <f>'Tabelas e Gráficos'!AM191</f>
        <v>Spread Conta Covid</v>
      </c>
      <c r="C69" s="447">
        <f>'Tabelas e Gráficos'!AN191</f>
        <v>-49683</v>
      </c>
      <c r="D69" s="466">
        <f ca="1">C69/Financeiros!$D$4</f>
        <v>-3.3618975934340436E-3</v>
      </c>
      <c r="E69" s="461">
        <f t="shared" ca="1" si="3"/>
        <v>1</v>
      </c>
    </row>
    <row r="70" spans="2:5" ht="15.75" customHeight="1">
      <c r="B70" s="82" t="str">
        <f>'Tabelas e Gráficos'!AM192</f>
        <v>Diferimento Compra de Energia</v>
      </c>
      <c r="C70" s="447">
        <f>'Tabelas e Gráficos'!AN192</f>
        <v>-1250000</v>
      </c>
      <c r="D70" s="466">
        <f ca="1">C70/Financeiros!$D$4</f>
        <v>-8.458370049700209E-2</v>
      </c>
      <c r="E70" s="461">
        <f t="shared" ca="1" si="3"/>
        <v>1</v>
      </c>
    </row>
    <row r="71" spans="2:5" ht="15.75" customHeight="1">
      <c r="B71" s="82" t="str">
        <f>'Tabelas e Gráficos'!AM193</f>
        <v xml:space="preserve">Reversão do Diferimento de Compra de Energia </v>
      </c>
      <c r="C71" s="447">
        <f>'Tabelas e Gráficos'!AN193</f>
        <v>1087272.9129262005</v>
      </c>
      <c r="D71" s="466">
        <f ca="1">C71/Financeiros!$D$4</f>
        <v>7.3572453140362218E-2</v>
      </c>
      <c r="E71" s="461">
        <f t="shared" ca="1" si="3"/>
        <v>1</v>
      </c>
    </row>
    <row r="72" spans="2:5" ht="15.75" hidden="1" customHeight="1">
      <c r="B72" s="82" t="str">
        <f>'Tabelas e Gráficos'!AM194</f>
        <v>Reversão do Diferimento de Parcela B</v>
      </c>
      <c r="C72" s="447">
        <f>'Tabelas e Gráficos'!AN194</f>
        <v>0</v>
      </c>
      <c r="D72" s="466">
        <f ca="1">C72/Financeiros!$D$4</f>
        <v>0</v>
      </c>
      <c r="E72" s="461">
        <f t="shared" ca="1" si="3"/>
        <v>0</v>
      </c>
    </row>
    <row r="73" spans="2:5" ht="15.75" hidden="1" customHeight="1">
      <c r="B73" s="82" t="str">
        <f>'Tabelas e Gráficos'!AM195</f>
        <v>Reversão do Diferimento de Pis Cofins</v>
      </c>
      <c r="C73" s="447">
        <f>'Tabelas e Gráficos'!AN195</f>
        <v>0</v>
      </c>
      <c r="D73" s="466">
        <f ca="1">C73/Financeiros!$D$4</f>
        <v>0</v>
      </c>
      <c r="E73" s="461">
        <f t="shared" ca="1" si="3"/>
        <v>0</v>
      </c>
    </row>
    <row r="74" spans="2:5" ht="15.75" hidden="1" customHeight="1">
      <c r="B74" s="82">
        <f>'Tabelas e Gráficos'!AM196</f>
        <v>0</v>
      </c>
      <c r="C74" s="447">
        <f>'Tabelas e Gráficos'!AN196</f>
        <v>0</v>
      </c>
      <c r="D74" s="466">
        <f ca="1">C74/Financeiros!$D$4</f>
        <v>0</v>
      </c>
      <c r="E74" s="461">
        <f t="shared" ca="1" si="3"/>
        <v>0</v>
      </c>
    </row>
    <row r="75" spans="2:5" ht="15.75" hidden="1" customHeight="1">
      <c r="B75" s="82" t="str">
        <f>'Tabelas e Gráficos'!AM197</f>
        <v>CVE - Energia</v>
      </c>
      <c r="C75" s="447">
        <f ca="1">'Tabelas e Gráficos'!AN197</f>
        <v>0</v>
      </c>
      <c r="D75" s="466">
        <f ca="1">C75/Financeiros!$D$4</f>
        <v>0</v>
      </c>
      <c r="E75" s="461">
        <f t="shared" ca="1" si="3"/>
        <v>0</v>
      </c>
    </row>
    <row r="76" spans="2:5" ht="15.75" hidden="1" customHeight="1">
      <c r="B76" s="82" t="str">
        <f>'Tabelas e Gráficos'!AM198</f>
        <v>CVE - Encargos</v>
      </c>
      <c r="C76" s="447">
        <f>'Tabelas e Gráficos'!AN198</f>
        <v>0</v>
      </c>
      <c r="D76" s="466">
        <f ca="1">C76/Financeiros!$D$4</f>
        <v>0</v>
      </c>
      <c r="E76" s="461">
        <f t="shared" ca="1" si="3"/>
        <v>0</v>
      </c>
    </row>
    <row r="77" spans="2:5" ht="15.75" hidden="1" customHeight="1">
      <c r="B77" s="82" t="str">
        <f>'Tabelas e Gráficos'!AM199</f>
        <v>Conta Escassez</v>
      </c>
      <c r="C77" s="447">
        <f ca="1">'Tabelas e Gráficos'!AN199</f>
        <v>0</v>
      </c>
      <c r="D77" s="466">
        <f ca="1">C77/Financeiros!$D$4</f>
        <v>0</v>
      </c>
      <c r="E77" s="461">
        <f t="shared" ca="1" si="3"/>
        <v>0</v>
      </c>
    </row>
    <row r="78" spans="2:5" ht="15.75" hidden="1" customHeight="1">
      <c r="B78" s="82">
        <f>'Tabelas e Gráficos'!AM200</f>
        <v>0</v>
      </c>
      <c r="C78" s="447">
        <f>'Tabelas e Gráficos'!AN200</f>
        <v>0</v>
      </c>
      <c r="D78" s="466">
        <f ca="1">C78/Financeiros!$D$4</f>
        <v>0</v>
      </c>
      <c r="E78" s="461">
        <f t="shared" ca="1" si="3"/>
        <v>0</v>
      </c>
    </row>
    <row r="79" spans="2:5" ht="15.75" hidden="1" customHeight="1">
      <c r="B79" s="82">
        <f>'Tabelas e Gráficos'!AM201</f>
        <v>0</v>
      </c>
      <c r="C79" s="447">
        <f>'Tabelas e Gráficos'!AN201</f>
        <v>0</v>
      </c>
      <c r="D79" s="466">
        <f ca="1">C79/Financeiros!$D$4</f>
        <v>0</v>
      </c>
      <c r="E79" s="461">
        <f t="shared" ca="1" si="3"/>
        <v>0</v>
      </c>
    </row>
    <row r="80" spans="2:5" ht="15.75" hidden="1" customHeight="1">
      <c r="B80" s="82" t="str">
        <f>'Tabelas e Gráficos'!AM202</f>
        <v>Sobrecontratação/Exposição de Energia</v>
      </c>
      <c r="C80" s="447">
        <f ca="1">'Tabelas e Gráficos'!AN202</f>
        <v>0</v>
      </c>
      <c r="D80" s="466">
        <f ca="1">C80/Financeiros!$D$4</f>
        <v>0</v>
      </c>
      <c r="E80" s="461">
        <f t="shared" ca="1" si="3"/>
        <v>0</v>
      </c>
    </row>
    <row r="81" spans="2:5" ht="15.75" hidden="1" customHeight="1">
      <c r="B81" s="82" t="str">
        <f>'Tabelas e Gráficos'!AM203</f>
        <v>Reversão de Risco Hidrológico</v>
      </c>
      <c r="C81" s="447">
        <f ca="1">'Tabelas e Gráficos'!AN203</f>
        <v>0</v>
      </c>
      <c r="D81" s="466">
        <f ca="1">C81/Financeiros!$D$4</f>
        <v>0</v>
      </c>
      <c r="E81" s="461">
        <f t="shared" ca="1" si="3"/>
        <v>0</v>
      </c>
    </row>
    <row r="82" spans="2:5" ht="15.75" hidden="1" customHeight="1">
      <c r="B82" s="82" t="str">
        <f>'Tabelas e Gráficos'!AM204</f>
        <v>Previsão de Risco Hidrologico</v>
      </c>
      <c r="C82" s="447">
        <f ca="1">'Tabelas e Gráficos'!AN204</f>
        <v>0</v>
      </c>
      <c r="D82" s="466">
        <f ca="1">C82/Financeiros!$D$4</f>
        <v>0</v>
      </c>
      <c r="E82" s="461">
        <f t="shared" ca="1" si="3"/>
        <v>0</v>
      </c>
    </row>
    <row r="83" spans="2:5" ht="15.75" hidden="1" customHeight="1">
      <c r="B83" s="82">
        <f>'Tabelas e Gráficos'!AM205</f>
        <v>0</v>
      </c>
      <c r="C83" s="447">
        <f>'Tabelas e Gráficos'!AN205</f>
        <v>0</v>
      </c>
      <c r="D83" s="466">
        <f ca="1">C83/Financeiros!$D$4</f>
        <v>0</v>
      </c>
      <c r="E83" s="461">
        <f t="shared" ca="1" si="3"/>
        <v>0</v>
      </c>
    </row>
    <row r="84" spans="2:5" ht="15.75" hidden="1" customHeight="1">
      <c r="B84" s="82">
        <f>'Tabelas e Gráficos'!AM206</f>
        <v>0</v>
      </c>
      <c r="C84" s="447">
        <f>'Tabelas e Gráficos'!AN206</f>
        <v>0</v>
      </c>
      <c r="D84" s="466">
        <f ca="1">C84/Financeiros!$D$4</f>
        <v>0</v>
      </c>
      <c r="E84" s="461">
        <f t="shared" ca="1" si="3"/>
        <v>0</v>
      </c>
    </row>
    <row r="85" spans="2:5" ht="15.75" hidden="1" customHeight="1">
      <c r="B85" s="82">
        <f>'Tabelas e Gráficos'!AM207</f>
        <v>0</v>
      </c>
      <c r="C85" s="447">
        <f>'Tabelas e Gráficos'!AN207</f>
        <v>0</v>
      </c>
      <c r="D85" s="466">
        <f ca="1">C85/Financeiros!$D$4</f>
        <v>0</v>
      </c>
      <c r="E85" s="461">
        <f t="shared" ca="1" si="3"/>
        <v>0</v>
      </c>
    </row>
    <row r="86" spans="2:5" ht="15.75" hidden="1" customHeight="1">
      <c r="B86" s="1750"/>
      <c r="C86" s="1751"/>
      <c r="D86" s="1752"/>
      <c r="E86" s="461">
        <f t="shared" si="3"/>
        <v>0</v>
      </c>
    </row>
    <row r="87" spans="2:5" ht="15.75" hidden="1" customHeight="1">
      <c r="B87" s="82"/>
      <c r="C87" s="447"/>
      <c r="D87" s="466"/>
      <c r="E87" s="461">
        <f t="shared" si="3"/>
        <v>0</v>
      </c>
    </row>
    <row r="88" spans="2:5" ht="15.75" hidden="1" customHeight="1">
      <c r="B88" s="82"/>
      <c r="C88" s="447"/>
      <c r="D88" s="466"/>
      <c r="E88" s="461">
        <f t="shared" si="3"/>
        <v>0</v>
      </c>
    </row>
    <row r="89" spans="2:5" ht="15.75" hidden="1" customHeight="1">
      <c r="B89" s="82"/>
      <c r="C89" s="447"/>
      <c r="D89" s="466"/>
      <c r="E89" s="461">
        <f t="shared" si="3"/>
        <v>0</v>
      </c>
    </row>
    <row r="90" spans="2:5" ht="15.75" hidden="1" customHeight="1">
      <c r="B90" s="82"/>
      <c r="C90" s="447"/>
      <c r="D90" s="466"/>
      <c r="E90" s="461">
        <f t="shared" si="3"/>
        <v>0</v>
      </c>
    </row>
    <row r="91" spans="2:5" ht="15.75" hidden="1" customHeight="1">
      <c r="B91" s="82"/>
      <c r="C91" s="447"/>
      <c r="D91" s="466"/>
      <c r="E91" s="461">
        <f t="shared" si="3"/>
        <v>0</v>
      </c>
    </row>
    <row r="92" spans="2:5" ht="15.75" hidden="1" customHeight="1">
      <c r="B92" s="82"/>
      <c r="C92" s="447"/>
      <c r="D92" s="466"/>
      <c r="E92" s="461">
        <f t="shared" si="3"/>
        <v>0</v>
      </c>
    </row>
    <row r="93" spans="2:5" ht="15.75" hidden="1" customHeight="1">
      <c r="B93" s="82"/>
      <c r="C93" s="447"/>
      <c r="D93" s="466"/>
      <c r="E93" s="461">
        <f t="shared" si="3"/>
        <v>0</v>
      </c>
    </row>
    <row r="94" spans="2:5" ht="15.75" hidden="1" customHeight="1">
      <c r="B94" s="82"/>
      <c r="C94" s="447"/>
      <c r="D94" s="466"/>
      <c r="E94" s="461">
        <f t="shared" si="3"/>
        <v>0</v>
      </c>
    </row>
    <row r="95" spans="2:5" ht="15.75" hidden="1" customHeight="1">
      <c r="B95" s="82"/>
      <c r="C95" s="447"/>
      <c r="D95" s="466"/>
      <c r="E95" s="461">
        <f t="shared" si="3"/>
        <v>0</v>
      </c>
    </row>
    <row r="96" spans="2:5" ht="15.75" hidden="1" customHeight="1">
      <c r="B96" s="82"/>
      <c r="C96" s="447"/>
      <c r="D96" s="466"/>
      <c r="E96" s="461">
        <f t="shared" si="3"/>
        <v>0</v>
      </c>
    </row>
    <row r="97" spans="1:5" ht="15.75" hidden="1" customHeight="1">
      <c r="B97" s="82"/>
      <c r="C97" s="447"/>
      <c r="D97" s="466"/>
      <c r="E97" s="461">
        <f t="shared" si="3"/>
        <v>0</v>
      </c>
    </row>
    <row r="98" spans="1:5" ht="15.75" hidden="1" customHeight="1">
      <c r="B98" s="82"/>
      <c r="C98" s="447"/>
      <c r="D98" s="466"/>
      <c r="E98" s="461">
        <f t="shared" si="3"/>
        <v>0</v>
      </c>
    </row>
    <row r="99" spans="1:5" ht="15.75" hidden="1" customHeight="1">
      <c r="B99" s="82"/>
      <c r="C99" s="447"/>
      <c r="D99" s="466"/>
      <c r="E99" s="461">
        <f t="shared" si="3"/>
        <v>0</v>
      </c>
    </row>
    <row r="100" spans="1:5" ht="15.75" hidden="1" customHeight="1">
      <c r="B100" s="82"/>
      <c r="C100" s="447"/>
      <c r="D100" s="466"/>
      <c r="E100" s="461">
        <f t="shared" si="3"/>
        <v>0</v>
      </c>
    </row>
    <row r="101" spans="1:5" ht="15.75" hidden="1" customHeight="1">
      <c r="B101" s="82"/>
      <c r="C101" s="447"/>
      <c r="D101" s="466"/>
      <c r="E101" s="461">
        <f t="shared" si="3"/>
        <v>0</v>
      </c>
    </row>
    <row r="102" spans="1:5" ht="15.75" customHeight="1">
      <c r="A102" s="705"/>
      <c r="B102" s="1750"/>
      <c r="C102" s="1751"/>
      <c r="D102" s="1752"/>
    </row>
    <row r="103" spans="1:5" ht="15.75" customHeight="1">
      <c r="B103" s="82"/>
      <c r="C103" s="447"/>
      <c r="D103" s="466"/>
    </row>
    <row r="104" spans="1:5" ht="15.75" customHeight="1">
      <c r="B104" s="82"/>
      <c r="C104" s="447"/>
      <c r="D104" s="466"/>
    </row>
    <row r="105" spans="1:5" ht="15.75" customHeight="1">
      <c r="B105" s="82"/>
      <c r="C105" s="447"/>
      <c r="D105" s="466"/>
    </row>
    <row r="106" spans="1:5" ht="15.75" customHeight="1">
      <c r="C106" s="448"/>
      <c r="D106" s="466"/>
    </row>
    <row r="107" spans="1:5" ht="15.75" customHeight="1">
      <c r="C107" s="448"/>
      <c r="D107" s="466"/>
    </row>
    <row r="108" spans="1:5" ht="15.75" customHeight="1">
      <c r="C108" s="448"/>
      <c r="D108" s="466"/>
    </row>
    <row r="109" spans="1:5" ht="15.75" customHeight="1">
      <c r="C109" s="448"/>
      <c r="D109" s="466"/>
    </row>
    <row r="110" spans="1:5" ht="15.75" customHeight="1">
      <c r="C110" s="448"/>
      <c r="D110" s="466"/>
    </row>
    <row r="111" spans="1:5" ht="15.75" customHeight="1">
      <c r="C111" s="448"/>
      <c r="D111" s="466"/>
    </row>
    <row r="112" spans="1:5" ht="15.75" customHeight="1">
      <c r="C112" s="448"/>
      <c r="D112" s="466"/>
    </row>
    <row r="113" spans="3:4" ht="15.75" customHeight="1">
      <c r="C113" s="448"/>
      <c r="D113" s="466"/>
    </row>
    <row r="114" spans="3:4" ht="15.75" customHeight="1">
      <c r="C114" s="448"/>
      <c r="D114" s="466"/>
    </row>
    <row r="115" spans="3:4" ht="15.75" customHeight="1">
      <c r="C115" s="448"/>
      <c r="D115" s="466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1" r:id="rId4" name="CommandButton1">
          <controlPr defaultSize="0" autoLine="0" r:id="rId5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4" name="CommandButton1"/>
      </mc:Fallback>
    </mc:AlternateContent>
    <mc:AlternateContent xmlns:mc="http://schemas.openxmlformats.org/markup-compatibility/2006">
      <mc:Choice Requires="x14">
        <control shapeId="70752" r:id="rId6" name="AberturaButton">
          <controlPr defaultSize="0" autoLine="0" autoPict="0" r:id="rId7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6" name="AberturaButton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topLeftCell="A3" zoomScale="90" zoomScaleNormal="90" workbookViewId="0">
      <selection activeCell="C33" sqref="C33"/>
    </sheetView>
  </sheetViews>
  <sheetFormatPr defaultColWidth="9.140625" defaultRowHeight="12.75" customHeight="1"/>
  <cols>
    <col min="1" max="1" width="4.7109375" style="94" customWidth="1"/>
    <col min="2" max="2" width="18.140625" style="94" bestFit="1" customWidth="1"/>
    <col min="3" max="3" width="16.28515625" style="94" bestFit="1" customWidth="1"/>
    <col min="4" max="4" width="21.7109375" style="94" customWidth="1"/>
    <col min="5" max="5" width="10.28515625" style="94" customWidth="1"/>
    <col min="6" max="6" width="29" style="94" customWidth="1"/>
    <col min="7" max="7" width="21" style="94" bestFit="1" customWidth="1"/>
    <col min="8" max="8" width="17.5703125" style="94" customWidth="1"/>
    <col min="9" max="9" width="23.42578125" style="94" customWidth="1"/>
    <col min="10" max="10" width="16.42578125" style="94" customWidth="1"/>
    <col min="11" max="13" width="16.7109375" style="94" customWidth="1"/>
    <col min="14" max="14" width="18.85546875" style="94" bestFit="1" customWidth="1"/>
    <col min="15" max="15" width="17.28515625" style="94" bestFit="1" customWidth="1"/>
    <col min="16" max="16" width="14" style="94" bestFit="1" customWidth="1"/>
    <col min="17" max="17" width="16.7109375" style="94" bestFit="1" customWidth="1"/>
    <col min="18" max="18" width="18.42578125" style="94" bestFit="1" customWidth="1"/>
    <col min="19" max="19" width="27.7109375" style="94" bestFit="1" customWidth="1"/>
    <col min="20" max="20" width="18.5703125" style="94" customWidth="1"/>
    <col min="21" max="21" width="17.28515625" style="94" bestFit="1" customWidth="1"/>
    <col min="22" max="22" width="13.85546875" style="94" customWidth="1"/>
    <col min="23" max="23" width="9.140625" style="94" customWidth="1"/>
    <col min="24" max="16384" width="9.140625" style="94"/>
  </cols>
  <sheetData>
    <row r="1" spans="2:24" ht="26.25" customHeight="1">
      <c r="B1" s="930" t="s">
        <v>872</v>
      </c>
      <c r="C1" s="1019"/>
      <c r="D1" s="931"/>
      <c r="E1" s="931"/>
      <c r="F1" s="931"/>
      <c r="G1" s="1129" t="s">
        <v>873</v>
      </c>
      <c r="H1" s="1130">
        <f ca="1">LnkTXTIRTEco</f>
        <v>6.4000000000000001E-2</v>
      </c>
      <c r="I1" s="70"/>
      <c r="J1" s="70"/>
      <c r="P1" s="1131" t="s">
        <v>874</v>
      </c>
      <c r="Q1" s="1132"/>
      <c r="S1" s="1133" t="s">
        <v>875</v>
      </c>
      <c r="T1" s="1132" t="s">
        <v>876</v>
      </c>
      <c r="W1" s="1131" t="s">
        <v>875</v>
      </c>
      <c r="X1" s="1132" t="s">
        <v>876</v>
      </c>
    </row>
    <row r="2" spans="2:24" ht="14.25">
      <c r="B2" s="136" t="str">
        <f>CAPA!C9</f>
        <v>Cedri</v>
      </c>
      <c r="C2" s="70"/>
      <c r="D2" s="70"/>
      <c r="G2" s="120" t="s">
        <v>877</v>
      </c>
      <c r="H2" s="121">
        <f ca="1">LnkTXTIRTTotal</f>
        <v>-0.14050000000000001</v>
      </c>
      <c r="P2" s="1134">
        <f>DATE(YEAR(P4),MONTH(P4)-1,1)</f>
        <v>44440</v>
      </c>
      <c r="Q2" s="663"/>
      <c r="S2" s="662" t="s">
        <v>878</v>
      </c>
      <c r="T2" s="663" t="s">
        <v>879</v>
      </c>
      <c r="W2" s="662" t="s">
        <v>880</v>
      </c>
      <c r="X2" s="663" t="s">
        <v>879</v>
      </c>
    </row>
    <row r="3" spans="2:24" ht="14.25">
      <c r="P3" s="1131" t="s">
        <v>874</v>
      </c>
      <c r="Q3" s="1132"/>
      <c r="S3" s="1133" t="s">
        <v>875</v>
      </c>
      <c r="T3" s="1132" t="s">
        <v>876</v>
      </c>
      <c r="W3" s="1131" t="s">
        <v>875</v>
      </c>
      <c r="X3" s="1132" t="s">
        <v>876</v>
      </c>
    </row>
    <row r="4" spans="2:24" ht="14.25">
      <c r="P4" s="1134">
        <f>DATE(YEAR(P6),MONTH(P6)-1,1)</f>
        <v>44470</v>
      </c>
      <c r="Q4" s="663"/>
      <c r="S4" s="662" t="s">
        <v>538</v>
      </c>
      <c r="T4" s="663" t="s">
        <v>879</v>
      </c>
      <c r="W4" s="662" t="s">
        <v>880</v>
      </c>
      <c r="X4" s="663" t="s">
        <v>879</v>
      </c>
    </row>
    <row r="5" spans="2:24" ht="14.25">
      <c r="P5" s="1131" t="s">
        <v>874</v>
      </c>
      <c r="Q5" s="1132"/>
      <c r="S5" s="1131" t="s">
        <v>875</v>
      </c>
      <c r="T5" s="1132" t="s">
        <v>876</v>
      </c>
      <c r="V5" s="95"/>
      <c r="W5" s="1131" t="s">
        <v>875</v>
      </c>
      <c r="X5" s="1132" t="s">
        <v>876</v>
      </c>
    </row>
    <row r="6" spans="2:24" ht="14.25">
      <c r="B6" s="111" t="s">
        <v>881</v>
      </c>
      <c r="F6" s="111" t="s">
        <v>882</v>
      </c>
      <c r="I6" s="111" t="s">
        <v>883</v>
      </c>
      <c r="P6" s="1134">
        <f>DATE(YEAR(P8),MONTH(P8)-1,1)</f>
        <v>44501</v>
      </c>
      <c r="Q6" s="663"/>
      <c r="S6" s="662" t="str">
        <f>"=A3"</f>
        <v>=A3</v>
      </c>
      <c r="T6" s="663" t="s">
        <v>879</v>
      </c>
      <c r="W6" s="662" t="s">
        <v>880</v>
      </c>
      <c r="X6" s="663" t="s">
        <v>879</v>
      </c>
    </row>
    <row r="7" spans="2:24" ht="14.25">
      <c r="B7" s="1135" t="s">
        <v>778</v>
      </c>
      <c r="C7" s="1135" t="s">
        <v>108</v>
      </c>
      <c r="D7" s="1135" t="s">
        <v>884</v>
      </c>
      <c r="E7" s="96"/>
      <c r="F7" s="1135" t="s">
        <v>778</v>
      </c>
      <c r="G7" s="1135" t="s">
        <v>884</v>
      </c>
      <c r="I7" s="1136" t="s">
        <v>778</v>
      </c>
      <c r="J7" s="1136" t="s">
        <v>885</v>
      </c>
      <c r="L7" s="416" t="s">
        <v>886</v>
      </c>
      <c r="M7" s="416"/>
      <c r="N7" s="416" t="s">
        <v>725</v>
      </c>
      <c r="P7" s="1131" t="s">
        <v>874</v>
      </c>
      <c r="Q7" s="1132"/>
      <c r="S7" s="1131" t="s">
        <v>875</v>
      </c>
      <c r="T7" s="1132" t="s">
        <v>876</v>
      </c>
      <c r="W7" s="1131" t="s">
        <v>875</v>
      </c>
      <c r="X7" s="1132" t="s">
        <v>876</v>
      </c>
    </row>
    <row r="8" spans="2:24" ht="14.25">
      <c r="B8" s="1137" t="s">
        <v>887</v>
      </c>
      <c r="C8" s="1138">
        <f ca="1">SUM(C9:C15)</f>
        <v>11101.367000000004</v>
      </c>
      <c r="D8" s="1139">
        <f ca="1">SUM(D9:D15)</f>
        <v>9413497.5780200008</v>
      </c>
      <c r="E8" s="96"/>
      <c r="F8" s="96" t="s">
        <v>888</v>
      </c>
      <c r="G8" s="115">
        <f t="shared" ref="G8:G14" ca="1" si="0">SUM(INDIRECT("dados_Mercadobase["&amp;F8&amp;"]"))</f>
        <v>0</v>
      </c>
      <c r="I8" s="227" t="s">
        <v>192</v>
      </c>
      <c r="J8" s="116">
        <f ca="1">SUM(INDIRECT("dados_MercadoBase[ICMS]"))/SUM(INDIRECT("dados_MercadoBase[[PisPasep]:[ICMS]]"),INDIRECT("dados_MercadoBase[FinTotAj]"))</f>
        <v>0.20355729250022073</v>
      </c>
      <c r="L8" s="1140" t="s">
        <v>889</v>
      </c>
      <c r="M8" s="1141"/>
      <c r="N8" s="1142">
        <f>DSUM('BD MERCADO'!A2:AAA999998,"Total",S27:S28)</f>
        <v>4943292.820489997</v>
      </c>
      <c r="P8" s="1134">
        <f>DATE(YEAR(P10),MONTH(P10)-1,1)</f>
        <v>44531</v>
      </c>
      <c r="Q8" s="663"/>
      <c r="S8" s="662" t="str">
        <f>"=A3a"</f>
        <v>=A3a</v>
      </c>
      <c r="T8" s="663" t="s">
        <v>879</v>
      </c>
      <c r="W8" s="662" t="s">
        <v>880</v>
      </c>
      <c r="X8" s="663" t="s">
        <v>879</v>
      </c>
    </row>
    <row r="9" spans="2:24" ht="14.25">
      <c r="B9" s="112" t="s">
        <v>878</v>
      </c>
      <c r="C9" s="98">
        <f ca="1">DSUM(MercadoBase,"TUSD_E",INDIRECT("Mercado_Criterio"&amp;$B9))</f>
        <v>0</v>
      </c>
      <c r="D9" s="113">
        <f t="shared" ref="D9:D15" ca="1" si="1">DSUM(MercadoBase,"Total",INDIRECT("Mercado_Criterio"&amp;$B9))</f>
        <v>0</v>
      </c>
      <c r="E9" s="96"/>
      <c r="F9" s="96" t="s">
        <v>49</v>
      </c>
      <c r="G9" s="115">
        <f t="shared" ca="1" si="0"/>
        <v>0</v>
      </c>
      <c r="I9" s="1143" t="s">
        <v>755</v>
      </c>
      <c r="J9" s="1144">
        <f ca="1">SUM(INDIRECT("dados_MercadoBase[[PisPasep]:[Cofins]]"))/SUM(INDIRECT("dados_MercadoBase[[PisPasep]:[ICMS]]"),INDIRECT("dados_MercadoBase[FinTotAj]"))</f>
        <v>1.9018421273020236E-2</v>
      </c>
      <c r="L9" s="96" t="s">
        <v>890</v>
      </c>
      <c r="M9" s="415"/>
      <c r="N9" s="115">
        <f>DSUM('BD MERCADO'!A2:AAA999998,"Total",S29:S30)</f>
        <v>5364763.3949000007</v>
      </c>
      <c r="P9" s="1131" t="s">
        <v>874</v>
      </c>
      <c r="Q9" s="1132"/>
      <c r="S9" s="1131" t="s">
        <v>875</v>
      </c>
      <c r="T9" s="1132" t="s">
        <v>876</v>
      </c>
      <c r="X9" s="97"/>
    </row>
    <row r="10" spans="2:24" ht="14.25">
      <c r="B10" s="112" t="s">
        <v>538</v>
      </c>
      <c r="C10" s="98">
        <f ca="1">DSUM(MercadoBase,"TUSD_E",INDIRECT("Mercado_Criterio"&amp;$B10))</f>
        <v>0</v>
      </c>
      <c r="D10" s="113">
        <f t="shared" ca="1" si="1"/>
        <v>0</v>
      </c>
      <c r="E10" s="96"/>
      <c r="F10" s="96" t="s">
        <v>891</v>
      </c>
      <c r="G10" s="115">
        <f t="shared" ca="1" si="0"/>
        <v>0</v>
      </c>
      <c r="L10" s="96" t="s">
        <v>892</v>
      </c>
      <c r="M10" s="415"/>
      <c r="N10" s="115">
        <f>DSUM('BD MERCADO'!A2:AAA999998,"Total",S31:S32)</f>
        <v>420343.16259999998</v>
      </c>
      <c r="P10" s="1134">
        <f>DATE(YEAR(P12),MONTH(P12)-1,1)</f>
        <v>44562</v>
      </c>
      <c r="Q10" s="663"/>
      <c r="S10" s="662" t="s">
        <v>533</v>
      </c>
      <c r="T10" s="663" t="s">
        <v>879</v>
      </c>
      <c r="U10" s="94" t="s">
        <v>893</v>
      </c>
      <c r="X10" s="97"/>
    </row>
    <row r="11" spans="2:24" ht="14.25">
      <c r="B11" s="112" t="s">
        <v>535</v>
      </c>
      <c r="C11" s="98">
        <f t="shared" ref="C11:C15" ca="1" si="2">DSUM(MercadoBase,"TUSD_E",INDIRECT("Mercado_Criterio"&amp;$B11))</f>
        <v>0</v>
      </c>
      <c r="D11" s="113">
        <f t="shared" ca="1" si="1"/>
        <v>0</v>
      </c>
      <c r="E11" s="96"/>
      <c r="F11" s="96" t="s">
        <v>47</v>
      </c>
      <c r="G11" s="115">
        <f t="shared" ca="1" si="0"/>
        <v>202163.69935839676</v>
      </c>
      <c r="L11" s="96" t="s">
        <v>894</v>
      </c>
      <c r="M11" s="415"/>
      <c r="N11" s="115">
        <f>DSUM('BD MERCADO'!A2:AAA999998,"Total",S33:S34)</f>
        <v>1239314.7691599999</v>
      </c>
      <c r="P11" s="1131" t="s">
        <v>874</v>
      </c>
      <c r="Q11" s="1132"/>
      <c r="S11" s="1131" t="s">
        <v>875</v>
      </c>
      <c r="T11" s="1132" t="s">
        <v>876</v>
      </c>
      <c r="X11" s="97"/>
    </row>
    <row r="12" spans="2:24" ht="14.25">
      <c r="B12" s="112" t="s">
        <v>537</v>
      </c>
      <c r="C12" s="98">
        <f t="shared" ca="1" si="2"/>
        <v>0</v>
      </c>
      <c r="D12" s="113">
        <f t="shared" ca="1" si="1"/>
        <v>0</v>
      </c>
      <c r="E12" s="96"/>
      <c r="F12" s="96" t="s">
        <v>41</v>
      </c>
      <c r="G12" s="115">
        <f t="shared" ca="1" si="0"/>
        <v>1198296.1259205663</v>
      </c>
      <c r="I12" s="111" t="s">
        <v>895</v>
      </c>
      <c r="L12" s="96" t="s">
        <v>896</v>
      </c>
      <c r="M12" s="415"/>
      <c r="N12" s="115">
        <f>DSUM('BD MERCADO'!A2:AAA999998,"Total",S35:S36)</f>
        <v>269268.02226</v>
      </c>
      <c r="P12" s="1134">
        <f>DATE(YEAR(P14),MONTH(P14)-1,1)</f>
        <v>44593</v>
      </c>
      <c r="Q12" s="663"/>
      <c r="S12" s="662" t="s">
        <v>897</v>
      </c>
      <c r="T12" s="663" t="s">
        <v>879</v>
      </c>
      <c r="X12" s="97"/>
    </row>
    <row r="13" spans="2:24" ht="14.25">
      <c r="B13" s="112" t="s">
        <v>533</v>
      </c>
      <c r="C13" s="98">
        <f t="shared" ca="1" si="2"/>
        <v>2977.7169999999996</v>
      </c>
      <c r="D13" s="113">
        <f t="shared" ca="1" si="1"/>
        <v>2385419.9872299996</v>
      </c>
      <c r="E13" s="96"/>
      <c r="F13" s="96" t="s">
        <v>40</v>
      </c>
      <c r="G13" s="115">
        <f t="shared" ca="1" si="0"/>
        <v>32470.265140638963</v>
      </c>
      <c r="I13" s="1136" t="s">
        <v>778</v>
      </c>
      <c r="J13" s="1136" t="s">
        <v>898</v>
      </c>
      <c r="L13" s="96" t="s">
        <v>899</v>
      </c>
      <c r="M13" s="415"/>
      <c r="N13" s="115">
        <f>DSUM('BD MERCADO'!A2:AAA999998,"Total",S37:S38)</f>
        <v>68770.177559999996</v>
      </c>
      <c r="P13" s="1131" t="s">
        <v>874</v>
      </c>
      <c r="Q13" s="1132"/>
      <c r="S13" s="1131" t="s">
        <v>875</v>
      </c>
      <c r="T13" s="1132" t="s">
        <v>876</v>
      </c>
      <c r="X13" s="97"/>
    </row>
    <row r="14" spans="2:24" ht="14.25">
      <c r="B14" s="112" t="s">
        <v>900</v>
      </c>
      <c r="C14" s="98">
        <f t="shared" ca="1" si="2"/>
        <v>0</v>
      </c>
      <c r="D14" s="113">
        <f t="shared" ca="1" si="1"/>
        <v>0</v>
      </c>
      <c r="E14" s="96"/>
      <c r="F14" s="96" t="s">
        <v>112</v>
      </c>
      <c r="G14" s="115">
        <f t="shared" ca="1" si="0"/>
        <v>0</v>
      </c>
      <c r="I14" s="1145" t="s">
        <v>901</v>
      </c>
      <c r="J14" s="1146">
        <f>CAPA!D41</f>
        <v>21778.6495</v>
      </c>
      <c r="L14" s="96" t="s">
        <v>902</v>
      </c>
      <c r="M14" s="415"/>
      <c r="N14" s="115">
        <f>DSUM('BD MERCADO'!A2:AAA999998,"Total",S39:S40)</f>
        <v>2472508.6259500002</v>
      </c>
      <c r="P14" s="1134">
        <f>DATE(YEAR(P16),MONTH(P16)-1,1)</f>
        <v>44621</v>
      </c>
      <c r="Q14" s="663"/>
      <c r="S14" s="662" t="s">
        <v>880</v>
      </c>
      <c r="T14" s="663" t="s">
        <v>879</v>
      </c>
      <c r="X14" s="97"/>
    </row>
    <row r="15" spans="2:24" ht="14.25">
      <c r="B15" s="112" t="s">
        <v>540</v>
      </c>
      <c r="C15" s="98">
        <f t="shared" ca="1" si="2"/>
        <v>8123.6500000000042</v>
      </c>
      <c r="D15" s="113">
        <f t="shared" ca="1" si="1"/>
        <v>7028077.5907900007</v>
      </c>
      <c r="E15" s="96"/>
      <c r="F15" s="96" t="s">
        <v>108</v>
      </c>
      <c r="G15" s="115">
        <f ca="1">SUM(C79:C84)</f>
        <v>3536904.5995487506</v>
      </c>
      <c r="I15" s="1147" t="s">
        <v>831</v>
      </c>
      <c r="J15" s="1148">
        <f ca="1">IFERROR(Mercado_RA0_MWh/J14-1,0)</f>
        <v>1.0322885264304471E-2</v>
      </c>
      <c r="L15" s="1149" t="s">
        <v>903</v>
      </c>
      <c r="M15" s="1150"/>
      <c r="N15" s="1151">
        <f ca="1">D25-SUM(N8:N14)</f>
        <v>0</v>
      </c>
      <c r="P15" s="1131" t="s">
        <v>874</v>
      </c>
      <c r="Q15" s="1132"/>
      <c r="S15" s="1131" t="s">
        <v>904</v>
      </c>
      <c r="T15" s="1132" t="s">
        <v>876</v>
      </c>
      <c r="X15" s="97"/>
    </row>
    <row r="16" spans="2:24" ht="14.25">
      <c r="B16" s="1137" t="s">
        <v>905</v>
      </c>
      <c r="C16" s="1152">
        <f ca="1">DSUM(MercadoBase,"TUSD_E",INDIRECT("Mercado_CriterioResBr"))</f>
        <v>264.13</v>
      </c>
      <c r="D16" s="1153">
        <f ca="1">DSUM(MercadoBase,"Total",INDIRECT("Mercado_CriterioResBr"))</f>
        <v>210382.1863</v>
      </c>
      <c r="E16" s="96"/>
      <c r="F16" s="96" t="s">
        <v>906</v>
      </c>
      <c r="G16" s="115">
        <f ca="1">SUM(C87:C97)</f>
        <v>9243584.0466467831</v>
      </c>
      <c r="P16" s="1134">
        <f>DATE(YEAR(P18),MONTH(P18)-1,1)</f>
        <v>44652</v>
      </c>
      <c r="Q16" s="663"/>
      <c r="S16" s="662" t="s">
        <v>907</v>
      </c>
      <c r="T16" s="663" t="s">
        <v>879</v>
      </c>
      <c r="X16" s="97"/>
    </row>
    <row r="17" spans="2:24" ht="14.25">
      <c r="B17" s="1137" t="s">
        <v>908</v>
      </c>
      <c r="C17" s="1152">
        <f ca="1">DSUM(MercadoBase,"TUSD_E",INDIRECT("Mercado_Criterio"&amp;$B17))</f>
        <v>0</v>
      </c>
      <c r="D17" s="1153">
        <f ca="1">DSUM(MercadoBase,"Total",INDIRECT("Mercado_Criterio"&amp;$B17))</f>
        <v>0</v>
      </c>
      <c r="E17" s="96"/>
      <c r="F17" s="1154" t="s">
        <v>760</v>
      </c>
      <c r="G17" s="1155">
        <f ca="1">SUM(G8:G16)</f>
        <v>14213418.736615136</v>
      </c>
      <c r="I17" s="226" t="str">
        <f>"Dado referente à "&amp;TEXT(P20,"mmmm/aaaa")</f>
        <v>Dado referente à junho/2022</v>
      </c>
      <c r="L17" s="79"/>
      <c r="P17" s="1131" t="s">
        <v>874</v>
      </c>
      <c r="Q17" s="1132"/>
      <c r="S17" s="1131" t="s">
        <v>876</v>
      </c>
      <c r="T17" s="1132"/>
      <c r="X17" s="97"/>
    </row>
    <row r="18" spans="2:24" ht="14.25">
      <c r="B18" s="1137" t="s">
        <v>909</v>
      </c>
      <c r="C18" s="1152">
        <f ca="1">DSUM(MercadoBase,"TUSD_E",INDIRECT("Mercado_Criterio"&amp;$B18))</f>
        <v>10902.100999999999</v>
      </c>
      <c r="D18" s="1153">
        <f ca="1">DSUM(MercadoBase,"Total",INDIRECT("Mercado_Criterio"&amp;$B18))</f>
        <v>5364763.3949000007</v>
      </c>
      <c r="E18" s="96"/>
      <c r="I18" s="1156" t="s">
        <v>910</v>
      </c>
      <c r="J18" s="1157">
        <f>DSUM('BD MERCADO'!B2:BU724,"UC",C101:C102)</f>
        <v>3908</v>
      </c>
      <c r="L18" s="79"/>
      <c r="P18" s="1134">
        <f>DATE(YEAR(P20),MONTH(P20)-1,1)</f>
        <v>44682</v>
      </c>
      <c r="Q18" s="663"/>
      <c r="S18" s="662" t="s">
        <v>790</v>
      </c>
      <c r="T18" s="663"/>
      <c r="X18" s="97"/>
    </row>
    <row r="19" spans="2:24" ht="14.25">
      <c r="B19" s="114" t="s">
        <v>911</v>
      </c>
      <c r="C19" s="98">
        <f ca="1">DSUM(MercadoBase,"TUSD_E",INDIRECT("Mercado_Criterio"&amp;$B19))</f>
        <v>0</v>
      </c>
      <c r="D19" s="113">
        <f ca="1">DSUM(MercadoBase,"Total",INDIRECT("Mercado_Criterio"&amp;$B19))</f>
        <v>0</v>
      </c>
      <c r="E19" s="96"/>
      <c r="L19" s="79"/>
      <c r="P19" s="1131" t="s">
        <v>874</v>
      </c>
      <c r="Q19" s="1132"/>
      <c r="S19" s="1131" t="s">
        <v>876</v>
      </c>
      <c r="T19" s="1132" t="s">
        <v>875</v>
      </c>
      <c r="X19" s="97"/>
    </row>
    <row r="20" spans="2:24" ht="14.25">
      <c r="B20" s="114" t="s">
        <v>912</v>
      </c>
      <c r="C20" s="98">
        <f ca="1">DSUM(MercadoBase,"TUSD_E",INDIRECT("Mercado_Criterio"&amp;$B20))</f>
        <v>0</v>
      </c>
      <c r="D20" s="113">
        <f ca="1">DSUM(MercadoBase,"Total",INDIRECT("Mercado_Criterio"&amp;$B20))</f>
        <v>0</v>
      </c>
      <c r="L20" s="79"/>
      <c r="P20" s="1134">
        <f>DATE(YEAR(P22),MONTH(P22)-1,1)</f>
        <v>44713</v>
      </c>
      <c r="Q20" s="663"/>
      <c r="S20" s="662" t="s">
        <v>909</v>
      </c>
      <c r="T20" s="663" t="s">
        <v>878</v>
      </c>
    </row>
    <row r="21" spans="2:24" ht="14.25">
      <c r="B21" s="114" t="s">
        <v>913</v>
      </c>
      <c r="C21" s="98"/>
      <c r="D21" s="113">
        <f ca="1">DSUM(MercadoBase,"Total",INDIRECT("Mercado_Criterio"&amp;$B21))</f>
        <v>0</v>
      </c>
      <c r="E21" s="615"/>
      <c r="F21" s="616"/>
      <c r="G21" s="614"/>
      <c r="L21" s="79"/>
      <c r="P21" s="1131" t="s">
        <v>874</v>
      </c>
      <c r="Q21" s="1132"/>
      <c r="S21" s="1131" t="s">
        <v>876</v>
      </c>
      <c r="T21" s="1132"/>
    </row>
    <row r="22" spans="2:24" ht="14.25">
      <c r="B22" s="114" t="s">
        <v>914</v>
      </c>
      <c r="C22" s="98">
        <f ca="1">C18-C19</f>
        <v>10902.100999999999</v>
      </c>
      <c r="D22" s="113">
        <f ca="1">D18-D19</f>
        <v>5364763.3949000007</v>
      </c>
      <c r="F22" s="617"/>
      <c r="G22" s="618"/>
      <c r="L22" s="79"/>
      <c r="M22" s="100"/>
      <c r="N22" s="97"/>
      <c r="O22" s="97"/>
      <c r="P22" s="1134">
        <f>DATE(YEAR(P24),MONTH(P24)-1,1)</f>
        <v>44743</v>
      </c>
      <c r="Q22" s="663"/>
      <c r="S22" s="662" t="s">
        <v>752</v>
      </c>
      <c r="T22" s="663"/>
      <c r="X22" s="97"/>
    </row>
    <row r="23" spans="2:24" ht="14.25">
      <c r="B23" s="1137" t="s">
        <v>915</v>
      </c>
      <c r="C23" s="1152">
        <v>0</v>
      </c>
      <c r="D23" s="1153">
        <v>0</v>
      </c>
      <c r="E23" s="615"/>
      <c r="F23" s="617"/>
      <c r="G23" s="618"/>
      <c r="L23" s="79"/>
      <c r="M23" s="100"/>
      <c r="N23" s="97"/>
      <c r="O23" s="97"/>
      <c r="P23" s="1131" t="s">
        <v>874</v>
      </c>
      <c r="Q23" s="1132"/>
      <c r="S23" s="1131" t="s">
        <v>876</v>
      </c>
      <c r="T23" s="1132"/>
      <c r="X23" s="97"/>
    </row>
    <row r="24" spans="2:24" ht="14.25">
      <c r="B24" s="1137" t="s">
        <v>916</v>
      </c>
      <c r="C24" s="1158"/>
      <c r="D24" s="1159"/>
      <c r="E24" s="615"/>
      <c r="F24" s="617"/>
      <c r="G24" s="618"/>
      <c r="L24" s="79"/>
      <c r="P24" s="1134">
        <f>SAS_RA0_DataFim</f>
        <v>44774</v>
      </c>
      <c r="Q24" s="663"/>
      <c r="S24" s="662" t="s">
        <v>913</v>
      </c>
      <c r="T24" s="663"/>
      <c r="X24" s="97"/>
    </row>
    <row r="25" spans="2:24" ht="14.25">
      <c r="B25" s="1160" t="s">
        <v>760</v>
      </c>
      <c r="C25" s="1161">
        <f ca="1">C18+C8+C24+C20+C21+SuprimentoE</f>
        <v>22003.468000000001</v>
      </c>
      <c r="D25" s="1162">
        <f ca="1">D18+D8+D24+D20+D21+D17</f>
        <v>14778260.972920001</v>
      </c>
      <c r="E25" s="615"/>
      <c r="N25" s="69">
        <f>SUMIFS('BD MERCADO'!$P$3:$P$6000,'BD MERCADO'!$D$3:$D$6000,"A4",'BD MERCADO'!$I$3:$I$6000,U10)</f>
        <v>257.68900000000002</v>
      </c>
      <c r="S25" s="101" t="s">
        <v>876</v>
      </c>
      <c r="T25" s="102"/>
      <c r="X25" s="97"/>
    </row>
    <row r="26" spans="2:24" ht="14.25">
      <c r="F26" s="617"/>
      <c r="G26" s="618"/>
      <c r="S26" s="662" t="s">
        <v>917</v>
      </c>
      <c r="T26" s="663"/>
      <c r="X26" s="97"/>
    </row>
    <row r="27" spans="2:24" ht="14.25">
      <c r="F27" s="617"/>
      <c r="G27" s="618"/>
      <c r="I27" s="97"/>
      <c r="S27" s="1163" t="s">
        <v>524</v>
      </c>
      <c r="T27" s="1164"/>
      <c r="X27" s="97"/>
    </row>
    <row r="28" spans="2:24" ht="14.25">
      <c r="F28" s="226"/>
      <c r="G28" s="619"/>
      <c r="I28" s="97"/>
      <c r="S28" s="1165" t="s">
        <v>889</v>
      </c>
      <c r="T28" s="1166"/>
      <c r="X28" s="97"/>
    </row>
    <row r="29" spans="2:24" ht="14.25">
      <c r="I29" s="97"/>
      <c r="S29" s="1163" t="s">
        <v>524</v>
      </c>
      <c r="T29" s="1164"/>
    </row>
    <row r="30" spans="2:24" ht="14.25">
      <c r="I30" s="97"/>
      <c r="S30" s="1165" t="s">
        <v>890</v>
      </c>
      <c r="T30" s="1166"/>
    </row>
    <row r="31" spans="2:24" ht="16.5">
      <c r="B31"/>
      <c r="C31"/>
      <c r="H31" s="97"/>
      <c r="I31" s="97"/>
      <c r="S31" s="1163" t="s">
        <v>524</v>
      </c>
      <c r="T31" s="1164"/>
      <c r="X31" s="97"/>
    </row>
    <row r="32" spans="2:24" ht="14.25">
      <c r="H32" s="97"/>
      <c r="I32" s="97"/>
      <c r="S32" s="1165" t="s">
        <v>918</v>
      </c>
      <c r="T32" s="1166"/>
      <c r="X32" s="97"/>
    </row>
    <row r="33" spans="2:24" ht="16.5">
      <c r="B33" s="1771" t="s">
        <v>919</v>
      </c>
      <c r="C33" s="1772" t="s">
        <v>920</v>
      </c>
      <c r="D33"/>
      <c r="S33" s="1163" t="s">
        <v>524</v>
      </c>
      <c r="T33" s="1164"/>
      <c r="X33" s="97"/>
    </row>
    <row r="34" spans="2:24" ht="16.5">
      <c r="B34" s="1773">
        <v>44440</v>
      </c>
      <c r="C34" s="1774">
        <v>1780.817</v>
      </c>
      <c r="D34"/>
      <c r="S34" s="1165" t="s">
        <v>894</v>
      </c>
      <c r="T34" s="1166"/>
      <c r="X34" s="97"/>
    </row>
    <row r="35" spans="2:24" ht="16.5">
      <c r="B35" s="1773">
        <v>44470</v>
      </c>
      <c r="C35" s="1774">
        <v>1721.365</v>
      </c>
      <c r="D35"/>
      <c r="S35" s="1163" t="s">
        <v>524</v>
      </c>
      <c r="T35" s="1164"/>
    </row>
    <row r="36" spans="2:24" ht="16.5">
      <c r="B36" s="1773">
        <v>44501</v>
      </c>
      <c r="C36" s="1774">
        <v>1769.6750000000002</v>
      </c>
      <c r="D36"/>
      <c r="M36" s="97"/>
      <c r="S36" s="1165" t="s">
        <v>896</v>
      </c>
      <c r="T36" s="1166"/>
    </row>
    <row r="37" spans="2:24" ht="16.5">
      <c r="B37" s="1773">
        <v>44531</v>
      </c>
      <c r="C37" s="1774">
        <v>1903.6480000000001</v>
      </c>
      <c r="D37"/>
      <c r="M37" s="97"/>
      <c r="S37" s="1163" t="s">
        <v>524</v>
      </c>
      <c r="T37" s="1164"/>
    </row>
    <row r="38" spans="2:24" ht="16.5">
      <c r="B38" s="1773">
        <v>44562</v>
      </c>
      <c r="C38" s="1774">
        <v>2006.4460000000004</v>
      </c>
      <c r="D38"/>
      <c r="M38" s="97"/>
      <c r="S38" s="1165" t="s">
        <v>899</v>
      </c>
      <c r="T38" s="1166"/>
    </row>
    <row r="39" spans="2:24" ht="16.5">
      <c r="B39" s="1773">
        <v>44593</v>
      </c>
      <c r="C39" s="1774">
        <v>1846.5529999999999</v>
      </c>
      <c r="D39"/>
      <c r="S39" s="1163" t="s">
        <v>524</v>
      </c>
      <c r="T39" s="1164"/>
    </row>
    <row r="40" spans="2:24" ht="16.5">
      <c r="B40" s="1773">
        <v>44621</v>
      </c>
      <c r="C40" s="1774">
        <v>1909.7520000000002</v>
      </c>
      <c r="D40"/>
      <c r="S40" s="1165" t="s">
        <v>921</v>
      </c>
      <c r="T40" s="1166"/>
    </row>
    <row r="41" spans="2:24" ht="16.5">
      <c r="B41" s="1773">
        <v>44652</v>
      </c>
      <c r="C41" s="1774">
        <v>1813.4520000000002</v>
      </c>
      <c r="D41"/>
      <c r="N41" s="97"/>
      <c r="O41" s="97"/>
      <c r="P41" s="97"/>
      <c r="Q41" s="97"/>
      <c r="R41" s="97"/>
      <c r="S41" s="1163" t="s">
        <v>524</v>
      </c>
      <c r="T41" s="1164"/>
    </row>
    <row r="42" spans="2:24" ht="16.5">
      <c r="B42" s="1773">
        <v>44682</v>
      </c>
      <c r="C42" s="1774">
        <v>1824.59</v>
      </c>
      <c r="D42"/>
      <c r="N42" s="97"/>
      <c r="O42" s="97"/>
      <c r="P42" s="97"/>
      <c r="Q42" s="97"/>
      <c r="R42" s="97"/>
      <c r="S42" s="1165" t="s">
        <v>922</v>
      </c>
      <c r="T42" s="1166"/>
    </row>
    <row r="43" spans="2:24" ht="16.5">
      <c r="B43" s="1773">
        <v>44713</v>
      </c>
      <c r="C43" s="1774">
        <v>1699.1349999999998</v>
      </c>
      <c r="D43"/>
      <c r="N43" s="97"/>
      <c r="O43" s="97"/>
      <c r="P43" s="97"/>
      <c r="Q43" s="97"/>
      <c r="R43" s="97"/>
      <c r="S43" s="1131" t="s">
        <v>875</v>
      </c>
      <c r="T43" s="1132" t="s">
        <v>876</v>
      </c>
    </row>
    <row r="44" spans="2:24" ht="16.5">
      <c r="B44" s="1773">
        <v>44743</v>
      </c>
      <c r="C44" s="1774">
        <v>1867.3720000000003</v>
      </c>
      <c r="D44"/>
      <c r="S44" s="662" t="s">
        <v>538</v>
      </c>
      <c r="T44" s="663" t="s">
        <v>909</v>
      </c>
    </row>
    <row r="45" spans="2:24" ht="16.5">
      <c r="B45" s="1773">
        <v>44774</v>
      </c>
      <c r="C45" s="1774">
        <v>1860.663</v>
      </c>
      <c r="D45"/>
      <c r="S45" s="1131" t="s">
        <v>875</v>
      </c>
      <c r="T45" s="1132" t="s">
        <v>876</v>
      </c>
    </row>
    <row r="46" spans="2:24" ht="16.5">
      <c r="B46" s="1773" t="s">
        <v>923</v>
      </c>
      <c r="C46" s="1774">
        <v>22003.468000000001</v>
      </c>
      <c r="D46"/>
      <c r="S46" s="662" t="s">
        <v>535</v>
      </c>
      <c r="T46" s="663" t="s">
        <v>909</v>
      </c>
    </row>
    <row r="47" spans="2:24" ht="16.5">
      <c r="B47"/>
      <c r="C47"/>
      <c r="D47"/>
      <c r="S47" s="1131" t="s">
        <v>875</v>
      </c>
      <c r="T47" s="1132" t="s">
        <v>876</v>
      </c>
    </row>
    <row r="48" spans="2:24" ht="16.5">
      <c r="B48"/>
      <c r="C48"/>
      <c r="D48"/>
      <c r="S48" s="662" t="s">
        <v>537</v>
      </c>
      <c r="T48" s="663" t="s">
        <v>909</v>
      </c>
    </row>
    <row r="49" spans="2:21" ht="16.5">
      <c r="B49"/>
      <c r="C49"/>
      <c r="D49"/>
      <c r="S49" s="1131" t="s">
        <v>875</v>
      </c>
      <c r="T49" s="1132" t="s">
        <v>876</v>
      </c>
    </row>
    <row r="50" spans="2:21" ht="16.5">
      <c r="B50"/>
      <c r="C50"/>
      <c r="D50"/>
      <c r="S50" s="662" t="s">
        <v>533</v>
      </c>
      <c r="T50" s="663" t="s">
        <v>909</v>
      </c>
    </row>
    <row r="51" spans="2:21" ht="16.5">
      <c r="B51"/>
      <c r="C51"/>
      <c r="S51" s="1131" t="s">
        <v>875</v>
      </c>
      <c r="T51" s="1132" t="s">
        <v>876</v>
      </c>
    </row>
    <row r="52" spans="2:21" ht="16.5">
      <c r="B52"/>
      <c r="C52"/>
      <c r="S52" s="662" t="s">
        <v>880</v>
      </c>
      <c r="T52" s="663" t="s">
        <v>909</v>
      </c>
    </row>
    <row r="53" spans="2:21" ht="16.5">
      <c r="B53"/>
      <c r="C53"/>
      <c r="S53" s="1131" t="s">
        <v>875</v>
      </c>
      <c r="T53" s="1132" t="s">
        <v>876</v>
      </c>
    </row>
    <row r="54" spans="2:21" ht="14.25">
      <c r="S54" s="662" t="s">
        <v>897</v>
      </c>
      <c r="T54" s="663" t="s">
        <v>909</v>
      </c>
    </row>
    <row r="55" spans="2:21" ht="14.25"/>
    <row r="56" spans="2:21" ht="14.25"/>
    <row r="57" spans="2:21" ht="14.25"/>
    <row r="58" spans="2:21" ht="14.25">
      <c r="B58" s="111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4" t="s">
        <v>924</v>
      </c>
      <c r="K61" s="68"/>
    </row>
    <row r="62" spans="2:21" ht="14.25">
      <c r="B62" s="1167" t="s">
        <v>925</v>
      </c>
      <c r="C62" s="1167"/>
      <c r="D62" s="1167" t="s">
        <v>888</v>
      </c>
      <c r="E62" s="1167" t="s">
        <v>49</v>
      </c>
      <c r="F62" s="1167" t="s">
        <v>891</v>
      </c>
      <c r="G62" s="1167" t="s">
        <v>47</v>
      </c>
      <c r="H62" s="1167" t="s">
        <v>41</v>
      </c>
      <c r="I62" s="1167" t="s">
        <v>40</v>
      </c>
      <c r="J62" s="1167" t="s">
        <v>112</v>
      </c>
      <c r="K62" s="1167" t="s">
        <v>926</v>
      </c>
      <c r="L62" s="1167" t="s">
        <v>927</v>
      </c>
      <c r="M62" s="1167" t="s">
        <v>928</v>
      </c>
      <c r="N62" s="1167" t="s">
        <v>929</v>
      </c>
      <c r="O62" s="1167" t="s">
        <v>930</v>
      </c>
      <c r="P62" s="1167" t="s">
        <v>931</v>
      </c>
      <c r="Q62" s="1167" t="s">
        <v>932</v>
      </c>
      <c r="R62" s="1167" t="s">
        <v>933</v>
      </c>
      <c r="S62" s="1167" t="s">
        <v>2029</v>
      </c>
      <c r="T62" s="1167" t="s">
        <v>1053</v>
      </c>
      <c r="U62" s="1167" t="s">
        <v>2085</v>
      </c>
    </row>
    <row r="63" spans="2:21" ht="14.25">
      <c r="B63" s="118">
        <f t="shared" ref="B63:B73" si="3">DATE(YEAR(B64),MONTH(B64)-1,1)</f>
        <v>44440</v>
      </c>
      <c r="C63" s="103"/>
      <c r="D63" s="103">
        <f t="shared" ref="D63:U74" ca="1" si="4">DSUM(MercadoBase,D$62,INDIRECT("P"&amp;5+2*(ROW()-65)&amp;":P"&amp;6+2*(ROW()-65)))</f>
        <v>0</v>
      </c>
      <c r="E63" s="103">
        <f t="shared" ca="1" si="4"/>
        <v>0</v>
      </c>
      <c r="F63" s="103">
        <f t="shared" ca="1" si="4"/>
        <v>0</v>
      </c>
      <c r="G63" s="103">
        <f t="shared" ca="1" si="4"/>
        <v>16389.947270017368</v>
      </c>
      <c r="H63" s="103">
        <f t="shared" ca="1" si="4"/>
        <v>97074.084121337306</v>
      </c>
      <c r="I63" s="103">
        <f t="shared" ca="1" si="4"/>
        <v>2624.8806717100633</v>
      </c>
      <c r="J63" s="103">
        <f t="shared" ca="1" si="4"/>
        <v>0</v>
      </c>
      <c r="K63" s="103">
        <f t="shared" ca="1" si="4"/>
        <v>0</v>
      </c>
      <c r="L63" s="103">
        <f t="shared" ca="1" si="4"/>
        <v>0</v>
      </c>
      <c r="M63" s="103">
        <f t="shared" ca="1" si="4"/>
        <v>0</v>
      </c>
      <c r="N63" s="103">
        <f t="shared" ca="1" si="4"/>
        <v>10034.452844399999</v>
      </c>
      <c r="O63" s="103">
        <f t="shared" ca="1" si="4"/>
        <v>8942.1009899999954</v>
      </c>
      <c r="P63" s="103">
        <f t="shared" ca="1" si="4"/>
        <v>0</v>
      </c>
      <c r="Q63" s="103">
        <f t="shared" ca="1" si="4"/>
        <v>3643.6836000000003</v>
      </c>
      <c r="R63" s="103">
        <f t="shared" ca="1" si="4"/>
        <v>595993.98631950025</v>
      </c>
      <c r="S63" s="103">
        <f ca="1">DSUM(MercadoBase,S$62,INDIRECT("P"&amp;5+2*(ROW()-65)&amp;":P"&amp;6+2*(ROW()-65)))</f>
        <v>45773.752051720585</v>
      </c>
      <c r="T63" s="103">
        <f t="shared" ca="1" si="4"/>
        <v>-217478.27591853769</v>
      </c>
      <c r="U63" s="103">
        <f t="shared" ca="1" si="4"/>
        <v>0</v>
      </c>
    </row>
    <row r="64" spans="2:21" ht="14.25">
      <c r="B64" s="118">
        <f t="shared" si="3"/>
        <v>44470</v>
      </c>
      <c r="C64" s="103"/>
      <c r="D64" s="103">
        <f t="shared" ca="1" si="4"/>
        <v>0</v>
      </c>
      <c r="E64" s="103">
        <f t="shared" ca="1" si="4"/>
        <v>0</v>
      </c>
      <c r="F64" s="103">
        <f t="shared" ca="1" si="4"/>
        <v>0</v>
      </c>
      <c r="G64" s="103">
        <f t="shared" ca="1" si="4"/>
        <v>15839.628459639782</v>
      </c>
      <c r="H64" s="103">
        <f t="shared" ca="1" si="4"/>
        <v>93844.683956751629</v>
      </c>
      <c r="I64" s="103">
        <f t="shared" ca="1" si="4"/>
        <v>2536.3881389933595</v>
      </c>
      <c r="J64" s="103">
        <f t="shared" ca="1" si="4"/>
        <v>0</v>
      </c>
      <c r="K64" s="103">
        <f t="shared" ca="1" si="4"/>
        <v>0</v>
      </c>
      <c r="L64" s="103">
        <f t="shared" ca="1" si="4"/>
        <v>0</v>
      </c>
      <c r="M64" s="103">
        <f t="shared" ca="1" si="4"/>
        <v>0</v>
      </c>
      <c r="N64" s="103">
        <f t="shared" ca="1" si="4"/>
        <v>10095.494582400002</v>
      </c>
      <c r="O64" s="103">
        <f t="shared" ca="1" si="4"/>
        <v>8725.107909999997</v>
      </c>
      <c r="P64" s="103">
        <f t="shared" ca="1" si="4"/>
        <v>0</v>
      </c>
      <c r="Q64" s="103">
        <f t="shared" ca="1" si="4"/>
        <v>3458.3436599999995</v>
      </c>
      <c r="R64" s="103">
        <f t="shared" ca="1" si="4"/>
        <v>553213.20703395712</v>
      </c>
      <c r="S64" s="103">
        <f t="shared" ca="1" si="4"/>
        <v>44250.979380234334</v>
      </c>
      <c r="T64" s="103">
        <f t="shared" ca="1" si="4"/>
        <v>-201867.56451031251</v>
      </c>
      <c r="U64" s="103">
        <f t="shared" ca="1" si="4"/>
        <v>0</v>
      </c>
    </row>
    <row r="65" spans="2:21" ht="14.25">
      <c r="B65" s="118">
        <f t="shared" si="3"/>
        <v>44501</v>
      </c>
      <c r="C65" s="103"/>
      <c r="D65" s="103">
        <f t="shared" ca="1" si="4"/>
        <v>0</v>
      </c>
      <c r="E65" s="103">
        <f t="shared" ca="1" si="4"/>
        <v>0</v>
      </c>
      <c r="F65" s="103">
        <f t="shared" ca="1" si="4"/>
        <v>0</v>
      </c>
      <c r="G65" s="103">
        <f t="shared" ca="1" si="4"/>
        <v>16287.711370906691</v>
      </c>
      <c r="H65" s="103">
        <f t="shared" ca="1" si="4"/>
        <v>96562.880017905845</v>
      </c>
      <c r="I65" s="103">
        <f t="shared" ca="1" si="4"/>
        <v>2610.5450545903268</v>
      </c>
      <c r="J65" s="103">
        <f t="shared" ca="1" si="4"/>
        <v>0</v>
      </c>
      <c r="K65" s="103">
        <f t="shared" ca="1" si="4"/>
        <v>0</v>
      </c>
      <c r="L65" s="103">
        <f t="shared" ca="1" si="4"/>
        <v>0</v>
      </c>
      <c r="M65" s="103">
        <f t="shared" ca="1" si="4"/>
        <v>0</v>
      </c>
      <c r="N65" s="103">
        <f t="shared" ca="1" si="4"/>
        <v>9852.4340273999951</v>
      </c>
      <c r="O65" s="103">
        <f t="shared" ca="1" si="4"/>
        <v>9134.2268599999952</v>
      </c>
      <c r="P65" s="103">
        <f t="shared" ca="1" si="4"/>
        <v>0</v>
      </c>
      <c r="Q65" s="103">
        <f t="shared" ca="1" si="4"/>
        <v>3466.3047100000003</v>
      </c>
      <c r="R65" s="103">
        <f t="shared" ca="1" si="4"/>
        <v>582794.70926663373</v>
      </c>
      <c r="S65" s="103">
        <f t="shared" ca="1" si="4"/>
        <v>45532.701826110977</v>
      </c>
      <c r="T65" s="103">
        <f t="shared" ca="1" si="4"/>
        <v>-212661.85816480263</v>
      </c>
      <c r="U65" s="103">
        <f t="shared" ca="1" si="4"/>
        <v>0</v>
      </c>
    </row>
    <row r="66" spans="2:21" ht="14.25">
      <c r="B66" s="118">
        <f t="shared" si="3"/>
        <v>44531</v>
      </c>
      <c r="C66" s="103"/>
      <c r="D66" s="103">
        <f ca="1">DSUM(MercadoBase,D$62,INDIRECT("P"&amp;5+2*(ROW()-65)&amp;":P"&amp;6+2*(ROW()-65)))</f>
        <v>0</v>
      </c>
      <c r="E66" s="103">
        <f t="shared" ca="1" si="4"/>
        <v>0</v>
      </c>
      <c r="F66" s="103">
        <f t="shared" ca="1" si="4"/>
        <v>0</v>
      </c>
      <c r="G66" s="103">
        <f t="shared" ca="1" si="4"/>
        <v>17521.583408706374</v>
      </c>
      <c r="H66" s="103">
        <f t="shared" ca="1" si="4"/>
        <v>103690.46861056708</v>
      </c>
      <c r="I66" s="103">
        <f t="shared" ca="1" si="4"/>
        <v>2801.6317567817605</v>
      </c>
      <c r="J66" s="103">
        <f t="shared" ca="1" si="4"/>
        <v>0</v>
      </c>
      <c r="K66" s="103">
        <f t="shared" ca="1" si="4"/>
        <v>0</v>
      </c>
      <c r="L66" s="103">
        <f t="shared" ca="1" si="4"/>
        <v>0</v>
      </c>
      <c r="M66" s="103">
        <f t="shared" ca="1" si="4"/>
        <v>0</v>
      </c>
      <c r="N66" s="103">
        <f t="shared" ca="1" si="4"/>
        <v>10475.127152999996</v>
      </c>
      <c r="O66" s="103">
        <f t="shared" ca="1" si="4"/>
        <v>9558.610829999996</v>
      </c>
      <c r="P66" s="103">
        <f t="shared" ca="1" si="4"/>
        <v>0</v>
      </c>
      <c r="Q66" s="103">
        <f t="shared" ca="1" si="4"/>
        <v>3626.6404299999999</v>
      </c>
      <c r="R66" s="103">
        <f t="shared" ca="1" si="4"/>
        <v>631846.24550982704</v>
      </c>
      <c r="S66" s="103">
        <f t="shared" ca="1" si="4"/>
        <v>48893.603717900616</v>
      </c>
      <c r="T66" s="103">
        <f t="shared" ca="1" si="4"/>
        <v>-230560.76952664755</v>
      </c>
      <c r="U66" s="103">
        <f t="shared" ca="1" si="4"/>
        <v>0</v>
      </c>
    </row>
    <row r="67" spans="2:21" ht="14.25">
      <c r="B67" s="118">
        <f t="shared" si="3"/>
        <v>44562</v>
      </c>
      <c r="C67" s="103"/>
      <c r="D67" s="103">
        <f ca="1">DSUM(MercadoBase,D$62,INDIRECT("P"&amp;5+2*(ROW()-65)&amp;":P"&amp;6+2*(ROW()-65)))</f>
        <v>0</v>
      </c>
      <c r="E67" s="103">
        <f ca="1">DSUM(MercadoBase,E$62,INDIRECT("P"&amp;5+2*(ROW()-65)&amp;":P"&amp;6+2*(ROW()-65)))</f>
        <v>0</v>
      </c>
      <c r="F67" s="103">
        <f t="shared" ca="1" si="4"/>
        <v>0</v>
      </c>
      <c r="G67" s="103">
        <f t="shared" ca="1" si="4"/>
        <v>18472.970264704829</v>
      </c>
      <c r="H67" s="103">
        <f t="shared" ca="1" si="4"/>
        <v>110083.34630682867</v>
      </c>
      <c r="I67" s="103">
        <f t="shared" ca="1" si="4"/>
        <v>2987.3056065961473</v>
      </c>
      <c r="J67" s="103">
        <f t="shared" ca="1" si="4"/>
        <v>0</v>
      </c>
      <c r="K67" s="103">
        <f t="shared" ca="1" si="4"/>
        <v>0</v>
      </c>
      <c r="L67" s="103">
        <f t="shared" ca="1" si="4"/>
        <v>0</v>
      </c>
      <c r="M67" s="103">
        <f t="shared" ca="1" si="4"/>
        <v>0</v>
      </c>
      <c r="N67" s="103">
        <f t="shared" ca="1" si="4"/>
        <v>9430.8489708000088</v>
      </c>
      <c r="O67" s="103">
        <f t="shared" ca="1" si="4"/>
        <v>11108.010359999997</v>
      </c>
      <c r="P67" s="103">
        <f t="shared" ca="1" si="4"/>
        <v>0</v>
      </c>
      <c r="Q67" s="103">
        <f t="shared" ca="1" si="4"/>
        <v>3660.6077099999998</v>
      </c>
      <c r="R67" s="103">
        <f t="shared" ca="1" si="4"/>
        <v>640852.94157648645</v>
      </c>
      <c r="S67" s="103">
        <f t="shared" ca="1" si="4"/>
        <v>51908.064283914144</v>
      </c>
      <c r="T67" s="103">
        <f t="shared" ca="1" si="4"/>
        <v>-233847.31398390874</v>
      </c>
      <c r="U67" s="103">
        <f t="shared" ca="1" si="4"/>
        <v>0</v>
      </c>
    </row>
    <row r="68" spans="2:21" ht="14.25">
      <c r="B68" s="118">
        <f t="shared" si="3"/>
        <v>44593</v>
      </c>
      <c r="C68" s="103"/>
      <c r="D68" s="103">
        <f t="shared" ca="1" si="4"/>
        <v>0</v>
      </c>
      <c r="E68" s="103">
        <f t="shared" ca="1" si="4"/>
        <v>0</v>
      </c>
      <c r="F68" s="103">
        <f t="shared" ca="1" si="4"/>
        <v>0</v>
      </c>
      <c r="G68" s="103">
        <f t="shared" ca="1" si="4"/>
        <v>16986.0939228549</v>
      </c>
      <c r="H68" s="103">
        <f t="shared" ca="1" si="4"/>
        <v>100958.7296709138</v>
      </c>
      <c r="I68" s="103">
        <f t="shared" ca="1" si="4"/>
        <v>2738.0694067822128</v>
      </c>
      <c r="J68" s="103">
        <f t="shared" ca="1" si="4"/>
        <v>0</v>
      </c>
      <c r="K68" s="103">
        <f t="shared" ca="1" si="4"/>
        <v>120658.26686958644</v>
      </c>
      <c r="L68" s="103">
        <f t="shared" ca="1" si="4"/>
        <v>0</v>
      </c>
      <c r="M68" s="103">
        <f t="shared" ca="1" si="4"/>
        <v>0</v>
      </c>
      <c r="N68" s="103">
        <f t="shared" ca="1" si="4"/>
        <v>8801.6577648000075</v>
      </c>
      <c r="O68" s="103">
        <f t="shared" ca="1" si="4"/>
        <v>10568.810459999993</v>
      </c>
      <c r="P68" s="103">
        <f t="shared" ca="1" si="4"/>
        <v>0</v>
      </c>
      <c r="Q68" s="103">
        <f t="shared" ca="1" si="4"/>
        <v>3742.0412500000002</v>
      </c>
      <c r="R68" s="103">
        <f t="shared" ca="1" si="4"/>
        <v>589118.14684213861</v>
      </c>
      <c r="S68" s="103">
        <f t="shared" ca="1" si="4"/>
        <v>47605.495341442234</v>
      </c>
      <c r="T68" s="103">
        <f t="shared" ca="1" si="4"/>
        <v>-214969.28128209233</v>
      </c>
      <c r="U68" s="103">
        <f t="shared" ca="1" si="4"/>
        <v>0</v>
      </c>
    </row>
    <row r="69" spans="2:21" ht="14.25">
      <c r="B69" s="118">
        <f t="shared" si="3"/>
        <v>44621</v>
      </c>
      <c r="C69" s="103"/>
      <c r="D69" s="103">
        <f t="shared" ca="1" si="4"/>
        <v>0</v>
      </c>
      <c r="E69" s="103">
        <f t="shared" ca="1" si="4"/>
        <v>0</v>
      </c>
      <c r="F69" s="103">
        <f t="shared" ca="1" si="4"/>
        <v>0</v>
      </c>
      <c r="G69" s="103">
        <f t="shared" ca="1" si="4"/>
        <v>17554.400555269614</v>
      </c>
      <c r="H69" s="103">
        <f t="shared" ca="1" si="4"/>
        <v>104455.08618980731</v>
      </c>
      <c r="I69" s="103">
        <f t="shared" ca="1" si="4"/>
        <v>2835.6320324961316</v>
      </c>
      <c r="J69" s="103">
        <f t="shared" ca="1" si="4"/>
        <v>0</v>
      </c>
      <c r="K69" s="103">
        <f t="shared" ca="1" si="4"/>
        <v>135076.94243020166</v>
      </c>
      <c r="L69" s="103">
        <f t="shared" ca="1" si="4"/>
        <v>0</v>
      </c>
      <c r="M69" s="103">
        <f t="shared" ca="1" si="4"/>
        <v>0</v>
      </c>
      <c r="N69" s="103">
        <f t="shared" ca="1" si="4"/>
        <v>8819.9645885999998</v>
      </c>
      <c r="O69" s="103">
        <f t="shared" ca="1" si="4"/>
        <v>10881.333019999996</v>
      </c>
      <c r="P69" s="103">
        <f t="shared" ca="1" si="4"/>
        <v>0</v>
      </c>
      <c r="Q69" s="103">
        <f t="shared" ca="1" si="4"/>
        <v>3806.4353900000001</v>
      </c>
      <c r="R69" s="103">
        <f t="shared" ca="1" si="4"/>
        <v>641027.50274458854</v>
      </c>
      <c r="S69" s="103">
        <f t="shared" ca="1" si="4"/>
        <v>49254.147067892773</v>
      </c>
      <c r="T69" s="103">
        <f t="shared" ca="1" si="4"/>
        <v>-233911.01137474255</v>
      </c>
      <c r="U69" s="103">
        <f t="shared" ca="1" si="4"/>
        <v>0</v>
      </c>
    </row>
    <row r="70" spans="2:21" ht="14.25">
      <c r="B70" s="118">
        <f t="shared" si="3"/>
        <v>44652</v>
      </c>
      <c r="C70" s="103"/>
      <c r="D70" s="103">
        <f t="shared" ca="1" si="4"/>
        <v>0</v>
      </c>
      <c r="E70" s="103">
        <f t="shared" ca="1" si="4"/>
        <v>0</v>
      </c>
      <c r="F70" s="103">
        <f t="shared" ca="1" si="4"/>
        <v>0</v>
      </c>
      <c r="G70" s="103">
        <f t="shared" ca="1" si="4"/>
        <v>16667.252158476746</v>
      </c>
      <c r="H70" s="103">
        <f t="shared" ca="1" si="4"/>
        <v>99147.236993810235</v>
      </c>
      <c r="I70" s="103">
        <f t="shared" ca="1" si="4"/>
        <v>2692.9254918239931</v>
      </c>
      <c r="J70" s="103">
        <f t="shared" ca="1" si="4"/>
        <v>0</v>
      </c>
      <c r="K70" s="103">
        <f t="shared" ca="1" si="4"/>
        <v>129066.96457696373</v>
      </c>
      <c r="L70" s="103">
        <f t="shared" ca="1" si="4"/>
        <v>0</v>
      </c>
      <c r="M70" s="103">
        <f t="shared" ca="1" si="4"/>
        <v>0</v>
      </c>
      <c r="N70" s="103">
        <f t="shared" ca="1" si="4"/>
        <v>9130.3374636000008</v>
      </c>
      <c r="O70" s="103">
        <f t="shared" ca="1" si="4"/>
        <v>10271.963269999995</v>
      </c>
      <c r="P70" s="103">
        <f t="shared" ca="1" si="4"/>
        <v>0</v>
      </c>
      <c r="Q70" s="103">
        <f t="shared" ca="1" si="4"/>
        <v>3921.77619</v>
      </c>
      <c r="R70" s="103">
        <f t="shared" ca="1" si="4"/>
        <v>605820.088770526</v>
      </c>
      <c r="S70" s="103">
        <f t="shared" ca="1" si="4"/>
        <v>46751.314563989799</v>
      </c>
      <c r="T70" s="103">
        <f t="shared" ca="1" si="4"/>
        <v>-221063.82186212105</v>
      </c>
      <c r="U70" s="103">
        <f t="shared" ca="1" si="4"/>
        <v>0</v>
      </c>
    </row>
    <row r="71" spans="2:21" ht="14.25">
      <c r="B71" s="118">
        <f t="shared" si="3"/>
        <v>44682</v>
      </c>
      <c r="C71" s="103"/>
      <c r="D71" s="103">
        <f t="shared" ca="1" si="4"/>
        <v>0</v>
      </c>
      <c r="E71" s="103">
        <f t="shared" ca="1" si="4"/>
        <v>0</v>
      </c>
      <c r="F71" s="103">
        <f t="shared" ca="1" si="4"/>
        <v>0</v>
      </c>
      <c r="G71" s="103">
        <f t="shared" ca="1" si="4"/>
        <v>16775.922155926946</v>
      </c>
      <c r="H71" s="103">
        <f t="shared" ca="1" si="4"/>
        <v>99385.90436126219</v>
      </c>
      <c r="I71" s="103">
        <f t="shared" ca="1" si="4"/>
        <v>2688.8236458545298</v>
      </c>
      <c r="J71" s="103">
        <f t="shared" ca="1" si="4"/>
        <v>0</v>
      </c>
      <c r="K71" s="103">
        <f t="shared" ca="1" si="4"/>
        <v>129860.73445514057</v>
      </c>
      <c r="L71" s="103">
        <f t="shared" ca="1" si="4"/>
        <v>0</v>
      </c>
      <c r="M71" s="103">
        <f t="shared" ca="1" si="4"/>
        <v>0</v>
      </c>
      <c r="N71" s="103">
        <f t="shared" ca="1" si="4"/>
        <v>9679.9781178000012</v>
      </c>
      <c r="O71" s="103">
        <f t="shared" ca="1" si="4"/>
        <v>9659.5569299999952</v>
      </c>
      <c r="P71" s="103">
        <f t="shared" ca="1" si="4"/>
        <v>0</v>
      </c>
      <c r="Q71" s="103">
        <f t="shared" ca="1" si="4"/>
        <v>3803.3067099999998</v>
      </c>
      <c r="R71" s="103">
        <f t="shared" ca="1" si="4"/>
        <v>595296.927333734</v>
      </c>
      <c r="S71" s="103">
        <f t="shared" ca="1" si="4"/>
        <v>46863.854393744245</v>
      </c>
      <c r="T71" s="103">
        <f t="shared" ca="1" si="4"/>
        <v>-217223.91901239823</v>
      </c>
      <c r="U71" s="103">
        <f t="shared" ca="1" si="4"/>
        <v>0</v>
      </c>
    </row>
    <row r="72" spans="2:21" ht="14.25">
      <c r="B72" s="118">
        <f t="shared" si="3"/>
        <v>44713</v>
      </c>
      <c r="C72" s="103"/>
      <c r="D72" s="103">
        <f t="shared" ca="1" si="4"/>
        <v>0</v>
      </c>
      <c r="E72" s="103">
        <f t="shared" ca="1" si="4"/>
        <v>0</v>
      </c>
      <c r="F72" s="103">
        <f t="shared" ca="1" si="4"/>
        <v>0</v>
      </c>
      <c r="G72" s="103">
        <f t="shared" ca="1" si="4"/>
        <v>15498.124616708421</v>
      </c>
      <c r="H72" s="103">
        <f t="shared" ca="1" si="4"/>
        <v>91529.059879391047</v>
      </c>
      <c r="I72" s="103">
        <f t="shared" ca="1" si="4"/>
        <v>2493.2865342298301</v>
      </c>
      <c r="J72" s="103">
        <f t="shared" ca="1" si="4"/>
        <v>0</v>
      </c>
      <c r="K72" s="103">
        <f t="shared" ca="1" si="4"/>
        <v>130574.4658057763</v>
      </c>
      <c r="L72" s="103">
        <f t="shared" ca="1" si="4"/>
        <v>0</v>
      </c>
      <c r="M72" s="103">
        <f t="shared" ca="1" si="4"/>
        <v>0</v>
      </c>
      <c r="N72" s="103">
        <f t="shared" ca="1" si="4"/>
        <v>8884.9449329999989</v>
      </c>
      <c r="O72" s="103">
        <f t="shared" ca="1" si="4"/>
        <v>7870.7592099999974</v>
      </c>
      <c r="P72" s="103">
        <f t="shared" ca="1" si="4"/>
        <v>0</v>
      </c>
      <c r="Q72" s="103">
        <f t="shared" ca="1" si="4"/>
        <v>6433.6790200000005</v>
      </c>
      <c r="R72" s="103">
        <f t="shared" ca="1" si="4"/>
        <v>570573.95659804414</v>
      </c>
      <c r="S72" s="103">
        <f t="shared" ca="1" si="4"/>
        <v>43159.083398711497</v>
      </c>
      <c r="T72" s="103">
        <f t="shared" ca="1" si="4"/>
        <v>-208202.50407432875</v>
      </c>
      <c r="U72" s="103">
        <f t="shared" ca="1" si="4"/>
        <v>0</v>
      </c>
    </row>
    <row r="73" spans="2:21" ht="14.25">
      <c r="B73" s="118">
        <f t="shared" si="3"/>
        <v>44743</v>
      </c>
      <c r="C73" s="103"/>
      <c r="D73" s="103">
        <f t="shared" ca="1" si="4"/>
        <v>0</v>
      </c>
      <c r="E73" s="103">
        <f t="shared" ca="1" si="4"/>
        <v>0</v>
      </c>
      <c r="F73" s="103">
        <f t="shared" ca="1" si="4"/>
        <v>0</v>
      </c>
      <c r="G73" s="103">
        <f t="shared" ca="1" si="4"/>
        <v>17095.56248027736</v>
      </c>
      <c r="H73" s="103">
        <f t="shared" ca="1" si="4"/>
        <v>100781.10872108601</v>
      </c>
      <c r="I73" s="103">
        <f t="shared" ca="1" si="4"/>
        <v>2733.1569615376084</v>
      </c>
      <c r="J73" s="103">
        <f t="shared" ca="1" si="4"/>
        <v>0</v>
      </c>
      <c r="K73" s="103">
        <f t="shared" ca="1" si="4"/>
        <v>138450.03325353673</v>
      </c>
      <c r="L73" s="103">
        <f t="shared" ca="1" si="4"/>
        <v>0</v>
      </c>
      <c r="M73" s="103">
        <f t="shared" ca="1" si="4"/>
        <v>0</v>
      </c>
      <c r="N73" s="103">
        <f t="shared" ca="1" si="4"/>
        <v>9416.845998599998</v>
      </c>
      <c r="O73" s="103">
        <f t="shared" ca="1" si="4"/>
        <v>8300.1494499999972</v>
      </c>
      <c r="P73" s="103">
        <f t="shared" ca="1" si="4"/>
        <v>0</v>
      </c>
      <c r="Q73" s="103">
        <f t="shared" ca="1" si="4"/>
        <v>6262.9068900000002</v>
      </c>
      <c r="R73" s="103">
        <f t="shared" ca="1" si="4"/>
        <v>588290.25088987825</v>
      </c>
      <c r="S73" s="103">
        <f t="shared" ca="1" si="4"/>
        <v>47521.740986299978</v>
      </c>
      <c r="T73" s="103">
        <f t="shared" ca="1" si="4"/>
        <v>-214667.18195144419</v>
      </c>
      <c r="U73" s="103">
        <f t="shared" ca="1" si="4"/>
        <v>0</v>
      </c>
    </row>
    <row r="74" spans="2:21" ht="14.25">
      <c r="B74" s="118">
        <f>SAS_RA0_DataFim</f>
        <v>44774</v>
      </c>
      <c r="C74" s="103"/>
      <c r="D74" s="103">
        <f t="shared" ca="1" si="4"/>
        <v>0</v>
      </c>
      <c r="E74" s="103">
        <f t="shared" ca="1" si="4"/>
        <v>0</v>
      </c>
      <c r="F74" s="103">
        <f t="shared" ca="1" si="4"/>
        <v>0</v>
      </c>
      <c r="G74" s="103">
        <f t="shared" ca="1" si="4"/>
        <v>17074.502694907598</v>
      </c>
      <c r="H74" s="103">
        <f t="shared" ca="1" si="4"/>
        <v>100783.53709090495</v>
      </c>
      <c r="I74" s="103">
        <f t="shared" ca="1" si="4"/>
        <v>2727.6198392430056</v>
      </c>
      <c r="J74" s="103">
        <f t="shared" ca="1" si="4"/>
        <v>0</v>
      </c>
      <c r="K74" s="103">
        <f t="shared" ca="1" si="4"/>
        <v>137388.60728401644</v>
      </c>
      <c r="L74" s="103">
        <f t="shared" ca="1" si="4"/>
        <v>0</v>
      </c>
      <c r="M74" s="103">
        <f t="shared" ca="1" si="4"/>
        <v>0</v>
      </c>
      <c r="N74" s="103">
        <f t="shared" ca="1" si="4"/>
        <v>9596.4972204000114</v>
      </c>
      <c r="O74" s="103">
        <f t="shared" ca="1" si="4"/>
        <v>8561.5423999999966</v>
      </c>
      <c r="P74" s="103">
        <f t="shared" ca="1" si="4"/>
        <v>0</v>
      </c>
      <c r="Q74" s="103">
        <f t="shared" ca="1" si="4"/>
        <v>4983.4273599999997</v>
      </c>
      <c r="R74" s="103">
        <f t="shared" ca="1" si="4"/>
        <v>604468.25171055202</v>
      </c>
      <c r="S74" s="103">
        <f t="shared" ca="1" si="4"/>
        <v>47522.886045756248</v>
      </c>
      <c r="T74" s="103">
        <f t="shared" ca="1" si="4"/>
        <v>-220570.53635945776</v>
      </c>
      <c r="U74" s="103">
        <f t="shared" ca="1" si="4"/>
        <v>0</v>
      </c>
    </row>
    <row r="75" spans="2:21" ht="14.25">
      <c r="B75" s="1168" t="s">
        <v>934</v>
      </c>
      <c r="C75" s="1169"/>
      <c r="D75" s="1169">
        <f t="shared" ref="D75:Q75" ca="1" si="5">SUM(D63:D74)</f>
        <v>0</v>
      </c>
      <c r="E75" s="1169">
        <f t="shared" ca="1" si="5"/>
        <v>0</v>
      </c>
      <c r="F75" s="1169">
        <f t="shared" ca="1" si="5"/>
        <v>0</v>
      </c>
      <c r="G75" s="1169">
        <f t="shared" ca="1" si="5"/>
        <v>202163.69935839661</v>
      </c>
      <c r="H75" s="1169">
        <f t="shared" ca="1" si="5"/>
        <v>1198296.1259205663</v>
      </c>
      <c r="I75" s="1169">
        <f t="shared" ca="1" si="5"/>
        <v>32470.265140638967</v>
      </c>
      <c r="J75" s="1169">
        <f t="shared" ca="1" si="5"/>
        <v>0</v>
      </c>
      <c r="K75" s="1169">
        <f t="shared" ca="1" si="5"/>
        <v>921076.01467522187</v>
      </c>
      <c r="L75" s="1169">
        <f t="shared" ca="1" si="5"/>
        <v>0</v>
      </c>
      <c r="M75" s="1169">
        <f t="shared" ca="1" si="5"/>
        <v>0</v>
      </c>
      <c r="N75" s="1169">
        <f t="shared" ca="1" si="5"/>
        <v>114218.58366480001</v>
      </c>
      <c r="O75" s="1169">
        <f t="shared" ca="1" si="5"/>
        <v>113582.17168999994</v>
      </c>
      <c r="P75" s="1169">
        <f t="shared" ca="1" si="5"/>
        <v>0</v>
      </c>
      <c r="Q75" s="1169">
        <f t="shared" ca="1" si="5"/>
        <v>50809.15292</v>
      </c>
      <c r="R75" s="1169">
        <f t="shared" ref="R75:S75" ca="1" si="6">SUM(R63:R74)</f>
        <v>7199296.2145958664</v>
      </c>
      <c r="S75" s="1169">
        <f t="shared" ca="1" si="6"/>
        <v>565037.62305771746</v>
      </c>
      <c r="T75" s="1169">
        <f t="shared" ref="T75:U75" ca="1" si="7">SUM(T63:T74)</f>
        <v>-2627024.0380207938</v>
      </c>
      <c r="U75" s="1169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4" t="s">
        <v>935</v>
      </c>
    </row>
    <row r="78" spans="2:21" ht="14.25">
      <c r="J78" s="94" t="s">
        <v>936</v>
      </c>
      <c r="K78" s="1170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171" t="s">
        <v>937</v>
      </c>
      <c r="C79" s="1172">
        <f t="shared" ref="C79:C84" ca="1" si="8">SUM(INDIRECT("dados_MercadoBase["&amp;B79&amp;"]"))</f>
        <v>3109222.8824863331</v>
      </c>
      <c r="J79" s="94" t="s">
        <v>938</v>
      </c>
      <c r="K79" s="1173"/>
      <c r="L79" s="1173"/>
      <c r="M79" s="1173">
        <f>SUMIFS(M63:M74,$B$63:$B$74,42826)</f>
        <v>0</v>
      </c>
      <c r="N79" s="1173">
        <f>SUMIFS(N63:N74,$B$63:$B$74,42826)</f>
        <v>0</v>
      </c>
      <c r="O79" s="1173">
        <f>SUMIFS(O63:O74,$B$63:$B$74,42826)</f>
        <v>0</v>
      </c>
      <c r="P79" s="1173">
        <f>SUMIFS(P63:P74,$B$63:$B$74,42826)</f>
        <v>0</v>
      </c>
      <c r="Q79" s="1173">
        <f>SUMIFS(Q63:Q74,$B$63:$B$74,42826)</f>
        <v>0</v>
      </c>
    </row>
    <row r="80" spans="2:21" ht="14.25">
      <c r="B80" s="117" t="s">
        <v>939</v>
      </c>
      <c r="C80" s="103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7" t="s">
        <v>940</v>
      </c>
      <c r="C81" s="103">
        <f t="shared" ca="1" si="8"/>
        <v>0</v>
      </c>
      <c r="D81" s="94"/>
      <c r="E81" s="94"/>
      <c r="F81" s="94"/>
      <c r="G81" s="94"/>
      <c r="H81" s="94"/>
      <c r="I81" s="94"/>
      <c r="J81" s="94"/>
      <c r="K81" s="94"/>
      <c r="L81" s="94"/>
      <c r="M81" s="94"/>
    </row>
    <row r="82" spans="2:13" ht="14.25">
      <c r="B82" s="117" t="s">
        <v>941</v>
      </c>
      <c r="C82" s="103">
        <f t="shared" ca="1" si="8"/>
        <v>0</v>
      </c>
    </row>
    <row r="83" spans="2:13" ht="14.25">
      <c r="B83" s="117" t="s">
        <v>942</v>
      </c>
      <c r="C83" s="103">
        <f t="shared" ca="1" si="8"/>
        <v>427681.71706241765</v>
      </c>
    </row>
    <row r="84" spans="2:13" ht="14.25">
      <c r="B84" s="117" t="s">
        <v>941</v>
      </c>
      <c r="C84" s="103">
        <f t="shared" ca="1" si="8"/>
        <v>0</v>
      </c>
    </row>
    <row r="85" spans="2:13" ht="14.25">
      <c r="B85" s="1174"/>
      <c r="C85" s="1175"/>
    </row>
    <row r="86" spans="2:13" ht="14.25"/>
    <row r="87" spans="2:13" ht="14.25">
      <c r="B87" s="1171" t="s">
        <v>943</v>
      </c>
      <c r="C87" s="1172">
        <f t="shared" ref="C87:C97" ca="1" si="9">SUM(INDIRECT("dados_MercadoBase["&amp;B87&amp;"]"))</f>
        <v>0</v>
      </c>
    </row>
    <row r="88" spans="2:13" ht="14.25">
      <c r="B88" s="117" t="s">
        <v>944</v>
      </c>
      <c r="C88" s="103">
        <f t="shared" ca="1" si="9"/>
        <v>0</v>
      </c>
    </row>
    <row r="89" spans="2:13" ht="14.25">
      <c r="B89" s="117" t="s">
        <v>945</v>
      </c>
      <c r="C89" s="103">
        <f t="shared" ca="1" si="9"/>
        <v>0</v>
      </c>
    </row>
    <row r="90" spans="2:13" ht="14.25">
      <c r="B90" s="117" t="s">
        <v>946</v>
      </c>
      <c r="C90" s="103">
        <f t="shared" ca="1" si="9"/>
        <v>0</v>
      </c>
    </row>
    <row r="91" spans="2:13" ht="14.25">
      <c r="B91" s="117" t="s">
        <v>947</v>
      </c>
      <c r="C91" s="103">
        <f t="shared" ca="1" si="9"/>
        <v>0</v>
      </c>
    </row>
    <row r="92" spans="2:13" ht="14.25">
      <c r="B92" s="117" t="s">
        <v>948</v>
      </c>
      <c r="C92" s="103">
        <f t="shared" ca="1" si="9"/>
        <v>0</v>
      </c>
      <c r="G92" s="104"/>
    </row>
    <row r="93" spans="2:13" ht="14.25">
      <c r="B93" s="117" t="s">
        <v>949</v>
      </c>
      <c r="C93" s="103">
        <f t="shared" ca="1" si="9"/>
        <v>0</v>
      </c>
      <c r="E93" s="105"/>
      <c r="G93" s="79"/>
    </row>
    <row r="94" spans="2:13" ht="14.25">
      <c r="B94" s="117" t="s">
        <v>950</v>
      </c>
      <c r="C94" s="103">
        <f t="shared" ca="1" si="9"/>
        <v>0</v>
      </c>
      <c r="E94" s="105"/>
      <c r="G94" s="105"/>
    </row>
    <row r="95" spans="2:13" ht="14.25">
      <c r="B95" s="117" t="s">
        <v>951</v>
      </c>
      <c r="C95" s="103">
        <f t="shared" ca="1" si="9"/>
        <v>0</v>
      </c>
      <c r="E95" s="105"/>
      <c r="G95" s="105"/>
    </row>
    <row r="96" spans="2:13" ht="14.25">
      <c r="B96" s="117" t="s">
        <v>952</v>
      </c>
      <c r="C96" s="103">
        <f ca="1">SUM(INDIRECT("dados_MercadoBase["&amp;B96&amp;"]"))</f>
        <v>2044287.8320509181</v>
      </c>
      <c r="E96" s="105"/>
      <c r="G96" s="105"/>
    </row>
    <row r="97" spans="1:7" ht="14.25">
      <c r="B97" s="1174" t="s">
        <v>953</v>
      </c>
      <c r="C97" s="1175">
        <f t="shared" ca="1" si="9"/>
        <v>7199296.2145958655</v>
      </c>
      <c r="E97" s="105"/>
      <c r="G97" s="106"/>
    </row>
    <row r="98" spans="1:7" ht="12.75" customHeight="1">
      <c r="E98" s="105"/>
      <c r="G98" s="105"/>
    </row>
    <row r="99" spans="1:7" ht="12.75" customHeight="1">
      <c r="A99" s="230"/>
      <c r="B99" s="230"/>
      <c r="C99" s="230"/>
      <c r="D99" s="231"/>
      <c r="E99" s="105"/>
      <c r="G99" s="250"/>
    </row>
    <row r="100" spans="1:7" ht="12.75" customHeight="1">
      <c r="A100" s="230"/>
      <c r="B100" s="229" t="s">
        <v>954</v>
      </c>
      <c r="C100" s="229"/>
      <c r="D100" s="230"/>
      <c r="E100" s="105"/>
      <c r="G100" s="250"/>
    </row>
    <row r="101" spans="1:7" ht="12.75" customHeight="1">
      <c r="A101" s="230"/>
      <c r="B101" s="1163" t="s">
        <v>955</v>
      </c>
      <c r="C101" s="1164" t="s">
        <v>874</v>
      </c>
      <c r="D101" s="230"/>
    </row>
    <row r="102" spans="1:7" ht="12.75" customHeight="1">
      <c r="A102" s="230"/>
      <c r="B102" s="1165" t="s">
        <v>956</v>
      </c>
      <c r="C102" s="1176">
        <f>SAS_RA0_DataFim</f>
        <v>44774</v>
      </c>
      <c r="D102" s="230"/>
    </row>
    <row r="103" spans="1:7" ht="12.75" customHeight="1">
      <c r="A103" s="230"/>
      <c r="B103" s="230"/>
      <c r="C103" s="230"/>
      <c r="D103" s="230"/>
      <c r="G103" s="248"/>
    </row>
    <row r="104" spans="1:7" ht="12.75" customHeight="1">
      <c r="G104" s="249"/>
    </row>
    <row r="105" spans="1:7" ht="12.75" customHeight="1">
      <c r="E105" s="107"/>
      <c r="G105" s="108"/>
    </row>
    <row r="106" spans="1:7" ht="12.75" customHeight="1">
      <c r="E106" s="107"/>
      <c r="G106" s="109"/>
    </row>
    <row r="107" spans="1:7" ht="12.75" customHeight="1">
      <c r="E107" s="107"/>
    </row>
    <row r="108" spans="1:7" ht="12.75" customHeight="1">
      <c r="E108" s="107"/>
    </row>
    <row r="109" spans="1:7" ht="12.75" customHeight="1">
      <c r="B109" s="94" t="s">
        <v>957</v>
      </c>
      <c r="E109" s="110"/>
    </row>
    <row r="111" spans="1:7" ht="12.75" customHeight="1">
      <c r="B111" s="1135" t="s">
        <v>778</v>
      </c>
      <c r="C111" s="1135" t="s">
        <v>108</v>
      </c>
      <c r="D111" s="1135" t="s">
        <v>884</v>
      </c>
    </row>
    <row r="112" spans="1:7" ht="12.75" customHeight="1">
      <c r="B112" s="1137" t="s">
        <v>909</v>
      </c>
      <c r="C112" s="1138"/>
      <c r="D112" s="1139"/>
    </row>
    <row r="113" spans="2:4" ht="12.75" customHeight="1">
      <c r="B113" s="112"/>
      <c r="C113" s="98"/>
      <c r="D113" s="113"/>
    </row>
    <row r="114" spans="2:4" ht="12.75" customHeight="1">
      <c r="B114" s="112" t="s">
        <v>538</v>
      </c>
      <c r="C114" s="98">
        <f t="shared" ref="C114" ca="1" si="10">DSUM(MercadoBase,"TUSD_E",INDIRECT("Mercado_Criterio"&amp;$B114))</f>
        <v>0</v>
      </c>
      <c r="D114" s="113">
        <f t="shared" ref="D114:D119" ca="1" si="11">DSUM(MercadoBase,"Total",INDIRECT("Mercado_Livre"&amp;$B114))</f>
        <v>0</v>
      </c>
    </row>
    <row r="115" spans="2:4" ht="12.75" customHeight="1">
      <c r="B115" s="112" t="s">
        <v>535</v>
      </c>
      <c r="C115" s="98">
        <f ca="1">DSUM(MercadoBase,"TUSD_E",INDIRECT("Mercado_Livre"&amp;$B115))</f>
        <v>0</v>
      </c>
      <c r="D115" s="113">
        <f t="shared" ca="1" si="11"/>
        <v>0</v>
      </c>
    </row>
    <row r="116" spans="2:4" ht="12.75" customHeight="1">
      <c r="B116" s="112" t="s">
        <v>537</v>
      </c>
      <c r="C116" s="98">
        <f ca="1">DSUM(MercadoBase,"TUSD_E",INDIRECT("Mercado_Livre"&amp;$B116))</f>
        <v>0</v>
      </c>
      <c r="D116" s="113">
        <f t="shared" ca="1" si="11"/>
        <v>0</v>
      </c>
    </row>
    <row r="117" spans="2:4" ht="12.75" customHeight="1">
      <c r="B117" s="112" t="s">
        <v>533</v>
      </c>
      <c r="C117" s="98">
        <f ca="1">DSUM(MercadoBase,"TUSD_E",INDIRECT("Mercado_Livre"&amp;$B117))</f>
        <v>10902.100999999999</v>
      </c>
      <c r="D117" s="113">
        <f t="shared" ca="1" si="11"/>
        <v>5364763.3949000007</v>
      </c>
    </row>
    <row r="118" spans="2:4" ht="12.75" customHeight="1">
      <c r="B118" s="112" t="s">
        <v>897</v>
      </c>
      <c r="C118" s="98">
        <f ca="1">DSUM(MercadoBase,"TUSD_E",INDIRECT("Mercado_Livre"&amp;$B118))</f>
        <v>0</v>
      </c>
      <c r="D118" s="113">
        <f t="shared" ca="1" si="11"/>
        <v>0</v>
      </c>
    </row>
    <row r="119" spans="2:4" ht="12.75" customHeight="1">
      <c r="B119" s="94" t="s">
        <v>540</v>
      </c>
      <c r="C119" s="98">
        <f ca="1">DSUM(MercadoBase,"TUSD_E",INDIRECT("Mercado_Livre"&amp;$B119))</f>
        <v>0</v>
      </c>
      <c r="D119" s="113">
        <f t="shared" ca="1" si="11"/>
        <v>0</v>
      </c>
    </row>
    <row r="120" spans="2:4" ht="12.75" customHeight="1">
      <c r="B120" s="1160" t="s">
        <v>769</v>
      </c>
      <c r="C120" s="1161">
        <f ca="1">SUM(C114:C119)</f>
        <v>10902.100999999999</v>
      </c>
      <c r="D120" s="1162">
        <f ca="1">SUM(D114:D119)</f>
        <v>5364763.3949000007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zoomScaleNormal="100" workbookViewId="0">
      <pane ySplit="2" topLeftCell="A267" activePane="bottomLeft" state="frozen"/>
      <selection pane="bottomLeft" activeCell="F2" sqref="F2"/>
    </sheetView>
  </sheetViews>
  <sheetFormatPr defaultColWidth="9.140625" defaultRowHeight="15.75"/>
  <cols>
    <col min="1" max="1" width="11.140625" style="261" customWidth="1"/>
    <col min="2" max="2" width="23" style="261" bestFit="1" customWidth="1"/>
    <col min="3" max="3" width="15.42578125" style="261" bestFit="1" customWidth="1"/>
    <col min="4" max="4" width="9.28515625" style="261" customWidth="1"/>
    <col min="5" max="5" width="16.85546875" style="261" bestFit="1" customWidth="1"/>
    <col min="6" max="6" width="16.85546875" style="261" customWidth="1"/>
    <col min="7" max="7" width="17.7109375" style="261" customWidth="1"/>
    <col min="8" max="8" width="14.140625" style="261" customWidth="1"/>
    <col min="9" max="9" width="12.7109375" style="261" bestFit="1" customWidth="1"/>
    <col min="10" max="10" width="14.5703125" style="261" bestFit="1" customWidth="1"/>
    <col min="11" max="11" width="15.5703125" style="485" bestFit="1" customWidth="1"/>
    <col min="12" max="12" width="14.7109375" style="286" customWidth="1"/>
    <col min="13" max="13" width="19.28515625" style="286" customWidth="1"/>
    <col min="14" max="14" width="20.7109375" style="286" customWidth="1"/>
    <col min="15" max="15" width="21.85546875" style="286" bestFit="1" customWidth="1"/>
    <col min="16" max="16" width="20.28515625" style="286" customWidth="1"/>
    <col min="17" max="17" width="18" style="286" bestFit="1" customWidth="1"/>
    <col min="18" max="18" width="21.28515625" style="261" bestFit="1" customWidth="1"/>
    <col min="19" max="19" width="23.7109375" style="261" bestFit="1" customWidth="1"/>
    <col min="20" max="20" width="23.5703125" style="261" bestFit="1" customWidth="1"/>
    <col min="21" max="21" width="20.7109375" style="261" bestFit="1" customWidth="1"/>
    <col min="22" max="22" width="20.5703125" style="261" bestFit="1" customWidth="1"/>
    <col min="23" max="23" width="19.5703125" style="261" bestFit="1" customWidth="1"/>
    <col min="24" max="24" width="16.42578125" style="261" bestFit="1" customWidth="1"/>
    <col min="25" max="25" width="13.42578125" style="261" bestFit="1" customWidth="1"/>
    <col min="26" max="26" width="21.85546875" style="261" bestFit="1" customWidth="1"/>
    <col min="27" max="28" width="11.85546875" style="261" bestFit="1" customWidth="1"/>
    <col min="29" max="29" width="15.5703125" style="261" bestFit="1" customWidth="1"/>
    <col min="30" max="30" width="14.42578125" style="261" bestFit="1" customWidth="1"/>
    <col min="31" max="31" width="17.85546875" style="261" bestFit="1" customWidth="1"/>
    <col min="32" max="32" width="32.28515625" style="261" bestFit="1" customWidth="1"/>
    <col min="33" max="33" width="15.5703125" style="261" bestFit="1" customWidth="1"/>
    <col min="34" max="34" width="14" style="261" bestFit="1" customWidth="1"/>
    <col min="35" max="36" width="13.42578125" style="261" bestFit="1" customWidth="1"/>
    <col min="37" max="37" width="15" style="261" bestFit="1" customWidth="1"/>
    <col min="38" max="38" width="17.85546875" style="261" bestFit="1" customWidth="1"/>
    <col min="39" max="39" width="13.42578125" style="261" bestFit="1" customWidth="1"/>
    <col min="40" max="40" width="14.85546875" style="261" bestFit="1" customWidth="1"/>
    <col min="41" max="42" width="15.5703125" style="261" bestFit="1" customWidth="1"/>
    <col min="43" max="43" width="14" style="261" bestFit="1" customWidth="1"/>
    <col min="44" max="45" width="11.85546875" style="261" bestFit="1" customWidth="1"/>
    <col min="46" max="46" width="14" style="261" bestFit="1" customWidth="1"/>
    <col min="47" max="47" width="11.85546875" style="261" bestFit="1" customWidth="1"/>
    <col min="48" max="48" width="15.5703125" style="261" bestFit="1" customWidth="1"/>
    <col min="49" max="49" width="15" style="261" bestFit="1" customWidth="1"/>
    <col min="50" max="50" width="13.42578125" style="261" bestFit="1" customWidth="1"/>
    <col min="51" max="51" width="16.42578125" style="261" bestFit="1" customWidth="1"/>
    <col min="52" max="52" width="14.42578125" style="261" bestFit="1" customWidth="1"/>
    <col min="53" max="53" width="13.7109375" style="261" bestFit="1" customWidth="1"/>
    <col min="54" max="54" width="16.140625" style="261" bestFit="1" customWidth="1"/>
    <col min="55" max="55" width="18" style="261" bestFit="1" customWidth="1"/>
    <col min="56" max="56" width="17.7109375" style="261" bestFit="1" customWidth="1"/>
    <col min="57" max="57" width="18.140625" style="261" bestFit="1" customWidth="1"/>
    <col min="58" max="58" width="14" style="261" bestFit="1" customWidth="1"/>
    <col min="59" max="59" width="26.28515625" style="261" bestFit="1" customWidth="1"/>
    <col min="60" max="60" width="9.85546875" style="261" bestFit="1" customWidth="1"/>
    <col min="61" max="61" width="17.85546875" style="261" bestFit="1" customWidth="1"/>
    <col min="62" max="62" width="15" style="261" bestFit="1" customWidth="1"/>
    <col min="63" max="63" width="17.85546875" style="261" bestFit="1" customWidth="1"/>
    <col min="64" max="64" width="14.28515625" style="261" bestFit="1" customWidth="1"/>
    <col min="65" max="65" width="19" style="261" bestFit="1" customWidth="1"/>
    <col min="66" max="67" width="22.7109375" style="261" bestFit="1" customWidth="1"/>
    <col min="68" max="68" width="20.140625" style="261" bestFit="1" customWidth="1"/>
    <col min="69" max="69" width="32.5703125" style="261" bestFit="1" customWidth="1"/>
    <col min="70" max="70" width="35.140625" style="286" bestFit="1" customWidth="1"/>
    <col min="71" max="71" width="24.85546875" style="286" bestFit="1" customWidth="1"/>
    <col min="72" max="72" width="29.42578125" style="286" bestFit="1" customWidth="1"/>
    <col min="73" max="73" width="34.42578125" style="286" bestFit="1" customWidth="1"/>
    <col min="74" max="74" width="19.85546875" style="286" bestFit="1" customWidth="1"/>
    <col min="75" max="75" width="10.28515625" style="261" bestFit="1" customWidth="1"/>
    <col min="76" max="76" width="9.28515625" style="261" bestFit="1" customWidth="1"/>
    <col min="77" max="77" width="10.28515625" style="261" bestFit="1" customWidth="1"/>
    <col min="78" max="86" width="9.28515625" style="261" bestFit="1" customWidth="1"/>
    <col min="87" max="87" width="19.5703125" style="261" bestFit="1" customWidth="1"/>
    <col min="88" max="88" width="15.5703125" style="286" bestFit="1" customWidth="1"/>
    <col min="89" max="90" width="9.28515625" style="261" bestFit="1" customWidth="1"/>
    <col min="91" max="91" width="10.7109375" style="261" bestFit="1" customWidth="1"/>
    <col min="92" max="92" width="15.5703125" style="261" bestFit="1" customWidth="1"/>
    <col min="93" max="94" width="15.7109375" style="286" bestFit="1" customWidth="1"/>
    <col min="95" max="95" width="11.140625" style="286" bestFit="1" customWidth="1"/>
    <col min="96" max="96" width="13.42578125" style="286" bestFit="1" customWidth="1"/>
    <col min="97" max="102" width="10.42578125" style="286" bestFit="1" customWidth="1"/>
    <col min="103" max="103" width="11" style="286" bestFit="1" customWidth="1"/>
    <col min="104" max="104" width="10.42578125" style="286" bestFit="1" customWidth="1"/>
    <col min="105" max="105" width="10.28515625" style="286" bestFit="1" customWidth="1"/>
    <col min="106" max="106" width="11.42578125" style="286" bestFit="1" customWidth="1"/>
    <col min="107" max="107" width="13.42578125" style="286" bestFit="1" customWidth="1"/>
    <col min="108" max="108" width="11" style="286" bestFit="1" customWidth="1"/>
    <col min="109" max="109" width="10.28515625" style="286" bestFit="1" customWidth="1"/>
    <col min="110" max="110" width="10.5703125" style="286" bestFit="1" customWidth="1"/>
    <col min="111" max="111" width="11.5703125" style="286" bestFit="1" customWidth="1"/>
    <col min="112" max="113" width="14.5703125" style="286" bestFit="1" customWidth="1"/>
    <col min="114" max="116" width="10.28515625" style="286" bestFit="1" customWidth="1"/>
    <col min="117" max="117" width="11.5703125" style="286" bestFit="1" customWidth="1"/>
    <col min="118" max="118" width="11.28515625" style="286" bestFit="1" customWidth="1"/>
    <col min="119" max="119" width="12.28515625" style="286" bestFit="1" customWidth="1"/>
    <col min="120" max="120" width="16.42578125" style="286" bestFit="1" customWidth="1"/>
    <col min="121" max="121" width="10" style="286" bestFit="1" customWidth="1"/>
    <col min="122" max="122" width="11.140625" style="286" bestFit="1" customWidth="1"/>
    <col min="123" max="123" width="11.28515625" style="286" bestFit="1" customWidth="1"/>
    <col min="124" max="124" width="11.85546875" style="261" bestFit="1" customWidth="1"/>
    <col min="125" max="125" width="11.7109375" style="261" bestFit="1" customWidth="1"/>
    <col min="126" max="126" width="12.7109375" style="261" bestFit="1" customWidth="1"/>
    <col min="127" max="127" width="9.7109375" style="261" bestFit="1" customWidth="1"/>
    <col min="128" max="128" width="9.42578125" style="261" bestFit="1" customWidth="1"/>
    <col min="129" max="129" width="13.5703125" style="286" bestFit="1" customWidth="1"/>
    <col min="130" max="130" width="10.140625" style="261" bestFit="1" customWidth="1"/>
    <col min="131" max="132" width="9.42578125" style="261" bestFit="1" customWidth="1"/>
    <col min="133" max="133" width="31.7109375" style="286" customWidth="1"/>
    <col min="134" max="134" width="9.42578125" style="261" bestFit="1" customWidth="1"/>
    <col min="135" max="135" width="9.5703125" style="261" bestFit="1" customWidth="1"/>
    <col min="136" max="136" width="9.42578125" style="261" bestFit="1" customWidth="1"/>
    <col min="137" max="137" width="9.5703125" style="261" bestFit="1" customWidth="1"/>
    <col min="138" max="138" width="10.85546875" style="261" bestFit="1" customWidth="1"/>
    <col min="139" max="140" width="9.5703125" style="261" bestFit="1" customWidth="1"/>
    <col min="141" max="142" width="9.28515625" style="261" bestFit="1" customWidth="1"/>
    <col min="143" max="145" width="9.42578125" style="261" bestFit="1" customWidth="1"/>
    <col min="146" max="146" width="17.28515625" style="286" bestFit="1" customWidth="1"/>
    <col min="147" max="149" width="9.28515625" style="261" bestFit="1" customWidth="1"/>
    <col min="150" max="150" width="9.140625" style="261"/>
    <col min="151" max="151" width="9.28515625" style="261" bestFit="1" customWidth="1"/>
    <col min="152" max="155" width="9.140625" style="261"/>
    <col min="156" max="158" width="9.28515625" style="261" bestFit="1" customWidth="1"/>
    <col min="159" max="159" width="18.140625" style="261" customWidth="1"/>
    <col min="160" max="16384" width="9.140625" style="261"/>
  </cols>
  <sheetData>
    <row r="1" spans="1:165" s="9" customFormat="1">
      <c r="K1" s="17"/>
      <c r="L1" s="233"/>
      <c r="M1" s="233"/>
      <c r="N1" s="233"/>
      <c r="O1" s="233"/>
      <c r="P1" s="233"/>
      <c r="Q1" s="233"/>
      <c r="R1" s="490"/>
      <c r="S1" s="490"/>
      <c r="T1" s="490"/>
      <c r="BR1" s="233"/>
      <c r="BS1" s="233"/>
      <c r="BT1" s="233"/>
      <c r="BU1" s="233"/>
      <c r="BV1" s="233"/>
      <c r="CJ1" s="233"/>
      <c r="CO1" s="233"/>
      <c r="CP1" s="233"/>
      <c r="CQ1" s="233"/>
      <c r="CR1" s="233"/>
      <c r="CS1" s="233"/>
      <c r="CT1" s="233"/>
      <c r="CU1" s="233"/>
      <c r="CV1" s="233"/>
      <c r="CW1" s="233"/>
      <c r="CX1" s="233"/>
      <c r="CY1" s="233"/>
      <c r="CZ1" s="233"/>
      <c r="DA1" s="233"/>
      <c r="DB1" s="233"/>
      <c r="DC1" s="233"/>
      <c r="DD1" s="233"/>
      <c r="DE1" s="233"/>
      <c r="DF1" s="233"/>
      <c r="DG1" s="233"/>
      <c r="DH1" s="233"/>
      <c r="DI1" s="233"/>
      <c r="DJ1" s="233"/>
      <c r="DK1" s="233"/>
      <c r="DL1" s="233"/>
      <c r="DM1" s="233"/>
      <c r="DN1" s="233"/>
      <c r="DO1" s="233"/>
      <c r="DP1" s="233"/>
      <c r="DQ1" s="233"/>
      <c r="DR1" s="233"/>
      <c r="DS1" s="233"/>
      <c r="DY1" s="233"/>
      <c r="EC1" s="233"/>
      <c r="EP1" s="233"/>
    </row>
    <row r="2" spans="1:165">
      <c r="A2" s="261" t="s">
        <v>958</v>
      </c>
      <c r="B2" s="259" t="s">
        <v>955</v>
      </c>
      <c r="C2" s="260" t="s">
        <v>58</v>
      </c>
      <c r="D2" s="259" t="s">
        <v>875</v>
      </c>
      <c r="E2" s="260" t="s">
        <v>524</v>
      </c>
      <c r="F2" s="260" t="s">
        <v>904</v>
      </c>
      <c r="G2" s="260" t="s">
        <v>959</v>
      </c>
      <c r="H2" s="260" t="s">
        <v>960</v>
      </c>
      <c r="I2" s="260" t="s">
        <v>961</v>
      </c>
      <c r="J2" s="260" t="s">
        <v>962</v>
      </c>
      <c r="K2" s="485" t="s">
        <v>874</v>
      </c>
      <c r="L2" s="286" t="s">
        <v>963</v>
      </c>
      <c r="M2" s="286" t="s">
        <v>964</v>
      </c>
      <c r="N2" s="286" t="s">
        <v>965</v>
      </c>
      <c r="O2" s="286" t="s">
        <v>966</v>
      </c>
      <c r="P2" s="286" t="s">
        <v>967</v>
      </c>
      <c r="Q2" s="286" t="s">
        <v>968</v>
      </c>
      <c r="R2" s="260" t="s">
        <v>969</v>
      </c>
      <c r="S2" s="260" t="s">
        <v>970</v>
      </c>
      <c r="T2" s="260" t="s">
        <v>971</v>
      </c>
      <c r="U2" s="260" t="s">
        <v>972</v>
      </c>
      <c r="V2" s="260" t="s">
        <v>973</v>
      </c>
      <c r="W2" s="260" t="s">
        <v>769</v>
      </c>
      <c r="X2" s="260" t="s">
        <v>974</v>
      </c>
      <c r="Y2" s="260" t="s">
        <v>39</v>
      </c>
      <c r="Z2" s="260" t="s">
        <v>41</v>
      </c>
      <c r="AA2" s="260" t="s">
        <v>112</v>
      </c>
      <c r="AB2" s="260" t="s">
        <v>950</v>
      </c>
      <c r="AC2" s="260" t="s">
        <v>951</v>
      </c>
      <c r="AD2" s="260" t="s">
        <v>952</v>
      </c>
      <c r="AE2" s="260" t="s">
        <v>953</v>
      </c>
      <c r="AF2" s="260" t="s">
        <v>937</v>
      </c>
      <c r="AG2" s="260" t="s">
        <v>891</v>
      </c>
      <c r="AH2" s="260" t="s">
        <v>975</v>
      </c>
      <c r="AI2" s="260" t="s">
        <v>49</v>
      </c>
      <c r="AJ2" s="260" t="s">
        <v>949</v>
      </c>
      <c r="AK2" s="260" t="s">
        <v>888</v>
      </c>
      <c r="AL2" s="260" t="s">
        <v>47</v>
      </c>
      <c r="AM2" s="260" t="s">
        <v>38</v>
      </c>
      <c r="AN2" s="260" t="s">
        <v>40</v>
      </c>
      <c r="AO2" s="260" t="s">
        <v>945</v>
      </c>
      <c r="AP2" s="260" t="s">
        <v>947</v>
      </c>
      <c r="AQ2" s="260" t="s">
        <v>946</v>
      </c>
      <c r="AR2" s="260" t="s">
        <v>943</v>
      </c>
      <c r="AS2" s="260" t="s">
        <v>944</v>
      </c>
      <c r="AT2" s="260" t="s">
        <v>948</v>
      </c>
      <c r="AU2" s="260" t="s">
        <v>976</v>
      </c>
      <c r="AV2" s="260" t="s">
        <v>977</v>
      </c>
      <c r="AW2" s="260" t="s">
        <v>978</v>
      </c>
      <c r="AX2" s="260" t="s">
        <v>979</v>
      </c>
      <c r="AY2" s="260" t="s">
        <v>980</v>
      </c>
      <c r="AZ2" s="260" t="s">
        <v>981</v>
      </c>
      <c r="BA2" s="260" t="s">
        <v>982</v>
      </c>
      <c r="BB2" s="260" t="s">
        <v>983</v>
      </c>
      <c r="BC2" s="260" t="s">
        <v>984</v>
      </c>
      <c r="BD2" s="260" t="s">
        <v>985</v>
      </c>
      <c r="BE2" s="260" t="s">
        <v>986</v>
      </c>
      <c r="BF2" s="260" t="s">
        <v>987</v>
      </c>
      <c r="BG2" s="260" t="s">
        <v>988</v>
      </c>
      <c r="BH2" s="260" t="s">
        <v>989</v>
      </c>
      <c r="BI2" s="260" t="s">
        <v>990</v>
      </c>
      <c r="BJ2" s="260" t="s">
        <v>991</v>
      </c>
      <c r="BK2" s="260" t="s">
        <v>192</v>
      </c>
      <c r="BL2" s="260" t="s">
        <v>992</v>
      </c>
      <c r="BM2" s="260" t="s">
        <v>993</v>
      </c>
      <c r="BN2" s="260" t="s">
        <v>926</v>
      </c>
      <c r="BO2" s="260" t="s">
        <v>927</v>
      </c>
      <c r="BP2" s="260" t="s">
        <v>928</v>
      </c>
      <c r="BQ2" s="260" t="s">
        <v>929</v>
      </c>
      <c r="BR2" s="286" t="s">
        <v>930</v>
      </c>
      <c r="BS2" s="286" t="s">
        <v>931</v>
      </c>
      <c r="BT2" s="286" t="s">
        <v>932</v>
      </c>
      <c r="BU2" s="286" t="s">
        <v>994</v>
      </c>
      <c r="BV2" s="286" t="s">
        <v>995</v>
      </c>
      <c r="BW2" s="261" t="s">
        <v>996</v>
      </c>
      <c r="BX2" s="261" t="s">
        <v>997</v>
      </c>
      <c r="BY2" s="261" t="s">
        <v>998</v>
      </c>
      <c r="BZ2" s="261" t="s">
        <v>999</v>
      </c>
      <c r="CA2" s="261" t="s">
        <v>1000</v>
      </c>
      <c r="CB2" s="261" t="s">
        <v>1001</v>
      </c>
      <c r="CC2" s="261" t="s">
        <v>1002</v>
      </c>
      <c r="CD2" s="261" t="s">
        <v>1003</v>
      </c>
      <c r="CE2" s="261" t="s">
        <v>1004</v>
      </c>
      <c r="CF2" s="261" t="s">
        <v>1005</v>
      </c>
      <c r="CG2" s="261" t="s">
        <v>1006</v>
      </c>
      <c r="CH2" s="261" t="s">
        <v>1007</v>
      </c>
      <c r="CI2" s="261" t="s">
        <v>1008</v>
      </c>
      <c r="CJ2" s="286" t="s">
        <v>1009</v>
      </c>
      <c r="CK2" s="261" t="s">
        <v>1010</v>
      </c>
      <c r="CL2" s="261" t="s">
        <v>1011</v>
      </c>
      <c r="CM2" s="261" t="s">
        <v>1012</v>
      </c>
      <c r="CN2" s="261" t="s">
        <v>1013</v>
      </c>
      <c r="CO2" s="286" t="s">
        <v>1014</v>
      </c>
      <c r="CP2" s="286" t="s">
        <v>1015</v>
      </c>
      <c r="CQ2" s="286" t="s">
        <v>1016</v>
      </c>
      <c r="CR2" s="286" t="s">
        <v>1017</v>
      </c>
      <c r="CS2" s="286" t="s">
        <v>1018</v>
      </c>
      <c r="CT2" s="286" t="s">
        <v>1019</v>
      </c>
      <c r="CU2" s="286" t="s">
        <v>1020</v>
      </c>
      <c r="CV2" s="286" t="s">
        <v>1021</v>
      </c>
      <c r="CW2" s="286" t="s">
        <v>1022</v>
      </c>
      <c r="CX2" s="286" t="s">
        <v>1023</v>
      </c>
      <c r="CY2" s="286" t="s">
        <v>1024</v>
      </c>
      <c r="CZ2" s="286" t="s">
        <v>1025</v>
      </c>
      <c r="DA2" s="286" t="s">
        <v>1026</v>
      </c>
      <c r="DB2" s="286" t="s">
        <v>1027</v>
      </c>
      <c r="DC2" s="286" t="s">
        <v>1028</v>
      </c>
      <c r="DD2" s="286" t="s">
        <v>1029</v>
      </c>
      <c r="DE2" s="286" t="s">
        <v>1030</v>
      </c>
      <c r="DF2" s="286" t="s">
        <v>1031</v>
      </c>
      <c r="DG2" s="286" t="s">
        <v>1032</v>
      </c>
      <c r="DH2" s="286" t="s">
        <v>1033</v>
      </c>
      <c r="DI2" s="286" t="s">
        <v>1034</v>
      </c>
      <c r="DJ2" s="286" t="s">
        <v>1035</v>
      </c>
      <c r="DK2" s="286" t="s">
        <v>1036</v>
      </c>
      <c r="DL2" s="286" t="s">
        <v>1037</v>
      </c>
      <c r="DM2" s="286" t="s">
        <v>1038</v>
      </c>
      <c r="DN2" s="286" t="s">
        <v>1039</v>
      </c>
      <c r="DO2" s="286" t="s">
        <v>1040</v>
      </c>
      <c r="DP2" s="286" t="s">
        <v>1041</v>
      </c>
      <c r="DQ2" s="286" t="s">
        <v>1042</v>
      </c>
      <c r="DR2" s="286" t="s">
        <v>2085</v>
      </c>
      <c r="DS2" s="286" t="s">
        <v>1043</v>
      </c>
      <c r="DT2" s="261" t="s">
        <v>1044</v>
      </c>
      <c r="DU2" s="261" t="s">
        <v>1045</v>
      </c>
      <c r="DV2" s="261" t="s">
        <v>1046</v>
      </c>
      <c r="DW2" s="261" t="s">
        <v>1047</v>
      </c>
      <c r="DX2" s="261" t="s">
        <v>1048</v>
      </c>
      <c r="DY2" s="286" t="s">
        <v>1049</v>
      </c>
      <c r="DZ2" s="261" t="s">
        <v>1050</v>
      </c>
      <c r="EA2" s="261" t="s">
        <v>1051</v>
      </c>
      <c r="EB2" s="261" t="s">
        <v>1052</v>
      </c>
      <c r="EC2" s="286" t="s">
        <v>1053</v>
      </c>
      <c r="ED2" s="261" t="s">
        <v>1054</v>
      </c>
      <c r="EE2" s="261" t="s">
        <v>1055</v>
      </c>
      <c r="EF2" s="261" t="s">
        <v>1056</v>
      </c>
      <c r="EG2" s="261" t="s">
        <v>1057</v>
      </c>
      <c r="EH2" s="261" t="s">
        <v>1058</v>
      </c>
      <c r="EI2" s="261" t="s">
        <v>1059</v>
      </c>
      <c r="EJ2" s="261" t="s">
        <v>1060</v>
      </c>
      <c r="EK2" s="261" t="s">
        <v>1061</v>
      </c>
      <c r="EL2" s="261" t="s">
        <v>1062</v>
      </c>
      <c r="EM2" s="261" t="s">
        <v>1063</v>
      </c>
      <c r="EN2" s="261" t="s">
        <v>1064</v>
      </c>
      <c r="EO2" s="261" t="s">
        <v>1065</v>
      </c>
      <c r="EP2" s="286" t="s">
        <v>2029</v>
      </c>
      <c r="EQ2" s="261" t="s">
        <v>2030</v>
      </c>
      <c r="ER2" s="261" t="s">
        <v>2031</v>
      </c>
      <c r="ES2" s="261" t="s">
        <v>2032</v>
      </c>
      <c r="ET2" s="261" t="s">
        <v>2033</v>
      </c>
      <c r="EU2" s="261" t="s">
        <v>2034</v>
      </c>
      <c r="EV2" s="261" t="s">
        <v>1066</v>
      </c>
      <c r="EW2" s="261" t="s">
        <v>1067</v>
      </c>
      <c r="EX2" s="261" t="s">
        <v>1068</v>
      </c>
      <c r="EY2" s="261" t="s">
        <v>1069</v>
      </c>
      <c r="EZ2" s="261" t="s">
        <v>1070</v>
      </c>
      <c r="FA2" s="261" t="s">
        <v>1071</v>
      </c>
      <c r="FB2" s="261" t="s">
        <v>1072</v>
      </c>
      <c r="FC2" s="261" t="s">
        <v>1073</v>
      </c>
      <c r="FD2" s="261" t="s">
        <v>1074</v>
      </c>
      <c r="FE2" s="261" t="s">
        <v>1075</v>
      </c>
      <c r="FF2" s="261" t="s">
        <v>1076</v>
      </c>
      <c r="FG2" s="261" t="s">
        <v>1077</v>
      </c>
      <c r="FH2" s="261" t="s">
        <v>1078</v>
      </c>
      <c r="FI2" s="261" t="s">
        <v>1079</v>
      </c>
    </row>
    <row r="3" spans="1:165" customFormat="1">
      <c r="A3" s="399">
        <v>13</v>
      </c>
      <c r="B3" s="399" t="s">
        <v>956</v>
      </c>
      <c r="C3" s="399" t="s">
        <v>2399</v>
      </c>
      <c r="D3" s="399" t="s">
        <v>533</v>
      </c>
      <c r="E3" s="399" t="s">
        <v>918</v>
      </c>
      <c r="F3" s="399" t="s">
        <v>1239</v>
      </c>
      <c r="G3" s="399" t="s">
        <v>1239</v>
      </c>
      <c r="H3" s="399" t="s">
        <v>1239</v>
      </c>
      <c r="I3" s="399" t="s">
        <v>893</v>
      </c>
      <c r="J3" s="399" t="s">
        <v>2400</v>
      </c>
      <c r="K3" s="788">
        <v>44440</v>
      </c>
      <c r="L3" s="399">
        <v>0</v>
      </c>
      <c r="M3" s="399">
        <v>0</v>
      </c>
      <c r="N3" s="399">
        <v>0.94599999999999995</v>
      </c>
      <c r="O3" s="399">
        <v>0.94599999999999995</v>
      </c>
      <c r="P3" s="399">
        <v>0.94599999999999995</v>
      </c>
      <c r="Q3" s="399">
        <v>0.94599999999999995</v>
      </c>
      <c r="R3" s="399"/>
      <c r="S3" s="399">
        <v>3305.85</v>
      </c>
      <c r="T3" s="399">
        <v>286.42</v>
      </c>
      <c r="U3" s="399"/>
      <c r="V3" s="399">
        <v>3398.2874199999997</v>
      </c>
      <c r="W3" s="399">
        <v>3398.2874199999997</v>
      </c>
      <c r="X3" s="399">
        <v>2470.1006000000002</v>
      </c>
      <c r="Y3" s="399">
        <v>0</v>
      </c>
      <c r="Z3" s="399">
        <v>50.090148581360559</v>
      </c>
      <c r="AA3" s="399">
        <v>0</v>
      </c>
      <c r="AB3" s="399">
        <v>0</v>
      </c>
      <c r="AC3" s="399">
        <v>0</v>
      </c>
      <c r="AD3" s="399">
        <v>616.77787715321097</v>
      </c>
      <c r="AE3" s="399">
        <v>2415.5056764043011</v>
      </c>
      <c r="AF3" s="399">
        <v>270.95648460067827</v>
      </c>
      <c r="AG3" s="399">
        <v>0</v>
      </c>
      <c r="AH3" s="399">
        <v>0</v>
      </c>
      <c r="AI3" s="399">
        <v>0</v>
      </c>
      <c r="AJ3" s="399">
        <v>0</v>
      </c>
      <c r="AK3" s="399">
        <v>0</v>
      </c>
      <c r="AL3" s="399">
        <v>8.8979709512253322</v>
      </c>
      <c r="AM3" s="399"/>
      <c r="AN3" s="399">
        <v>1.2961027062248822</v>
      </c>
      <c r="AO3" s="399">
        <v>0</v>
      </c>
      <c r="AP3" s="399">
        <v>0</v>
      </c>
      <c r="AQ3" s="399">
        <v>0</v>
      </c>
      <c r="AR3" s="399">
        <v>0</v>
      </c>
      <c r="AS3" s="399">
        <v>0</v>
      </c>
      <c r="AT3" s="399">
        <v>0</v>
      </c>
      <c r="AU3" s="399">
        <v>0</v>
      </c>
      <c r="AV3" s="399">
        <v>0</v>
      </c>
      <c r="AW3" s="399">
        <v>0</v>
      </c>
      <c r="AX3" s="399">
        <v>0</v>
      </c>
      <c r="AY3" s="399">
        <v>0</v>
      </c>
      <c r="AZ3" s="399">
        <v>0</v>
      </c>
      <c r="BA3" s="399"/>
      <c r="BB3" s="399">
        <v>0</v>
      </c>
      <c r="BC3" s="399">
        <v>0</v>
      </c>
      <c r="BD3" s="399">
        <v>0</v>
      </c>
      <c r="BE3" s="399">
        <v>0</v>
      </c>
      <c r="BF3" s="399">
        <v>0</v>
      </c>
      <c r="BG3" s="399">
        <v>11.150781589839108</v>
      </c>
      <c r="BH3" s="399">
        <v>0</v>
      </c>
      <c r="BI3" s="399">
        <v>0</v>
      </c>
      <c r="BJ3" s="399">
        <v>0</v>
      </c>
      <c r="BK3" s="399">
        <v>0</v>
      </c>
      <c r="BL3" s="399">
        <v>0</v>
      </c>
      <c r="BM3" s="399"/>
      <c r="BN3" s="399"/>
      <c r="BO3" s="399"/>
      <c r="BP3" s="399"/>
      <c r="BQ3" s="399"/>
      <c r="BR3" s="399"/>
      <c r="BS3" s="399"/>
      <c r="BT3" s="399"/>
      <c r="BU3" s="399"/>
      <c r="BV3" s="399">
        <v>282.10726619051735</v>
      </c>
      <c r="BW3" s="399"/>
      <c r="BX3" s="399"/>
      <c r="BY3" s="399"/>
      <c r="BZ3" s="399"/>
      <c r="CA3" s="399"/>
      <c r="CB3" s="399"/>
      <c r="CC3" s="399"/>
      <c r="CD3" s="399"/>
      <c r="CE3" s="399"/>
      <c r="CF3" s="399"/>
      <c r="CG3" s="399"/>
      <c r="CH3" s="399"/>
      <c r="CI3" s="399">
        <v>2480.5450000000001</v>
      </c>
      <c r="CJ3" s="399">
        <v>-917.77242000000024</v>
      </c>
      <c r="CK3" s="399"/>
      <c r="CL3" s="399"/>
      <c r="CM3" s="399"/>
      <c r="CN3" s="399"/>
      <c r="CO3" s="399">
        <v>-866.86709999999982</v>
      </c>
      <c r="CP3" s="399">
        <v>-61.319720000000018</v>
      </c>
      <c r="CQ3" s="399">
        <v>30</v>
      </c>
      <c r="CR3" s="399">
        <v>-46.777988925076897</v>
      </c>
      <c r="CS3" s="399">
        <v>0</v>
      </c>
      <c r="CT3" s="399">
        <v>0</v>
      </c>
      <c r="CU3" s="399">
        <v>0</v>
      </c>
      <c r="CV3" s="399">
        <v>0</v>
      </c>
      <c r="CW3" s="399">
        <v>0</v>
      </c>
      <c r="CX3" s="399">
        <v>0</v>
      </c>
      <c r="CY3" s="399">
        <v>0</v>
      </c>
      <c r="CZ3" s="399">
        <v>21.16590928381936</v>
      </c>
      <c r="DA3" s="399">
        <v>0</v>
      </c>
      <c r="DB3" s="399">
        <v>0</v>
      </c>
      <c r="DC3" s="399">
        <v>-61.326123934736017</v>
      </c>
      <c r="DD3" s="399">
        <v>0</v>
      </c>
      <c r="DE3" s="399">
        <v>0</v>
      </c>
      <c r="DF3" s="399">
        <v>0</v>
      </c>
      <c r="DG3" s="399">
        <v>-2.5237787342696425</v>
      </c>
      <c r="DH3" s="399">
        <v>0</v>
      </c>
      <c r="DI3" s="399">
        <v>-3.4750617420432235</v>
      </c>
      <c r="DJ3" s="399"/>
      <c r="DK3" s="399">
        <v>0</v>
      </c>
      <c r="DL3" s="399">
        <v>0</v>
      </c>
      <c r="DM3" s="399">
        <v>0</v>
      </c>
      <c r="DN3" s="399">
        <v>0</v>
      </c>
      <c r="DO3" s="399">
        <v>-0.50921573893278627</v>
      </c>
      <c r="DP3" s="399">
        <v>-0.10971805891447106</v>
      </c>
      <c r="DQ3" s="399">
        <v>0</v>
      </c>
      <c r="DR3" s="399">
        <v>0</v>
      </c>
      <c r="DS3" s="399"/>
      <c r="DT3" s="399"/>
      <c r="DU3" s="399"/>
      <c r="DV3" s="399">
        <v>2415.5056764043011</v>
      </c>
      <c r="DW3" s="399">
        <v>0</v>
      </c>
      <c r="DX3" s="399">
        <v>0</v>
      </c>
      <c r="DY3" s="399">
        <v>-866.86709999999948</v>
      </c>
      <c r="DZ3" s="399">
        <v>-61.319720000000046</v>
      </c>
      <c r="EA3" s="399">
        <v>0</v>
      </c>
      <c r="EB3" s="399">
        <v>0</v>
      </c>
      <c r="EC3" s="399">
        <v>-881.41830628176308</v>
      </c>
      <c r="ED3" s="399">
        <v>0</v>
      </c>
      <c r="EE3" s="399">
        <v>0</v>
      </c>
      <c r="EF3" s="399">
        <v>0</v>
      </c>
      <c r="EG3" s="399">
        <v>0</v>
      </c>
      <c r="EH3" s="399">
        <v>0</v>
      </c>
      <c r="EI3" s="399">
        <v>0</v>
      </c>
      <c r="EJ3" s="399">
        <v>0</v>
      </c>
      <c r="EK3" s="399">
        <v>0</v>
      </c>
      <c r="EL3" s="399">
        <v>0</v>
      </c>
      <c r="EM3" s="399">
        <v>0</v>
      </c>
      <c r="EN3" s="399">
        <v>0</v>
      </c>
      <c r="EO3" s="399">
        <v>0</v>
      </c>
      <c r="EP3" s="399">
        <v>23.619218889885683</v>
      </c>
      <c r="EQ3" s="399">
        <v>0</v>
      </c>
      <c r="ER3" s="399">
        <v>0</v>
      </c>
      <c r="ES3" s="399">
        <v>0</v>
      </c>
      <c r="ET3" s="399">
        <v>0</v>
      </c>
      <c r="EU3" s="399">
        <v>0</v>
      </c>
      <c r="EV3" s="399">
        <v>202</v>
      </c>
      <c r="EW3" s="399">
        <v>0</v>
      </c>
      <c r="EX3" s="399">
        <v>0</v>
      </c>
      <c r="EY3" s="399">
        <v>0</v>
      </c>
      <c r="EZ3" s="399"/>
      <c r="FA3" s="399">
        <v>0</v>
      </c>
      <c r="FB3" s="399">
        <v>-17.698635468909799</v>
      </c>
      <c r="FC3" s="399"/>
      <c r="FD3" s="399">
        <v>-17.698635468909799</v>
      </c>
      <c r="FE3" s="399"/>
      <c r="FF3" s="399">
        <v>0</v>
      </c>
      <c r="FG3" s="399">
        <v>0</v>
      </c>
      <c r="FH3" s="399">
        <v>0</v>
      </c>
      <c r="FI3" s="399">
        <v>0</v>
      </c>
    </row>
    <row r="4" spans="1:165" customFormat="1">
      <c r="A4" s="399">
        <v>14</v>
      </c>
      <c r="B4" s="399" t="s">
        <v>956</v>
      </c>
      <c r="C4" s="399" t="s">
        <v>2399</v>
      </c>
      <c r="D4" s="399" t="s">
        <v>533</v>
      </c>
      <c r="E4" s="399" t="s">
        <v>918</v>
      </c>
      <c r="F4" s="399" t="s">
        <v>1239</v>
      </c>
      <c r="G4" s="399" t="s">
        <v>1239</v>
      </c>
      <c r="H4" s="399" t="s">
        <v>1239</v>
      </c>
      <c r="I4" s="399" t="s">
        <v>2326</v>
      </c>
      <c r="J4" s="399" t="s">
        <v>2400</v>
      </c>
      <c r="K4" s="788">
        <v>44440</v>
      </c>
      <c r="L4" s="399">
        <v>0</v>
      </c>
      <c r="M4" s="399">
        <v>0</v>
      </c>
      <c r="N4" s="399">
        <v>17.443999999999999</v>
      </c>
      <c r="O4" s="399">
        <v>17.443999999999999</v>
      </c>
      <c r="P4" s="399">
        <v>17.443999999999999</v>
      </c>
      <c r="Q4" s="399">
        <v>17.443999999999999</v>
      </c>
      <c r="R4" s="399"/>
      <c r="S4" s="399">
        <v>100.48</v>
      </c>
      <c r="T4" s="399">
        <v>286.42</v>
      </c>
      <c r="U4" s="399"/>
      <c r="V4" s="399">
        <v>6749.0835999999999</v>
      </c>
      <c r="W4" s="399">
        <v>6749.0835999999999</v>
      </c>
      <c r="X4" s="399">
        <v>5496.2555199999997</v>
      </c>
      <c r="Y4" s="399">
        <v>0</v>
      </c>
      <c r="Z4" s="399">
        <v>923.64963198018347</v>
      </c>
      <c r="AA4" s="399">
        <v>0</v>
      </c>
      <c r="AB4" s="399">
        <v>0</v>
      </c>
      <c r="AC4" s="399">
        <v>0</v>
      </c>
      <c r="AD4" s="399">
        <v>0</v>
      </c>
      <c r="AE4" s="399">
        <v>0</v>
      </c>
      <c r="AF4" s="399">
        <v>4996.3688344336488</v>
      </c>
      <c r="AG4" s="399">
        <v>0</v>
      </c>
      <c r="AH4" s="399">
        <v>0</v>
      </c>
      <c r="AI4" s="399">
        <v>0</v>
      </c>
      <c r="AJ4" s="399">
        <v>0</v>
      </c>
      <c r="AK4" s="399">
        <v>0</v>
      </c>
      <c r="AL4" s="399">
        <v>164.07632692724599</v>
      </c>
      <c r="AM4" s="399"/>
      <c r="AN4" s="399">
        <v>23.899805081804278</v>
      </c>
      <c r="AO4" s="399">
        <v>0</v>
      </c>
      <c r="AP4" s="399">
        <v>0</v>
      </c>
      <c r="AQ4" s="399">
        <v>0</v>
      </c>
      <c r="AR4" s="399">
        <v>0</v>
      </c>
      <c r="AS4" s="399">
        <v>0</v>
      </c>
      <c r="AT4" s="399">
        <v>0</v>
      </c>
      <c r="AU4" s="399">
        <v>0</v>
      </c>
      <c r="AV4" s="399">
        <v>0</v>
      </c>
      <c r="AW4" s="399">
        <v>0</v>
      </c>
      <c r="AX4" s="399">
        <v>0</v>
      </c>
      <c r="AY4" s="399">
        <v>0</v>
      </c>
      <c r="AZ4" s="399">
        <v>0</v>
      </c>
      <c r="BA4" s="399"/>
      <c r="BB4" s="399">
        <v>0</v>
      </c>
      <c r="BC4" s="399">
        <v>0</v>
      </c>
      <c r="BD4" s="399">
        <v>0</v>
      </c>
      <c r="BE4" s="399">
        <v>0</v>
      </c>
      <c r="BF4" s="399">
        <v>0</v>
      </c>
      <c r="BG4" s="399">
        <v>205.61758356570127</v>
      </c>
      <c r="BH4" s="399">
        <v>0</v>
      </c>
      <c r="BI4" s="399">
        <v>0</v>
      </c>
      <c r="BJ4" s="399">
        <v>0</v>
      </c>
      <c r="BK4" s="399">
        <v>0</v>
      </c>
      <c r="BL4" s="399">
        <v>0</v>
      </c>
      <c r="BM4" s="399"/>
      <c r="BN4" s="399"/>
      <c r="BO4" s="399"/>
      <c r="BP4" s="399"/>
      <c r="BQ4" s="399"/>
      <c r="BR4" s="399"/>
      <c r="BS4" s="399"/>
      <c r="BT4" s="399"/>
      <c r="BU4" s="399"/>
      <c r="BV4" s="399">
        <v>5201.9864179993501</v>
      </c>
      <c r="BW4" s="399"/>
      <c r="BX4" s="399"/>
      <c r="BY4" s="399"/>
      <c r="BZ4" s="399"/>
      <c r="CA4" s="399"/>
      <c r="CB4" s="399"/>
      <c r="CC4" s="399"/>
      <c r="CD4" s="399"/>
      <c r="CE4" s="399"/>
      <c r="CF4" s="399"/>
      <c r="CG4" s="399"/>
      <c r="CH4" s="399"/>
      <c r="CI4" s="399">
        <v>5494.9952000000003</v>
      </c>
      <c r="CJ4" s="399">
        <v>-1254.1184000000003</v>
      </c>
      <c r="CK4" s="399"/>
      <c r="CL4" s="399"/>
      <c r="CM4" s="399"/>
      <c r="CN4" s="399"/>
      <c r="CO4" s="399">
        <v>-122.10799999999999</v>
      </c>
      <c r="CP4" s="399">
        <v>-1130.7200800000003</v>
      </c>
      <c r="CQ4" s="399">
        <v>30</v>
      </c>
      <c r="CR4" s="399">
        <v>-1252.8682456194338</v>
      </c>
      <c r="CS4" s="399">
        <v>0</v>
      </c>
      <c r="CT4" s="399">
        <v>0</v>
      </c>
      <c r="CU4" s="399">
        <v>0</v>
      </c>
      <c r="CV4" s="399">
        <v>0</v>
      </c>
      <c r="CW4" s="399">
        <v>0</v>
      </c>
      <c r="CX4" s="399">
        <v>0</v>
      </c>
      <c r="CY4" s="399">
        <v>0</v>
      </c>
      <c r="CZ4" s="399">
        <v>0</v>
      </c>
      <c r="DA4" s="399">
        <v>0</v>
      </c>
      <c r="DB4" s="399">
        <v>0</v>
      </c>
      <c r="DC4" s="399">
        <v>-1130.8381669318551</v>
      </c>
      <c r="DD4" s="399">
        <v>0</v>
      </c>
      <c r="DE4" s="399">
        <v>0</v>
      </c>
      <c r="DF4" s="399">
        <v>0</v>
      </c>
      <c r="DG4" s="399">
        <v>-46.537839577800895</v>
      </c>
      <c r="DH4" s="399">
        <v>0</v>
      </c>
      <c r="DI4" s="399">
        <v>-64.079256900847781</v>
      </c>
      <c r="DJ4" s="399"/>
      <c r="DK4" s="399">
        <v>0</v>
      </c>
      <c r="DL4" s="399">
        <v>0</v>
      </c>
      <c r="DM4" s="399">
        <v>0</v>
      </c>
      <c r="DN4" s="399">
        <v>0</v>
      </c>
      <c r="DO4" s="399">
        <v>-9.3898090379952635</v>
      </c>
      <c r="DP4" s="399">
        <v>-2.0231731709344984</v>
      </c>
      <c r="DQ4" s="399">
        <v>0</v>
      </c>
      <c r="DR4" s="399">
        <v>0</v>
      </c>
      <c r="DS4" s="399"/>
      <c r="DT4" s="399"/>
      <c r="DU4" s="399"/>
      <c r="DV4" s="399">
        <v>0</v>
      </c>
      <c r="DW4" s="399">
        <v>0</v>
      </c>
      <c r="DX4" s="399">
        <v>0</v>
      </c>
      <c r="DY4" s="399">
        <v>-122.10800000000017</v>
      </c>
      <c r="DZ4" s="399">
        <v>-1130.7200800000005</v>
      </c>
      <c r="EA4" s="399">
        <v>0</v>
      </c>
      <c r="EB4" s="399">
        <v>0</v>
      </c>
      <c r="EC4" s="399">
        <v>0</v>
      </c>
      <c r="ED4" s="399">
        <v>0</v>
      </c>
      <c r="EE4" s="399">
        <v>0</v>
      </c>
      <c r="EF4" s="399">
        <v>0</v>
      </c>
      <c r="EG4" s="399">
        <v>0</v>
      </c>
      <c r="EH4" s="399">
        <v>0</v>
      </c>
      <c r="EI4" s="399">
        <v>0</v>
      </c>
      <c r="EJ4" s="399">
        <v>0</v>
      </c>
      <c r="EK4" s="399">
        <v>0</v>
      </c>
      <c r="EL4" s="399">
        <v>0</v>
      </c>
      <c r="EM4" s="399">
        <v>0</v>
      </c>
      <c r="EN4" s="399">
        <v>0</v>
      </c>
      <c r="EO4" s="399">
        <v>0</v>
      </c>
      <c r="EP4" s="399">
        <v>435.53240413865313</v>
      </c>
      <c r="EQ4" s="399">
        <v>0</v>
      </c>
      <c r="ER4" s="399">
        <v>0</v>
      </c>
      <c r="ES4" s="399">
        <v>0</v>
      </c>
      <c r="ET4" s="399">
        <v>0</v>
      </c>
      <c r="EU4" s="399">
        <v>0</v>
      </c>
      <c r="EV4" s="399">
        <v>202</v>
      </c>
      <c r="EW4" s="399">
        <v>0</v>
      </c>
      <c r="EX4" s="399">
        <v>0</v>
      </c>
      <c r="EY4" s="399">
        <v>0</v>
      </c>
      <c r="EZ4" s="399"/>
      <c r="FA4" s="399">
        <v>0</v>
      </c>
      <c r="FB4" s="399">
        <v>-17.698635468909799</v>
      </c>
      <c r="FC4" s="399"/>
      <c r="FD4" s="399">
        <v>-17.698635468909799</v>
      </c>
      <c r="FE4" s="399"/>
      <c r="FF4" s="399">
        <v>0</v>
      </c>
      <c r="FG4" s="399">
        <v>0</v>
      </c>
      <c r="FH4" s="399">
        <v>0</v>
      </c>
      <c r="FI4" s="399">
        <v>0</v>
      </c>
    </row>
    <row r="5" spans="1:165" customFormat="1">
      <c r="A5" s="399">
        <v>15</v>
      </c>
      <c r="B5" s="399" t="s">
        <v>956</v>
      </c>
      <c r="C5" s="399" t="s">
        <v>2399</v>
      </c>
      <c r="D5" s="399" t="s">
        <v>533</v>
      </c>
      <c r="E5" s="399" t="s">
        <v>918</v>
      </c>
      <c r="F5" s="399" t="s">
        <v>1239</v>
      </c>
      <c r="G5" s="399" t="s">
        <v>1239</v>
      </c>
      <c r="H5" s="399" t="s">
        <v>1239</v>
      </c>
      <c r="I5" s="399" t="s">
        <v>1239</v>
      </c>
      <c r="J5" s="399" t="s">
        <v>2400</v>
      </c>
      <c r="K5" s="788">
        <v>44440</v>
      </c>
      <c r="L5" s="399">
        <v>110</v>
      </c>
      <c r="M5" s="399">
        <v>110</v>
      </c>
      <c r="N5" s="399">
        <v>0</v>
      </c>
      <c r="O5" s="399">
        <v>0</v>
      </c>
      <c r="P5" s="399">
        <v>0</v>
      </c>
      <c r="Q5" s="399">
        <v>0</v>
      </c>
      <c r="R5" s="399">
        <v>39.21</v>
      </c>
      <c r="S5" s="399"/>
      <c r="T5" s="399"/>
      <c r="U5" s="399">
        <v>4313.1000000000004</v>
      </c>
      <c r="V5" s="399"/>
      <c r="W5" s="399">
        <v>4313.1000000000004</v>
      </c>
      <c r="X5" s="399">
        <v>3282.4</v>
      </c>
      <c r="Y5" s="399">
        <v>0</v>
      </c>
      <c r="Z5" s="399">
        <v>0</v>
      </c>
      <c r="AA5" s="399">
        <v>0</v>
      </c>
      <c r="AB5" s="399">
        <v>0</v>
      </c>
      <c r="AC5" s="399">
        <v>0</v>
      </c>
      <c r="AD5" s="399">
        <v>1358.7452958601282</v>
      </c>
      <c r="AE5" s="399">
        <v>2954.8190352650863</v>
      </c>
      <c r="AF5" s="399"/>
      <c r="AG5" s="399"/>
      <c r="AH5" s="399"/>
      <c r="AI5" s="399">
        <v>0</v>
      </c>
      <c r="AJ5" s="399">
        <v>0</v>
      </c>
      <c r="AK5" s="399">
        <v>0</v>
      </c>
      <c r="AL5" s="399">
        <v>0</v>
      </c>
      <c r="AM5" s="399"/>
      <c r="AN5" s="399">
        <v>0</v>
      </c>
      <c r="AO5" s="399">
        <v>0</v>
      </c>
      <c r="AP5" s="399">
        <v>0</v>
      </c>
      <c r="AQ5" s="399">
        <v>0</v>
      </c>
      <c r="AR5" s="399">
        <v>0</v>
      </c>
      <c r="AS5" s="399"/>
      <c r="AT5" s="399"/>
      <c r="AU5" s="399">
        <v>0</v>
      </c>
      <c r="AV5" s="399">
        <v>0</v>
      </c>
      <c r="AW5" s="399">
        <v>0</v>
      </c>
      <c r="AX5" s="399"/>
      <c r="AY5" s="399"/>
      <c r="AZ5" s="399">
        <v>0</v>
      </c>
      <c r="BA5" s="399"/>
      <c r="BB5" s="399">
        <v>0</v>
      </c>
      <c r="BC5" s="399">
        <v>0</v>
      </c>
      <c r="BD5" s="399">
        <v>0</v>
      </c>
      <c r="BE5" s="399">
        <v>0</v>
      </c>
      <c r="BF5" s="399"/>
      <c r="BG5" s="399">
        <v>0</v>
      </c>
      <c r="BH5" s="399">
        <v>0</v>
      </c>
      <c r="BI5" s="399">
        <v>93.83</v>
      </c>
      <c r="BJ5" s="399">
        <v>433.06</v>
      </c>
      <c r="BK5" s="399">
        <v>3168.76</v>
      </c>
      <c r="BL5" s="399">
        <v>1</v>
      </c>
      <c r="BM5" s="399"/>
      <c r="BN5" s="399"/>
      <c r="BO5" s="399"/>
      <c r="BP5" s="399"/>
      <c r="BQ5" s="399"/>
      <c r="BR5" s="399"/>
      <c r="BS5" s="399"/>
      <c r="BT5" s="399"/>
      <c r="BU5" s="399"/>
      <c r="BV5" s="399">
        <v>0</v>
      </c>
      <c r="BW5" s="399"/>
      <c r="BX5" s="399"/>
      <c r="BY5" s="399"/>
      <c r="BZ5" s="399"/>
      <c r="CA5" s="399"/>
      <c r="CB5" s="399"/>
      <c r="CC5" s="399"/>
      <c r="CD5" s="399"/>
      <c r="CE5" s="399"/>
      <c r="CF5" s="399"/>
      <c r="CG5" s="399"/>
      <c r="CH5" s="399"/>
      <c r="CI5" s="399">
        <v>3282.4</v>
      </c>
      <c r="CJ5" s="399">
        <v>-1030.7300000000009</v>
      </c>
      <c r="CK5" s="399"/>
      <c r="CL5" s="399"/>
      <c r="CM5" s="399"/>
      <c r="CN5" s="399"/>
      <c r="CO5" s="399">
        <v>-1030.7</v>
      </c>
      <c r="CP5" s="399">
        <v>0</v>
      </c>
      <c r="CQ5" s="399">
        <v>30</v>
      </c>
      <c r="CR5" s="399">
        <v>46.627936469982842</v>
      </c>
      <c r="CS5" s="399">
        <v>0</v>
      </c>
      <c r="CT5" s="399">
        <v>0</v>
      </c>
      <c r="CU5" s="399">
        <v>0</v>
      </c>
      <c r="CV5" s="399">
        <v>0</v>
      </c>
      <c r="CW5" s="399"/>
      <c r="CX5" s="399"/>
      <c r="CY5" s="399"/>
      <c r="CZ5" s="399">
        <v>46.627936469982842</v>
      </c>
      <c r="DA5" s="399">
        <v>0</v>
      </c>
      <c r="DB5" s="399">
        <v>0</v>
      </c>
      <c r="DC5" s="399"/>
      <c r="DD5" s="399"/>
      <c r="DE5" s="399">
        <v>0</v>
      </c>
      <c r="DF5" s="399">
        <v>0</v>
      </c>
      <c r="DG5" s="399">
        <v>0</v>
      </c>
      <c r="DH5" s="399">
        <v>0</v>
      </c>
      <c r="DI5" s="399">
        <v>0</v>
      </c>
      <c r="DJ5" s="399"/>
      <c r="DK5" s="399">
        <v>0</v>
      </c>
      <c r="DL5" s="399">
        <v>0</v>
      </c>
      <c r="DM5" s="399"/>
      <c r="DN5" s="399">
        <v>0</v>
      </c>
      <c r="DO5" s="399">
        <v>0</v>
      </c>
      <c r="DP5" s="399">
        <v>0</v>
      </c>
      <c r="DQ5" s="399">
        <v>0</v>
      </c>
      <c r="DR5" s="399">
        <v>0</v>
      </c>
      <c r="DS5" s="399"/>
      <c r="DT5" s="399"/>
      <c r="DU5" s="399">
        <v>2954.8190352650863</v>
      </c>
      <c r="DV5" s="399"/>
      <c r="DW5" s="399">
        <v>0</v>
      </c>
      <c r="DX5" s="399">
        <v>0</v>
      </c>
      <c r="DY5" s="399">
        <v>-1030.7000000000003</v>
      </c>
      <c r="DZ5" s="399"/>
      <c r="EA5" s="399">
        <v>0</v>
      </c>
      <c r="EB5" s="399"/>
      <c r="EC5" s="399">
        <v>-1078.2138145538875</v>
      </c>
      <c r="ED5" s="399"/>
      <c r="EE5" s="399">
        <v>0</v>
      </c>
      <c r="EF5" s="399">
        <v>0</v>
      </c>
      <c r="EG5" s="399"/>
      <c r="EH5" s="399">
        <v>0</v>
      </c>
      <c r="EI5" s="399">
        <v>0</v>
      </c>
      <c r="EJ5" s="399">
        <v>0</v>
      </c>
      <c r="EK5" s="399">
        <v>0</v>
      </c>
      <c r="EL5" s="399">
        <v>0</v>
      </c>
      <c r="EM5" s="399"/>
      <c r="EN5" s="399"/>
      <c r="EO5" s="399">
        <v>0</v>
      </c>
      <c r="EP5" s="399">
        <v>0</v>
      </c>
      <c r="EQ5" s="399"/>
      <c r="ER5" s="399">
        <v>0</v>
      </c>
      <c r="ES5" s="399"/>
      <c r="ET5" s="399">
        <v>0</v>
      </c>
      <c r="EU5" s="399"/>
      <c r="EV5" s="399">
        <v>202</v>
      </c>
      <c r="EW5" s="399"/>
      <c r="EX5" s="399"/>
      <c r="EY5" s="399"/>
      <c r="EZ5" s="399"/>
      <c r="FA5" s="399">
        <v>0</v>
      </c>
      <c r="FB5" s="399">
        <v>-17.698635468909799</v>
      </c>
      <c r="FC5" s="399"/>
      <c r="FD5" s="399">
        <v>-17.698635468909799</v>
      </c>
      <c r="FE5" s="399"/>
      <c r="FF5" s="399">
        <v>0</v>
      </c>
      <c r="FG5" s="399">
        <v>0</v>
      </c>
      <c r="FH5" s="399">
        <v>0</v>
      </c>
      <c r="FI5" s="399">
        <v>0</v>
      </c>
    </row>
    <row r="6" spans="1:165" customFormat="1">
      <c r="A6" s="399">
        <v>21</v>
      </c>
      <c r="B6" s="399" t="s">
        <v>956</v>
      </c>
      <c r="C6" s="399" t="s">
        <v>2399</v>
      </c>
      <c r="D6" s="399" t="s">
        <v>533</v>
      </c>
      <c r="E6" s="399" t="s">
        <v>921</v>
      </c>
      <c r="F6" s="399" t="s">
        <v>2401</v>
      </c>
      <c r="G6" s="399" t="s">
        <v>1239</v>
      </c>
      <c r="H6" s="399" t="s">
        <v>1239</v>
      </c>
      <c r="I6" s="399" t="s">
        <v>893</v>
      </c>
      <c r="J6" s="399" t="s">
        <v>2400</v>
      </c>
      <c r="K6" s="788">
        <v>44440</v>
      </c>
      <c r="L6" s="399">
        <v>0</v>
      </c>
      <c r="M6" s="399">
        <v>0</v>
      </c>
      <c r="N6" s="399">
        <v>21.111000000000001</v>
      </c>
      <c r="O6" s="399">
        <v>19.844339999999999</v>
      </c>
      <c r="P6" s="399">
        <v>21.111000000000001</v>
      </c>
      <c r="Q6" s="399">
        <v>19.844339999999999</v>
      </c>
      <c r="R6" s="399"/>
      <c r="S6" s="399">
        <v>3305.85</v>
      </c>
      <c r="T6" s="399">
        <v>286.42</v>
      </c>
      <c r="U6" s="399"/>
      <c r="V6" s="399">
        <v>75836.411970000001</v>
      </c>
      <c r="W6" s="399">
        <v>75836.411970000001</v>
      </c>
      <c r="X6" s="399">
        <v>55122.932099999998</v>
      </c>
      <c r="Y6" s="399">
        <v>0</v>
      </c>
      <c r="Z6" s="399">
        <v>1117.815144504337</v>
      </c>
      <c r="AA6" s="399">
        <v>0</v>
      </c>
      <c r="AB6" s="399">
        <v>0</v>
      </c>
      <c r="AC6" s="399">
        <v>0</v>
      </c>
      <c r="AD6" s="399">
        <v>13764.056833595601</v>
      </c>
      <c r="AE6" s="399">
        <v>53904.588091512902</v>
      </c>
      <c r="AF6" s="399">
        <v>6046.6832414428327</v>
      </c>
      <c r="AG6" s="399">
        <v>0</v>
      </c>
      <c r="AH6" s="399">
        <v>0</v>
      </c>
      <c r="AI6" s="399">
        <v>0</v>
      </c>
      <c r="AJ6" s="399">
        <v>0</v>
      </c>
      <c r="AK6" s="399">
        <v>0</v>
      </c>
      <c r="AL6" s="399">
        <v>198.56772172443766</v>
      </c>
      <c r="AM6" s="399"/>
      <c r="AN6" s="399">
        <v>28.923915677709822</v>
      </c>
      <c r="AO6" s="399">
        <v>0</v>
      </c>
      <c r="AP6" s="399">
        <v>0</v>
      </c>
      <c r="AQ6" s="399">
        <v>0</v>
      </c>
      <c r="AR6" s="399">
        <v>0</v>
      </c>
      <c r="AS6" s="399">
        <v>0</v>
      </c>
      <c r="AT6" s="399">
        <v>0</v>
      </c>
      <c r="AU6" s="399">
        <v>0</v>
      </c>
      <c r="AV6" s="399">
        <v>0</v>
      </c>
      <c r="AW6" s="399">
        <v>0</v>
      </c>
      <c r="AX6" s="399">
        <v>0</v>
      </c>
      <c r="AY6" s="399">
        <v>0</v>
      </c>
      <c r="AZ6" s="399">
        <v>0</v>
      </c>
      <c r="BA6" s="399"/>
      <c r="BB6" s="399">
        <v>0</v>
      </c>
      <c r="BC6" s="399">
        <v>0</v>
      </c>
      <c r="BD6" s="399">
        <v>0</v>
      </c>
      <c r="BE6" s="399">
        <v>0</v>
      </c>
      <c r="BF6" s="399">
        <v>0</v>
      </c>
      <c r="BG6" s="399">
        <v>248.84159634576474</v>
      </c>
      <c r="BH6" s="399">
        <v>0</v>
      </c>
      <c r="BI6" s="399">
        <v>0</v>
      </c>
      <c r="BJ6" s="399">
        <v>0</v>
      </c>
      <c r="BK6" s="399">
        <v>0</v>
      </c>
      <c r="BL6" s="399">
        <v>0</v>
      </c>
      <c r="BM6" s="399"/>
      <c r="BN6" s="399"/>
      <c r="BO6" s="399"/>
      <c r="BP6" s="399"/>
      <c r="BQ6" s="399">
        <v>3307.3759260000043</v>
      </c>
      <c r="BR6" s="399"/>
      <c r="BS6" s="399"/>
      <c r="BT6" s="399"/>
      <c r="BU6" s="399"/>
      <c r="BV6" s="399">
        <v>6295.5248377885973</v>
      </c>
      <c r="BW6" s="399"/>
      <c r="BX6" s="399"/>
      <c r="BY6" s="399"/>
      <c r="BZ6" s="399"/>
      <c r="CA6" s="399"/>
      <c r="CB6" s="399"/>
      <c r="CC6" s="399"/>
      <c r="CD6" s="399"/>
      <c r="CE6" s="399"/>
      <c r="CF6" s="399"/>
      <c r="CG6" s="399"/>
      <c r="CH6" s="399"/>
      <c r="CI6" s="399">
        <v>51804.224000000002</v>
      </c>
      <c r="CJ6" s="399">
        <v>-19482.033251799978</v>
      </c>
      <c r="CK6" s="399"/>
      <c r="CL6" s="399"/>
      <c r="CM6" s="399"/>
      <c r="CN6" s="399"/>
      <c r="CO6" s="399">
        <v>-19345.064849999999</v>
      </c>
      <c r="CP6" s="399">
        <v>-1368.4150200000006</v>
      </c>
      <c r="CQ6" s="399">
        <v>30</v>
      </c>
      <c r="CR6" s="399">
        <v>-1043.9007655362584</v>
      </c>
      <c r="CS6" s="399">
        <v>0</v>
      </c>
      <c r="CT6" s="399">
        <v>0</v>
      </c>
      <c r="CU6" s="399">
        <v>0</v>
      </c>
      <c r="CV6" s="399">
        <v>0</v>
      </c>
      <c r="CW6" s="399">
        <v>0</v>
      </c>
      <c r="CX6" s="399">
        <v>0</v>
      </c>
      <c r="CY6" s="399">
        <v>0</v>
      </c>
      <c r="CZ6" s="399">
        <v>472.33986352083411</v>
      </c>
      <c r="DA6" s="399">
        <v>0</v>
      </c>
      <c r="DB6" s="399">
        <v>0</v>
      </c>
      <c r="DC6" s="399">
        <v>-1368.5579306408163</v>
      </c>
      <c r="DD6" s="399">
        <v>0</v>
      </c>
      <c r="DE6" s="399">
        <v>0</v>
      </c>
      <c r="DF6" s="399">
        <v>0</v>
      </c>
      <c r="DG6" s="399">
        <v>-56.320816975863067</v>
      </c>
      <c r="DH6" s="399">
        <v>0</v>
      </c>
      <c r="DI6" s="399">
        <v>-77.549712934751142</v>
      </c>
      <c r="DJ6" s="399"/>
      <c r="DK6" s="399">
        <v>0</v>
      </c>
      <c r="DL6" s="399">
        <v>0</v>
      </c>
      <c r="DM6" s="399">
        <v>0</v>
      </c>
      <c r="DN6" s="399">
        <v>0</v>
      </c>
      <c r="DO6" s="399">
        <v>-11.363692880137478</v>
      </c>
      <c r="DP6" s="399">
        <v>-2.4484756255215636</v>
      </c>
      <c r="DQ6" s="399">
        <v>0</v>
      </c>
      <c r="DR6" s="399">
        <v>0</v>
      </c>
      <c r="DS6" s="399"/>
      <c r="DT6" s="399"/>
      <c r="DU6" s="399"/>
      <c r="DV6" s="399">
        <v>53904.588091512902</v>
      </c>
      <c r="DW6" s="399">
        <v>0</v>
      </c>
      <c r="DX6" s="399">
        <v>0</v>
      </c>
      <c r="DY6" s="399">
        <v>-19345.064850000002</v>
      </c>
      <c r="DZ6" s="399">
        <v>-1368.4150200000004</v>
      </c>
      <c r="EA6" s="399">
        <v>0</v>
      </c>
      <c r="EB6" s="399">
        <v>0</v>
      </c>
      <c r="EC6" s="399">
        <v>-19669.790553820618</v>
      </c>
      <c r="ED6" s="399">
        <v>0</v>
      </c>
      <c r="EE6" s="399">
        <v>0</v>
      </c>
      <c r="EF6" s="399">
        <v>0</v>
      </c>
      <c r="EG6" s="399">
        <v>0</v>
      </c>
      <c r="EH6" s="399">
        <v>0</v>
      </c>
      <c r="EI6" s="399">
        <v>0</v>
      </c>
      <c r="EJ6" s="399">
        <v>0</v>
      </c>
      <c r="EK6" s="399">
        <v>0</v>
      </c>
      <c r="EL6" s="399">
        <v>0</v>
      </c>
      <c r="EM6" s="399">
        <v>0</v>
      </c>
      <c r="EN6" s="399">
        <v>0</v>
      </c>
      <c r="EO6" s="399">
        <v>0</v>
      </c>
      <c r="EP6" s="399">
        <v>527.08808666424602</v>
      </c>
      <c r="EQ6" s="399">
        <v>0</v>
      </c>
      <c r="ER6" s="399">
        <v>0</v>
      </c>
      <c r="ES6" s="399">
        <v>0</v>
      </c>
      <c r="ET6" s="399">
        <v>0</v>
      </c>
      <c r="EU6" s="399">
        <v>0</v>
      </c>
      <c r="EV6" s="399">
        <v>202</v>
      </c>
      <c r="EW6" s="399">
        <v>0</v>
      </c>
      <c r="EX6" s="399">
        <v>0</v>
      </c>
      <c r="EY6" s="399">
        <v>0</v>
      </c>
      <c r="EZ6" s="399"/>
      <c r="FA6" s="399">
        <v>0</v>
      </c>
      <c r="FB6" s="399">
        <v>-17.698635468909799</v>
      </c>
      <c r="FC6" s="399"/>
      <c r="FD6" s="399">
        <v>-17.698635468909799</v>
      </c>
      <c r="FE6" s="399"/>
      <c r="FF6" s="399">
        <v>0</v>
      </c>
      <c r="FG6" s="399">
        <v>0</v>
      </c>
      <c r="FH6" s="399">
        <v>0</v>
      </c>
      <c r="FI6" s="399">
        <v>0</v>
      </c>
    </row>
    <row r="7" spans="1:165" customFormat="1">
      <c r="A7" s="399">
        <v>22</v>
      </c>
      <c r="B7" s="399" t="s">
        <v>956</v>
      </c>
      <c r="C7" s="399" t="s">
        <v>2399</v>
      </c>
      <c r="D7" s="399" t="s">
        <v>533</v>
      </c>
      <c r="E7" s="399" t="s">
        <v>921</v>
      </c>
      <c r="F7" s="399" t="s">
        <v>2401</v>
      </c>
      <c r="G7" s="399" t="s">
        <v>1239</v>
      </c>
      <c r="H7" s="399" t="s">
        <v>1239</v>
      </c>
      <c r="I7" s="399" t="s">
        <v>2326</v>
      </c>
      <c r="J7" s="399" t="s">
        <v>2400</v>
      </c>
      <c r="K7" s="788">
        <v>44440</v>
      </c>
      <c r="L7" s="399">
        <v>0</v>
      </c>
      <c r="M7" s="399">
        <v>0</v>
      </c>
      <c r="N7" s="399">
        <v>215.23599999999999</v>
      </c>
      <c r="O7" s="399">
        <v>202.32184000000001</v>
      </c>
      <c r="P7" s="399">
        <v>215.23599999999999</v>
      </c>
      <c r="Q7" s="399">
        <v>202.32184000000001</v>
      </c>
      <c r="R7" s="399"/>
      <c r="S7" s="399">
        <v>100.48</v>
      </c>
      <c r="T7" s="399">
        <v>286.42</v>
      </c>
      <c r="U7" s="399"/>
      <c r="V7" s="399">
        <v>83274.808400000009</v>
      </c>
      <c r="W7" s="399">
        <v>83274.808400000009</v>
      </c>
      <c r="X7" s="399">
        <v>67816.558879999997</v>
      </c>
      <c r="Y7" s="399">
        <v>0</v>
      </c>
      <c r="Z7" s="399">
        <v>11396.620740018732</v>
      </c>
      <c r="AA7" s="399">
        <v>0</v>
      </c>
      <c r="AB7" s="399">
        <v>0</v>
      </c>
      <c r="AC7" s="399">
        <v>0</v>
      </c>
      <c r="AD7" s="399">
        <v>0</v>
      </c>
      <c r="AE7" s="399">
        <v>0</v>
      </c>
      <c r="AF7" s="399">
        <v>61648.615136904431</v>
      </c>
      <c r="AG7" s="399">
        <v>0</v>
      </c>
      <c r="AH7" s="399">
        <v>0</v>
      </c>
      <c r="AI7" s="399">
        <v>0</v>
      </c>
      <c r="AJ7" s="399">
        <v>0</v>
      </c>
      <c r="AK7" s="399">
        <v>0</v>
      </c>
      <c r="AL7" s="399">
        <v>2024.4859150718137</v>
      </c>
      <c r="AM7" s="399"/>
      <c r="AN7" s="399">
        <v>294.89213750213401</v>
      </c>
      <c r="AO7" s="399">
        <v>0</v>
      </c>
      <c r="AP7" s="399">
        <v>0</v>
      </c>
      <c r="AQ7" s="399">
        <v>0</v>
      </c>
      <c r="AR7" s="399">
        <v>0</v>
      </c>
      <c r="AS7" s="399">
        <v>0</v>
      </c>
      <c r="AT7" s="399">
        <v>0</v>
      </c>
      <c r="AU7" s="399">
        <v>0</v>
      </c>
      <c r="AV7" s="399">
        <v>0</v>
      </c>
      <c r="AW7" s="399">
        <v>0</v>
      </c>
      <c r="AX7" s="399">
        <v>0</v>
      </c>
      <c r="AY7" s="399">
        <v>0</v>
      </c>
      <c r="AZ7" s="399">
        <v>0</v>
      </c>
      <c r="BA7" s="399"/>
      <c r="BB7" s="399">
        <v>0</v>
      </c>
      <c r="BC7" s="399">
        <v>0</v>
      </c>
      <c r="BD7" s="399">
        <v>0</v>
      </c>
      <c r="BE7" s="399">
        <v>0</v>
      </c>
      <c r="BF7" s="399">
        <v>0</v>
      </c>
      <c r="BG7" s="399">
        <v>2537.0503448949371</v>
      </c>
      <c r="BH7" s="399">
        <v>0</v>
      </c>
      <c r="BI7" s="399">
        <v>0</v>
      </c>
      <c r="BJ7" s="399">
        <v>0</v>
      </c>
      <c r="BK7" s="399">
        <v>0</v>
      </c>
      <c r="BL7" s="399">
        <v>0</v>
      </c>
      <c r="BM7" s="399"/>
      <c r="BN7" s="399"/>
      <c r="BO7" s="399"/>
      <c r="BP7" s="399"/>
      <c r="BQ7" s="399">
        <v>4068.9935327999938</v>
      </c>
      <c r="BR7" s="399"/>
      <c r="BS7" s="399"/>
      <c r="BT7" s="399"/>
      <c r="BU7" s="399"/>
      <c r="BV7" s="399">
        <v>64185.665481799369</v>
      </c>
      <c r="BW7" s="399"/>
      <c r="BX7" s="399"/>
      <c r="BY7" s="399"/>
      <c r="BZ7" s="399"/>
      <c r="CA7" s="399"/>
      <c r="CB7" s="399"/>
      <c r="CC7" s="399"/>
      <c r="CD7" s="399"/>
      <c r="CE7" s="399"/>
      <c r="CF7" s="399"/>
      <c r="CG7" s="399"/>
      <c r="CH7" s="399"/>
      <c r="CI7" s="399">
        <v>63746.985599999993</v>
      </c>
      <c r="CJ7" s="399">
        <v>-14531.364296000007</v>
      </c>
      <c r="CK7" s="399"/>
      <c r="CL7" s="399"/>
      <c r="CM7" s="399"/>
      <c r="CN7" s="399"/>
      <c r="CO7" s="399">
        <v>-1506.652</v>
      </c>
      <c r="CP7" s="399">
        <v>-13951.597520000005</v>
      </c>
      <c r="CQ7" s="399">
        <v>30</v>
      </c>
      <c r="CR7" s="399">
        <v>-15458.745110877338</v>
      </c>
      <c r="CS7" s="399">
        <v>0</v>
      </c>
      <c r="CT7" s="399">
        <v>0</v>
      </c>
      <c r="CU7" s="399">
        <v>0</v>
      </c>
      <c r="CV7" s="399">
        <v>0</v>
      </c>
      <c r="CW7" s="399">
        <v>0</v>
      </c>
      <c r="CX7" s="399">
        <v>0</v>
      </c>
      <c r="CY7" s="399">
        <v>0</v>
      </c>
      <c r="CZ7" s="399">
        <v>0</v>
      </c>
      <c r="DA7" s="399">
        <v>0</v>
      </c>
      <c r="DB7" s="399">
        <v>0</v>
      </c>
      <c r="DC7" s="399">
        <v>-13953.054557311676</v>
      </c>
      <c r="DD7" s="399">
        <v>0</v>
      </c>
      <c r="DE7" s="399">
        <v>0</v>
      </c>
      <c r="DF7" s="399">
        <v>0</v>
      </c>
      <c r="DG7" s="399">
        <v>-574.21568673283423</v>
      </c>
      <c r="DH7" s="399">
        <v>0</v>
      </c>
      <c r="DI7" s="399">
        <v>-790.65368827739439</v>
      </c>
      <c r="DJ7" s="399"/>
      <c r="DK7" s="399">
        <v>0</v>
      </c>
      <c r="DL7" s="399">
        <v>0</v>
      </c>
      <c r="DM7" s="399">
        <v>0</v>
      </c>
      <c r="DN7" s="399">
        <v>0</v>
      </c>
      <c r="DO7" s="399">
        <v>-115.85788455067359</v>
      </c>
      <c r="DP7" s="399">
        <v>-24.963294004772877</v>
      </c>
      <c r="DQ7" s="399">
        <v>0</v>
      </c>
      <c r="DR7" s="399">
        <v>0</v>
      </c>
      <c r="DS7" s="399"/>
      <c r="DT7" s="399"/>
      <c r="DU7" s="399"/>
      <c r="DV7" s="399">
        <v>0</v>
      </c>
      <c r="DW7" s="399">
        <v>0</v>
      </c>
      <c r="DX7" s="399">
        <v>0</v>
      </c>
      <c r="DY7" s="399">
        <v>-1506.6520000000019</v>
      </c>
      <c r="DZ7" s="399">
        <v>-13951.597520000003</v>
      </c>
      <c r="EA7" s="399">
        <v>0</v>
      </c>
      <c r="EB7" s="399">
        <v>0</v>
      </c>
      <c r="EC7" s="399">
        <v>0</v>
      </c>
      <c r="ED7" s="399">
        <v>0</v>
      </c>
      <c r="EE7" s="399">
        <v>0</v>
      </c>
      <c r="EF7" s="399">
        <v>0</v>
      </c>
      <c r="EG7" s="399">
        <v>0</v>
      </c>
      <c r="EH7" s="399">
        <v>0</v>
      </c>
      <c r="EI7" s="399">
        <v>0</v>
      </c>
      <c r="EJ7" s="399">
        <v>0</v>
      </c>
      <c r="EK7" s="399">
        <v>0</v>
      </c>
      <c r="EL7" s="399">
        <v>0</v>
      </c>
      <c r="EM7" s="399">
        <v>0</v>
      </c>
      <c r="EN7" s="399">
        <v>0</v>
      </c>
      <c r="EO7" s="399">
        <v>0</v>
      </c>
      <c r="EP7" s="399">
        <v>5373.8966141473938</v>
      </c>
      <c r="EQ7" s="399">
        <v>0</v>
      </c>
      <c r="ER7" s="399">
        <v>0</v>
      </c>
      <c r="ES7" s="399">
        <v>0</v>
      </c>
      <c r="ET7" s="399">
        <v>0</v>
      </c>
      <c r="EU7" s="399">
        <v>0</v>
      </c>
      <c r="EV7" s="399">
        <v>202</v>
      </c>
      <c r="EW7" s="399">
        <v>0</v>
      </c>
      <c r="EX7" s="399">
        <v>0</v>
      </c>
      <c r="EY7" s="399">
        <v>0</v>
      </c>
      <c r="EZ7" s="399"/>
      <c r="FA7" s="399">
        <v>0</v>
      </c>
      <c r="FB7" s="399">
        <v>-17.698635468909799</v>
      </c>
      <c r="FC7" s="399"/>
      <c r="FD7" s="399">
        <v>-17.698635468909799</v>
      </c>
      <c r="FE7" s="399"/>
      <c r="FF7" s="399">
        <v>0</v>
      </c>
      <c r="FG7" s="399">
        <v>0</v>
      </c>
      <c r="FH7" s="399">
        <v>0</v>
      </c>
      <c r="FI7" s="399">
        <v>0</v>
      </c>
    </row>
    <row r="8" spans="1:165" customFormat="1">
      <c r="A8" s="399">
        <v>23</v>
      </c>
      <c r="B8" s="399" t="s">
        <v>956</v>
      </c>
      <c r="C8" s="399" t="s">
        <v>2399</v>
      </c>
      <c r="D8" s="399" t="s">
        <v>533</v>
      </c>
      <c r="E8" s="399" t="s">
        <v>921</v>
      </c>
      <c r="F8" s="399" t="s">
        <v>2401</v>
      </c>
      <c r="G8" s="399" t="s">
        <v>1239</v>
      </c>
      <c r="H8" s="399" t="s">
        <v>1239</v>
      </c>
      <c r="I8" s="399" t="s">
        <v>1239</v>
      </c>
      <c r="J8" s="399" t="s">
        <v>2400</v>
      </c>
      <c r="K8" s="788">
        <v>44440</v>
      </c>
      <c r="L8" s="399">
        <v>906</v>
      </c>
      <c r="M8" s="399">
        <v>851.64</v>
      </c>
      <c r="N8" s="399">
        <v>0</v>
      </c>
      <c r="O8" s="399">
        <v>0</v>
      </c>
      <c r="P8" s="399">
        <v>0</v>
      </c>
      <c r="Q8" s="399">
        <v>0</v>
      </c>
      <c r="R8" s="399">
        <v>39.21</v>
      </c>
      <c r="S8" s="399"/>
      <c r="T8" s="399"/>
      <c r="U8" s="399">
        <v>35524.26</v>
      </c>
      <c r="V8" s="399"/>
      <c r="W8" s="399">
        <v>35524.26</v>
      </c>
      <c r="X8" s="399">
        <v>27035.040000000001</v>
      </c>
      <c r="Y8" s="399">
        <v>0</v>
      </c>
      <c r="Z8" s="399">
        <v>0</v>
      </c>
      <c r="AA8" s="399">
        <v>0</v>
      </c>
      <c r="AB8" s="399">
        <v>0</v>
      </c>
      <c r="AC8" s="399">
        <v>0</v>
      </c>
      <c r="AD8" s="399">
        <v>11191.120345902509</v>
      </c>
      <c r="AE8" s="399">
        <v>24336.964054092437</v>
      </c>
      <c r="AF8" s="399"/>
      <c r="AG8" s="399"/>
      <c r="AH8" s="399"/>
      <c r="AI8" s="399">
        <v>0</v>
      </c>
      <c r="AJ8" s="399">
        <v>0</v>
      </c>
      <c r="AK8" s="399">
        <v>0</v>
      </c>
      <c r="AL8" s="399">
        <v>0</v>
      </c>
      <c r="AM8" s="399"/>
      <c r="AN8" s="399">
        <v>0</v>
      </c>
      <c r="AO8" s="399">
        <v>0</v>
      </c>
      <c r="AP8" s="399">
        <v>0</v>
      </c>
      <c r="AQ8" s="399">
        <v>0</v>
      </c>
      <c r="AR8" s="399">
        <v>0</v>
      </c>
      <c r="AS8" s="399"/>
      <c r="AT8" s="399"/>
      <c r="AU8" s="399">
        <v>0</v>
      </c>
      <c r="AV8" s="399">
        <v>0</v>
      </c>
      <c r="AW8" s="399">
        <v>0</v>
      </c>
      <c r="AX8" s="399"/>
      <c r="AY8" s="399"/>
      <c r="AZ8" s="399">
        <v>0</v>
      </c>
      <c r="BA8" s="399"/>
      <c r="BB8" s="399">
        <v>0</v>
      </c>
      <c r="BC8" s="399">
        <v>0</v>
      </c>
      <c r="BD8" s="399">
        <v>0</v>
      </c>
      <c r="BE8" s="399">
        <v>0</v>
      </c>
      <c r="BF8" s="399"/>
      <c r="BG8" s="399">
        <v>0</v>
      </c>
      <c r="BH8" s="399">
        <v>0</v>
      </c>
      <c r="BI8" s="399">
        <v>933.55</v>
      </c>
      <c r="BJ8" s="399">
        <v>4366.58</v>
      </c>
      <c r="BK8" s="399">
        <v>38448.720000000001</v>
      </c>
      <c r="BL8" s="399">
        <v>3</v>
      </c>
      <c r="BM8" s="399"/>
      <c r="BN8" s="399"/>
      <c r="BO8" s="399"/>
      <c r="BP8" s="399"/>
      <c r="BQ8" s="399">
        <v>1622.1024000000004</v>
      </c>
      <c r="BR8" s="399"/>
      <c r="BS8" s="399"/>
      <c r="BT8" s="399"/>
      <c r="BU8" s="399"/>
      <c r="BV8" s="399">
        <v>0</v>
      </c>
      <c r="BW8" s="399"/>
      <c r="BX8" s="399"/>
      <c r="BY8" s="399"/>
      <c r="BZ8" s="399"/>
      <c r="CA8" s="399"/>
      <c r="CB8" s="399"/>
      <c r="CC8" s="399"/>
      <c r="CD8" s="399"/>
      <c r="CE8" s="399"/>
      <c r="CF8" s="399"/>
      <c r="CG8" s="399"/>
      <c r="CH8" s="399"/>
      <c r="CI8" s="399">
        <v>25412.937600000001</v>
      </c>
      <c r="CJ8" s="399">
        <v>-7979.8968000000059</v>
      </c>
      <c r="CK8" s="399"/>
      <c r="CL8" s="399"/>
      <c r="CM8" s="399"/>
      <c r="CN8" s="399"/>
      <c r="CO8" s="399">
        <v>-8489.2200000000012</v>
      </c>
      <c r="CP8" s="399">
        <v>0</v>
      </c>
      <c r="CQ8" s="399">
        <v>30</v>
      </c>
      <c r="CR8" s="399">
        <v>384.04464038004153</v>
      </c>
      <c r="CS8" s="399">
        <v>0</v>
      </c>
      <c r="CT8" s="399">
        <v>0</v>
      </c>
      <c r="CU8" s="399">
        <v>0</v>
      </c>
      <c r="CV8" s="399">
        <v>0</v>
      </c>
      <c r="CW8" s="399"/>
      <c r="CX8" s="399"/>
      <c r="CY8" s="399"/>
      <c r="CZ8" s="399">
        <v>384.04464038004153</v>
      </c>
      <c r="DA8" s="399">
        <v>0</v>
      </c>
      <c r="DB8" s="399">
        <v>0</v>
      </c>
      <c r="DC8" s="399"/>
      <c r="DD8" s="399"/>
      <c r="DE8" s="399">
        <v>0</v>
      </c>
      <c r="DF8" s="399">
        <v>0</v>
      </c>
      <c r="DG8" s="399">
        <v>0</v>
      </c>
      <c r="DH8" s="399">
        <v>0</v>
      </c>
      <c r="DI8" s="399">
        <v>0</v>
      </c>
      <c r="DJ8" s="399"/>
      <c r="DK8" s="399">
        <v>0</v>
      </c>
      <c r="DL8" s="399">
        <v>0</v>
      </c>
      <c r="DM8" s="399"/>
      <c r="DN8" s="399">
        <v>0</v>
      </c>
      <c r="DO8" s="399">
        <v>0</v>
      </c>
      <c r="DP8" s="399">
        <v>0</v>
      </c>
      <c r="DQ8" s="399">
        <v>0</v>
      </c>
      <c r="DR8" s="399">
        <v>0</v>
      </c>
      <c r="DS8" s="399"/>
      <c r="DT8" s="399"/>
      <c r="DU8" s="399">
        <v>24336.964054092437</v>
      </c>
      <c r="DV8" s="399"/>
      <c r="DW8" s="399">
        <v>0</v>
      </c>
      <c r="DX8" s="399">
        <v>0</v>
      </c>
      <c r="DY8" s="399">
        <v>-8489.2200000000012</v>
      </c>
      <c r="DZ8" s="399"/>
      <c r="EA8" s="399">
        <v>0</v>
      </c>
      <c r="EB8" s="399"/>
      <c r="EC8" s="399">
        <v>-8880.5610544165629</v>
      </c>
      <c r="ED8" s="399"/>
      <c r="EE8" s="399">
        <v>0</v>
      </c>
      <c r="EF8" s="399">
        <v>0</v>
      </c>
      <c r="EG8" s="399"/>
      <c r="EH8" s="399">
        <v>0</v>
      </c>
      <c r="EI8" s="399">
        <v>0</v>
      </c>
      <c r="EJ8" s="399">
        <v>0</v>
      </c>
      <c r="EK8" s="399">
        <v>0</v>
      </c>
      <c r="EL8" s="399">
        <v>0</v>
      </c>
      <c r="EM8" s="399"/>
      <c r="EN8" s="399"/>
      <c r="EO8" s="399">
        <v>0</v>
      </c>
      <c r="EP8" s="399">
        <v>0</v>
      </c>
      <c r="EQ8" s="399"/>
      <c r="ER8" s="399">
        <v>0</v>
      </c>
      <c r="ES8" s="399"/>
      <c r="ET8" s="399">
        <v>0</v>
      </c>
      <c r="EU8" s="399"/>
      <c r="EV8" s="399">
        <v>202</v>
      </c>
      <c r="EW8" s="399"/>
      <c r="EX8" s="399"/>
      <c r="EY8" s="399"/>
      <c r="EZ8" s="399"/>
      <c r="FA8" s="399">
        <v>0</v>
      </c>
      <c r="FB8" s="399">
        <v>-17.698635468909799</v>
      </c>
      <c r="FC8" s="399"/>
      <c r="FD8" s="399">
        <v>-17.698635468909799</v>
      </c>
      <c r="FE8" s="399"/>
      <c r="FF8" s="399">
        <v>0</v>
      </c>
      <c r="FG8" s="399">
        <v>0</v>
      </c>
      <c r="FH8" s="399">
        <v>0</v>
      </c>
      <c r="FI8" s="399">
        <v>0</v>
      </c>
    </row>
    <row r="9" spans="1:165" customFormat="1">
      <c r="A9" s="399">
        <v>1</v>
      </c>
      <c r="B9" s="399" t="s">
        <v>956</v>
      </c>
      <c r="C9" s="399" t="s">
        <v>2402</v>
      </c>
      <c r="D9" s="399" t="s">
        <v>1823</v>
      </c>
      <c r="E9" s="399" t="s">
        <v>889</v>
      </c>
      <c r="F9" s="399" t="s">
        <v>889</v>
      </c>
      <c r="G9" s="399" t="s">
        <v>1239</v>
      </c>
      <c r="H9" s="399" t="s">
        <v>1239</v>
      </c>
      <c r="I9" s="399" t="s">
        <v>1239</v>
      </c>
      <c r="J9" s="399" t="s">
        <v>2400</v>
      </c>
      <c r="K9" s="788">
        <v>44440</v>
      </c>
      <c r="L9" s="399">
        <v>0</v>
      </c>
      <c r="M9" s="399">
        <v>0</v>
      </c>
      <c r="N9" s="399">
        <v>423.71499999999997</v>
      </c>
      <c r="O9" s="399">
        <v>423.71499999999997</v>
      </c>
      <c r="P9" s="399">
        <v>423.71499999999997</v>
      </c>
      <c r="Q9" s="399">
        <v>423.71499999999997</v>
      </c>
      <c r="R9" s="399"/>
      <c r="S9" s="399">
        <v>609.05999999999995</v>
      </c>
      <c r="T9" s="399">
        <v>286.42</v>
      </c>
      <c r="U9" s="399"/>
      <c r="V9" s="399">
        <v>379428.30819999997</v>
      </c>
      <c r="W9" s="399">
        <v>379428.30819999997</v>
      </c>
      <c r="X9" s="399">
        <v>289765.97704999999</v>
      </c>
      <c r="Y9" s="399">
        <v>0</v>
      </c>
      <c r="Z9" s="399">
        <v>25787.887665125014</v>
      </c>
      <c r="AA9" s="399">
        <v>0</v>
      </c>
      <c r="AB9" s="399">
        <v>0</v>
      </c>
      <c r="AC9" s="399">
        <v>0</v>
      </c>
      <c r="AD9" s="399">
        <v>41376.680718251257</v>
      </c>
      <c r="AE9" s="399">
        <v>159830.38054396975</v>
      </c>
      <c r="AF9" s="399">
        <v>121361.86772999619</v>
      </c>
      <c r="AG9" s="399">
        <v>0</v>
      </c>
      <c r="AH9" s="399">
        <v>0</v>
      </c>
      <c r="AI9" s="399">
        <v>0</v>
      </c>
      <c r="AJ9" s="399">
        <v>0</v>
      </c>
      <c r="AK9" s="399">
        <v>0</v>
      </c>
      <c r="AL9" s="399">
        <v>3985.4162384761544</v>
      </c>
      <c r="AM9" s="399"/>
      <c r="AN9" s="399">
        <v>723.6363944446083</v>
      </c>
      <c r="AO9" s="399">
        <v>0</v>
      </c>
      <c r="AP9" s="399">
        <v>0</v>
      </c>
      <c r="AQ9" s="399">
        <v>0</v>
      </c>
      <c r="AR9" s="399">
        <v>0</v>
      </c>
      <c r="AS9" s="399">
        <v>0</v>
      </c>
      <c r="AT9" s="399">
        <v>0</v>
      </c>
      <c r="AU9" s="399">
        <v>0</v>
      </c>
      <c r="AV9" s="399">
        <v>0</v>
      </c>
      <c r="AW9" s="399">
        <v>0</v>
      </c>
      <c r="AX9" s="399">
        <v>0</v>
      </c>
      <c r="AY9" s="399">
        <v>0</v>
      </c>
      <c r="AZ9" s="399">
        <v>0</v>
      </c>
      <c r="BA9" s="399"/>
      <c r="BB9" s="399">
        <v>0</v>
      </c>
      <c r="BC9" s="399">
        <v>0</v>
      </c>
      <c r="BD9" s="399">
        <v>0</v>
      </c>
      <c r="BE9" s="399">
        <v>0</v>
      </c>
      <c r="BF9" s="399">
        <v>0</v>
      </c>
      <c r="BG9" s="399">
        <v>14203.909335840448</v>
      </c>
      <c r="BH9" s="399">
        <v>0</v>
      </c>
      <c r="BI9" s="399">
        <v>1999.66</v>
      </c>
      <c r="BJ9" s="399">
        <v>9358.73</v>
      </c>
      <c r="BK9" s="399">
        <v>69675.100000000006</v>
      </c>
      <c r="BL9" s="399">
        <v>3253</v>
      </c>
      <c r="BM9" s="399"/>
      <c r="BN9" s="399"/>
      <c r="BO9" s="399"/>
      <c r="BP9" s="399"/>
      <c r="BQ9" s="399"/>
      <c r="BR9" s="399"/>
      <c r="BS9" s="399"/>
      <c r="BT9" s="399"/>
      <c r="BU9" s="399"/>
      <c r="BV9" s="399">
        <v>135565.77706583662</v>
      </c>
      <c r="BW9" s="399"/>
      <c r="BX9" s="399"/>
      <c r="BY9" s="399"/>
      <c r="BZ9" s="399"/>
      <c r="CA9" s="399"/>
      <c r="CB9" s="399"/>
      <c r="CC9" s="399"/>
      <c r="CD9" s="399"/>
      <c r="CE9" s="399"/>
      <c r="CF9" s="399"/>
      <c r="CG9" s="399"/>
      <c r="CH9" s="399"/>
      <c r="CI9" s="399">
        <v>289769.39640000003</v>
      </c>
      <c r="CJ9" s="399">
        <v>-89658.941799999971</v>
      </c>
      <c r="CK9" s="399"/>
      <c r="CL9" s="399"/>
      <c r="CM9" s="399"/>
      <c r="CN9" s="399"/>
      <c r="CO9" s="399">
        <v>-62197.124849999978</v>
      </c>
      <c r="CP9" s="399">
        <v>-27465.206300000009</v>
      </c>
      <c r="CQ9" s="399">
        <v>30</v>
      </c>
      <c r="CR9" s="399">
        <v>-31341.354637454031</v>
      </c>
      <c r="CS9" s="399">
        <v>0</v>
      </c>
      <c r="CT9" s="399">
        <v>0</v>
      </c>
      <c r="CU9" s="399">
        <v>0</v>
      </c>
      <c r="CV9" s="399">
        <v>0</v>
      </c>
      <c r="CW9" s="399">
        <v>0</v>
      </c>
      <c r="CX9" s="399">
        <v>0</v>
      </c>
      <c r="CY9" s="399">
        <v>0</v>
      </c>
      <c r="CZ9" s="399">
        <v>1419.9197198680049</v>
      </c>
      <c r="DA9" s="399">
        <v>0</v>
      </c>
      <c r="DB9" s="399">
        <v>0</v>
      </c>
      <c r="DC9" s="399">
        <v>-27468.074633199431</v>
      </c>
      <c r="DD9" s="399">
        <v>0</v>
      </c>
      <c r="DE9" s="399">
        <v>0</v>
      </c>
      <c r="DF9" s="399">
        <v>0</v>
      </c>
      <c r="DG9" s="399">
        <v>-3214.7992529916646</v>
      </c>
      <c r="DH9" s="399">
        <v>0</v>
      </c>
      <c r="DI9" s="399">
        <v>-1789.064404303459</v>
      </c>
      <c r="DJ9" s="399"/>
      <c r="DK9" s="399">
        <v>0</v>
      </c>
      <c r="DL9" s="399">
        <v>0</v>
      </c>
      <c r="DM9" s="399">
        <v>0</v>
      </c>
      <c r="DN9" s="399">
        <v>0</v>
      </c>
      <c r="DO9" s="399">
        <v>-228.07859072083056</v>
      </c>
      <c r="DP9" s="399">
        <v>-61.257476106645186</v>
      </c>
      <c r="DQ9" s="399">
        <v>0</v>
      </c>
      <c r="DR9" s="399">
        <v>0</v>
      </c>
      <c r="DS9" s="399"/>
      <c r="DT9" s="399"/>
      <c r="DU9" s="399"/>
      <c r="DV9" s="399">
        <v>159830.38054396975</v>
      </c>
      <c r="DW9" s="399">
        <v>0</v>
      </c>
      <c r="DX9" s="399">
        <v>0</v>
      </c>
      <c r="DY9" s="399">
        <v>-62197.124849999993</v>
      </c>
      <c r="DZ9" s="399">
        <v>-27465.206300000005</v>
      </c>
      <c r="EA9" s="399">
        <v>0</v>
      </c>
      <c r="EB9" s="399">
        <v>0</v>
      </c>
      <c r="EC9" s="399">
        <v>-58322.124715990474</v>
      </c>
      <c r="ED9" s="399">
        <v>0</v>
      </c>
      <c r="EE9" s="399">
        <v>0</v>
      </c>
      <c r="EF9" s="399">
        <v>0</v>
      </c>
      <c r="EG9" s="399">
        <v>0</v>
      </c>
      <c r="EH9" s="399">
        <v>0</v>
      </c>
      <c r="EI9" s="399">
        <v>0</v>
      </c>
      <c r="EJ9" s="399">
        <v>0</v>
      </c>
      <c r="EK9" s="399">
        <v>0</v>
      </c>
      <c r="EL9" s="399">
        <v>0</v>
      </c>
      <c r="EM9" s="399">
        <v>0</v>
      </c>
      <c r="EN9" s="399">
        <v>0</v>
      </c>
      <c r="EO9" s="399">
        <v>0</v>
      </c>
      <c r="EP9" s="399">
        <v>12159.871366343357</v>
      </c>
      <c r="EQ9" s="399">
        <v>0</v>
      </c>
      <c r="ER9" s="399">
        <v>0</v>
      </c>
      <c r="ES9" s="399">
        <v>0</v>
      </c>
      <c r="ET9" s="399">
        <v>0</v>
      </c>
      <c r="EU9" s="399">
        <v>0</v>
      </c>
      <c r="EV9" s="399">
        <v>202</v>
      </c>
      <c r="EW9" s="399">
        <v>0</v>
      </c>
      <c r="EX9" s="399">
        <v>0</v>
      </c>
      <c r="EY9" s="399">
        <v>0</v>
      </c>
      <c r="EZ9" s="399"/>
      <c r="FA9" s="399">
        <v>0</v>
      </c>
      <c r="FB9" s="399">
        <v>-17.698635468909799</v>
      </c>
      <c r="FC9" s="399"/>
      <c r="FD9" s="399">
        <v>-17.698635468909799</v>
      </c>
      <c r="FE9" s="399"/>
      <c r="FF9" s="399">
        <v>0</v>
      </c>
      <c r="FG9" s="399">
        <v>0</v>
      </c>
      <c r="FH9" s="399">
        <v>0</v>
      </c>
      <c r="FI9" s="399">
        <v>0</v>
      </c>
    </row>
    <row r="10" spans="1:165" customFormat="1">
      <c r="A10" s="399">
        <v>2</v>
      </c>
      <c r="B10" s="399" t="s">
        <v>2403</v>
      </c>
      <c r="C10" s="399" t="s">
        <v>2402</v>
      </c>
      <c r="D10" s="399" t="s">
        <v>1823</v>
      </c>
      <c r="E10" s="399" t="s">
        <v>889</v>
      </c>
      <c r="F10" s="399" t="s">
        <v>889</v>
      </c>
      <c r="G10" s="399" t="s">
        <v>1239</v>
      </c>
      <c r="H10" s="399" t="s">
        <v>1239</v>
      </c>
      <c r="I10" s="399" t="s">
        <v>1239</v>
      </c>
      <c r="J10" s="399" t="s">
        <v>2400</v>
      </c>
      <c r="K10" s="788">
        <v>44440</v>
      </c>
      <c r="L10" s="399">
        <v>0</v>
      </c>
      <c r="M10" s="399">
        <v>0</v>
      </c>
      <c r="N10" s="399">
        <v>-0.79100000000000004</v>
      </c>
      <c r="O10" s="399">
        <v>-0.79100000000000004</v>
      </c>
      <c r="P10" s="399">
        <v>-0.79100000000000004</v>
      </c>
      <c r="Q10" s="399">
        <v>-0.79100000000000004</v>
      </c>
      <c r="R10" s="399"/>
      <c r="S10" s="399">
        <v>609.05999999999995</v>
      </c>
      <c r="T10" s="399">
        <v>286.42</v>
      </c>
      <c r="U10" s="399"/>
      <c r="V10" s="399">
        <v>-708.32468000000006</v>
      </c>
      <c r="W10" s="399">
        <v>-708.32468000000006</v>
      </c>
      <c r="X10" s="399">
        <v>-540.94117000000006</v>
      </c>
      <c r="Y10" s="399">
        <v>0</v>
      </c>
      <c r="Z10" s="399">
        <v>-48.141366586299483</v>
      </c>
      <c r="AA10" s="399">
        <v>0</v>
      </c>
      <c r="AB10" s="399">
        <v>0</v>
      </c>
      <c r="AC10" s="399">
        <v>0</v>
      </c>
      <c r="AD10" s="399">
        <v>-77.242850614532756</v>
      </c>
      <c r="AE10" s="399">
        <v>-298.37468819909628</v>
      </c>
      <c r="AF10" s="399">
        <v>-226.56086608788218</v>
      </c>
      <c r="AG10" s="399">
        <v>0</v>
      </c>
      <c r="AH10" s="399">
        <v>0</v>
      </c>
      <c r="AI10" s="399">
        <v>0</v>
      </c>
      <c r="AJ10" s="399">
        <v>0</v>
      </c>
      <c r="AK10" s="399">
        <v>0</v>
      </c>
      <c r="AL10" s="399">
        <v>-7.4400581632338678</v>
      </c>
      <c r="AM10" s="399"/>
      <c r="AN10" s="399">
        <v>-1.3508995150176066</v>
      </c>
      <c r="AO10" s="399">
        <v>0</v>
      </c>
      <c r="AP10" s="399">
        <v>0</v>
      </c>
      <c r="AQ10" s="399">
        <v>0</v>
      </c>
      <c r="AR10" s="399">
        <v>0</v>
      </c>
      <c r="AS10" s="399">
        <v>0</v>
      </c>
      <c r="AT10" s="399">
        <v>0</v>
      </c>
      <c r="AU10" s="399">
        <v>0</v>
      </c>
      <c r="AV10" s="399">
        <v>0</v>
      </c>
      <c r="AW10" s="399">
        <v>0</v>
      </c>
      <c r="AX10" s="399">
        <v>0</v>
      </c>
      <c r="AY10" s="399">
        <v>0</v>
      </c>
      <c r="AZ10" s="399">
        <v>0</v>
      </c>
      <c r="BA10" s="399"/>
      <c r="BB10" s="399">
        <v>0</v>
      </c>
      <c r="BC10" s="399">
        <v>0</v>
      </c>
      <c r="BD10" s="399">
        <v>0</v>
      </c>
      <c r="BE10" s="399">
        <v>0</v>
      </c>
      <c r="BF10" s="399">
        <v>0</v>
      </c>
      <c r="BG10" s="399">
        <v>-26.516154218401038</v>
      </c>
      <c r="BH10" s="399">
        <v>0</v>
      </c>
      <c r="BI10" s="399">
        <v>-5.88</v>
      </c>
      <c r="BJ10" s="399">
        <v>-27.15</v>
      </c>
      <c r="BK10" s="399">
        <v>-248.66</v>
      </c>
      <c r="BL10" s="399">
        <v>0</v>
      </c>
      <c r="BM10" s="399"/>
      <c r="BN10" s="399"/>
      <c r="BO10" s="399"/>
      <c r="BP10" s="399"/>
      <c r="BQ10" s="399"/>
      <c r="BR10" s="399"/>
      <c r="BS10" s="399"/>
      <c r="BT10" s="399"/>
      <c r="BU10" s="399"/>
      <c r="BV10" s="399">
        <v>-253.0770203062832</v>
      </c>
      <c r="BW10" s="399"/>
      <c r="BX10" s="399"/>
      <c r="BY10" s="399"/>
      <c r="BZ10" s="399"/>
      <c r="CA10" s="399"/>
      <c r="CB10" s="399"/>
      <c r="CC10" s="399"/>
      <c r="CD10" s="399"/>
      <c r="CE10" s="399"/>
      <c r="CF10" s="399"/>
      <c r="CG10" s="399"/>
      <c r="CH10" s="399"/>
      <c r="CI10" s="399">
        <v>-540.25729999999999</v>
      </c>
      <c r="CJ10" s="399">
        <v>168.0373800000001</v>
      </c>
      <c r="CK10" s="399"/>
      <c r="CL10" s="399"/>
      <c r="CM10" s="399"/>
      <c r="CN10" s="399"/>
      <c r="CO10" s="399">
        <v>116.11088999999998</v>
      </c>
      <c r="CP10" s="399">
        <v>51.272620000000018</v>
      </c>
      <c r="CQ10" s="399">
        <v>30</v>
      </c>
      <c r="CR10" s="399">
        <v>58.508694566456541</v>
      </c>
      <c r="CS10" s="399">
        <v>0</v>
      </c>
      <c r="CT10" s="399">
        <v>0</v>
      </c>
      <c r="CU10" s="399">
        <v>0</v>
      </c>
      <c r="CV10" s="399">
        <v>0</v>
      </c>
      <c r="CW10" s="399">
        <v>0</v>
      </c>
      <c r="CX10" s="399">
        <v>0</v>
      </c>
      <c r="CY10" s="399">
        <v>0</v>
      </c>
      <c r="CZ10" s="399">
        <v>-2.6507357502462554</v>
      </c>
      <c r="DA10" s="399">
        <v>0</v>
      </c>
      <c r="DB10" s="399">
        <v>0</v>
      </c>
      <c r="DC10" s="399">
        <v>51.277974664245448</v>
      </c>
      <c r="DD10" s="399">
        <v>0</v>
      </c>
      <c r="DE10" s="399">
        <v>0</v>
      </c>
      <c r="DF10" s="399">
        <v>0</v>
      </c>
      <c r="DG10" s="399">
        <v>6.0014543009249302</v>
      </c>
      <c r="DH10" s="399">
        <v>0</v>
      </c>
      <c r="DI10" s="399">
        <v>3.3398627469030728</v>
      </c>
      <c r="DJ10" s="399"/>
      <c r="DK10" s="399">
        <v>0</v>
      </c>
      <c r="DL10" s="399">
        <v>0</v>
      </c>
      <c r="DM10" s="399">
        <v>0</v>
      </c>
      <c r="DN10" s="399">
        <v>0</v>
      </c>
      <c r="DO10" s="399">
        <v>0.42578187050299565</v>
      </c>
      <c r="DP10" s="399">
        <v>0.11435673412637337</v>
      </c>
      <c r="DQ10" s="399">
        <v>0</v>
      </c>
      <c r="DR10" s="399">
        <v>0</v>
      </c>
      <c r="DS10" s="399"/>
      <c r="DT10" s="399"/>
      <c r="DU10" s="399"/>
      <c r="DV10" s="399">
        <v>-298.37468819909628</v>
      </c>
      <c r="DW10" s="399">
        <v>0</v>
      </c>
      <c r="DX10" s="399">
        <v>0</v>
      </c>
      <c r="DY10" s="399">
        <v>116.11088999999998</v>
      </c>
      <c r="DZ10" s="399">
        <v>51.272620000000018</v>
      </c>
      <c r="EA10" s="399">
        <v>0</v>
      </c>
      <c r="EB10" s="399">
        <v>0</v>
      </c>
      <c r="EC10" s="399">
        <v>108.8769589236833</v>
      </c>
      <c r="ED10" s="399">
        <v>0</v>
      </c>
      <c r="EE10" s="399">
        <v>0</v>
      </c>
      <c r="EF10" s="399">
        <v>0</v>
      </c>
      <c r="EG10" s="399">
        <v>0</v>
      </c>
      <c r="EH10" s="399">
        <v>0</v>
      </c>
      <c r="EI10" s="399">
        <v>0</v>
      </c>
      <c r="EJ10" s="399">
        <v>0</v>
      </c>
      <c r="EK10" s="399">
        <v>0</v>
      </c>
      <c r="EL10" s="399">
        <v>0</v>
      </c>
      <c r="EM10" s="399">
        <v>0</v>
      </c>
      <c r="EN10" s="399">
        <v>0</v>
      </c>
      <c r="EO10" s="399">
        <v>0</v>
      </c>
      <c r="EP10" s="399">
        <v>-22.700301501664082</v>
      </c>
      <c r="EQ10" s="399">
        <v>0</v>
      </c>
      <c r="ER10" s="399">
        <v>0</v>
      </c>
      <c r="ES10" s="399">
        <v>0</v>
      </c>
      <c r="ET10" s="399">
        <v>0</v>
      </c>
      <c r="EU10" s="399">
        <v>0</v>
      </c>
      <c r="EV10" s="399">
        <v>202</v>
      </c>
      <c r="EW10" s="399">
        <v>0</v>
      </c>
      <c r="EX10" s="399">
        <v>0</v>
      </c>
      <c r="EY10" s="399">
        <v>0</v>
      </c>
      <c r="EZ10" s="399"/>
      <c r="FA10" s="399">
        <v>0</v>
      </c>
      <c r="FB10" s="399">
        <v>-17.698635468909799</v>
      </c>
      <c r="FC10" s="399"/>
      <c r="FD10" s="399">
        <v>-17.698635468909799</v>
      </c>
      <c r="FE10" s="399"/>
      <c r="FF10" s="399">
        <v>0</v>
      </c>
      <c r="FG10" s="399">
        <v>0</v>
      </c>
      <c r="FH10" s="399">
        <v>0</v>
      </c>
      <c r="FI10" s="399">
        <v>0</v>
      </c>
    </row>
    <row r="11" spans="1:165" customFormat="1">
      <c r="A11" s="399">
        <v>3</v>
      </c>
      <c r="B11" s="399" t="s">
        <v>2404</v>
      </c>
      <c r="C11" s="399" t="s">
        <v>2402</v>
      </c>
      <c r="D11" s="399" t="s">
        <v>1823</v>
      </c>
      <c r="E11" s="399" t="s">
        <v>889</v>
      </c>
      <c r="F11" s="399" t="s">
        <v>889</v>
      </c>
      <c r="G11" s="399" t="s">
        <v>1239</v>
      </c>
      <c r="H11" s="399" t="s">
        <v>1239</v>
      </c>
      <c r="I11" s="399" t="s">
        <v>1239</v>
      </c>
      <c r="J11" s="399" t="s">
        <v>2400</v>
      </c>
      <c r="K11" s="788">
        <v>44440</v>
      </c>
      <c r="L11" s="399">
        <v>0</v>
      </c>
      <c r="M11" s="399">
        <v>0</v>
      </c>
      <c r="N11" s="399">
        <v>2.7389999999999999</v>
      </c>
      <c r="O11" s="399">
        <v>2.7389999999999999</v>
      </c>
      <c r="P11" s="399">
        <v>2.7389999999999999</v>
      </c>
      <c r="Q11" s="399">
        <v>2.7389999999999999</v>
      </c>
      <c r="R11" s="399"/>
      <c r="S11" s="399">
        <v>609.05999999999995</v>
      </c>
      <c r="T11" s="399">
        <v>286.42</v>
      </c>
      <c r="U11" s="399"/>
      <c r="V11" s="399">
        <v>2452.7197199999996</v>
      </c>
      <c r="W11" s="399">
        <v>2452.7197199999996</v>
      </c>
      <c r="X11" s="399">
        <v>1873.1199299999998</v>
      </c>
      <c r="Y11" s="399">
        <v>0</v>
      </c>
      <c r="Z11" s="399">
        <v>166.69937178239479</v>
      </c>
      <c r="AA11" s="399">
        <v>0</v>
      </c>
      <c r="AB11" s="399">
        <v>0</v>
      </c>
      <c r="AC11" s="399">
        <v>0</v>
      </c>
      <c r="AD11" s="399">
        <v>267.46923872718736</v>
      </c>
      <c r="AE11" s="399">
        <v>1033.18365483859</v>
      </c>
      <c r="AF11" s="399">
        <v>784.51354262289408</v>
      </c>
      <c r="AG11" s="399">
        <v>0</v>
      </c>
      <c r="AH11" s="399">
        <v>0</v>
      </c>
      <c r="AI11" s="399">
        <v>0</v>
      </c>
      <c r="AJ11" s="399">
        <v>0</v>
      </c>
      <c r="AK11" s="399">
        <v>0</v>
      </c>
      <c r="AL11" s="399">
        <v>25.762729847152418</v>
      </c>
      <c r="AM11" s="399"/>
      <c r="AN11" s="399">
        <v>4.6777670943530012</v>
      </c>
      <c r="AO11" s="399">
        <v>0</v>
      </c>
      <c r="AP11" s="399">
        <v>0</v>
      </c>
      <c r="AQ11" s="399">
        <v>0</v>
      </c>
      <c r="AR11" s="399">
        <v>0</v>
      </c>
      <c r="AS11" s="399">
        <v>0</v>
      </c>
      <c r="AT11" s="399">
        <v>0</v>
      </c>
      <c r="AU11" s="399">
        <v>0</v>
      </c>
      <c r="AV11" s="399">
        <v>0</v>
      </c>
      <c r="AW11" s="399">
        <v>0</v>
      </c>
      <c r="AX11" s="399">
        <v>0</v>
      </c>
      <c r="AY11" s="399">
        <v>0</v>
      </c>
      <c r="AZ11" s="399">
        <v>0</v>
      </c>
      <c r="BA11" s="399"/>
      <c r="BB11" s="399">
        <v>0</v>
      </c>
      <c r="BC11" s="399">
        <v>0</v>
      </c>
      <c r="BD11" s="399">
        <v>0</v>
      </c>
      <c r="BE11" s="399">
        <v>0</v>
      </c>
      <c r="BF11" s="399">
        <v>0</v>
      </c>
      <c r="BG11" s="399">
        <v>91.817631358028365</v>
      </c>
      <c r="BH11" s="399">
        <v>0</v>
      </c>
      <c r="BI11" s="399">
        <v>12.11</v>
      </c>
      <c r="BJ11" s="399">
        <v>56.94</v>
      </c>
      <c r="BK11" s="399">
        <v>1509.53</v>
      </c>
      <c r="BL11" s="399">
        <v>25</v>
      </c>
      <c r="BM11" s="399"/>
      <c r="BN11" s="399"/>
      <c r="BO11" s="399"/>
      <c r="BP11" s="399"/>
      <c r="BQ11" s="399"/>
      <c r="BR11" s="399"/>
      <c r="BS11" s="399"/>
      <c r="BT11" s="399"/>
      <c r="BU11" s="399"/>
      <c r="BV11" s="399">
        <v>876.33117398092247</v>
      </c>
      <c r="BW11" s="399"/>
      <c r="BX11" s="399"/>
      <c r="BY11" s="399"/>
      <c r="BZ11" s="399"/>
      <c r="CA11" s="399"/>
      <c r="CB11" s="399"/>
      <c r="CC11" s="399"/>
      <c r="CD11" s="399"/>
      <c r="CE11" s="399"/>
      <c r="CF11" s="399"/>
      <c r="CG11" s="399"/>
      <c r="CH11" s="399"/>
      <c r="CI11" s="399">
        <v>1873.8038000000001</v>
      </c>
      <c r="CJ11" s="399">
        <v>-578.94591999999966</v>
      </c>
      <c r="CK11" s="399"/>
      <c r="CL11" s="399"/>
      <c r="CM11" s="399"/>
      <c r="CN11" s="399"/>
      <c r="CO11" s="399">
        <v>-402.0578099999999</v>
      </c>
      <c r="CP11" s="399">
        <v>-177.54198000000005</v>
      </c>
      <c r="CQ11" s="399">
        <v>30</v>
      </c>
      <c r="CR11" s="399">
        <v>-202.59837473770472</v>
      </c>
      <c r="CS11" s="399">
        <v>0</v>
      </c>
      <c r="CT11" s="399">
        <v>0</v>
      </c>
      <c r="CU11" s="399">
        <v>0</v>
      </c>
      <c r="CV11" s="399">
        <v>0</v>
      </c>
      <c r="CW11" s="399">
        <v>0</v>
      </c>
      <c r="CX11" s="399">
        <v>0</v>
      </c>
      <c r="CY11" s="399">
        <v>0</v>
      </c>
      <c r="CZ11" s="399">
        <v>9.1787170921927554</v>
      </c>
      <c r="DA11" s="399">
        <v>0</v>
      </c>
      <c r="DB11" s="399">
        <v>0</v>
      </c>
      <c r="DC11" s="399">
        <v>-177.56052162499145</v>
      </c>
      <c r="DD11" s="399">
        <v>0</v>
      </c>
      <c r="DE11" s="399">
        <v>0</v>
      </c>
      <c r="DF11" s="399">
        <v>0</v>
      </c>
      <c r="DG11" s="399">
        <v>-20.781268432659147</v>
      </c>
      <c r="DH11" s="399">
        <v>0</v>
      </c>
      <c r="DI11" s="399">
        <v>-11.564960889718719</v>
      </c>
      <c r="DJ11" s="399"/>
      <c r="DK11" s="399">
        <v>0</v>
      </c>
      <c r="DL11" s="399">
        <v>0</v>
      </c>
      <c r="DM11" s="399">
        <v>0</v>
      </c>
      <c r="DN11" s="399">
        <v>0</v>
      </c>
      <c r="DO11" s="399">
        <v>-1.4743571976077199</v>
      </c>
      <c r="DP11" s="399">
        <v>-0.39598368492052671</v>
      </c>
      <c r="DQ11" s="399">
        <v>0</v>
      </c>
      <c r="DR11" s="399">
        <v>0</v>
      </c>
      <c r="DS11" s="399"/>
      <c r="DT11" s="399"/>
      <c r="DU11" s="399"/>
      <c r="DV11" s="399">
        <v>1033.18365483859</v>
      </c>
      <c r="DW11" s="399">
        <v>0</v>
      </c>
      <c r="DX11" s="399">
        <v>0</v>
      </c>
      <c r="DY11" s="399">
        <v>-402.05780999999979</v>
      </c>
      <c r="DZ11" s="399">
        <v>-177.54197999999997</v>
      </c>
      <c r="EA11" s="399">
        <v>0</v>
      </c>
      <c r="EB11" s="399">
        <v>0</v>
      </c>
      <c r="EC11" s="399">
        <v>-377.00883753725486</v>
      </c>
      <c r="ED11" s="399">
        <v>0</v>
      </c>
      <c r="EE11" s="399">
        <v>0</v>
      </c>
      <c r="EF11" s="399">
        <v>0</v>
      </c>
      <c r="EG11" s="399">
        <v>0</v>
      </c>
      <c r="EH11" s="399">
        <v>0</v>
      </c>
      <c r="EI11" s="399">
        <v>0</v>
      </c>
      <c r="EJ11" s="399">
        <v>0</v>
      </c>
      <c r="EK11" s="399">
        <v>0</v>
      </c>
      <c r="EL11" s="399">
        <v>0</v>
      </c>
      <c r="EM11" s="399">
        <v>0</v>
      </c>
      <c r="EN11" s="399">
        <v>0</v>
      </c>
      <c r="EO11" s="399">
        <v>0</v>
      </c>
      <c r="EP11" s="399">
        <v>78.604457412209754</v>
      </c>
      <c r="EQ11" s="399">
        <v>0</v>
      </c>
      <c r="ER11" s="399">
        <v>0</v>
      </c>
      <c r="ES11" s="399">
        <v>0</v>
      </c>
      <c r="ET11" s="399">
        <v>0</v>
      </c>
      <c r="EU11" s="399">
        <v>0</v>
      </c>
      <c r="EV11" s="399">
        <v>202</v>
      </c>
      <c r="EW11" s="399">
        <v>0</v>
      </c>
      <c r="EX11" s="399">
        <v>0</v>
      </c>
      <c r="EY11" s="399">
        <v>0</v>
      </c>
      <c r="EZ11" s="399"/>
      <c r="FA11" s="399">
        <v>0</v>
      </c>
      <c r="FB11" s="399">
        <v>-17.698635468909799</v>
      </c>
      <c r="FC11" s="399"/>
      <c r="FD11" s="399">
        <v>-17.698635468909799</v>
      </c>
      <c r="FE11" s="399"/>
      <c r="FF11" s="399">
        <v>0</v>
      </c>
      <c r="FG11" s="399">
        <v>0</v>
      </c>
      <c r="FH11" s="399">
        <v>0</v>
      </c>
      <c r="FI11" s="399">
        <v>0</v>
      </c>
    </row>
    <row r="12" spans="1:165" customFormat="1">
      <c r="A12" s="399">
        <v>4</v>
      </c>
      <c r="B12" s="399" t="s">
        <v>2404</v>
      </c>
      <c r="C12" s="399" t="s">
        <v>2402</v>
      </c>
      <c r="D12" s="399" t="s">
        <v>1823</v>
      </c>
      <c r="E12" s="399" t="s">
        <v>889</v>
      </c>
      <c r="F12" s="399" t="s">
        <v>889</v>
      </c>
      <c r="G12" s="399" t="s">
        <v>1239</v>
      </c>
      <c r="H12" s="399" t="s">
        <v>1239</v>
      </c>
      <c r="I12" s="399" t="s">
        <v>1239</v>
      </c>
      <c r="J12" s="399" t="s">
        <v>2400</v>
      </c>
      <c r="K12" s="788">
        <v>44440</v>
      </c>
      <c r="L12" s="399">
        <v>0</v>
      </c>
      <c r="M12" s="399">
        <v>0</v>
      </c>
      <c r="N12" s="399">
        <v>0</v>
      </c>
      <c r="O12" s="399">
        <v>0</v>
      </c>
      <c r="P12" s="399">
        <v>0</v>
      </c>
      <c r="Q12" s="399">
        <v>0</v>
      </c>
      <c r="R12" s="399"/>
      <c r="S12" s="399"/>
      <c r="T12" s="399"/>
      <c r="U12" s="399"/>
      <c r="V12" s="399"/>
      <c r="W12" s="399"/>
      <c r="X12" s="399"/>
      <c r="Y12" s="399"/>
      <c r="Z12" s="399"/>
      <c r="AA12" s="399">
        <v>0</v>
      </c>
      <c r="AB12" s="399"/>
      <c r="AC12" s="399"/>
      <c r="AD12" s="399"/>
      <c r="AE12" s="399"/>
      <c r="AF12" s="399"/>
      <c r="AG12" s="399"/>
      <c r="AH12" s="399"/>
      <c r="AI12" s="399"/>
      <c r="AJ12" s="399"/>
      <c r="AK12" s="399"/>
      <c r="AL12" s="399"/>
      <c r="AM12" s="399"/>
      <c r="AN12" s="399"/>
      <c r="AO12" s="399"/>
      <c r="AP12" s="399"/>
      <c r="AQ12" s="399"/>
      <c r="AR12" s="399"/>
      <c r="AS12" s="399"/>
      <c r="AT12" s="399"/>
      <c r="AU12" s="399"/>
      <c r="AV12" s="399"/>
      <c r="AW12" s="399"/>
      <c r="AX12" s="399"/>
      <c r="AY12" s="399"/>
      <c r="AZ12" s="399">
        <v>0</v>
      </c>
      <c r="BA12" s="399"/>
      <c r="BB12" s="399"/>
      <c r="BC12" s="399"/>
      <c r="BD12" s="399"/>
      <c r="BE12" s="399"/>
      <c r="BF12" s="399"/>
      <c r="BG12" s="399"/>
      <c r="BH12" s="399"/>
      <c r="BI12" s="399">
        <v>0</v>
      </c>
      <c r="BJ12" s="399">
        <v>0</v>
      </c>
      <c r="BK12" s="399">
        <v>-26.84</v>
      </c>
      <c r="BL12" s="399">
        <v>2</v>
      </c>
      <c r="BM12" s="399"/>
      <c r="BN12" s="399"/>
      <c r="BO12" s="399"/>
      <c r="BP12" s="399"/>
      <c r="BQ12" s="399"/>
      <c r="BR12" s="399"/>
      <c r="BS12" s="399"/>
      <c r="BT12" s="399"/>
      <c r="BU12" s="399"/>
      <c r="BV12" s="399"/>
      <c r="BW12" s="399"/>
      <c r="BX12" s="399"/>
      <c r="BY12" s="399"/>
      <c r="BZ12" s="399"/>
      <c r="CA12" s="399"/>
      <c r="CB12" s="399"/>
      <c r="CC12" s="399"/>
      <c r="CD12" s="399"/>
      <c r="CE12" s="399"/>
      <c r="CF12" s="399"/>
      <c r="CG12" s="399"/>
      <c r="CH12" s="399"/>
      <c r="CI12" s="399"/>
      <c r="CJ12" s="399">
        <v>-0.03</v>
      </c>
      <c r="CK12" s="399"/>
      <c r="CL12" s="399"/>
      <c r="CM12" s="399"/>
      <c r="CN12" s="399"/>
      <c r="CO12" s="399">
        <v>0</v>
      </c>
      <c r="CP12" s="399">
        <v>0</v>
      </c>
      <c r="CQ12" s="399">
        <v>30</v>
      </c>
      <c r="CR12" s="399"/>
      <c r="CS12" s="399"/>
      <c r="CT12" s="399"/>
      <c r="CU12" s="399"/>
      <c r="CV12" s="399"/>
      <c r="CW12" s="399"/>
      <c r="CX12" s="399"/>
      <c r="CY12" s="399"/>
      <c r="CZ12" s="399"/>
      <c r="DA12" s="399"/>
      <c r="DB12" s="399"/>
      <c r="DC12" s="399"/>
      <c r="DD12" s="399"/>
      <c r="DE12" s="399"/>
      <c r="DF12" s="399"/>
      <c r="DG12" s="399"/>
      <c r="DH12" s="399"/>
      <c r="DI12" s="399"/>
      <c r="DJ12" s="399"/>
      <c r="DK12" s="399">
        <v>0</v>
      </c>
      <c r="DL12" s="399"/>
      <c r="DM12" s="399"/>
      <c r="DN12" s="399"/>
      <c r="DO12" s="399"/>
      <c r="DP12" s="399"/>
      <c r="DQ12" s="399"/>
      <c r="DR12" s="399"/>
      <c r="DS12" s="399"/>
      <c r="DT12" s="399"/>
      <c r="DU12" s="399"/>
      <c r="DV12" s="399"/>
      <c r="DW12" s="399"/>
      <c r="DX12" s="399"/>
      <c r="DY12" s="399"/>
      <c r="DZ12" s="399"/>
      <c r="EA12" s="399"/>
      <c r="EB12" s="399"/>
      <c r="EC12" s="399"/>
      <c r="ED12" s="399"/>
      <c r="EE12" s="399"/>
      <c r="EF12" s="399"/>
      <c r="EG12" s="399"/>
      <c r="EH12" s="399"/>
      <c r="EI12" s="399"/>
      <c r="EJ12" s="399"/>
      <c r="EK12" s="399"/>
      <c r="EL12" s="399"/>
      <c r="EM12" s="399"/>
      <c r="EN12" s="399"/>
      <c r="EO12" s="399"/>
      <c r="EP12" s="399"/>
      <c r="EQ12" s="399"/>
      <c r="ER12" s="399"/>
      <c r="ES12" s="399"/>
      <c r="ET12" s="399"/>
      <c r="EU12" s="399"/>
      <c r="EV12" s="399">
        <v>202</v>
      </c>
      <c r="EW12" s="399"/>
      <c r="EX12" s="399"/>
      <c r="EY12" s="399"/>
      <c r="EZ12" s="399"/>
      <c r="FA12" s="399">
        <v>0</v>
      </c>
      <c r="FB12" s="399">
        <v>-17.698635468909799</v>
      </c>
      <c r="FC12" s="399"/>
      <c r="FD12" s="399">
        <v>-17.698635468909799</v>
      </c>
      <c r="FE12" s="399"/>
      <c r="FF12" s="399">
        <v>0</v>
      </c>
      <c r="FG12" s="399">
        <v>0</v>
      </c>
      <c r="FH12" s="399">
        <v>0</v>
      </c>
      <c r="FI12" s="399">
        <v>0</v>
      </c>
    </row>
    <row r="13" spans="1:165" customFormat="1">
      <c r="A13" s="399">
        <v>5</v>
      </c>
      <c r="B13" s="399" t="s">
        <v>956</v>
      </c>
      <c r="C13" s="399" t="s">
        <v>2402</v>
      </c>
      <c r="D13" s="399" t="s">
        <v>1823</v>
      </c>
      <c r="E13" s="399" t="s">
        <v>889</v>
      </c>
      <c r="F13" s="399" t="s">
        <v>2405</v>
      </c>
      <c r="G13" s="399" t="s">
        <v>1239</v>
      </c>
      <c r="H13" s="399" t="s">
        <v>1239</v>
      </c>
      <c r="I13" s="399" t="s">
        <v>1239</v>
      </c>
      <c r="J13" s="399" t="s">
        <v>2400</v>
      </c>
      <c r="K13" s="788">
        <v>44440</v>
      </c>
      <c r="L13" s="399">
        <v>0</v>
      </c>
      <c r="M13" s="399">
        <v>0</v>
      </c>
      <c r="N13" s="399">
        <v>3.63</v>
      </c>
      <c r="O13" s="399">
        <v>3.63</v>
      </c>
      <c r="P13" s="399">
        <v>3.63</v>
      </c>
      <c r="Q13" s="399">
        <v>3.63</v>
      </c>
      <c r="R13" s="399"/>
      <c r="S13" s="399">
        <v>510.09</v>
      </c>
      <c r="T13" s="399">
        <v>286.42</v>
      </c>
      <c r="U13" s="399"/>
      <c r="V13" s="399">
        <v>2891.3312999999998</v>
      </c>
      <c r="W13" s="399">
        <v>2891.3312999999998</v>
      </c>
      <c r="X13" s="399">
        <v>2140.5020999999997</v>
      </c>
      <c r="Y13" s="399">
        <v>0</v>
      </c>
      <c r="Z13" s="399">
        <v>0</v>
      </c>
      <c r="AA13" s="399">
        <v>0</v>
      </c>
      <c r="AB13" s="399">
        <v>0</v>
      </c>
      <c r="AC13" s="399">
        <v>0</v>
      </c>
      <c r="AD13" s="399">
        <v>354.47730433723626</v>
      </c>
      <c r="AE13" s="399">
        <v>1369.2795425571676</v>
      </c>
      <c r="AF13" s="399">
        <v>1039.7167432351609</v>
      </c>
      <c r="AG13" s="399">
        <v>0</v>
      </c>
      <c r="AH13" s="399">
        <v>0</v>
      </c>
      <c r="AI13" s="399">
        <v>0</v>
      </c>
      <c r="AJ13" s="399">
        <v>0</v>
      </c>
      <c r="AK13" s="399">
        <v>0</v>
      </c>
      <c r="AL13" s="399">
        <v>0</v>
      </c>
      <c r="AM13" s="399"/>
      <c r="AN13" s="399">
        <v>6.1994503660100024</v>
      </c>
      <c r="AO13" s="399">
        <v>0</v>
      </c>
      <c r="AP13" s="399">
        <v>0</v>
      </c>
      <c r="AQ13" s="399">
        <v>0</v>
      </c>
      <c r="AR13" s="399">
        <v>0</v>
      </c>
      <c r="AS13" s="399">
        <v>0</v>
      </c>
      <c r="AT13" s="399">
        <v>0</v>
      </c>
      <c r="AU13" s="399">
        <v>0</v>
      </c>
      <c r="AV13" s="399">
        <v>0</v>
      </c>
      <c r="AW13" s="399">
        <v>0</v>
      </c>
      <c r="AX13" s="399">
        <v>0</v>
      </c>
      <c r="AY13" s="399">
        <v>0</v>
      </c>
      <c r="AZ13" s="399">
        <v>0</v>
      </c>
      <c r="BA13" s="399"/>
      <c r="BB13" s="399">
        <v>0</v>
      </c>
      <c r="BC13" s="399">
        <v>0</v>
      </c>
      <c r="BD13" s="399">
        <v>0</v>
      </c>
      <c r="BE13" s="399">
        <v>0</v>
      </c>
      <c r="BF13" s="399">
        <v>0</v>
      </c>
      <c r="BG13" s="399">
        <v>121.68601746244724</v>
      </c>
      <c r="BH13" s="399">
        <v>0</v>
      </c>
      <c r="BI13" s="399">
        <v>4.4800000000000004</v>
      </c>
      <c r="BJ13" s="399">
        <v>23.36</v>
      </c>
      <c r="BK13" s="399">
        <v>423.62</v>
      </c>
      <c r="BL13" s="399">
        <v>0</v>
      </c>
      <c r="BM13" s="399"/>
      <c r="BN13" s="399"/>
      <c r="BO13" s="399"/>
      <c r="BP13" s="399"/>
      <c r="BQ13" s="399"/>
      <c r="BR13" s="399"/>
      <c r="BS13" s="399"/>
      <c r="BT13" s="399">
        <v>1391.3426999999999</v>
      </c>
      <c r="BU13" s="399"/>
      <c r="BV13" s="399">
        <v>1161.4027606976083</v>
      </c>
      <c r="BW13" s="399"/>
      <c r="BX13" s="399"/>
      <c r="BY13" s="399"/>
      <c r="BZ13" s="399"/>
      <c r="CA13" s="399"/>
      <c r="CB13" s="399"/>
      <c r="CC13" s="399"/>
      <c r="CD13" s="399"/>
      <c r="CE13" s="399"/>
      <c r="CF13" s="399"/>
      <c r="CG13" s="399"/>
      <c r="CH13" s="399"/>
      <c r="CI13" s="399">
        <v>749.15940000000001</v>
      </c>
      <c r="CJ13" s="399">
        <v>-262.84199999999987</v>
      </c>
      <c r="CK13" s="399"/>
      <c r="CL13" s="399"/>
      <c r="CM13" s="399"/>
      <c r="CN13" s="399"/>
      <c r="CO13" s="399">
        <v>-515.53259999999989</v>
      </c>
      <c r="CP13" s="399">
        <v>-235.29660000000007</v>
      </c>
      <c r="CQ13" s="399">
        <v>30</v>
      </c>
      <c r="CR13" s="399">
        <v>-251.22284616315255</v>
      </c>
      <c r="CS13" s="399">
        <v>0</v>
      </c>
      <c r="CT13" s="399">
        <v>0</v>
      </c>
      <c r="CU13" s="399">
        <v>0</v>
      </c>
      <c r="CV13" s="399">
        <v>0</v>
      </c>
      <c r="CW13" s="399">
        <v>0</v>
      </c>
      <c r="CX13" s="399">
        <v>0</v>
      </c>
      <c r="CY13" s="399">
        <v>0</v>
      </c>
      <c r="CZ13" s="399">
        <v>12.164564820978399</v>
      </c>
      <c r="DA13" s="399">
        <v>0</v>
      </c>
      <c r="DB13" s="399">
        <v>0</v>
      </c>
      <c r="DC13" s="399">
        <v>-235.32117323794068</v>
      </c>
      <c r="DD13" s="399">
        <v>0</v>
      </c>
      <c r="DE13" s="399">
        <v>0</v>
      </c>
      <c r="DF13" s="399">
        <v>0</v>
      </c>
      <c r="DG13" s="399">
        <v>-27.541440091475991</v>
      </c>
      <c r="DH13" s="399">
        <v>0</v>
      </c>
      <c r="DI13" s="399">
        <v>0</v>
      </c>
      <c r="DJ13" s="399"/>
      <c r="DK13" s="399">
        <v>0</v>
      </c>
      <c r="DL13" s="399">
        <v>0</v>
      </c>
      <c r="DM13" s="399">
        <v>0</v>
      </c>
      <c r="DN13" s="399">
        <v>0</v>
      </c>
      <c r="DO13" s="399">
        <v>0</v>
      </c>
      <c r="DP13" s="399">
        <v>-0.52479765471395101</v>
      </c>
      <c r="DQ13" s="399">
        <v>0</v>
      </c>
      <c r="DR13" s="399">
        <v>0</v>
      </c>
      <c r="DS13" s="399"/>
      <c r="DT13" s="399"/>
      <c r="DU13" s="399"/>
      <c r="DV13" s="399">
        <v>1369.2795425571676</v>
      </c>
      <c r="DW13" s="399">
        <v>0</v>
      </c>
      <c r="DX13" s="399">
        <v>0</v>
      </c>
      <c r="DY13" s="399">
        <v>-515.53259999999977</v>
      </c>
      <c r="DZ13" s="399">
        <v>-235.29660000000013</v>
      </c>
      <c r="EA13" s="399">
        <v>0</v>
      </c>
      <c r="EB13" s="399">
        <v>0</v>
      </c>
      <c r="EC13" s="399">
        <v>-499.65026661563911</v>
      </c>
      <c r="ED13" s="399">
        <v>0</v>
      </c>
      <c r="EE13" s="399">
        <v>0</v>
      </c>
      <c r="EF13" s="399">
        <v>0</v>
      </c>
      <c r="EG13" s="399">
        <v>0</v>
      </c>
      <c r="EH13" s="399">
        <v>0</v>
      </c>
      <c r="EI13" s="399">
        <v>0</v>
      </c>
      <c r="EJ13" s="399">
        <v>0</v>
      </c>
      <c r="EK13" s="399">
        <v>0</v>
      </c>
      <c r="EL13" s="399">
        <v>0</v>
      </c>
      <c r="EM13" s="399">
        <v>0</v>
      </c>
      <c r="EN13" s="399">
        <v>0</v>
      </c>
      <c r="EO13" s="399">
        <v>0</v>
      </c>
      <c r="EP13" s="399">
        <v>0</v>
      </c>
      <c r="EQ13" s="399">
        <v>0</v>
      </c>
      <c r="ER13" s="399">
        <v>0</v>
      </c>
      <c r="ES13" s="399">
        <v>0</v>
      </c>
      <c r="ET13" s="399">
        <v>0</v>
      </c>
      <c r="EU13" s="399">
        <v>0</v>
      </c>
      <c r="EV13" s="399">
        <v>202</v>
      </c>
      <c r="EW13" s="399">
        <v>0</v>
      </c>
      <c r="EX13" s="399">
        <v>0</v>
      </c>
      <c r="EY13" s="399">
        <v>0</v>
      </c>
      <c r="EZ13" s="399"/>
      <c r="FA13" s="399">
        <v>0</v>
      </c>
      <c r="FB13" s="399">
        <v>-17.698635468909799</v>
      </c>
      <c r="FC13" s="399"/>
      <c r="FD13" s="399">
        <v>-17.698635468909799</v>
      </c>
      <c r="FE13" s="399"/>
      <c r="FF13" s="399">
        <v>0</v>
      </c>
      <c r="FG13" s="399">
        <v>0</v>
      </c>
      <c r="FH13" s="399">
        <v>0</v>
      </c>
      <c r="FI13" s="399">
        <v>0</v>
      </c>
    </row>
    <row r="14" spans="1:165" customFormat="1">
      <c r="A14" s="399">
        <v>6</v>
      </c>
      <c r="B14" s="399" t="s">
        <v>956</v>
      </c>
      <c r="C14" s="399" t="s">
        <v>2402</v>
      </c>
      <c r="D14" s="399" t="s">
        <v>1823</v>
      </c>
      <c r="E14" s="399" t="s">
        <v>889</v>
      </c>
      <c r="F14" s="399" t="s">
        <v>2406</v>
      </c>
      <c r="G14" s="399" t="s">
        <v>1239</v>
      </c>
      <c r="H14" s="399" t="s">
        <v>1239</v>
      </c>
      <c r="I14" s="399" t="s">
        <v>1239</v>
      </c>
      <c r="J14" s="399" t="s">
        <v>2400</v>
      </c>
      <c r="K14" s="788">
        <v>44440</v>
      </c>
      <c r="L14" s="399">
        <v>0</v>
      </c>
      <c r="M14" s="399">
        <v>0</v>
      </c>
      <c r="N14" s="399">
        <v>7.7220000000000004</v>
      </c>
      <c r="O14" s="399">
        <v>7.7220000000000004</v>
      </c>
      <c r="P14" s="399">
        <v>7.7220000000000004</v>
      </c>
      <c r="Q14" s="399">
        <v>7.7220000000000004</v>
      </c>
      <c r="R14" s="399"/>
      <c r="S14" s="399">
        <v>510.09</v>
      </c>
      <c r="T14" s="399">
        <v>286.42</v>
      </c>
      <c r="U14" s="399"/>
      <c r="V14" s="399">
        <v>6150.6502200000004</v>
      </c>
      <c r="W14" s="399">
        <v>6150.6502200000004</v>
      </c>
      <c r="X14" s="399">
        <v>4553.43174</v>
      </c>
      <c r="Y14" s="399">
        <v>0</v>
      </c>
      <c r="Z14" s="399">
        <v>0</v>
      </c>
      <c r="AA14" s="399">
        <v>0</v>
      </c>
      <c r="AB14" s="399">
        <v>0</v>
      </c>
      <c r="AC14" s="399">
        <v>0</v>
      </c>
      <c r="AD14" s="399">
        <v>754.06990195375715</v>
      </c>
      <c r="AE14" s="399">
        <v>2912.8310268943383</v>
      </c>
      <c r="AF14" s="399">
        <v>2211.7610719729787</v>
      </c>
      <c r="AG14" s="399">
        <v>0</v>
      </c>
      <c r="AH14" s="399">
        <v>0</v>
      </c>
      <c r="AI14" s="399">
        <v>0</v>
      </c>
      <c r="AJ14" s="399">
        <v>0</v>
      </c>
      <c r="AK14" s="399">
        <v>0</v>
      </c>
      <c r="AL14" s="399">
        <v>0</v>
      </c>
      <c r="AM14" s="399"/>
      <c r="AN14" s="399">
        <v>13.187921687694006</v>
      </c>
      <c r="AO14" s="399">
        <v>0</v>
      </c>
      <c r="AP14" s="399">
        <v>0</v>
      </c>
      <c r="AQ14" s="399">
        <v>0</v>
      </c>
      <c r="AR14" s="399">
        <v>0</v>
      </c>
      <c r="AS14" s="399">
        <v>0</v>
      </c>
      <c r="AT14" s="399">
        <v>0</v>
      </c>
      <c r="AU14" s="399">
        <v>0</v>
      </c>
      <c r="AV14" s="399">
        <v>0</v>
      </c>
      <c r="AW14" s="399">
        <v>0</v>
      </c>
      <c r="AX14" s="399">
        <v>0</v>
      </c>
      <c r="AY14" s="399">
        <v>0</v>
      </c>
      <c r="AZ14" s="399">
        <v>0</v>
      </c>
      <c r="BA14" s="399"/>
      <c r="BB14" s="399">
        <v>0</v>
      </c>
      <c r="BC14" s="399">
        <v>0</v>
      </c>
      <c r="BD14" s="399">
        <v>0</v>
      </c>
      <c r="BE14" s="399">
        <v>0</v>
      </c>
      <c r="BF14" s="399">
        <v>0</v>
      </c>
      <c r="BG14" s="399">
        <v>258.85934623829684</v>
      </c>
      <c r="BH14" s="399">
        <v>0</v>
      </c>
      <c r="BI14" s="399">
        <v>18.63</v>
      </c>
      <c r="BJ14" s="399">
        <v>86.23</v>
      </c>
      <c r="BK14" s="399">
        <v>998.35</v>
      </c>
      <c r="BL14" s="399">
        <v>30</v>
      </c>
      <c r="BM14" s="399"/>
      <c r="BN14" s="399"/>
      <c r="BO14" s="399"/>
      <c r="BP14" s="399"/>
      <c r="BQ14" s="399"/>
      <c r="BR14" s="399"/>
      <c r="BS14" s="399"/>
      <c r="BT14" s="399">
        <v>1821.38814</v>
      </c>
      <c r="BU14" s="399"/>
      <c r="BV14" s="399">
        <v>2470.6204182112756</v>
      </c>
      <c r="BW14" s="399"/>
      <c r="BX14" s="399"/>
      <c r="BY14" s="399"/>
      <c r="BZ14" s="399"/>
      <c r="CA14" s="399"/>
      <c r="CB14" s="399"/>
      <c r="CC14" s="399"/>
      <c r="CD14" s="399"/>
      <c r="CE14" s="399"/>
      <c r="CF14" s="399"/>
      <c r="CG14" s="399"/>
      <c r="CH14" s="399"/>
      <c r="CI14" s="399">
        <v>2731.3360000000002</v>
      </c>
      <c r="CJ14" s="399">
        <v>-959.11502000000019</v>
      </c>
      <c r="CK14" s="399"/>
      <c r="CL14" s="399"/>
      <c r="CM14" s="399"/>
      <c r="CN14" s="399"/>
      <c r="CO14" s="399">
        <v>-1096.6784399999999</v>
      </c>
      <c r="CP14" s="399">
        <v>-500.5400400000002</v>
      </c>
      <c r="CQ14" s="399">
        <v>30</v>
      </c>
      <c r="CR14" s="399">
        <v>-534.4195091107058</v>
      </c>
      <c r="CS14" s="399">
        <v>0</v>
      </c>
      <c r="CT14" s="399">
        <v>0</v>
      </c>
      <c r="CU14" s="399">
        <v>0</v>
      </c>
      <c r="CV14" s="399">
        <v>0</v>
      </c>
      <c r="CW14" s="399">
        <v>0</v>
      </c>
      <c r="CX14" s="399">
        <v>0</v>
      </c>
      <c r="CY14" s="399">
        <v>0</v>
      </c>
      <c r="CZ14" s="399">
        <v>25.877346982808604</v>
      </c>
      <c r="DA14" s="399">
        <v>0</v>
      </c>
      <c r="DB14" s="399">
        <v>0</v>
      </c>
      <c r="DC14" s="399">
        <v>-500.59231397889175</v>
      </c>
      <c r="DD14" s="399">
        <v>0</v>
      </c>
      <c r="DE14" s="399">
        <v>0</v>
      </c>
      <c r="DF14" s="399">
        <v>0</v>
      </c>
      <c r="DG14" s="399">
        <v>-58.588154376412518</v>
      </c>
      <c r="DH14" s="399">
        <v>0</v>
      </c>
      <c r="DI14" s="399">
        <v>0</v>
      </c>
      <c r="DJ14" s="399"/>
      <c r="DK14" s="399">
        <v>0</v>
      </c>
      <c r="DL14" s="399">
        <v>0</v>
      </c>
      <c r="DM14" s="399">
        <v>0</v>
      </c>
      <c r="DN14" s="399">
        <v>0</v>
      </c>
      <c r="DO14" s="399">
        <v>0</v>
      </c>
      <c r="DP14" s="399">
        <v>-1.1163877382096778</v>
      </c>
      <c r="DQ14" s="399">
        <v>0</v>
      </c>
      <c r="DR14" s="399">
        <v>0</v>
      </c>
      <c r="DS14" s="399"/>
      <c r="DT14" s="399"/>
      <c r="DU14" s="399"/>
      <c r="DV14" s="399">
        <v>2912.8310268943383</v>
      </c>
      <c r="DW14" s="399">
        <v>0</v>
      </c>
      <c r="DX14" s="399">
        <v>0</v>
      </c>
      <c r="DY14" s="399">
        <v>-1096.6784400000001</v>
      </c>
      <c r="DZ14" s="399">
        <v>-500.54004000000032</v>
      </c>
      <c r="EA14" s="399">
        <v>0</v>
      </c>
      <c r="EB14" s="399">
        <v>0</v>
      </c>
      <c r="EC14" s="399">
        <v>-1062.8923853459955</v>
      </c>
      <c r="ED14" s="399">
        <v>0</v>
      </c>
      <c r="EE14" s="399">
        <v>0</v>
      </c>
      <c r="EF14" s="399">
        <v>0</v>
      </c>
      <c r="EG14" s="399">
        <v>0</v>
      </c>
      <c r="EH14" s="399">
        <v>0</v>
      </c>
      <c r="EI14" s="399">
        <v>0</v>
      </c>
      <c r="EJ14" s="399">
        <v>0</v>
      </c>
      <c r="EK14" s="399">
        <v>0</v>
      </c>
      <c r="EL14" s="399">
        <v>0</v>
      </c>
      <c r="EM14" s="399">
        <v>0</v>
      </c>
      <c r="EN14" s="399">
        <v>0</v>
      </c>
      <c r="EO14" s="399">
        <v>0</v>
      </c>
      <c r="EP14" s="399">
        <v>0</v>
      </c>
      <c r="EQ14" s="399">
        <v>0</v>
      </c>
      <c r="ER14" s="399">
        <v>0</v>
      </c>
      <c r="ES14" s="399">
        <v>0</v>
      </c>
      <c r="ET14" s="399">
        <v>0</v>
      </c>
      <c r="EU14" s="399">
        <v>0</v>
      </c>
      <c r="EV14" s="399">
        <v>202</v>
      </c>
      <c r="EW14" s="399">
        <v>0</v>
      </c>
      <c r="EX14" s="399">
        <v>0</v>
      </c>
      <c r="EY14" s="399">
        <v>0</v>
      </c>
      <c r="EZ14" s="399"/>
      <c r="FA14" s="399">
        <v>0</v>
      </c>
      <c r="FB14" s="399">
        <v>-17.698635468909799</v>
      </c>
      <c r="FC14" s="399"/>
      <c r="FD14" s="399">
        <v>-17.698635468909799</v>
      </c>
      <c r="FE14" s="399"/>
      <c r="FF14" s="399">
        <v>0</v>
      </c>
      <c r="FG14" s="399">
        <v>0</v>
      </c>
      <c r="FH14" s="399">
        <v>0</v>
      </c>
      <c r="FI14" s="399">
        <v>0</v>
      </c>
    </row>
    <row r="15" spans="1:165" customFormat="1">
      <c r="A15" s="399">
        <v>7</v>
      </c>
      <c r="B15" s="399" t="s">
        <v>956</v>
      </c>
      <c r="C15" s="399" t="s">
        <v>2402</v>
      </c>
      <c r="D15" s="399" t="s">
        <v>1823</v>
      </c>
      <c r="E15" s="399" t="s">
        <v>889</v>
      </c>
      <c r="F15" s="399" t="s">
        <v>2407</v>
      </c>
      <c r="G15" s="399" t="s">
        <v>1239</v>
      </c>
      <c r="H15" s="399" t="s">
        <v>1239</v>
      </c>
      <c r="I15" s="399" t="s">
        <v>1239</v>
      </c>
      <c r="J15" s="399" t="s">
        <v>2400</v>
      </c>
      <c r="K15" s="788">
        <v>44440</v>
      </c>
      <c r="L15" s="399">
        <v>0</v>
      </c>
      <c r="M15" s="399">
        <v>0</v>
      </c>
      <c r="N15" s="399">
        <v>7.3079999999999998</v>
      </c>
      <c r="O15" s="399">
        <v>7.3079999999999998</v>
      </c>
      <c r="P15" s="399">
        <v>7.3079999999999998</v>
      </c>
      <c r="Q15" s="399">
        <v>7.3079999999999998</v>
      </c>
      <c r="R15" s="399"/>
      <c r="S15" s="399">
        <v>510.09</v>
      </c>
      <c r="T15" s="399">
        <v>286.42</v>
      </c>
      <c r="U15" s="399"/>
      <c r="V15" s="399">
        <v>5820.8950800000002</v>
      </c>
      <c r="W15" s="399">
        <v>5820.8950800000002</v>
      </c>
      <c r="X15" s="399">
        <v>4309.30836</v>
      </c>
      <c r="Y15" s="399">
        <v>0</v>
      </c>
      <c r="Z15" s="399">
        <v>0</v>
      </c>
      <c r="AA15" s="399">
        <v>0</v>
      </c>
      <c r="AB15" s="399">
        <v>0</v>
      </c>
      <c r="AC15" s="399">
        <v>0</v>
      </c>
      <c r="AD15" s="399">
        <v>713.64191187232029</v>
      </c>
      <c r="AE15" s="399">
        <v>2756.6652608836862</v>
      </c>
      <c r="AF15" s="399">
        <v>2093.1818070420263</v>
      </c>
      <c r="AG15" s="399">
        <v>0</v>
      </c>
      <c r="AH15" s="399">
        <v>0</v>
      </c>
      <c r="AI15" s="399">
        <v>0</v>
      </c>
      <c r="AJ15" s="399">
        <v>0</v>
      </c>
      <c r="AK15" s="399">
        <v>0</v>
      </c>
      <c r="AL15" s="399">
        <v>0</v>
      </c>
      <c r="AM15" s="399"/>
      <c r="AN15" s="399">
        <v>12.480876935206913</v>
      </c>
      <c r="AO15" s="399">
        <v>0</v>
      </c>
      <c r="AP15" s="399">
        <v>0</v>
      </c>
      <c r="AQ15" s="399">
        <v>0</v>
      </c>
      <c r="AR15" s="399">
        <v>0</v>
      </c>
      <c r="AS15" s="399">
        <v>0</v>
      </c>
      <c r="AT15" s="399">
        <v>0</v>
      </c>
      <c r="AU15" s="399">
        <v>0</v>
      </c>
      <c r="AV15" s="399">
        <v>0</v>
      </c>
      <c r="AW15" s="399">
        <v>0</v>
      </c>
      <c r="AX15" s="399">
        <v>0</v>
      </c>
      <c r="AY15" s="399">
        <v>0</v>
      </c>
      <c r="AZ15" s="399">
        <v>0</v>
      </c>
      <c r="BA15" s="399"/>
      <c r="BB15" s="399">
        <v>0</v>
      </c>
      <c r="BC15" s="399">
        <v>0</v>
      </c>
      <c r="BD15" s="399">
        <v>0</v>
      </c>
      <c r="BE15" s="399">
        <v>0</v>
      </c>
      <c r="BF15" s="399">
        <v>0</v>
      </c>
      <c r="BG15" s="399">
        <v>244.98110623018303</v>
      </c>
      <c r="BH15" s="399">
        <v>0</v>
      </c>
      <c r="BI15" s="399">
        <v>32.049999999999997</v>
      </c>
      <c r="BJ15" s="399">
        <v>148.77000000000001</v>
      </c>
      <c r="BK15" s="399">
        <v>1696</v>
      </c>
      <c r="BL15" s="399">
        <v>88</v>
      </c>
      <c r="BM15" s="399"/>
      <c r="BN15" s="399"/>
      <c r="BO15" s="399"/>
      <c r="BP15" s="399"/>
      <c r="BQ15" s="399"/>
      <c r="BR15" s="399"/>
      <c r="BS15" s="399"/>
      <c r="BT15" s="399">
        <v>430.95275999999996</v>
      </c>
      <c r="BU15" s="399"/>
      <c r="BV15" s="399">
        <v>2338.1629132722092</v>
      </c>
      <c r="BW15" s="399"/>
      <c r="BX15" s="399"/>
      <c r="BY15" s="399"/>
      <c r="BZ15" s="399"/>
      <c r="CA15" s="399"/>
      <c r="CB15" s="399"/>
      <c r="CC15" s="399"/>
      <c r="CD15" s="399"/>
      <c r="CE15" s="399"/>
      <c r="CF15" s="399"/>
      <c r="CG15" s="399"/>
      <c r="CH15" s="399"/>
      <c r="CI15" s="399">
        <v>3879.4169999999995</v>
      </c>
      <c r="CJ15" s="399">
        <v>-1359.4258800000007</v>
      </c>
      <c r="CK15" s="399"/>
      <c r="CL15" s="399"/>
      <c r="CM15" s="399"/>
      <c r="CN15" s="399"/>
      <c r="CO15" s="399">
        <v>-1037.8821599999999</v>
      </c>
      <c r="CP15" s="399">
        <v>-473.70456000000013</v>
      </c>
      <c r="CQ15" s="399">
        <v>30</v>
      </c>
      <c r="CR15" s="399">
        <v>-505.76764731689127</v>
      </c>
      <c r="CS15" s="399">
        <v>0</v>
      </c>
      <c r="CT15" s="399">
        <v>0</v>
      </c>
      <c r="CU15" s="399">
        <v>0</v>
      </c>
      <c r="CV15" s="399">
        <v>0</v>
      </c>
      <c r="CW15" s="399">
        <v>0</v>
      </c>
      <c r="CX15" s="399">
        <v>0</v>
      </c>
      <c r="CY15" s="399">
        <v>0</v>
      </c>
      <c r="CZ15" s="399">
        <v>24.489983391655642</v>
      </c>
      <c r="DA15" s="399">
        <v>0</v>
      </c>
      <c r="DB15" s="399">
        <v>0</v>
      </c>
      <c r="DC15" s="399">
        <v>-473.75403141125889</v>
      </c>
      <c r="DD15" s="399">
        <v>0</v>
      </c>
      <c r="DE15" s="399">
        <v>0</v>
      </c>
      <c r="DF15" s="399">
        <v>0</v>
      </c>
      <c r="DG15" s="399">
        <v>-55.447064514740077</v>
      </c>
      <c r="DH15" s="399">
        <v>0</v>
      </c>
      <c r="DI15" s="399">
        <v>0</v>
      </c>
      <c r="DJ15" s="399"/>
      <c r="DK15" s="399">
        <v>0</v>
      </c>
      <c r="DL15" s="399">
        <v>0</v>
      </c>
      <c r="DM15" s="399">
        <v>0</v>
      </c>
      <c r="DN15" s="399">
        <v>0</v>
      </c>
      <c r="DO15" s="399">
        <v>0</v>
      </c>
      <c r="DP15" s="399">
        <v>-1.056534782548086</v>
      </c>
      <c r="DQ15" s="399">
        <v>0</v>
      </c>
      <c r="DR15" s="399">
        <v>0</v>
      </c>
      <c r="DS15" s="399"/>
      <c r="DT15" s="399"/>
      <c r="DU15" s="399"/>
      <c r="DV15" s="399">
        <v>2756.6652608836862</v>
      </c>
      <c r="DW15" s="399">
        <v>0</v>
      </c>
      <c r="DX15" s="399">
        <v>0</v>
      </c>
      <c r="DY15" s="399">
        <v>-1037.8821599999997</v>
      </c>
      <c r="DZ15" s="399">
        <v>-473.70456000000013</v>
      </c>
      <c r="EA15" s="399">
        <v>0</v>
      </c>
      <c r="EB15" s="399">
        <v>0</v>
      </c>
      <c r="EC15" s="399">
        <v>-1005.9074789055346</v>
      </c>
      <c r="ED15" s="399">
        <v>0</v>
      </c>
      <c r="EE15" s="399">
        <v>0</v>
      </c>
      <c r="EF15" s="399">
        <v>0</v>
      </c>
      <c r="EG15" s="399">
        <v>0</v>
      </c>
      <c r="EH15" s="399">
        <v>0</v>
      </c>
      <c r="EI15" s="399">
        <v>0</v>
      </c>
      <c r="EJ15" s="399">
        <v>0</v>
      </c>
      <c r="EK15" s="399">
        <v>0</v>
      </c>
      <c r="EL15" s="399">
        <v>0</v>
      </c>
      <c r="EM15" s="399">
        <v>0</v>
      </c>
      <c r="EN15" s="399">
        <v>0</v>
      </c>
      <c r="EO15" s="399">
        <v>0</v>
      </c>
      <c r="EP15" s="399">
        <v>0</v>
      </c>
      <c r="EQ15" s="399">
        <v>0</v>
      </c>
      <c r="ER15" s="399">
        <v>0</v>
      </c>
      <c r="ES15" s="399">
        <v>0</v>
      </c>
      <c r="ET15" s="399">
        <v>0</v>
      </c>
      <c r="EU15" s="399">
        <v>0</v>
      </c>
      <c r="EV15" s="399">
        <v>202</v>
      </c>
      <c r="EW15" s="399">
        <v>0</v>
      </c>
      <c r="EX15" s="399">
        <v>0</v>
      </c>
      <c r="EY15" s="399">
        <v>0</v>
      </c>
      <c r="EZ15" s="399"/>
      <c r="FA15" s="399">
        <v>0</v>
      </c>
      <c r="FB15" s="399">
        <v>-17.698635468909799</v>
      </c>
      <c r="FC15" s="399"/>
      <c r="FD15" s="399">
        <v>-17.698635468909799</v>
      </c>
      <c r="FE15" s="399"/>
      <c r="FF15" s="399">
        <v>0</v>
      </c>
      <c r="FG15" s="399">
        <v>0</v>
      </c>
      <c r="FH15" s="399">
        <v>0</v>
      </c>
      <c r="FI15" s="399">
        <v>0</v>
      </c>
    </row>
    <row r="16" spans="1:165" customFormat="1">
      <c r="A16" s="399">
        <v>8</v>
      </c>
      <c r="B16" s="399" t="s">
        <v>956</v>
      </c>
      <c r="C16" s="399" t="s">
        <v>2402</v>
      </c>
      <c r="D16" s="399" t="s">
        <v>1823</v>
      </c>
      <c r="E16" s="399" t="s">
        <v>889</v>
      </c>
      <c r="F16" s="399" t="s">
        <v>2408</v>
      </c>
      <c r="G16" s="399" t="s">
        <v>1239</v>
      </c>
      <c r="H16" s="399" t="s">
        <v>1239</v>
      </c>
      <c r="I16" s="399" t="s">
        <v>1239</v>
      </c>
      <c r="J16" s="399" t="s">
        <v>2400</v>
      </c>
      <c r="K16" s="788">
        <v>44440</v>
      </c>
      <c r="L16" s="399">
        <v>0</v>
      </c>
      <c r="M16" s="399">
        <v>0</v>
      </c>
      <c r="N16" s="399">
        <v>0.19500000000000001</v>
      </c>
      <c r="O16" s="399">
        <v>0.19500000000000001</v>
      </c>
      <c r="P16" s="399">
        <v>0.19500000000000001</v>
      </c>
      <c r="Q16" s="399">
        <v>0.19500000000000001</v>
      </c>
      <c r="R16" s="399"/>
      <c r="S16" s="399">
        <v>510.09</v>
      </c>
      <c r="T16" s="399">
        <v>286.42</v>
      </c>
      <c r="U16" s="399"/>
      <c r="V16" s="399">
        <v>155.31945000000002</v>
      </c>
      <c r="W16" s="399">
        <v>155.31945000000002</v>
      </c>
      <c r="X16" s="399">
        <v>114.98565000000001</v>
      </c>
      <c r="Y16" s="399">
        <v>0</v>
      </c>
      <c r="Z16" s="399">
        <v>0</v>
      </c>
      <c r="AA16" s="399">
        <v>0</v>
      </c>
      <c r="AB16" s="399">
        <v>0</v>
      </c>
      <c r="AC16" s="399">
        <v>0</v>
      </c>
      <c r="AD16" s="399">
        <v>19.042169241256495</v>
      </c>
      <c r="AE16" s="399">
        <v>73.556339062988343</v>
      </c>
      <c r="AF16" s="399">
        <v>55.852552322549968</v>
      </c>
      <c r="AG16" s="399">
        <v>0</v>
      </c>
      <c r="AH16" s="399">
        <v>0</v>
      </c>
      <c r="AI16" s="399">
        <v>0</v>
      </c>
      <c r="AJ16" s="399">
        <v>0</v>
      </c>
      <c r="AK16" s="399">
        <v>0</v>
      </c>
      <c r="AL16" s="399">
        <v>0</v>
      </c>
      <c r="AM16" s="399"/>
      <c r="AN16" s="399">
        <v>0.33302832544681832</v>
      </c>
      <c r="AO16" s="399">
        <v>0</v>
      </c>
      <c r="AP16" s="399">
        <v>0</v>
      </c>
      <c r="AQ16" s="399">
        <v>0</v>
      </c>
      <c r="AR16" s="399">
        <v>0</v>
      </c>
      <c r="AS16" s="399">
        <v>0</v>
      </c>
      <c r="AT16" s="399">
        <v>0</v>
      </c>
      <c r="AU16" s="399">
        <v>0</v>
      </c>
      <c r="AV16" s="399">
        <v>0</v>
      </c>
      <c r="AW16" s="399">
        <v>0</v>
      </c>
      <c r="AX16" s="399">
        <v>0</v>
      </c>
      <c r="AY16" s="399">
        <v>0</v>
      </c>
      <c r="AZ16" s="399">
        <v>0</v>
      </c>
      <c r="BA16" s="399"/>
      <c r="BB16" s="399">
        <v>0</v>
      </c>
      <c r="BC16" s="399">
        <v>0</v>
      </c>
      <c r="BD16" s="399">
        <v>0</v>
      </c>
      <c r="BE16" s="399">
        <v>0</v>
      </c>
      <c r="BF16" s="399">
        <v>0</v>
      </c>
      <c r="BG16" s="399">
        <v>6.5368521777347688</v>
      </c>
      <c r="BH16" s="399">
        <v>0</v>
      </c>
      <c r="BI16" s="399">
        <v>1.27</v>
      </c>
      <c r="BJ16" s="399">
        <v>5.8</v>
      </c>
      <c r="BK16" s="399">
        <v>86.49</v>
      </c>
      <c r="BL16" s="399">
        <v>3</v>
      </c>
      <c r="BM16" s="399"/>
      <c r="BN16" s="399"/>
      <c r="BO16" s="399"/>
      <c r="BP16" s="399"/>
      <c r="BQ16" s="399"/>
      <c r="BR16" s="399"/>
      <c r="BS16" s="399"/>
      <c r="BT16" s="399"/>
      <c r="BU16" s="399"/>
      <c r="BV16" s="399">
        <v>62.389404500284741</v>
      </c>
      <c r="BW16" s="399"/>
      <c r="BX16" s="399"/>
      <c r="BY16" s="399"/>
      <c r="BZ16" s="399"/>
      <c r="CA16" s="399"/>
      <c r="CB16" s="399"/>
      <c r="CC16" s="399"/>
      <c r="CD16" s="399"/>
      <c r="CE16" s="399"/>
      <c r="CF16" s="399"/>
      <c r="CG16" s="399"/>
      <c r="CH16" s="399"/>
      <c r="CI16" s="399">
        <v>117.934</v>
      </c>
      <c r="CJ16" s="399">
        <v>-37.415450000000021</v>
      </c>
      <c r="CK16" s="399"/>
      <c r="CL16" s="399"/>
      <c r="CM16" s="399"/>
      <c r="CN16" s="399"/>
      <c r="CO16" s="399">
        <v>-27.693899999999996</v>
      </c>
      <c r="CP16" s="399">
        <v>-12.639900000000004</v>
      </c>
      <c r="CQ16" s="399">
        <v>30</v>
      </c>
      <c r="CR16" s="399">
        <v>-13.495442149260228</v>
      </c>
      <c r="CS16" s="399">
        <v>0</v>
      </c>
      <c r="CT16" s="399">
        <v>0</v>
      </c>
      <c r="CU16" s="399">
        <v>0</v>
      </c>
      <c r="CV16" s="399">
        <v>0</v>
      </c>
      <c r="CW16" s="399">
        <v>0</v>
      </c>
      <c r="CX16" s="399">
        <v>0</v>
      </c>
      <c r="CY16" s="399">
        <v>0</v>
      </c>
      <c r="CZ16" s="399">
        <v>0.65346835815173065</v>
      </c>
      <c r="DA16" s="399">
        <v>0</v>
      </c>
      <c r="DB16" s="399">
        <v>0</v>
      </c>
      <c r="DC16" s="399">
        <v>-12.641220049972013</v>
      </c>
      <c r="DD16" s="399">
        <v>0</v>
      </c>
      <c r="DE16" s="399">
        <v>0</v>
      </c>
      <c r="DF16" s="399">
        <v>0</v>
      </c>
      <c r="DG16" s="399">
        <v>-1.4794988478892055</v>
      </c>
      <c r="DH16" s="399">
        <v>0</v>
      </c>
      <c r="DI16" s="399">
        <v>0</v>
      </c>
      <c r="DJ16" s="399"/>
      <c r="DK16" s="399">
        <v>0</v>
      </c>
      <c r="DL16" s="399">
        <v>0</v>
      </c>
      <c r="DM16" s="399">
        <v>0</v>
      </c>
      <c r="DN16" s="399">
        <v>0</v>
      </c>
      <c r="DO16" s="399">
        <v>0</v>
      </c>
      <c r="DP16" s="399">
        <v>-2.8191609550749452E-2</v>
      </c>
      <c r="DQ16" s="399">
        <v>0</v>
      </c>
      <c r="DR16" s="399">
        <v>0</v>
      </c>
      <c r="DS16" s="399"/>
      <c r="DT16" s="399"/>
      <c r="DU16" s="399"/>
      <c r="DV16" s="399">
        <v>73.556339062988343</v>
      </c>
      <c r="DW16" s="399">
        <v>0</v>
      </c>
      <c r="DX16" s="399">
        <v>0</v>
      </c>
      <c r="DY16" s="399">
        <v>-27.693899999999999</v>
      </c>
      <c r="DZ16" s="399">
        <v>-12.639900000000004</v>
      </c>
      <c r="EA16" s="399">
        <v>0</v>
      </c>
      <c r="EB16" s="399">
        <v>0</v>
      </c>
      <c r="EC16" s="399">
        <v>-26.840716801666559</v>
      </c>
      <c r="ED16" s="399">
        <v>0</v>
      </c>
      <c r="EE16" s="399">
        <v>0</v>
      </c>
      <c r="EF16" s="399">
        <v>0</v>
      </c>
      <c r="EG16" s="399">
        <v>0</v>
      </c>
      <c r="EH16" s="399">
        <v>0</v>
      </c>
      <c r="EI16" s="399">
        <v>0</v>
      </c>
      <c r="EJ16" s="399">
        <v>0</v>
      </c>
      <c r="EK16" s="399">
        <v>0</v>
      </c>
      <c r="EL16" s="399">
        <v>0</v>
      </c>
      <c r="EM16" s="399">
        <v>0</v>
      </c>
      <c r="EN16" s="399">
        <v>0</v>
      </c>
      <c r="EO16" s="399">
        <v>0</v>
      </c>
      <c r="EP16" s="399">
        <v>0</v>
      </c>
      <c r="EQ16" s="399">
        <v>0</v>
      </c>
      <c r="ER16" s="399">
        <v>0</v>
      </c>
      <c r="ES16" s="399">
        <v>0</v>
      </c>
      <c r="ET16" s="399">
        <v>0</v>
      </c>
      <c r="EU16" s="399">
        <v>0</v>
      </c>
      <c r="EV16" s="399">
        <v>202</v>
      </c>
      <c r="EW16" s="399">
        <v>0</v>
      </c>
      <c r="EX16" s="399">
        <v>0</v>
      </c>
      <c r="EY16" s="399">
        <v>0</v>
      </c>
      <c r="EZ16" s="399"/>
      <c r="FA16" s="399">
        <v>0</v>
      </c>
      <c r="FB16" s="399">
        <v>-17.698635468909799</v>
      </c>
      <c r="FC16" s="399"/>
      <c r="FD16" s="399">
        <v>-17.698635468909799</v>
      </c>
      <c r="FE16" s="399"/>
      <c r="FF16" s="399">
        <v>0</v>
      </c>
      <c r="FG16" s="399">
        <v>0</v>
      </c>
      <c r="FH16" s="399">
        <v>0</v>
      </c>
      <c r="FI16" s="399">
        <v>0</v>
      </c>
    </row>
    <row r="17" spans="1:165" customFormat="1">
      <c r="A17" s="399">
        <v>9</v>
      </c>
      <c r="B17" s="399" t="s">
        <v>956</v>
      </c>
      <c r="C17" s="399" t="s">
        <v>2409</v>
      </c>
      <c r="D17" s="399" t="s">
        <v>1823</v>
      </c>
      <c r="E17" s="399" t="s">
        <v>889</v>
      </c>
      <c r="F17" s="399" t="s">
        <v>889</v>
      </c>
      <c r="G17" s="399" t="s">
        <v>1239</v>
      </c>
      <c r="H17" s="399" t="s">
        <v>1239</v>
      </c>
      <c r="I17" s="399" t="s">
        <v>2326</v>
      </c>
      <c r="J17" s="399" t="s">
        <v>2400</v>
      </c>
      <c r="K17" s="788">
        <v>44440</v>
      </c>
      <c r="L17" s="399">
        <v>0</v>
      </c>
      <c r="M17" s="399">
        <v>0</v>
      </c>
      <c r="N17" s="399">
        <v>3.6999999999999998E-2</v>
      </c>
      <c r="O17" s="399">
        <v>3.6999999999999998E-2</v>
      </c>
      <c r="P17" s="399">
        <v>3.6999999999999998E-2</v>
      </c>
      <c r="Q17" s="399">
        <v>3.6999999999999998E-2</v>
      </c>
      <c r="R17" s="399"/>
      <c r="S17" s="399">
        <v>409.62</v>
      </c>
      <c r="T17" s="399">
        <v>286.42</v>
      </c>
      <c r="U17" s="399"/>
      <c r="V17" s="399">
        <v>25.75348</v>
      </c>
      <c r="W17" s="399">
        <v>25.75348</v>
      </c>
      <c r="X17" s="399">
        <v>20.01108</v>
      </c>
      <c r="Y17" s="399">
        <v>0</v>
      </c>
      <c r="Z17" s="399">
        <v>2.2518717619381552</v>
      </c>
      <c r="AA17" s="399">
        <v>0</v>
      </c>
      <c r="AB17" s="399">
        <v>0</v>
      </c>
      <c r="AC17" s="399">
        <v>0</v>
      </c>
      <c r="AD17" s="399">
        <v>2.0957988779233871</v>
      </c>
      <c r="AE17" s="399">
        <v>8.0949662625952943</v>
      </c>
      <c r="AF17" s="399">
        <v>10.597663774022301</v>
      </c>
      <c r="AG17" s="399">
        <v>0</v>
      </c>
      <c r="AH17" s="399">
        <v>0</v>
      </c>
      <c r="AI17" s="399">
        <v>0</v>
      </c>
      <c r="AJ17" s="399">
        <v>0</v>
      </c>
      <c r="AK17" s="399">
        <v>0</v>
      </c>
      <c r="AL17" s="399">
        <v>0.34801789132699507</v>
      </c>
      <c r="AM17" s="399"/>
      <c r="AN17" s="399">
        <v>6.3189989956575779E-2</v>
      </c>
      <c r="AO17" s="399">
        <v>0</v>
      </c>
      <c r="AP17" s="399">
        <v>0</v>
      </c>
      <c r="AQ17" s="399">
        <v>0</v>
      </c>
      <c r="AR17" s="399">
        <v>0</v>
      </c>
      <c r="AS17" s="399">
        <v>0</v>
      </c>
      <c r="AT17" s="399">
        <v>0</v>
      </c>
      <c r="AU17" s="399">
        <v>0</v>
      </c>
      <c r="AV17" s="399">
        <v>0</v>
      </c>
      <c r="AW17" s="399">
        <v>0</v>
      </c>
      <c r="AX17" s="399">
        <v>0</v>
      </c>
      <c r="AY17" s="399">
        <v>0</v>
      </c>
      <c r="AZ17" s="399">
        <v>0</v>
      </c>
      <c r="BA17" s="399"/>
      <c r="BB17" s="399">
        <v>0</v>
      </c>
      <c r="BC17" s="399">
        <v>0</v>
      </c>
      <c r="BD17" s="399">
        <v>0</v>
      </c>
      <c r="BE17" s="399">
        <v>0</v>
      </c>
      <c r="BF17" s="399">
        <v>0</v>
      </c>
      <c r="BG17" s="399">
        <v>1.2403257978265971</v>
      </c>
      <c r="BH17" s="399">
        <v>0</v>
      </c>
      <c r="BI17" s="399">
        <v>0</v>
      </c>
      <c r="BJ17" s="399">
        <v>0</v>
      </c>
      <c r="BK17" s="399">
        <v>0</v>
      </c>
      <c r="BL17" s="399">
        <v>0</v>
      </c>
      <c r="BM17" s="399"/>
      <c r="BN17" s="399"/>
      <c r="BO17" s="399"/>
      <c r="BP17" s="399"/>
      <c r="BQ17" s="399"/>
      <c r="BR17" s="399"/>
      <c r="BS17" s="399"/>
      <c r="BT17" s="399"/>
      <c r="BU17" s="399"/>
      <c r="BV17" s="399">
        <v>11.837989571848897</v>
      </c>
      <c r="BW17" s="399"/>
      <c r="BX17" s="399"/>
      <c r="BY17" s="399"/>
      <c r="BZ17" s="399"/>
      <c r="CA17" s="399"/>
      <c r="CB17" s="399"/>
      <c r="CC17" s="399"/>
      <c r="CD17" s="399"/>
      <c r="CE17" s="399"/>
      <c r="CF17" s="399"/>
      <c r="CG17" s="399"/>
      <c r="CH17" s="399"/>
      <c r="CI17" s="399">
        <v>21.633600000000001</v>
      </c>
      <c r="CJ17" s="399">
        <v>-4.1498799999999996</v>
      </c>
      <c r="CK17" s="399"/>
      <c r="CL17" s="399"/>
      <c r="CM17" s="399"/>
      <c r="CN17" s="399"/>
      <c r="CO17" s="399">
        <v>-3.3440599999999998</v>
      </c>
      <c r="CP17" s="399">
        <v>-2.3983400000000006</v>
      </c>
      <c r="CQ17" s="399">
        <v>30</v>
      </c>
      <c r="CR17" s="399">
        <v>-2.7888864032344909</v>
      </c>
      <c r="CS17" s="399">
        <v>0</v>
      </c>
      <c r="CT17" s="399">
        <v>0</v>
      </c>
      <c r="CU17" s="399">
        <v>0</v>
      </c>
      <c r="CV17" s="399">
        <v>0</v>
      </c>
      <c r="CW17" s="399">
        <v>0</v>
      </c>
      <c r="CX17" s="399">
        <v>0</v>
      </c>
      <c r="CY17" s="399">
        <v>0</v>
      </c>
      <c r="CZ17" s="399">
        <v>7.1921335979169054E-2</v>
      </c>
      <c r="DA17" s="399">
        <v>0</v>
      </c>
      <c r="DB17" s="399">
        <v>0</v>
      </c>
      <c r="DC17" s="399">
        <v>-2.3985904710203307</v>
      </c>
      <c r="DD17" s="399">
        <v>0</v>
      </c>
      <c r="DE17" s="399">
        <v>0</v>
      </c>
      <c r="DF17" s="399">
        <v>0</v>
      </c>
      <c r="DG17" s="399">
        <v>-0.28072542242000309</v>
      </c>
      <c r="DH17" s="399">
        <v>0</v>
      </c>
      <c r="DI17" s="399">
        <v>-0.15622619675779204</v>
      </c>
      <c r="DJ17" s="399"/>
      <c r="DK17" s="399">
        <v>0</v>
      </c>
      <c r="DL17" s="399">
        <v>0</v>
      </c>
      <c r="DM17" s="399">
        <v>0</v>
      </c>
      <c r="DN17" s="399">
        <v>0</v>
      </c>
      <c r="DO17" s="399">
        <v>-1.9916471818724191E-2</v>
      </c>
      <c r="DP17" s="399">
        <v>-5.3491771968088714E-3</v>
      </c>
      <c r="DQ17" s="399">
        <v>0</v>
      </c>
      <c r="DR17" s="399">
        <v>0</v>
      </c>
      <c r="DS17" s="399"/>
      <c r="DT17" s="399"/>
      <c r="DU17" s="399"/>
      <c r="DV17" s="399">
        <v>8.0949662625952943</v>
      </c>
      <c r="DW17" s="399">
        <v>0</v>
      </c>
      <c r="DX17" s="399">
        <v>0</v>
      </c>
      <c r="DY17" s="399">
        <v>-3.3440599999999989</v>
      </c>
      <c r="DZ17" s="399">
        <v>-2.398340000000001</v>
      </c>
      <c r="EA17" s="399">
        <v>0</v>
      </c>
      <c r="EB17" s="399">
        <v>0</v>
      </c>
      <c r="EC17" s="399">
        <v>-2.9538541441996964</v>
      </c>
      <c r="ED17" s="399">
        <v>0</v>
      </c>
      <c r="EE17" s="399">
        <v>0</v>
      </c>
      <c r="EF17" s="399">
        <v>0</v>
      </c>
      <c r="EG17" s="399">
        <v>0</v>
      </c>
      <c r="EH17" s="399">
        <v>0</v>
      </c>
      <c r="EI17" s="399">
        <v>0</v>
      </c>
      <c r="EJ17" s="399">
        <v>0</v>
      </c>
      <c r="EK17" s="399">
        <v>0</v>
      </c>
      <c r="EL17" s="399">
        <v>0</v>
      </c>
      <c r="EM17" s="399">
        <v>0</v>
      </c>
      <c r="EN17" s="399">
        <v>0</v>
      </c>
      <c r="EO17" s="399">
        <v>0</v>
      </c>
      <c r="EP17" s="399">
        <v>1.0618345835165246</v>
      </c>
      <c r="EQ17" s="399">
        <v>0</v>
      </c>
      <c r="ER17" s="399">
        <v>0</v>
      </c>
      <c r="ES17" s="399">
        <v>0</v>
      </c>
      <c r="ET17" s="399">
        <v>0</v>
      </c>
      <c r="EU17" s="399">
        <v>0</v>
      </c>
      <c r="EV17" s="399">
        <v>202</v>
      </c>
      <c r="EW17" s="399">
        <v>0</v>
      </c>
      <c r="EX17" s="399">
        <v>0</v>
      </c>
      <c r="EY17" s="399">
        <v>0</v>
      </c>
      <c r="EZ17" s="399"/>
      <c r="FA17" s="399">
        <v>0</v>
      </c>
      <c r="FB17" s="399">
        <v>-17.698635468909799</v>
      </c>
      <c r="FC17" s="399"/>
      <c r="FD17" s="399">
        <v>-17.698635468909799</v>
      </c>
      <c r="FE17" s="399"/>
      <c r="FF17" s="399">
        <v>0</v>
      </c>
      <c r="FG17" s="399">
        <v>0</v>
      </c>
      <c r="FH17" s="399">
        <v>0</v>
      </c>
      <c r="FI17" s="399">
        <v>0</v>
      </c>
    </row>
    <row r="18" spans="1:165" customFormat="1">
      <c r="A18" s="399">
        <v>10</v>
      </c>
      <c r="B18" s="399" t="s">
        <v>956</v>
      </c>
      <c r="C18" s="399" t="s">
        <v>2409</v>
      </c>
      <c r="D18" s="399" t="s">
        <v>1823</v>
      </c>
      <c r="E18" s="399" t="s">
        <v>889</v>
      </c>
      <c r="F18" s="399" t="s">
        <v>889</v>
      </c>
      <c r="G18" s="399" t="s">
        <v>1239</v>
      </c>
      <c r="H18" s="399" t="s">
        <v>1239</v>
      </c>
      <c r="I18" s="399" t="s">
        <v>1239</v>
      </c>
      <c r="J18" s="399" t="s">
        <v>2400</v>
      </c>
      <c r="K18" s="788">
        <v>44440</v>
      </c>
      <c r="L18" s="399">
        <v>0</v>
      </c>
      <c r="M18" s="399">
        <v>0</v>
      </c>
      <c r="N18" s="399">
        <v>0</v>
      </c>
      <c r="O18" s="399">
        <v>0</v>
      </c>
      <c r="P18" s="399">
        <v>0</v>
      </c>
      <c r="Q18" s="399">
        <v>0</v>
      </c>
      <c r="R18" s="399"/>
      <c r="S18" s="399"/>
      <c r="T18" s="399"/>
      <c r="U18" s="399"/>
      <c r="V18" s="399"/>
      <c r="W18" s="399"/>
      <c r="X18" s="399"/>
      <c r="Y18" s="399"/>
      <c r="Z18" s="399"/>
      <c r="AA18" s="399">
        <v>0</v>
      </c>
      <c r="AB18" s="399"/>
      <c r="AC18" s="399"/>
      <c r="AD18" s="399"/>
      <c r="AE18" s="399"/>
      <c r="AF18" s="399"/>
      <c r="AG18" s="399"/>
      <c r="AH18" s="399"/>
      <c r="AI18" s="399"/>
      <c r="AJ18" s="399"/>
      <c r="AK18" s="399"/>
      <c r="AL18" s="399"/>
      <c r="AM18" s="399"/>
      <c r="AN18" s="399"/>
      <c r="AO18" s="399"/>
      <c r="AP18" s="399"/>
      <c r="AQ18" s="399"/>
      <c r="AR18" s="399"/>
      <c r="AS18" s="399"/>
      <c r="AT18" s="399"/>
      <c r="AU18" s="399"/>
      <c r="AV18" s="399"/>
      <c r="AW18" s="399"/>
      <c r="AX18" s="399"/>
      <c r="AY18" s="399"/>
      <c r="AZ18" s="399">
        <v>0</v>
      </c>
      <c r="BA18" s="399"/>
      <c r="BB18" s="399"/>
      <c r="BC18" s="399"/>
      <c r="BD18" s="399"/>
      <c r="BE18" s="399"/>
      <c r="BF18" s="399"/>
      <c r="BG18" s="399"/>
      <c r="BH18" s="399"/>
      <c r="BI18" s="399">
        <v>0.3</v>
      </c>
      <c r="BJ18" s="399">
        <v>1.41</v>
      </c>
      <c r="BK18" s="399">
        <v>0</v>
      </c>
      <c r="BL18" s="399">
        <v>1</v>
      </c>
      <c r="BM18" s="399"/>
      <c r="BN18" s="399"/>
      <c r="BO18" s="399"/>
      <c r="BP18" s="399"/>
      <c r="BQ18" s="399"/>
      <c r="BR18" s="399"/>
      <c r="BS18" s="399"/>
      <c r="BT18" s="399"/>
      <c r="BU18" s="399"/>
      <c r="BV18" s="399"/>
      <c r="BW18" s="399"/>
      <c r="BX18" s="399"/>
      <c r="BY18" s="399"/>
      <c r="BZ18" s="399"/>
      <c r="CA18" s="399"/>
      <c r="CB18" s="399"/>
      <c r="CC18" s="399"/>
      <c r="CD18" s="399"/>
      <c r="CE18" s="399"/>
      <c r="CF18" s="399"/>
      <c r="CG18" s="399"/>
      <c r="CH18" s="399"/>
      <c r="CI18" s="399"/>
      <c r="CJ18" s="399">
        <v>-0.03</v>
      </c>
      <c r="CK18" s="399"/>
      <c r="CL18" s="399"/>
      <c r="CM18" s="399"/>
      <c r="CN18" s="399"/>
      <c r="CO18" s="399">
        <v>0</v>
      </c>
      <c r="CP18" s="399">
        <v>0</v>
      </c>
      <c r="CQ18" s="399">
        <v>30</v>
      </c>
      <c r="CR18" s="399"/>
      <c r="CS18" s="399"/>
      <c r="CT18" s="399"/>
      <c r="CU18" s="399"/>
      <c r="CV18" s="399"/>
      <c r="CW18" s="399"/>
      <c r="CX18" s="399"/>
      <c r="CY18" s="399"/>
      <c r="CZ18" s="399"/>
      <c r="DA18" s="399"/>
      <c r="DB18" s="399"/>
      <c r="DC18" s="399"/>
      <c r="DD18" s="399"/>
      <c r="DE18" s="399"/>
      <c r="DF18" s="399"/>
      <c r="DG18" s="399"/>
      <c r="DH18" s="399"/>
      <c r="DI18" s="399"/>
      <c r="DJ18" s="399"/>
      <c r="DK18" s="399">
        <v>0</v>
      </c>
      <c r="DL18" s="399"/>
      <c r="DM18" s="399"/>
      <c r="DN18" s="399"/>
      <c r="DO18" s="399"/>
      <c r="DP18" s="399"/>
      <c r="DQ18" s="399"/>
      <c r="DR18" s="399"/>
      <c r="DS18" s="399"/>
      <c r="DT18" s="399"/>
      <c r="DU18" s="399"/>
      <c r="DV18" s="399"/>
      <c r="DW18" s="399"/>
      <c r="DX18" s="399"/>
      <c r="DY18" s="399"/>
      <c r="DZ18" s="399"/>
      <c r="EA18" s="399"/>
      <c r="EB18" s="399"/>
      <c r="EC18" s="399"/>
      <c r="ED18" s="399"/>
      <c r="EE18" s="399"/>
      <c r="EF18" s="399"/>
      <c r="EG18" s="399"/>
      <c r="EH18" s="399"/>
      <c r="EI18" s="399"/>
      <c r="EJ18" s="399"/>
      <c r="EK18" s="399"/>
      <c r="EL18" s="399"/>
      <c r="EM18" s="399"/>
      <c r="EN18" s="399"/>
      <c r="EO18" s="399"/>
      <c r="EP18" s="399"/>
      <c r="EQ18" s="399"/>
      <c r="ER18" s="399"/>
      <c r="ES18" s="399"/>
      <c r="ET18" s="399"/>
      <c r="EU18" s="399"/>
      <c r="EV18" s="399">
        <v>202</v>
      </c>
      <c r="EW18" s="399"/>
      <c r="EX18" s="399"/>
      <c r="EY18" s="399"/>
      <c r="EZ18" s="399"/>
      <c r="FA18" s="399">
        <v>0</v>
      </c>
      <c r="FB18" s="399">
        <v>-17.698635468909799</v>
      </c>
      <c r="FC18" s="399"/>
      <c r="FD18" s="399">
        <v>-17.698635468909799</v>
      </c>
      <c r="FE18" s="399"/>
      <c r="FF18" s="399">
        <v>0</v>
      </c>
      <c r="FG18" s="399">
        <v>0</v>
      </c>
      <c r="FH18" s="399">
        <v>0</v>
      </c>
      <c r="FI18" s="399">
        <v>0</v>
      </c>
    </row>
    <row r="19" spans="1:165" customFormat="1">
      <c r="A19" s="399">
        <v>11</v>
      </c>
      <c r="B19" s="399" t="s">
        <v>956</v>
      </c>
      <c r="C19" s="399" t="s">
        <v>2409</v>
      </c>
      <c r="D19" s="399" t="s">
        <v>1823</v>
      </c>
      <c r="E19" s="399" t="s">
        <v>889</v>
      </c>
      <c r="F19" s="399" t="s">
        <v>889</v>
      </c>
      <c r="G19" s="399" t="s">
        <v>1239</v>
      </c>
      <c r="H19" s="399" t="s">
        <v>1239</v>
      </c>
      <c r="I19" s="399" t="s">
        <v>2410</v>
      </c>
      <c r="J19" s="399" t="s">
        <v>2400</v>
      </c>
      <c r="K19" s="788">
        <v>44440</v>
      </c>
      <c r="L19" s="399">
        <v>0</v>
      </c>
      <c r="M19" s="399">
        <v>0</v>
      </c>
      <c r="N19" s="399">
        <v>1.7999999999999999E-2</v>
      </c>
      <c r="O19" s="399">
        <v>1.7999999999999999E-2</v>
      </c>
      <c r="P19" s="399">
        <v>1.7999999999999999E-2</v>
      </c>
      <c r="Q19" s="399">
        <v>1.7999999999999999E-2</v>
      </c>
      <c r="R19" s="399"/>
      <c r="S19" s="399">
        <v>960.47</v>
      </c>
      <c r="T19" s="399">
        <v>286.42</v>
      </c>
      <c r="U19" s="399"/>
      <c r="V19" s="399">
        <v>22.444020000000002</v>
      </c>
      <c r="W19" s="399">
        <v>22.444020000000002</v>
      </c>
      <c r="X19" s="399">
        <v>16.846379999999996</v>
      </c>
      <c r="Y19" s="399">
        <v>0</v>
      </c>
      <c r="Z19" s="399">
        <v>1.0955051814834269</v>
      </c>
      <c r="AA19" s="399">
        <v>0</v>
      </c>
      <c r="AB19" s="399">
        <v>0</v>
      </c>
      <c r="AC19" s="399">
        <v>0</v>
      </c>
      <c r="AD19" s="399">
        <v>3.0586375965081238</v>
      </c>
      <c r="AE19" s="399">
        <v>11.814281103664438</v>
      </c>
      <c r="AF19" s="399">
        <v>5.1556202143892271</v>
      </c>
      <c r="AG19" s="399">
        <v>0</v>
      </c>
      <c r="AH19" s="399">
        <v>0</v>
      </c>
      <c r="AI19" s="399">
        <v>0</v>
      </c>
      <c r="AJ19" s="399">
        <v>0</v>
      </c>
      <c r="AK19" s="399">
        <v>0</v>
      </c>
      <c r="AL19" s="399">
        <v>0.1693060011861057</v>
      </c>
      <c r="AM19" s="399"/>
      <c r="AN19" s="399">
        <v>3.0741076195090918E-2</v>
      </c>
      <c r="AO19" s="399">
        <v>0</v>
      </c>
      <c r="AP19" s="399">
        <v>0</v>
      </c>
      <c r="AQ19" s="399">
        <v>0</v>
      </c>
      <c r="AR19" s="399">
        <v>0</v>
      </c>
      <c r="AS19" s="399">
        <v>0</v>
      </c>
      <c r="AT19" s="399">
        <v>0</v>
      </c>
      <c r="AU19" s="399">
        <v>0</v>
      </c>
      <c r="AV19" s="399">
        <v>0</v>
      </c>
      <c r="AW19" s="399">
        <v>0</v>
      </c>
      <c r="AX19" s="399">
        <v>0</v>
      </c>
      <c r="AY19" s="399">
        <v>0</v>
      </c>
      <c r="AZ19" s="399">
        <v>0</v>
      </c>
      <c r="BA19" s="399"/>
      <c r="BB19" s="399">
        <v>0</v>
      </c>
      <c r="BC19" s="399">
        <v>0</v>
      </c>
      <c r="BD19" s="399">
        <v>0</v>
      </c>
      <c r="BE19" s="399">
        <v>0</v>
      </c>
      <c r="BF19" s="399">
        <v>0</v>
      </c>
      <c r="BG19" s="399">
        <v>0.60340173948320941</v>
      </c>
      <c r="BH19" s="399">
        <v>0</v>
      </c>
      <c r="BI19" s="399">
        <v>0</v>
      </c>
      <c r="BJ19" s="399">
        <v>0</v>
      </c>
      <c r="BK19" s="399">
        <v>0</v>
      </c>
      <c r="BL19" s="399">
        <v>0</v>
      </c>
      <c r="BM19" s="399"/>
      <c r="BN19" s="399"/>
      <c r="BO19" s="399"/>
      <c r="BP19" s="399"/>
      <c r="BQ19" s="399"/>
      <c r="BR19" s="399"/>
      <c r="BS19" s="399"/>
      <c r="BT19" s="399"/>
      <c r="BU19" s="399"/>
      <c r="BV19" s="399">
        <v>5.7590219538724368</v>
      </c>
      <c r="BW19" s="399"/>
      <c r="BX19" s="399"/>
      <c r="BY19" s="399"/>
      <c r="BZ19" s="399"/>
      <c r="CA19" s="399"/>
      <c r="CB19" s="399"/>
      <c r="CC19" s="399"/>
      <c r="CD19" s="399"/>
      <c r="CE19" s="399"/>
      <c r="CF19" s="399"/>
      <c r="CG19" s="399"/>
      <c r="CH19" s="399"/>
      <c r="CI19" s="399">
        <v>18.7182</v>
      </c>
      <c r="CJ19" s="399">
        <v>-3.755820000000007</v>
      </c>
      <c r="CK19" s="399"/>
      <c r="CL19" s="399"/>
      <c r="CM19" s="399"/>
      <c r="CN19" s="399"/>
      <c r="CO19" s="399">
        <v>-4.430880000000001</v>
      </c>
      <c r="CP19" s="399">
        <v>-1.1667600000000002</v>
      </c>
      <c r="CQ19" s="399">
        <v>30</v>
      </c>
      <c r="CR19" s="399">
        <v>-1.2867813224574416</v>
      </c>
      <c r="CS19" s="399">
        <v>0</v>
      </c>
      <c r="CT19" s="399">
        <v>0</v>
      </c>
      <c r="CU19" s="399">
        <v>0</v>
      </c>
      <c r="CV19" s="399">
        <v>0</v>
      </c>
      <c r="CW19" s="399">
        <v>0</v>
      </c>
      <c r="CX19" s="399">
        <v>0</v>
      </c>
      <c r="CY19" s="399">
        <v>0</v>
      </c>
      <c r="CZ19" s="399">
        <v>0.10496298310595975</v>
      </c>
      <c r="DA19" s="399">
        <v>0</v>
      </c>
      <c r="DB19" s="399">
        <v>0</v>
      </c>
      <c r="DC19" s="399">
        <v>-1.1668818507666474</v>
      </c>
      <c r="DD19" s="399">
        <v>0</v>
      </c>
      <c r="DE19" s="399">
        <v>0</v>
      </c>
      <c r="DF19" s="399">
        <v>0</v>
      </c>
      <c r="DG19" s="399">
        <v>-0.13656912442054209</v>
      </c>
      <c r="DH19" s="399">
        <v>0</v>
      </c>
      <c r="DI19" s="399">
        <v>-7.6001933557845014E-2</v>
      </c>
      <c r="DJ19" s="399"/>
      <c r="DK19" s="399">
        <v>0</v>
      </c>
      <c r="DL19" s="399">
        <v>0</v>
      </c>
      <c r="DM19" s="399">
        <v>0</v>
      </c>
      <c r="DN19" s="399">
        <v>0</v>
      </c>
      <c r="DO19" s="399">
        <v>-9.6890943982982647E-3</v>
      </c>
      <c r="DP19" s="399">
        <v>-2.6023024200691781E-3</v>
      </c>
      <c r="DQ19" s="399">
        <v>0</v>
      </c>
      <c r="DR19" s="399">
        <v>0</v>
      </c>
      <c r="DS19" s="399"/>
      <c r="DT19" s="399"/>
      <c r="DU19" s="399"/>
      <c r="DV19" s="399">
        <v>11.814281103664438</v>
      </c>
      <c r="DW19" s="399">
        <v>0</v>
      </c>
      <c r="DX19" s="399">
        <v>0</v>
      </c>
      <c r="DY19" s="399">
        <v>-4.4308800000000019</v>
      </c>
      <c r="DZ19" s="399">
        <v>-1.16676</v>
      </c>
      <c r="EA19" s="399">
        <v>0</v>
      </c>
      <c r="EB19" s="399">
        <v>0</v>
      </c>
      <c r="EC19" s="399">
        <v>-4.3110325684805204</v>
      </c>
      <c r="ED19" s="399">
        <v>0</v>
      </c>
      <c r="EE19" s="399">
        <v>0</v>
      </c>
      <c r="EF19" s="399">
        <v>0</v>
      </c>
      <c r="EG19" s="399">
        <v>0</v>
      </c>
      <c r="EH19" s="399">
        <v>0</v>
      </c>
      <c r="EI19" s="399">
        <v>0</v>
      </c>
      <c r="EJ19" s="399">
        <v>0</v>
      </c>
      <c r="EK19" s="399">
        <v>0</v>
      </c>
      <c r="EL19" s="399">
        <v>0</v>
      </c>
      <c r="EM19" s="399">
        <v>0</v>
      </c>
      <c r="EN19" s="399">
        <v>0</v>
      </c>
      <c r="EO19" s="399">
        <v>0</v>
      </c>
      <c r="EP19" s="399">
        <v>0.51656817576479575</v>
      </c>
      <c r="EQ19" s="399">
        <v>0</v>
      </c>
      <c r="ER19" s="399">
        <v>0</v>
      </c>
      <c r="ES19" s="399">
        <v>0</v>
      </c>
      <c r="ET19" s="399">
        <v>0</v>
      </c>
      <c r="EU19" s="399">
        <v>0</v>
      </c>
      <c r="EV19" s="399">
        <v>202</v>
      </c>
      <c r="EW19" s="399">
        <v>0</v>
      </c>
      <c r="EX19" s="399">
        <v>0</v>
      </c>
      <c r="EY19" s="399">
        <v>0</v>
      </c>
      <c r="EZ19" s="399"/>
      <c r="FA19" s="399">
        <v>0</v>
      </c>
      <c r="FB19" s="399">
        <v>-17.698635468909799</v>
      </c>
      <c r="FC19" s="399"/>
      <c r="FD19" s="399">
        <v>-17.698635468909799</v>
      </c>
      <c r="FE19" s="399"/>
      <c r="FF19" s="399">
        <v>0</v>
      </c>
      <c r="FG19" s="399">
        <v>0</v>
      </c>
      <c r="FH19" s="399">
        <v>0</v>
      </c>
      <c r="FI19" s="399">
        <v>0</v>
      </c>
    </row>
    <row r="20" spans="1:165" customFormat="1">
      <c r="A20" s="399">
        <v>16</v>
      </c>
      <c r="B20" s="399" t="s">
        <v>956</v>
      </c>
      <c r="C20" s="399" t="s">
        <v>2402</v>
      </c>
      <c r="D20" s="399" t="s">
        <v>2411</v>
      </c>
      <c r="E20" s="399" t="s">
        <v>894</v>
      </c>
      <c r="F20" s="399" t="s">
        <v>1239</v>
      </c>
      <c r="G20" s="399" t="s">
        <v>1239</v>
      </c>
      <c r="H20" s="399" t="s">
        <v>1239</v>
      </c>
      <c r="I20" s="399" t="s">
        <v>1239</v>
      </c>
      <c r="J20" s="399" t="s">
        <v>2400</v>
      </c>
      <c r="K20" s="788">
        <v>44440</v>
      </c>
      <c r="L20" s="399">
        <v>0</v>
      </c>
      <c r="M20" s="399">
        <v>0</v>
      </c>
      <c r="N20" s="399">
        <v>108.533</v>
      </c>
      <c r="O20" s="399">
        <v>108.533</v>
      </c>
      <c r="P20" s="399">
        <v>108.533</v>
      </c>
      <c r="Q20" s="399">
        <v>108.533</v>
      </c>
      <c r="R20" s="399"/>
      <c r="S20" s="399">
        <v>609.05999999999995</v>
      </c>
      <c r="T20" s="399">
        <v>286.42</v>
      </c>
      <c r="U20" s="399"/>
      <c r="V20" s="399">
        <v>97189.130839999998</v>
      </c>
      <c r="W20" s="399">
        <v>97189.130839999998</v>
      </c>
      <c r="X20" s="399">
        <v>74222.462709999993</v>
      </c>
      <c r="Y20" s="399">
        <v>0</v>
      </c>
      <c r="Z20" s="399">
        <v>6605.4702145522651</v>
      </c>
      <c r="AA20" s="399">
        <v>0</v>
      </c>
      <c r="AB20" s="399">
        <v>0</v>
      </c>
      <c r="AC20" s="399">
        <v>0</v>
      </c>
      <c r="AD20" s="399">
        <v>10598.480791083544</v>
      </c>
      <c r="AE20" s="399">
        <v>40939.949474478533</v>
      </c>
      <c r="AF20" s="399">
        <v>31086.384929350334</v>
      </c>
      <c r="AG20" s="399">
        <v>0</v>
      </c>
      <c r="AH20" s="399">
        <v>0</v>
      </c>
      <c r="AI20" s="399">
        <v>0</v>
      </c>
      <c r="AJ20" s="399">
        <v>0</v>
      </c>
      <c r="AK20" s="399">
        <v>0</v>
      </c>
      <c r="AL20" s="399">
        <v>1020.8493459295339</v>
      </c>
      <c r="AM20" s="399"/>
      <c r="AN20" s="399">
        <v>185.35673459343349</v>
      </c>
      <c r="AO20" s="399">
        <v>0</v>
      </c>
      <c r="AP20" s="399">
        <v>0</v>
      </c>
      <c r="AQ20" s="399">
        <v>0</v>
      </c>
      <c r="AR20" s="399">
        <v>0</v>
      </c>
      <c r="AS20" s="399">
        <v>0</v>
      </c>
      <c r="AT20" s="399">
        <v>0</v>
      </c>
      <c r="AU20" s="399">
        <v>0</v>
      </c>
      <c r="AV20" s="399">
        <v>0</v>
      </c>
      <c r="AW20" s="399">
        <v>0</v>
      </c>
      <c r="AX20" s="399">
        <v>0</v>
      </c>
      <c r="AY20" s="399">
        <v>0</v>
      </c>
      <c r="AZ20" s="399">
        <v>0</v>
      </c>
      <c r="BA20" s="399"/>
      <c r="BB20" s="399">
        <v>0</v>
      </c>
      <c r="BC20" s="399">
        <v>0</v>
      </c>
      <c r="BD20" s="399">
        <v>0</v>
      </c>
      <c r="BE20" s="399">
        <v>0</v>
      </c>
      <c r="BF20" s="399">
        <v>0</v>
      </c>
      <c r="BG20" s="399">
        <v>3638.2778328517315</v>
      </c>
      <c r="BH20" s="399">
        <v>0</v>
      </c>
      <c r="BI20" s="399">
        <v>436.75</v>
      </c>
      <c r="BJ20" s="399">
        <v>2035.93</v>
      </c>
      <c r="BK20" s="399">
        <v>2772.64</v>
      </c>
      <c r="BL20" s="399">
        <v>329</v>
      </c>
      <c r="BM20" s="399"/>
      <c r="BN20" s="399"/>
      <c r="BO20" s="399"/>
      <c r="BP20" s="399"/>
      <c r="BQ20" s="399"/>
      <c r="BR20" s="399">
        <v>8907.3033099999957</v>
      </c>
      <c r="BS20" s="399"/>
      <c r="BT20" s="399"/>
      <c r="BU20" s="399"/>
      <c r="BV20" s="399">
        <v>34724.662762202068</v>
      </c>
      <c r="BW20" s="399"/>
      <c r="BX20" s="399"/>
      <c r="BY20" s="399"/>
      <c r="BZ20" s="399"/>
      <c r="CA20" s="399"/>
      <c r="CB20" s="399"/>
      <c r="CC20" s="399"/>
      <c r="CD20" s="399"/>
      <c r="CE20" s="399"/>
      <c r="CF20" s="399"/>
      <c r="CG20" s="399"/>
      <c r="CH20" s="399"/>
      <c r="CI20" s="399">
        <v>65313.353999999999</v>
      </c>
      <c r="CJ20" s="399">
        <v>-20212.850660000004</v>
      </c>
      <c r="CK20" s="399"/>
      <c r="CL20" s="399"/>
      <c r="CM20" s="399"/>
      <c r="CN20" s="399"/>
      <c r="CO20" s="399">
        <v>-15931.559069999996</v>
      </c>
      <c r="CP20" s="399">
        <v>-7035.1090600000025</v>
      </c>
      <c r="CQ20" s="399">
        <v>30</v>
      </c>
      <c r="CR20" s="399">
        <v>-8027.9698449825955</v>
      </c>
      <c r="CS20" s="399">
        <v>0</v>
      </c>
      <c r="CT20" s="399">
        <v>0</v>
      </c>
      <c r="CU20" s="399">
        <v>0</v>
      </c>
      <c r="CV20" s="399">
        <v>0</v>
      </c>
      <c r="CW20" s="399">
        <v>0</v>
      </c>
      <c r="CX20" s="399">
        <v>0</v>
      </c>
      <c r="CY20" s="399">
        <v>0</v>
      </c>
      <c r="CZ20" s="399">
        <v>363.70708366811232</v>
      </c>
      <c r="DA20" s="399">
        <v>0</v>
      </c>
      <c r="DB20" s="399">
        <v>0</v>
      </c>
      <c r="DC20" s="399">
        <v>-7035.8437727364726</v>
      </c>
      <c r="DD20" s="399">
        <v>0</v>
      </c>
      <c r="DE20" s="399">
        <v>0</v>
      </c>
      <c r="DF20" s="399">
        <v>0</v>
      </c>
      <c r="DG20" s="399">
        <v>-823.45871004081619</v>
      </c>
      <c r="DH20" s="399">
        <v>0</v>
      </c>
      <c r="DI20" s="399">
        <v>-458.26210304630968</v>
      </c>
      <c r="DJ20" s="399"/>
      <c r="DK20" s="399">
        <v>0</v>
      </c>
      <c r="DL20" s="399">
        <v>0</v>
      </c>
      <c r="DM20" s="399">
        <v>0</v>
      </c>
      <c r="DN20" s="399">
        <v>0</v>
      </c>
      <c r="DO20" s="399">
        <v>-58.421471240583514</v>
      </c>
      <c r="DP20" s="399">
        <v>-15.690871586520444</v>
      </c>
      <c r="DQ20" s="399">
        <v>0</v>
      </c>
      <c r="DR20" s="399">
        <v>0</v>
      </c>
      <c r="DS20" s="399"/>
      <c r="DT20" s="399"/>
      <c r="DU20" s="399"/>
      <c r="DV20" s="399">
        <v>40939.949474478533</v>
      </c>
      <c r="DW20" s="399">
        <v>0</v>
      </c>
      <c r="DX20" s="399">
        <v>0</v>
      </c>
      <c r="DY20" s="399">
        <v>-15931.559069999988</v>
      </c>
      <c r="DZ20" s="399">
        <v>-7035.1090600000025</v>
      </c>
      <c r="EA20" s="399">
        <v>0</v>
      </c>
      <c r="EB20" s="399">
        <v>0</v>
      </c>
      <c r="EC20" s="399">
        <v>-14938.992393001419</v>
      </c>
      <c r="ED20" s="399">
        <v>0</v>
      </c>
      <c r="EE20" s="399">
        <v>0</v>
      </c>
      <c r="EF20" s="399">
        <v>0</v>
      </c>
      <c r="EG20" s="399">
        <v>0</v>
      </c>
      <c r="EH20" s="399">
        <v>0</v>
      </c>
      <c r="EI20" s="399">
        <v>0</v>
      </c>
      <c r="EJ20" s="399">
        <v>0</v>
      </c>
      <c r="EK20" s="399">
        <v>0</v>
      </c>
      <c r="EL20" s="399">
        <v>0</v>
      </c>
      <c r="EM20" s="399">
        <v>0</v>
      </c>
      <c r="EN20" s="399">
        <v>0</v>
      </c>
      <c r="EO20" s="399">
        <v>0</v>
      </c>
      <c r="EP20" s="399">
        <v>3114.70521223781</v>
      </c>
      <c r="EQ20" s="399">
        <v>0</v>
      </c>
      <c r="ER20" s="399">
        <v>0</v>
      </c>
      <c r="ES20" s="399">
        <v>0</v>
      </c>
      <c r="ET20" s="399">
        <v>0</v>
      </c>
      <c r="EU20" s="399">
        <v>0</v>
      </c>
      <c r="EV20" s="399">
        <v>202</v>
      </c>
      <c r="EW20" s="399">
        <v>0</v>
      </c>
      <c r="EX20" s="399">
        <v>0</v>
      </c>
      <c r="EY20" s="399">
        <v>0</v>
      </c>
      <c r="EZ20" s="399"/>
      <c r="FA20" s="399">
        <v>0</v>
      </c>
      <c r="FB20" s="399">
        <v>-12.3890448282368</v>
      </c>
      <c r="FC20" s="399"/>
      <c r="FD20" s="399">
        <v>-17.698635468909799</v>
      </c>
      <c r="FE20" s="399"/>
      <c r="FF20" s="399">
        <v>0</v>
      </c>
      <c r="FG20" s="399">
        <v>0</v>
      </c>
      <c r="FH20" s="399">
        <v>0</v>
      </c>
      <c r="FI20" s="399">
        <v>0</v>
      </c>
    </row>
    <row r="21" spans="1:165" customFormat="1">
      <c r="A21" s="399">
        <v>17</v>
      </c>
      <c r="B21" s="399" t="s">
        <v>2404</v>
      </c>
      <c r="C21" s="399" t="s">
        <v>2402</v>
      </c>
      <c r="D21" s="399" t="s">
        <v>2411</v>
      </c>
      <c r="E21" s="399" t="s">
        <v>894</v>
      </c>
      <c r="F21" s="399" t="s">
        <v>1239</v>
      </c>
      <c r="G21" s="399" t="s">
        <v>1239</v>
      </c>
      <c r="H21" s="399" t="s">
        <v>1239</v>
      </c>
      <c r="I21" s="399" t="s">
        <v>1239</v>
      </c>
      <c r="J21" s="399" t="s">
        <v>2400</v>
      </c>
      <c r="K21" s="788">
        <v>44440</v>
      </c>
      <c r="L21" s="399">
        <v>0</v>
      </c>
      <c r="M21" s="399">
        <v>0</v>
      </c>
      <c r="N21" s="399">
        <v>0.42399999999999999</v>
      </c>
      <c r="O21" s="399">
        <v>0.42399999999999999</v>
      </c>
      <c r="P21" s="399">
        <v>0.42399999999999999</v>
      </c>
      <c r="Q21" s="399">
        <v>0.42399999999999999</v>
      </c>
      <c r="R21" s="399"/>
      <c r="S21" s="399">
        <v>609.05999999999995</v>
      </c>
      <c r="T21" s="399">
        <v>286.42</v>
      </c>
      <c r="U21" s="399"/>
      <c r="V21" s="399">
        <v>379.68351999999993</v>
      </c>
      <c r="W21" s="399">
        <v>379.68351999999993</v>
      </c>
      <c r="X21" s="399">
        <v>289.96087999999997</v>
      </c>
      <c r="Y21" s="399">
        <v>0</v>
      </c>
      <c r="Z21" s="399">
        <v>25.805233163831833</v>
      </c>
      <c r="AA21" s="399">
        <v>0</v>
      </c>
      <c r="AB21" s="399">
        <v>0</v>
      </c>
      <c r="AC21" s="399">
        <v>0</v>
      </c>
      <c r="AD21" s="399">
        <v>41.404511580988476</v>
      </c>
      <c r="AE21" s="399">
        <v>159.93788596260029</v>
      </c>
      <c r="AF21" s="399">
        <v>121.44349838339069</v>
      </c>
      <c r="AG21" s="399">
        <v>0</v>
      </c>
      <c r="AH21" s="399">
        <v>0</v>
      </c>
      <c r="AI21" s="399">
        <v>0</v>
      </c>
      <c r="AJ21" s="399">
        <v>0</v>
      </c>
      <c r="AK21" s="399">
        <v>0</v>
      </c>
      <c r="AL21" s="399">
        <v>3.9880969168282676</v>
      </c>
      <c r="AM21" s="399"/>
      <c r="AN21" s="399">
        <v>0.72412312815103053</v>
      </c>
      <c r="AO21" s="399">
        <v>0</v>
      </c>
      <c r="AP21" s="399">
        <v>0</v>
      </c>
      <c r="AQ21" s="399">
        <v>0</v>
      </c>
      <c r="AR21" s="399">
        <v>0</v>
      </c>
      <c r="AS21" s="399">
        <v>0</v>
      </c>
      <c r="AT21" s="399">
        <v>0</v>
      </c>
      <c r="AU21" s="399">
        <v>0</v>
      </c>
      <c r="AV21" s="399">
        <v>0</v>
      </c>
      <c r="AW21" s="399">
        <v>0</v>
      </c>
      <c r="AX21" s="399">
        <v>0</v>
      </c>
      <c r="AY21" s="399">
        <v>0</v>
      </c>
      <c r="AZ21" s="399">
        <v>0</v>
      </c>
      <c r="BA21" s="399"/>
      <c r="BB21" s="399">
        <v>0</v>
      </c>
      <c r="BC21" s="399">
        <v>0</v>
      </c>
      <c r="BD21" s="399">
        <v>0</v>
      </c>
      <c r="BE21" s="399">
        <v>0</v>
      </c>
      <c r="BF21" s="399">
        <v>0</v>
      </c>
      <c r="BG21" s="399">
        <v>14.213463196715599</v>
      </c>
      <c r="BH21" s="399">
        <v>0</v>
      </c>
      <c r="BI21" s="399">
        <v>1.53</v>
      </c>
      <c r="BJ21" s="399">
        <v>7.25</v>
      </c>
      <c r="BK21" s="399">
        <v>0</v>
      </c>
      <c r="BL21" s="399">
        <v>3</v>
      </c>
      <c r="BM21" s="399"/>
      <c r="BN21" s="399"/>
      <c r="BO21" s="399"/>
      <c r="BP21" s="399"/>
      <c r="BQ21" s="399"/>
      <c r="BR21" s="399">
        <v>34.797679999999986</v>
      </c>
      <c r="BS21" s="399"/>
      <c r="BT21" s="399"/>
      <c r="BU21" s="399"/>
      <c r="BV21" s="399">
        <v>135.6569615801063</v>
      </c>
      <c r="BW21" s="399"/>
      <c r="BX21" s="399"/>
      <c r="BY21" s="399"/>
      <c r="BZ21" s="399"/>
      <c r="CA21" s="399"/>
      <c r="CB21" s="399"/>
      <c r="CC21" s="399"/>
      <c r="CD21" s="399"/>
      <c r="CE21" s="399"/>
      <c r="CF21" s="399"/>
      <c r="CG21" s="399"/>
      <c r="CH21" s="399"/>
      <c r="CI21" s="399">
        <v>252.75599999999997</v>
      </c>
      <c r="CJ21" s="399">
        <v>-81.394480000000044</v>
      </c>
      <c r="CK21" s="399"/>
      <c r="CL21" s="399"/>
      <c r="CM21" s="399"/>
      <c r="CN21" s="399"/>
      <c r="CO21" s="399">
        <v>-62.238959999999985</v>
      </c>
      <c r="CP21" s="399">
        <v>-27.483680000000007</v>
      </c>
      <c r="CQ21" s="399">
        <v>30</v>
      </c>
      <c r="CR21" s="399">
        <v>-31.362435519819883</v>
      </c>
      <c r="CS21" s="399">
        <v>0</v>
      </c>
      <c r="CT21" s="399">
        <v>0</v>
      </c>
      <c r="CU21" s="399">
        <v>0</v>
      </c>
      <c r="CV21" s="399">
        <v>0</v>
      </c>
      <c r="CW21" s="399">
        <v>0</v>
      </c>
      <c r="CX21" s="399">
        <v>0</v>
      </c>
      <c r="CY21" s="399">
        <v>0</v>
      </c>
      <c r="CZ21" s="399">
        <v>1.4208747890068452</v>
      </c>
      <c r="DA21" s="399">
        <v>0</v>
      </c>
      <c r="DB21" s="399">
        <v>0</v>
      </c>
      <c r="DC21" s="399">
        <v>-27.486550262503243</v>
      </c>
      <c r="DD21" s="399">
        <v>0</v>
      </c>
      <c r="DE21" s="399">
        <v>0</v>
      </c>
      <c r="DF21" s="399">
        <v>0</v>
      </c>
      <c r="DG21" s="399">
        <v>-3.2169615974616566</v>
      </c>
      <c r="DH21" s="399">
        <v>0</v>
      </c>
      <c r="DI21" s="399">
        <v>-1.7902677682514572</v>
      </c>
      <c r="DJ21" s="399"/>
      <c r="DK21" s="399">
        <v>0</v>
      </c>
      <c r="DL21" s="399">
        <v>0</v>
      </c>
      <c r="DM21" s="399">
        <v>0</v>
      </c>
      <c r="DN21" s="399">
        <v>0</v>
      </c>
      <c r="DO21" s="399">
        <v>-0.22823200138213684</v>
      </c>
      <c r="DP21" s="399">
        <v>-6.1298679228296238E-2</v>
      </c>
      <c r="DQ21" s="399">
        <v>0</v>
      </c>
      <c r="DR21" s="399">
        <v>0</v>
      </c>
      <c r="DS21" s="399"/>
      <c r="DT21" s="399"/>
      <c r="DU21" s="399"/>
      <c r="DV21" s="399">
        <v>159.93788596260029</v>
      </c>
      <c r="DW21" s="399">
        <v>0</v>
      </c>
      <c r="DX21" s="399">
        <v>0</v>
      </c>
      <c r="DY21" s="399">
        <v>-62.238959999999963</v>
      </c>
      <c r="DZ21" s="399">
        <v>-27.483680000000007</v>
      </c>
      <c r="EA21" s="399">
        <v>0</v>
      </c>
      <c r="EB21" s="399">
        <v>0</v>
      </c>
      <c r="EC21" s="399">
        <v>-58.361353455931393</v>
      </c>
      <c r="ED21" s="399">
        <v>0</v>
      </c>
      <c r="EE21" s="399">
        <v>0</v>
      </c>
      <c r="EF21" s="399">
        <v>0</v>
      </c>
      <c r="EG21" s="399">
        <v>0</v>
      </c>
      <c r="EH21" s="399">
        <v>0</v>
      </c>
      <c r="EI21" s="399">
        <v>0</v>
      </c>
      <c r="EJ21" s="399">
        <v>0</v>
      </c>
      <c r="EK21" s="399">
        <v>0</v>
      </c>
      <c r="EL21" s="399">
        <v>0</v>
      </c>
      <c r="EM21" s="399">
        <v>0</v>
      </c>
      <c r="EN21" s="399">
        <v>0</v>
      </c>
      <c r="EO21" s="399">
        <v>0</v>
      </c>
      <c r="EP21" s="399">
        <v>12.168050362459633</v>
      </c>
      <c r="EQ21" s="399">
        <v>0</v>
      </c>
      <c r="ER21" s="399">
        <v>0</v>
      </c>
      <c r="ES21" s="399">
        <v>0</v>
      </c>
      <c r="ET21" s="399">
        <v>0</v>
      </c>
      <c r="EU21" s="399">
        <v>0</v>
      </c>
      <c r="EV21" s="399">
        <v>202</v>
      </c>
      <c r="EW21" s="399">
        <v>0</v>
      </c>
      <c r="EX21" s="399">
        <v>0</v>
      </c>
      <c r="EY21" s="399">
        <v>0</v>
      </c>
      <c r="EZ21" s="399"/>
      <c r="FA21" s="399">
        <v>0</v>
      </c>
      <c r="FB21" s="399">
        <v>-12.3890448282368</v>
      </c>
      <c r="FC21" s="399"/>
      <c r="FD21" s="399">
        <v>-17.698635468909799</v>
      </c>
      <c r="FE21" s="399"/>
      <c r="FF21" s="399">
        <v>0</v>
      </c>
      <c r="FG21" s="399">
        <v>0</v>
      </c>
      <c r="FH21" s="399">
        <v>0</v>
      </c>
      <c r="FI21" s="399">
        <v>0</v>
      </c>
    </row>
    <row r="22" spans="1:165" customFormat="1">
      <c r="A22" s="399">
        <v>12</v>
      </c>
      <c r="B22" s="399" t="s">
        <v>956</v>
      </c>
      <c r="C22" s="399" t="s">
        <v>2402</v>
      </c>
      <c r="D22" s="399" t="s">
        <v>1826</v>
      </c>
      <c r="E22" s="399" t="s">
        <v>918</v>
      </c>
      <c r="F22" s="399" t="s">
        <v>1239</v>
      </c>
      <c r="G22" s="399" t="s">
        <v>1239</v>
      </c>
      <c r="H22" s="399" t="s">
        <v>1239</v>
      </c>
      <c r="I22" s="399" t="s">
        <v>1239</v>
      </c>
      <c r="J22" s="399" t="s">
        <v>2400</v>
      </c>
      <c r="K22" s="788">
        <v>44440</v>
      </c>
      <c r="L22" s="399">
        <v>0</v>
      </c>
      <c r="M22" s="399">
        <v>0</v>
      </c>
      <c r="N22" s="399">
        <v>17.372</v>
      </c>
      <c r="O22" s="399">
        <v>17.372</v>
      </c>
      <c r="P22" s="399">
        <v>17.372</v>
      </c>
      <c r="Q22" s="399">
        <v>17.372</v>
      </c>
      <c r="R22" s="399"/>
      <c r="S22" s="399">
        <v>609.05999999999995</v>
      </c>
      <c r="T22" s="399">
        <v>286.42</v>
      </c>
      <c r="U22" s="399"/>
      <c r="V22" s="399">
        <v>15556.278559999999</v>
      </c>
      <c r="W22" s="399">
        <v>15556.278559999999</v>
      </c>
      <c r="X22" s="399">
        <v>11880.189640000001</v>
      </c>
      <c r="Y22" s="399">
        <v>0</v>
      </c>
      <c r="Z22" s="399">
        <v>1057.2842229294497</v>
      </c>
      <c r="AA22" s="399">
        <v>0</v>
      </c>
      <c r="AB22" s="399">
        <v>0</v>
      </c>
      <c r="AC22" s="399">
        <v>0</v>
      </c>
      <c r="AD22" s="399">
        <v>1696.4131490210657</v>
      </c>
      <c r="AE22" s="399">
        <v>6552.9267805242744</v>
      </c>
      <c r="AF22" s="399">
        <v>4975.7463535760926</v>
      </c>
      <c r="AG22" s="399">
        <v>0</v>
      </c>
      <c r="AH22" s="399">
        <v>0</v>
      </c>
      <c r="AI22" s="399">
        <v>0</v>
      </c>
      <c r="AJ22" s="399">
        <v>0</v>
      </c>
      <c r="AK22" s="399">
        <v>0</v>
      </c>
      <c r="AL22" s="399">
        <v>163.39910292250158</v>
      </c>
      <c r="AM22" s="399"/>
      <c r="AN22" s="399">
        <v>29.668554203395527</v>
      </c>
      <c r="AO22" s="399">
        <v>0</v>
      </c>
      <c r="AP22" s="399">
        <v>0</v>
      </c>
      <c r="AQ22" s="399">
        <v>0</v>
      </c>
      <c r="AR22" s="399">
        <v>0</v>
      </c>
      <c r="AS22" s="399">
        <v>0</v>
      </c>
      <c r="AT22" s="399">
        <v>0</v>
      </c>
      <c r="AU22" s="399">
        <v>0</v>
      </c>
      <c r="AV22" s="399">
        <v>0</v>
      </c>
      <c r="AW22" s="399">
        <v>0</v>
      </c>
      <c r="AX22" s="399">
        <v>0</v>
      </c>
      <c r="AY22" s="399">
        <v>0</v>
      </c>
      <c r="AZ22" s="399">
        <v>0</v>
      </c>
      <c r="BA22" s="399"/>
      <c r="BB22" s="399">
        <v>0</v>
      </c>
      <c r="BC22" s="399">
        <v>0</v>
      </c>
      <c r="BD22" s="399">
        <v>0</v>
      </c>
      <c r="BE22" s="399">
        <v>0</v>
      </c>
      <c r="BF22" s="399">
        <v>0</v>
      </c>
      <c r="BG22" s="399">
        <v>582.34972323901741</v>
      </c>
      <c r="BH22" s="399">
        <v>0</v>
      </c>
      <c r="BI22" s="399">
        <v>77.180000000000007</v>
      </c>
      <c r="BJ22" s="399">
        <v>360.71</v>
      </c>
      <c r="BK22" s="399">
        <v>3243.46</v>
      </c>
      <c r="BL22" s="399">
        <v>43</v>
      </c>
      <c r="BM22" s="399"/>
      <c r="BN22" s="399"/>
      <c r="BO22" s="399"/>
      <c r="BP22" s="399"/>
      <c r="BQ22" s="399"/>
      <c r="BR22" s="399"/>
      <c r="BS22" s="399"/>
      <c r="BT22" s="399"/>
      <c r="BU22" s="399"/>
      <c r="BV22" s="399">
        <v>5558.0960768151099</v>
      </c>
      <c r="BW22" s="399"/>
      <c r="BX22" s="399"/>
      <c r="BY22" s="399"/>
      <c r="BZ22" s="399"/>
      <c r="CA22" s="399"/>
      <c r="CB22" s="399"/>
      <c r="CC22" s="399"/>
      <c r="CD22" s="399"/>
      <c r="CE22" s="399"/>
      <c r="CF22" s="399"/>
      <c r="CG22" s="399"/>
      <c r="CH22" s="399"/>
      <c r="CI22" s="399">
        <v>11878.821899999999</v>
      </c>
      <c r="CJ22" s="399">
        <v>-3677.4866600000005</v>
      </c>
      <c r="CK22" s="399"/>
      <c r="CL22" s="399"/>
      <c r="CM22" s="399"/>
      <c r="CN22" s="399"/>
      <c r="CO22" s="399">
        <v>-2550.0358799999995</v>
      </c>
      <c r="CP22" s="399">
        <v>-1126.0530400000005</v>
      </c>
      <c r="CQ22" s="399">
        <v>30</v>
      </c>
      <c r="CR22" s="399">
        <v>-1284.9722402129992</v>
      </c>
      <c r="CS22" s="399">
        <v>0</v>
      </c>
      <c r="CT22" s="399">
        <v>0</v>
      </c>
      <c r="CU22" s="399">
        <v>0</v>
      </c>
      <c r="CV22" s="399">
        <v>0</v>
      </c>
      <c r="CW22" s="399">
        <v>0</v>
      </c>
      <c r="CX22" s="399">
        <v>0</v>
      </c>
      <c r="CY22" s="399">
        <v>0</v>
      </c>
      <c r="CZ22" s="399">
        <v>58.215652911855614</v>
      </c>
      <c r="DA22" s="399">
        <v>0</v>
      </c>
      <c r="DB22" s="399">
        <v>0</v>
      </c>
      <c r="DC22" s="399">
        <v>-1126.1706395287893</v>
      </c>
      <c r="DD22" s="399">
        <v>0</v>
      </c>
      <c r="DE22" s="399">
        <v>0</v>
      </c>
      <c r="DF22" s="399">
        <v>0</v>
      </c>
      <c r="DG22" s="399">
        <v>-131.80437941298089</v>
      </c>
      <c r="DH22" s="399">
        <v>0</v>
      </c>
      <c r="DI22" s="399">
        <v>-73.350310542604575</v>
      </c>
      <c r="DJ22" s="399"/>
      <c r="DK22" s="399">
        <v>0</v>
      </c>
      <c r="DL22" s="399">
        <v>0</v>
      </c>
      <c r="DM22" s="399">
        <v>0</v>
      </c>
      <c r="DN22" s="399">
        <v>0</v>
      </c>
      <c r="DO22" s="399">
        <v>-9.3510526604020754</v>
      </c>
      <c r="DP22" s="399">
        <v>-2.5115109800801001</v>
      </c>
      <c r="DQ22" s="399">
        <v>0</v>
      </c>
      <c r="DR22" s="399">
        <v>0</v>
      </c>
      <c r="DS22" s="399"/>
      <c r="DT22" s="399"/>
      <c r="DU22" s="399"/>
      <c r="DV22" s="399">
        <v>6552.9267805242744</v>
      </c>
      <c r="DW22" s="399">
        <v>0</v>
      </c>
      <c r="DX22" s="399">
        <v>0</v>
      </c>
      <c r="DY22" s="399">
        <v>-2550.0358799999995</v>
      </c>
      <c r="DZ22" s="399">
        <v>-1126.0530400000007</v>
      </c>
      <c r="EA22" s="399">
        <v>0</v>
      </c>
      <c r="EB22" s="399">
        <v>0</v>
      </c>
      <c r="EC22" s="399">
        <v>-2391.1637552746233</v>
      </c>
      <c r="ED22" s="399">
        <v>0</v>
      </c>
      <c r="EE22" s="399">
        <v>0</v>
      </c>
      <c r="EF22" s="399">
        <v>0</v>
      </c>
      <c r="EG22" s="399">
        <v>0</v>
      </c>
      <c r="EH22" s="399">
        <v>0</v>
      </c>
      <c r="EI22" s="399">
        <v>0</v>
      </c>
      <c r="EJ22" s="399">
        <v>0</v>
      </c>
      <c r="EK22" s="399">
        <v>0</v>
      </c>
      <c r="EL22" s="399">
        <v>0</v>
      </c>
      <c r="EM22" s="399">
        <v>0</v>
      </c>
      <c r="EN22" s="399">
        <v>0</v>
      </c>
      <c r="EO22" s="399">
        <v>0</v>
      </c>
      <c r="EP22" s="399">
        <v>498.54568607700179</v>
      </c>
      <c r="EQ22" s="399">
        <v>0</v>
      </c>
      <c r="ER22" s="399">
        <v>0</v>
      </c>
      <c r="ES22" s="399">
        <v>0</v>
      </c>
      <c r="ET22" s="399">
        <v>0</v>
      </c>
      <c r="EU22" s="399">
        <v>0</v>
      </c>
      <c r="EV22" s="399">
        <v>202</v>
      </c>
      <c r="EW22" s="399">
        <v>0</v>
      </c>
      <c r="EX22" s="399">
        <v>0</v>
      </c>
      <c r="EY22" s="399">
        <v>0</v>
      </c>
      <c r="EZ22" s="399"/>
      <c r="FA22" s="399">
        <v>0</v>
      </c>
      <c r="FB22" s="399">
        <v>-17.698635468909799</v>
      </c>
      <c r="FC22" s="399"/>
      <c r="FD22" s="399">
        <v>-17.698635468909799</v>
      </c>
      <c r="FE22" s="399"/>
      <c r="FF22" s="399">
        <v>0</v>
      </c>
      <c r="FG22" s="399">
        <v>0</v>
      </c>
      <c r="FH22" s="399">
        <v>0</v>
      </c>
      <c r="FI22" s="399">
        <v>0</v>
      </c>
    </row>
    <row r="23" spans="1:165" customFormat="1">
      <c r="A23" s="399">
        <v>18</v>
      </c>
      <c r="B23" s="399" t="s">
        <v>956</v>
      </c>
      <c r="C23" s="399" t="s">
        <v>2402</v>
      </c>
      <c r="D23" s="399" t="s">
        <v>1826</v>
      </c>
      <c r="E23" s="399" t="s">
        <v>2412</v>
      </c>
      <c r="F23" s="399" t="s">
        <v>1239</v>
      </c>
      <c r="G23" s="399" t="s">
        <v>1239</v>
      </c>
      <c r="H23" s="399" t="s">
        <v>1239</v>
      </c>
      <c r="I23" s="399" t="s">
        <v>1239</v>
      </c>
      <c r="J23" s="399" t="s">
        <v>2400</v>
      </c>
      <c r="K23" s="788">
        <v>44440</v>
      </c>
      <c r="L23" s="399">
        <v>0</v>
      </c>
      <c r="M23" s="399">
        <v>0</v>
      </c>
      <c r="N23" s="399">
        <v>6.7140000000000004</v>
      </c>
      <c r="O23" s="399">
        <v>6.7140000000000004</v>
      </c>
      <c r="P23" s="399">
        <v>6.7140000000000004</v>
      </c>
      <c r="Q23" s="399">
        <v>6.7140000000000004</v>
      </c>
      <c r="R23" s="399"/>
      <c r="S23" s="399">
        <v>609.05999999999995</v>
      </c>
      <c r="T23" s="399">
        <v>286.42</v>
      </c>
      <c r="U23" s="399"/>
      <c r="V23" s="399">
        <v>6012.2527200000004</v>
      </c>
      <c r="W23" s="399">
        <v>6012.2527200000004</v>
      </c>
      <c r="X23" s="399">
        <v>4591.5031799999997</v>
      </c>
      <c r="Y23" s="399">
        <v>0</v>
      </c>
      <c r="Z23" s="399">
        <v>408.62343269331825</v>
      </c>
      <c r="AA23" s="399">
        <v>0</v>
      </c>
      <c r="AB23" s="399">
        <v>0</v>
      </c>
      <c r="AC23" s="399">
        <v>0</v>
      </c>
      <c r="AD23" s="399">
        <v>655.63653479895436</v>
      </c>
      <c r="AE23" s="399">
        <v>2532.6013357379679</v>
      </c>
      <c r="AF23" s="399">
        <v>1923.0463399671819</v>
      </c>
      <c r="AG23" s="399">
        <v>0</v>
      </c>
      <c r="AH23" s="399">
        <v>0</v>
      </c>
      <c r="AI23" s="399">
        <v>0</v>
      </c>
      <c r="AJ23" s="399">
        <v>0</v>
      </c>
      <c r="AK23" s="399">
        <v>0</v>
      </c>
      <c r="AL23" s="399">
        <v>63.151138442417434</v>
      </c>
      <c r="AM23" s="399"/>
      <c r="AN23" s="399">
        <v>11.466421420768913</v>
      </c>
      <c r="AO23" s="399">
        <v>0</v>
      </c>
      <c r="AP23" s="399">
        <v>0</v>
      </c>
      <c r="AQ23" s="399">
        <v>0</v>
      </c>
      <c r="AR23" s="399">
        <v>0</v>
      </c>
      <c r="AS23" s="399">
        <v>0</v>
      </c>
      <c r="AT23" s="399">
        <v>0</v>
      </c>
      <c r="AU23" s="399">
        <v>0</v>
      </c>
      <c r="AV23" s="399">
        <v>0</v>
      </c>
      <c r="AW23" s="399">
        <v>0</v>
      </c>
      <c r="AX23" s="399">
        <v>0</v>
      </c>
      <c r="AY23" s="399">
        <v>0</v>
      </c>
      <c r="AZ23" s="399">
        <v>0</v>
      </c>
      <c r="BA23" s="399"/>
      <c r="BB23" s="399">
        <v>0</v>
      </c>
      <c r="BC23" s="399">
        <v>0</v>
      </c>
      <c r="BD23" s="399">
        <v>0</v>
      </c>
      <c r="BE23" s="399">
        <v>0</v>
      </c>
      <c r="BF23" s="399">
        <v>0</v>
      </c>
      <c r="BG23" s="399">
        <v>225.06884882723713</v>
      </c>
      <c r="BH23" s="399">
        <v>0</v>
      </c>
      <c r="BI23" s="399">
        <v>31.82</v>
      </c>
      <c r="BJ23" s="399">
        <v>147.72999999999999</v>
      </c>
      <c r="BK23" s="399">
        <v>598.96</v>
      </c>
      <c r="BL23" s="399">
        <v>10</v>
      </c>
      <c r="BM23" s="399"/>
      <c r="BN23" s="399"/>
      <c r="BO23" s="399"/>
      <c r="BP23" s="399"/>
      <c r="BQ23" s="399"/>
      <c r="BR23" s="399"/>
      <c r="BS23" s="399"/>
      <c r="BT23" s="399"/>
      <c r="BU23" s="399"/>
      <c r="BV23" s="399">
        <v>2148.1151887944188</v>
      </c>
      <c r="BW23" s="399"/>
      <c r="BX23" s="399"/>
      <c r="BY23" s="399"/>
      <c r="BZ23" s="399"/>
      <c r="CA23" s="399"/>
      <c r="CB23" s="399"/>
      <c r="CC23" s="399"/>
      <c r="CD23" s="399"/>
      <c r="CE23" s="399"/>
      <c r="CF23" s="399"/>
      <c r="CG23" s="399"/>
      <c r="CH23" s="399"/>
      <c r="CI23" s="399">
        <v>4588.7676999999994</v>
      </c>
      <c r="CJ23" s="399">
        <v>-1423.5150200000016</v>
      </c>
      <c r="CK23" s="399"/>
      <c r="CL23" s="399"/>
      <c r="CM23" s="399"/>
      <c r="CN23" s="399"/>
      <c r="CO23" s="399">
        <v>-985.54805999999985</v>
      </c>
      <c r="CP23" s="399">
        <v>-435.20148000000017</v>
      </c>
      <c r="CQ23" s="399">
        <v>30</v>
      </c>
      <c r="CR23" s="399">
        <v>-496.62120773601691</v>
      </c>
      <c r="CS23" s="399">
        <v>0</v>
      </c>
      <c r="CT23" s="399">
        <v>0</v>
      </c>
      <c r="CU23" s="399">
        <v>0</v>
      </c>
      <c r="CV23" s="399">
        <v>0</v>
      </c>
      <c r="CW23" s="399">
        <v>0</v>
      </c>
      <c r="CX23" s="399">
        <v>0</v>
      </c>
      <c r="CY23" s="399">
        <v>0</v>
      </c>
      <c r="CZ23" s="399">
        <v>22.499418239131955</v>
      </c>
      <c r="DA23" s="399">
        <v>0</v>
      </c>
      <c r="DB23" s="399">
        <v>0</v>
      </c>
      <c r="DC23" s="399">
        <v>-435.24693033595941</v>
      </c>
      <c r="DD23" s="399">
        <v>0</v>
      </c>
      <c r="DE23" s="399">
        <v>0</v>
      </c>
      <c r="DF23" s="399">
        <v>0</v>
      </c>
      <c r="DG23" s="399">
        <v>-50.9402834088622</v>
      </c>
      <c r="DH23" s="399">
        <v>0</v>
      </c>
      <c r="DI23" s="399">
        <v>-28.348721217076104</v>
      </c>
      <c r="DJ23" s="399"/>
      <c r="DK23" s="399">
        <v>0</v>
      </c>
      <c r="DL23" s="399">
        <v>0</v>
      </c>
      <c r="DM23" s="399">
        <v>0</v>
      </c>
      <c r="DN23" s="399">
        <v>0</v>
      </c>
      <c r="DO23" s="399">
        <v>-3.6140322105652487</v>
      </c>
      <c r="DP23" s="399">
        <v>-0.97065880268580251</v>
      </c>
      <c r="DQ23" s="399">
        <v>0</v>
      </c>
      <c r="DR23" s="399">
        <v>0</v>
      </c>
      <c r="DS23" s="399"/>
      <c r="DT23" s="399"/>
      <c r="DU23" s="399"/>
      <c r="DV23" s="399">
        <v>2532.6013357379679</v>
      </c>
      <c r="DW23" s="399">
        <v>0</v>
      </c>
      <c r="DX23" s="399">
        <v>0</v>
      </c>
      <c r="DY23" s="399">
        <v>-985.54805999999962</v>
      </c>
      <c r="DZ23" s="399">
        <v>-435.20148000000017</v>
      </c>
      <c r="EA23" s="399">
        <v>0</v>
      </c>
      <c r="EB23" s="399">
        <v>0</v>
      </c>
      <c r="EC23" s="399">
        <v>-924.14652618661171</v>
      </c>
      <c r="ED23" s="399">
        <v>0</v>
      </c>
      <c r="EE23" s="399">
        <v>0</v>
      </c>
      <c r="EF23" s="399">
        <v>0</v>
      </c>
      <c r="EG23" s="399">
        <v>0</v>
      </c>
      <c r="EH23" s="399">
        <v>0</v>
      </c>
      <c r="EI23" s="399">
        <v>0</v>
      </c>
      <c r="EJ23" s="399">
        <v>0</v>
      </c>
      <c r="EK23" s="399">
        <v>0</v>
      </c>
      <c r="EL23" s="399">
        <v>0</v>
      </c>
      <c r="EM23" s="399">
        <v>0</v>
      </c>
      <c r="EN23" s="399">
        <v>0</v>
      </c>
      <c r="EO23" s="399">
        <v>0</v>
      </c>
      <c r="EP23" s="399">
        <v>192.67992956026885</v>
      </c>
      <c r="EQ23" s="399">
        <v>0</v>
      </c>
      <c r="ER23" s="399">
        <v>0</v>
      </c>
      <c r="ES23" s="399">
        <v>0</v>
      </c>
      <c r="ET23" s="399">
        <v>0</v>
      </c>
      <c r="EU23" s="399">
        <v>0</v>
      </c>
      <c r="EV23" s="399">
        <v>202</v>
      </c>
      <c r="EW23" s="399">
        <v>0</v>
      </c>
      <c r="EX23" s="399">
        <v>0</v>
      </c>
      <c r="EY23" s="399">
        <v>0</v>
      </c>
      <c r="EZ23" s="399"/>
      <c r="FA23" s="399">
        <v>0</v>
      </c>
      <c r="FB23" s="399">
        <v>-17.698635468909799</v>
      </c>
      <c r="FC23" s="399"/>
      <c r="FD23" s="399">
        <v>-17.698635468909799</v>
      </c>
      <c r="FE23" s="399"/>
      <c r="FF23" s="399">
        <v>0</v>
      </c>
      <c r="FG23" s="399">
        <v>0</v>
      </c>
      <c r="FH23" s="399">
        <v>0</v>
      </c>
      <c r="FI23" s="399">
        <v>0</v>
      </c>
    </row>
    <row r="24" spans="1:165" customFormat="1">
      <c r="A24" s="399">
        <v>20</v>
      </c>
      <c r="B24" s="399" t="s">
        <v>956</v>
      </c>
      <c r="C24" s="399" t="s">
        <v>2402</v>
      </c>
      <c r="D24" s="399" t="s">
        <v>1826</v>
      </c>
      <c r="E24" s="399" t="s">
        <v>921</v>
      </c>
      <c r="F24" s="399" t="s">
        <v>2401</v>
      </c>
      <c r="G24" s="399" t="s">
        <v>1239</v>
      </c>
      <c r="H24" s="399" t="s">
        <v>1239</v>
      </c>
      <c r="I24" s="399" t="s">
        <v>1239</v>
      </c>
      <c r="J24" s="399" t="s">
        <v>2400</v>
      </c>
      <c r="K24" s="788">
        <v>44440</v>
      </c>
      <c r="L24" s="399">
        <v>0</v>
      </c>
      <c r="M24" s="399">
        <v>0</v>
      </c>
      <c r="N24" s="399">
        <v>25.248000000000001</v>
      </c>
      <c r="O24" s="399">
        <v>23.73312</v>
      </c>
      <c r="P24" s="399">
        <v>25.248000000000001</v>
      </c>
      <c r="Q24" s="399">
        <v>23.73312</v>
      </c>
      <c r="R24" s="399"/>
      <c r="S24" s="399">
        <v>609.05999999999995</v>
      </c>
      <c r="T24" s="399">
        <v>286.42</v>
      </c>
      <c r="U24" s="399"/>
      <c r="V24" s="399">
        <v>22609.079040000001</v>
      </c>
      <c r="W24" s="399">
        <v>22609.079040000001</v>
      </c>
      <c r="X24" s="399">
        <v>17266.349759999997</v>
      </c>
      <c r="Y24" s="399">
        <v>0</v>
      </c>
      <c r="Z24" s="399">
        <v>1536.6286012274202</v>
      </c>
      <c r="AA24" s="399">
        <v>0</v>
      </c>
      <c r="AB24" s="399">
        <v>0</v>
      </c>
      <c r="AC24" s="399">
        <v>0</v>
      </c>
      <c r="AD24" s="399">
        <v>2465.521482067918</v>
      </c>
      <c r="AE24" s="399">
        <v>9523.8484546786131</v>
      </c>
      <c r="AF24" s="399">
        <v>7231.6166207166234</v>
      </c>
      <c r="AG24" s="399">
        <v>0</v>
      </c>
      <c r="AH24" s="399">
        <v>0</v>
      </c>
      <c r="AI24" s="399">
        <v>0</v>
      </c>
      <c r="AJ24" s="399">
        <v>0</v>
      </c>
      <c r="AK24" s="399">
        <v>0</v>
      </c>
      <c r="AL24" s="399">
        <v>237.47988433037762</v>
      </c>
      <c r="AM24" s="399"/>
      <c r="AN24" s="399">
        <v>43.119482876314201</v>
      </c>
      <c r="AO24" s="399">
        <v>0</v>
      </c>
      <c r="AP24" s="399">
        <v>0</v>
      </c>
      <c r="AQ24" s="399">
        <v>0</v>
      </c>
      <c r="AR24" s="399">
        <v>0</v>
      </c>
      <c r="AS24" s="399">
        <v>0</v>
      </c>
      <c r="AT24" s="399">
        <v>0</v>
      </c>
      <c r="AU24" s="399">
        <v>0</v>
      </c>
      <c r="AV24" s="399">
        <v>0</v>
      </c>
      <c r="AW24" s="399">
        <v>0</v>
      </c>
      <c r="AX24" s="399">
        <v>0</v>
      </c>
      <c r="AY24" s="399">
        <v>0</v>
      </c>
      <c r="AZ24" s="399">
        <v>0</v>
      </c>
      <c r="BA24" s="399"/>
      <c r="BB24" s="399">
        <v>0</v>
      </c>
      <c r="BC24" s="399">
        <v>0</v>
      </c>
      <c r="BD24" s="399">
        <v>0</v>
      </c>
      <c r="BE24" s="399">
        <v>0</v>
      </c>
      <c r="BF24" s="399">
        <v>0</v>
      </c>
      <c r="BG24" s="399">
        <v>846.37150658178177</v>
      </c>
      <c r="BH24" s="399">
        <v>0</v>
      </c>
      <c r="BI24" s="399">
        <v>90.26</v>
      </c>
      <c r="BJ24" s="399">
        <v>422.2</v>
      </c>
      <c r="BK24" s="399">
        <v>4545.0600000000004</v>
      </c>
      <c r="BL24" s="399">
        <v>6</v>
      </c>
      <c r="BM24" s="399"/>
      <c r="BN24" s="399"/>
      <c r="BO24" s="399"/>
      <c r="BP24" s="399"/>
      <c r="BQ24" s="399">
        <v>1035.9809856000011</v>
      </c>
      <c r="BR24" s="399"/>
      <c r="BS24" s="399"/>
      <c r="BT24" s="399"/>
      <c r="BU24" s="399"/>
      <c r="BV24" s="399">
        <v>8077.9881272984048</v>
      </c>
      <c r="BW24" s="399"/>
      <c r="BX24" s="399"/>
      <c r="BY24" s="399"/>
      <c r="BZ24" s="399"/>
      <c r="CA24" s="399"/>
      <c r="CB24" s="399"/>
      <c r="CC24" s="399"/>
      <c r="CD24" s="399"/>
      <c r="CE24" s="399"/>
      <c r="CF24" s="399"/>
      <c r="CG24" s="399"/>
      <c r="CH24" s="399"/>
      <c r="CI24" s="399">
        <v>16228.235100000002</v>
      </c>
      <c r="CJ24" s="399">
        <v>-5024.3291975999964</v>
      </c>
      <c r="CK24" s="399"/>
      <c r="CL24" s="399"/>
      <c r="CM24" s="399"/>
      <c r="CN24" s="399"/>
      <c r="CO24" s="399">
        <v>-3706.1539199999993</v>
      </c>
      <c r="CP24" s="399">
        <v>-1636.5753600000007</v>
      </c>
      <c r="CQ24" s="399">
        <v>30</v>
      </c>
      <c r="CR24" s="399">
        <v>-1867.5442735953166</v>
      </c>
      <c r="CS24" s="399">
        <v>0</v>
      </c>
      <c r="CT24" s="399">
        <v>0</v>
      </c>
      <c r="CU24" s="399">
        <v>0</v>
      </c>
      <c r="CV24" s="399">
        <v>0</v>
      </c>
      <c r="CW24" s="399">
        <v>0</v>
      </c>
      <c r="CX24" s="399">
        <v>0</v>
      </c>
      <c r="CY24" s="399">
        <v>0</v>
      </c>
      <c r="CZ24" s="399">
        <v>84.609072341614592</v>
      </c>
      <c r="DA24" s="399">
        <v>0</v>
      </c>
      <c r="DB24" s="399">
        <v>0</v>
      </c>
      <c r="DC24" s="399">
        <v>-1636.7462760086837</v>
      </c>
      <c r="DD24" s="399">
        <v>0</v>
      </c>
      <c r="DE24" s="399">
        <v>0</v>
      </c>
      <c r="DF24" s="399">
        <v>0</v>
      </c>
      <c r="DG24" s="399">
        <v>-191.56095852054693</v>
      </c>
      <c r="DH24" s="399">
        <v>0</v>
      </c>
      <c r="DI24" s="399">
        <v>-106.60537880380366</v>
      </c>
      <c r="DJ24" s="399"/>
      <c r="DK24" s="399">
        <v>0</v>
      </c>
      <c r="DL24" s="399">
        <v>0</v>
      </c>
      <c r="DM24" s="399">
        <v>0</v>
      </c>
      <c r="DN24" s="399">
        <v>0</v>
      </c>
      <c r="DO24" s="399">
        <v>-13.590569742679691</v>
      </c>
      <c r="DP24" s="399">
        <v>-3.6501628612170336</v>
      </c>
      <c r="DQ24" s="399">
        <v>0</v>
      </c>
      <c r="DR24" s="399">
        <v>0</v>
      </c>
      <c r="DS24" s="399"/>
      <c r="DT24" s="399"/>
      <c r="DU24" s="399"/>
      <c r="DV24" s="399">
        <v>9523.8484546786131</v>
      </c>
      <c r="DW24" s="399">
        <v>0</v>
      </c>
      <c r="DX24" s="399">
        <v>0</v>
      </c>
      <c r="DY24" s="399">
        <v>-3706.1539200000007</v>
      </c>
      <c r="DZ24" s="399">
        <v>-1636.5753600000007</v>
      </c>
      <c r="EA24" s="399">
        <v>0</v>
      </c>
      <c r="EB24" s="399">
        <v>0</v>
      </c>
      <c r="EC24" s="399">
        <v>-3475.2534246588575</v>
      </c>
      <c r="ED24" s="399">
        <v>0</v>
      </c>
      <c r="EE24" s="399">
        <v>0</v>
      </c>
      <c r="EF24" s="399">
        <v>0</v>
      </c>
      <c r="EG24" s="399">
        <v>0</v>
      </c>
      <c r="EH24" s="399">
        <v>0</v>
      </c>
      <c r="EI24" s="399">
        <v>0</v>
      </c>
      <c r="EJ24" s="399">
        <v>0</v>
      </c>
      <c r="EK24" s="399">
        <v>0</v>
      </c>
      <c r="EL24" s="399">
        <v>0</v>
      </c>
      <c r="EM24" s="399">
        <v>0</v>
      </c>
      <c r="EN24" s="399">
        <v>0</v>
      </c>
      <c r="EO24" s="399">
        <v>0</v>
      </c>
      <c r="EP24" s="399">
        <v>724.57296120608692</v>
      </c>
      <c r="EQ24" s="399">
        <v>0</v>
      </c>
      <c r="ER24" s="399">
        <v>0</v>
      </c>
      <c r="ES24" s="399">
        <v>0</v>
      </c>
      <c r="ET24" s="399">
        <v>0</v>
      </c>
      <c r="EU24" s="399">
        <v>0</v>
      </c>
      <c r="EV24" s="399">
        <v>202</v>
      </c>
      <c r="EW24" s="399">
        <v>0</v>
      </c>
      <c r="EX24" s="399">
        <v>0</v>
      </c>
      <c r="EY24" s="399">
        <v>0</v>
      </c>
      <c r="EZ24" s="399"/>
      <c r="FA24" s="399">
        <v>0</v>
      </c>
      <c r="FB24" s="399">
        <v>-17.698635468909799</v>
      </c>
      <c r="FC24" s="399"/>
      <c r="FD24" s="399">
        <v>-17.698635468909799</v>
      </c>
      <c r="FE24" s="399"/>
      <c r="FF24" s="399">
        <v>0</v>
      </c>
      <c r="FG24" s="399">
        <v>0</v>
      </c>
      <c r="FH24" s="399">
        <v>0</v>
      </c>
      <c r="FI24" s="399">
        <v>0</v>
      </c>
    </row>
    <row r="25" spans="1:165" customFormat="1">
      <c r="A25" s="399">
        <v>19</v>
      </c>
      <c r="B25" s="399" t="s">
        <v>956</v>
      </c>
      <c r="C25" s="399" t="s">
        <v>2402</v>
      </c>
      <c r="D25" s="399" t="s">
        <v>2413</v>
      </c>
      <c r="E25" s="399" t="s">
        <v>2414</v>
      </c>
      <c r="F25" s="399" t="s">
        <v>2415</v>
      </c>
      <c r="G25" s="399" t="s">
        <v>1239</v>
      </c>
      <c r="H25" s="399" t="s">
        <v>1239</v>
      </c>
      <c r="I25" s="399" t="s">
        <v>1239</v>
      </c>
      <c r="J25" s="399" t="s">
        <v>2400</v>
      </c>
      <c r="K25" s="788">
        <v>44440</v>
      </c>
      <c r="L25" s="399">
        <v>0</v>
      </c>
      <c r="M25" s="399">
        <v>0</v>
      </c>
      <c r="N25" s="399">
        <v>43.204999999999998</v>
      </c>
      <c r="O25" s="399">
        <v>43.204999999999998</v>
      </c>
      <c r="P25" s="399">
        <v>43.204999999999998</v>
      </c>
      <c r="Q25" s="399">
        <v>43.204999999999998</v>
      </c>
      <c r="R25" s="399"/>
      <c r="S25" s="399">
        <v>334.98</v>
      </c>
      <c r="T25" s="399">
        <v>157.53</v>
      </c>
      <c r="U25" s="399"/>
      <c r="V25" s="399">
        <v>21278.894550000001</v>
      </c>
      <c r="W25" s="399">
        <v>21278.894550000001</v>
      </c>
      <c r="X25" s="399">
        <v>16250.69665</v>
      </c>
      <c r="Y25" s="399">
        <v>0</v>
      </c>
      <c r="Z25" s="399">
        <v>1446.2342084052934</v>
      </c>
      <c r="AA25" s="399">
        <v>0</v>
      </c>
      <c r="AB25" s="399">
        <v>0</v>
      </c>
      <c r="AC25" s="399">
        <v>0</v>
      </c>
      <c r="AD25" s="399">
        <v>2320.4836263470124</v>
      </c>
      <c r="AE25" s="399">
        <v>8963.5943388155356</v>
      </c>
      <c r="AF25" s="399">
        <v>6806.2063471931879</v>
      </c>
      <c r="AG25" s="399">
        <v>0</v>
      </c>
      <c r="AH25" s="399">
        <v>0</v>
      </c>
      <c r="AI25" s="399">
        <v>0</v>
      </c>
      <c r="AJ25" s="399">
        <v>0</v>
      </c>
      <c r="AK25" s="399">
        <v>0</v>
      </c>
      <c r="AL25" s="399">
        <v>223.50978776028526</v>
      </c>
      <c r="AM25" s="399"/>
      <c r="AN25" s="399">
        <v>40.582917130827596</v>
      </c>
      <c r="AO25" s="399">
        <v>0</v>
      </c>
      <c r="AP25" s="399">
        <v>0</v>
      </c>
      <c r="AQ25" s="399">
        <v>0</v>
      </c>
      <c r="AR25" s="399">
        <v>0</v>
      </c>
      <c r="AS25" s="399">
        <v>0</v>
      </c>
      <c r="AT25" s="399">
        <v>0</v>
      </c>
      <c r="AU25" s="399">
        <v>0</v>
      </c>
      <c r="AV25" s="399">
        <v>0</v>
      </c>
      <c r="AW25" s="399">
        <v>0</v>
      </c>
      <c r="AX25" s="399">
        <v>0</v>
      </c>
      <c r="AY25" s="399">
        <v>0</v>
      </c>
      <c r="AZ25" s="399">
        <v>0</v>
      </c>
      <c r="BA25" s="399"/>
      <c r="BB25" s="399">
        <v>0</v>
      </c>
      <c r="BC25" s="399">
        <v>0</v>
      </c>
      <c r="BD25" s="399">
        <v>0</v>
      </c>
      <c r="BE25" s="399">
        <v>0</v>
      </c>
      <c r="BF25" s="399">
        <v>0</v>
      </c>
      <c r="BG25" s="399">
        <v>796.58248249470341</v>
      </c>
      <c r="BH25" s="399">
        <v>0</v>
      </c>
      <c r="BI25" s="399">
        <v>114.91</v>
      </c>
      <c r="BJ25" s="399">
        <v>537.49</v>
      </c>
      <c r="BK25" s="399">
        <v>5112.63</v>
      </c>
      <c r="BL25" s="399">
        <v>3</v>
      </c>
      <c r="BM25" s="399"/>
      <c r="BN25" s="399"/>
      <c r="BO25" s="399"/>
      <c r="BP25" s="399"/>
      <c r="BQ25" s="399"/>
      <c r="BR25" s="399"/>
      <c r="BS25" s="399"/>
      <c r="BT25" s="399"/>
      <c r="BU25" s="399"/>
      <c r="BV25" s="399">
        <v>7602.7888296878909</v>
      </c>
      <c r="BW25" s="399"/>
      <c r="BX25" s="399"/>
      <c r="BY25" s="399"/>
      <c r="BZ25" s="399"/>
      <c r="CA25" s="399"/>
      <c r="CB25" s="399"/>
      <c r="CC25" s="399"/>
      <c r="CD25" s="399"/>
      <c r="CE25" s="399"/>
      <c r="CF25" s="399"/>
      <c r="CG25" s="399"/>
      <c r="CH25" s="399"/>
      <c r="CI25" s="399">
        <v>16252.577300000001</v>
      </c>
      <c r="CJ25" s="399">
        <v>-5026.3472499999989</v>
      </c>
      <c r="CK25" s="399"/>
      <c r="CL25" s="399"/>
      <c r="CM25" s="399"/>
      <c r="CN25" s="399"/>
      <c r="CO25" s="399">
        <v>-3487.9396500000007</v>
      </c>
      <c r="CP25" s="399">
        <v>-1540.2582500000001</v>
      </c>
      <c r="CQ25" s="399">
        <v>30</v>
      </c>
      <c r="CR25" s="399">
        <v>-1757.6832892655912</v>
      </c>
      <c r="CS25" s="399">
        <v>0</v>
      </c>
      <c r="CT25" s="399">
        <v>0</v>
      </c>
      <c r="CU25" s="399">
        <v>0</v>
      </c>
      <c r="CV25" s="399">
        <v>0</v>
      </c>
      <c r="CW25" s="399">
        <v>0</v>
      </c>
      <c r="CX25" s="399">
        <v>0</v>
      </c>
      <c r="CY25" s="399">
        <v>0</v>
      </c>
      <c r="CZ25" s="399">
        <v>79.631821680350185</v>
      </c>
      <c r="DA25" s="399">
        <v>0</v>
      </c>
      <c r="DB25" s="399">
        <v>0</v>
      </c>
      <c r="DC25" s="399">
        <v>-1540.4623166280726</v>
      </c>
      <c r="DD25" s="399">
        <v>0</v>
      </c>
      <c r="DE25" s="399">
        <v>0</v>
      </c>
      <c r="DF25" s="399">
        <v>0</v>
      </c>
      <c r="DG25" s="399">
        <v>-180.29210896245968</v>
      </c>
      <c r="DH25" s="399">
        <v>0</v>
      </c>
      <c r="DI25" s="399">
        <v>-100.33416370287227</v>
      </c>
      <c r="DJ25" s="399"/>
      <c r="DK25" s="399">
        <v>0</v>
      </c>
      <c r="DL25" s="399">
        <v>0</v>
      </c>
      <c r="DM25" s="399">
        <v>0</v>
      </c>
      <c r="DN25" s="399">
        <v>0</v>
      </c>
      <c r="DO25" s="399">
        <v>-12.791084884064787</v>
      </c>
      <c r="DP25" s="399">
        <v>-3.4354367684720515</v>
      </c>
      <c r="DQ25" s="399">
        <v>0</v>
      </c>
      <c r="DR25" s="399">
        <v>0</v>
      </c>
      <c r="DS25" s="399"/>
      <c r="DT25" s="399"/>
      <c r="DU25" s="399"/>
      <c r="DV25" s="399">
        <v>8963.5943388155356</v>
      </c>
      <c r="DW25" s="399">
        <v>0</v>
      </c>
      <c r="DX25" s="399">
        <v>0</v>
      </c>
      <c r="DY25" s="399">
        <v>-3487.9396500000003</v>
      </c>
      <c r="DZ25" s="399">
        <v>-1540.2582499999999</v>
      </c>
      <c r="EA25" s="399">
        <v>0</v>
      </c>
      <c r="EB25" s="399">
        <v>0</v>
      </c>
      <c r="EC25" s="399">
        <v>-3270.8166316861898</v>
      </c>
      <c r="ED25" s="399">
        <v>0</v>
      </c>
      <c r="EE25" s="399">
        <v>0</v>
      </c>
      <c r="EF25" s="399">
        <v>0</v>
      </c>
      <c r="EG25" s="399">
        <v>0</v>
      </c>
      <c r="EH25" s="399">
        <v>0</v>
      </c>
      <c r="EI25" s="399">
        <v>0</v>
      </c>
      <c r="EJ25" s="399">
        <v>0</v>
      </c>
      <c r="EK25" s="399">
        <v>0</v>
      </c>
      <c r="EL25" s="399">
        <v>0</v>
      </c>
      <c r="EM25" s="399">
        <v>0</v>
      </c>
      <c r="EN25" s="399">
        <v>0</v>
      </c>
      <c r="EO25" s="399">
        <v>0</v>
      </c>
      <c r="EP25" s="399">
        <v>681.9489121474943</v>
      </c>
      <c r="EQ25" s="399">
        <v>0</v>
      </c>
      <c r="ER25" s="399">
        <v>0</v>
      </c>
      <c r="ES25" s="399">
        <v>0</v>
      </c>
      <c r="ET25" s="399">
        <v>0</v>
      </c>
      <c r="EU25" s="399">
        <v>0</v>
      </c>
      <c r="EV25" s="399">
        <v>202</v>
      </c>
      <c r="EW25" s="399">
        <v>0</v>
      </c>
      <c r="EX25" s="399">
        <v>0</v>
      </c>
      <c r="EY25" s="399">
        <v>0</v>
      </c>
      <c r="EZ25" s="399"/>
      <c r="FA25" s="399">
        <v>0</v>
      </c>
      <c r="FB25" s="399">
        <v>-9.7342495079003708</v>
      </c>
      <c r="FC25" s="399"/>
      <c r="FD25" s="399">
        <v>-9.7342495079003708</v>
      </c>
      <c r="FE25" s="399"/>
      <c r="FF25" s="399">
        <v>0</v>
      </c>
      <c r="FG25" s="399">
        <v>0</v>
      </c>
      <c r="FH25" s="399">
        <v>0</v>
      </c>
      <c r="FI25" s="399">
        <v>0</v>
      </c>
    </row>
    <row r="26" spans="1:165" customFormat="1">
      <c r="A26" s="399">
        <v>39</v>
      </c>
      <c r="B26" s="399" t="s">
        <v>956</v>
      </c>
      <c r="C26" s="399" t="s">
        <v>2399</v>
      </c>
      <c r="D26" s="399" t="s">
        <v>533</v>
      </c>
      <c r="E26" s="399" t="s">
        <v>918</v>
      </c>
      <c r="F26" s="399" t="s">
        <v>1239</v>
      </c>
      <c r="G26" s="399" t="s">
        <v>1239</v>
      </c>
      <c r="H26" s="399" t="s">
        <v>1239</v>
      </c>
      <c r="I26" s="399" t="s">
        <v>893</v>
      </c>
      <c r="J26" s="399" t="s">
        <v>2400</v>
      </c>
      <c r="K26" s="788">
        <v>44470</v>
      </c>
      <c r="L26" s="399">
        <v>0</v>
      </c>
      <c r="M26" s="399">
        <v>0</v>
      </c>
      <c r="N26" s="399">
        <v>1.093</v>
      </c>
      <c r="O26" s="399">
        <v>1.093</v>
      </c>
      <c r="P26" s="399">
        <v>1.093</v>
      </c>
      <c r="Q26" s="399">
        <v>1.093</v>
      </c>
      <c r="R26" s="399"/>
      <c r="S26" s="399">
        <v>3305.85</v>
      </c>
      <c r="T26" s="399">
        <v>286.42</v>
      </c>
      <c r="U26" s="399"/>
      <c r="V26" s="399">
        <v>3926.3511100000001</v>
      </c>
      <c r="W26" s="399">
        <v>3926.3511100000001</v>
      </c>
      <c r="X26" s="399">
        <v>2853.9322999999999</v>
      </c>
      <c r="Y26" s="399">
        <v>0</v>
      </c>
      <c r="Z26" s="399">
        <v>57.873712895800303</v>
      </c>
      <c r="AA26" s="399">
        <v>0</v>
      </c>
      <c r="AB26" s="399">
        <v>0</v>
      </c>
      <c r="AC26" s="399">
        <v>0</v>
      </c>
      <c r="AD26" s="399">
        <v>712.61968258822367</v>
      </c>
      <c r="AE26" s="399">
        <v>2790.8538100527499</v>
      </c>
      <c r="AF26" s="399">
        <v>313.06071635152364</v>
      </c>
      <c r="AG26" s="399">
        <v>0</v>
      </c>
      <c r="AH26" s="399">
        <v>0</v>
      </c>
      <c r="AI26" s="399">
        <v>0</v>
      </c>
      <c r="AJ26" s="399">
        <v>0</v>
      </c>
      <c r="AK26" s="399">
        <v>0</v>
      </c>
      <c r="AL26" s="399">
        <v>10.280636627578529</v>
      </c>
      <c r="AM26" s="399"/>
      <c r="AN26" s="399">
        <v>1.4975055580378398</v>
      </c>
      <c r="AO26" s="399">
        <v>0</v>
      </c>
      <c r="AP26" s="399">
        <v>0</v>
      </c>
      <c r="AQ26" s="399">
        <v>0</v>
      </c>
      <c r="AR26" s="399">
        <v>0</v>
      </c>
      <c r="AS26" s="399">
        <v>0</v>
      </c>
      <c r="AT26" s="399">
        <v>0</v>
      </c>
      <c r="AU26" s="399">
        <v>0</v>
      </c>
      <c r="AV26" s="399">
        <v>0</v>
      </c>
      <c r="AW26" s="399">
        <v>0</v>
      </c>
      <c r="AX26" s="399">
        <v>0</v>
      </c>
      <c r="AY26" s="399">
        <v>0</v>
      </c>
      <c r="AZ26" s="399">
        <v>0</v>
      </c>
      <c r="BA26" s="399"/>
      <c r="BB26" s="399">
        <v>0</v>
      </c>
      <c r="BC26" s="399">
        <v>0</v>
      </c>
      <c r="BD26" s="399">
        <v>0</v>
      </c>
      <c r="BE26" s="399">
        <v>0</v>
      </c>
      <c r="BF26" s="399">
        <v>0</v>
      </c>
      <c r="BG26" s="399">
        <v>12.883514035617489</v>
      </c>
      <c r="BH26" s="399">
        <v>0</v>
      </c>
      <c r="BI26" s="399">
        <v>0</v>
      </c>
      <c r="BJ26" s="399">
        <v>0</v>
      </c>
      <c r="BK26" s="399">
        <v>0</v>
      </c>
      <c r="BL26" s="399">
        <v>0</v>
      </c>
      <c r="BM26" s="399"/>
      <c r="BN26" s="399"/>
      <c r="BO26" s="399"/>
      <c r="BP26" s="399"/>
      <c r="BQ26" s="399"/>
      <c r="BR26" s="399"/>
      <c r="BS26" s="399"/>
      <c r="BT26" s="399"/>
      <c r="BU26" s="399"/>
      <c r="BV26" s="399">
        <v>325.94423038714115</v>
      </c>
      <c r="BW26" s="399"/>
      <c r="BX26" s="399"/>
      <c r="BY26" s="399"/>
      <c r="BZ26" s="399"/>
      <c r="CA26" s="399"/>
      <c r="CB26" s="399"/>
      <c r="CC26" s="399"/>
      <c r="CD26" s="399"/>
      <c r="CE26" s="399"/>
      <c r="CF26" s="399"/>
      <c r="CG26" s="399"/>
      <c r="CH26" s="399"/>
      <c r="CI26" s="399">
        <v>2846.0990000000002</v>
      </c>
      <c r="CJ26" s="399">
        <v>-1080.2821100000006</v>
      </c>
      <c r="CK26" s="399"/>
      <c r="CL26" s="399"/>
      <c r="CM26" s="399"/>
      <c r="CN26" s="399"/>
      <c r="CO26" s="399">
        <v>-1001.5705499999999</v>
      </c>
      <c r="CP26" s="399">
        <v>-70.848260000000025</v>
      </c>
      <c r="CQ26" s="399">
        <v>31</v>
      </c>
      <c r="CR26" s="399">
        <v>-54.046873039226966</v>
      </c>
      <c r="CS26" s="399">
        <v>0</v>
      </c>
      <c r="CT26" s="399">
        <v>0</v>
      </c>
      <c r="CU26" s="399">
        <v>0</v>
      </c>
      <c r="CV26" s="399">
        <v>0</v>
      </c>
      <c r="CW26" s="399">
        <v>0</v>
      </c>
      <c r="CX26" s="399">
        <v>0</v>
      </c>
      <c r="CY26" s="399">
        <v>0</v>
      </c>
      <c r="CZ26" s="399">
        <v>24.454903643990065</v>
      </c>
      <c r="DA26" s="399">
        <v>0</v>
      </c>
      <c r="DB26" s="399">
        <v>0</v>
      </c>
      <c r="DC26" s="399">
        <v>-70.855659049330313</v>
      </c>
      <c r="DD26" s="399">
        <v>0</v>
      </c>
      <c r="DE26" s="399">
        <v>0</v>
      </c>
      <c r="DF26" s="399">
        <v>0</v>
      </c>
      <c r="DG26" s="399">
        <v>-2.9159515397005489</v>
      </c>
      <c r="DH26" s="399">
        <v>0</v>
      </c>
      <c r="DI26" s="399">
        <v>-4.0150554799717142</v>
      </c>
      <c r="DJ26" s="399"/>
      <c r="DK26" s="399">
        <v>0</v>
      </c>
      <c r="DL26" s="399">
        <v>0</v>
      </c>
      <c r="DM26" s="399">
        <v>0</v>
      </c>
      <c r="DN26" s="399">
        <v>0</v>
      </c>
      <c r="DO26" s="399">
        <v>-0.5883433431855547</v>
      </c>
      <c r="DP26" s="399">
        <v>-0.12676727102908769</v>
      </c>
      <c r="DQ26" s="399">
        <v>0</v>
      </c>
      <c r="DR26" s="399">
        <v>0</v>
      </c>
      <c r="DS26" s="399"/>
      <c r="DT26" s="399"/>
      <c r="DU26" s="399"/>
      <c r="DV26" s="399">
        <v>2790.8538100527499</v>
      </c>
      <c r="DW26" s="399">
        <v>0</v>
      </c>
      <c r="DX26" s="399">
        <v>0</v>
      </c>
      <c r="DY26" s="399">
        <v>-1001.5705499999999</v>
      </c>
      <c r="DZ26" s="399">
        <v>-70.848260000000039</v>
      </c>
      <c r="EA26" s="399">
        <v>0</v>
      </c>
      <c r="EB26" s="399">
        <v>0</v>
      </c>
      <c r="EC26" s="399">
        <v>-1018.3828845306209</v>
      </c>
      <c r="ED26" s="399">
        <v>0</v>
      </c>
      <c r="EE26" s="399">
        <v>0</v>
      </c>
      <c r="EF26" s="399">
        <v>0</v>
      </c>
      <c r="EG26" s="399">
        <v>0</v>
      </c>
      <c r="EH26" s="399">
        <v>0</v>
      </c>
      <c r="EI26" s="399">
        <v>0</v>
      </c>
      <c r="EJ26" s="399">
        <v>0</v>
      </c>
      <c r="EK26" s="399">
        <v>0</v>
      </c>
      <c r="EL26" s="399">
        <v>0</v>
      </c>
      <c r="EM26" s="399">
        <v>0</v>
      </c>
      <c r="EN26" s="399">
        <v>0</v>
      </c>
      <c r="EO26" s="399">
        <v>0</v>
      </c>
      <c r="EP26" s="399">
        <v>27.289435778694557</v>
      </c>
      <c r="EQ26" s="399">
        <v>0</v>
      </c>
      <c r="ER26" s="399">
        <v>0</v>
      </c>
      <c r="ES26" s="399">
        <v>0</v>
      </c>
      <c r="ET26" s="399">
        <v>0</v>
      </c>
      <c r="EU26" s="399">
        <v>0</v>
      </c>
      <c r="EV26" s="399">
        <v>202</v>
      </c>
      <c r="EW26" s="399">
        <v>0</v>
      </c>
      <c r="EX26" s="399">
        <v>0</v>
      </c>
      <c r="EY26" s="399">
        <v>0</v>
      </c>
      <c r="EZ26" s="399"/>
      <c r="FA26" s="399">
        <v>0</v>
      </c>
      <c r="FB26" s="399">
        <v>-17.698635468909799</v>
      </c>
      <c r="FC26" s="399"/>
      <c r="FD26" s="399">
        <v>-17.698635468909799</v>
      </c>
      <c r="FE26" s="399"/>
      <c r="FF26" s="399">
        <v>0</v>
      </c>
      <c r="FG26" s="399">
        <v>0</v>
      </c>
      <c r="FH26" s="399">
        <v>0</v>
      </c>
      <c r="FI26" s="399">
        <v>0</v>
      </c>
    </row>
    <row r="27" spans="1:165" customFormat="1">
      <c r="A27" s="399">
        <v>40</v>
      </c>
      <c r="B27" s="399" t="s">
        <v>956</v>
      </c>
      <c r="C27" s="399" t="s">
        <v>2399</v>
      </c>
      <c r="D27" s="399" t="s">
        <v>533</v>
      </c>
      <c r="E27" s="399" t="s">
        <v>918</v>
      </c>
      <c r="F27" s="399" t="s">
        <v>1239</v>
      </c>
      <c r="G27" s="399" t="s">
        <v>1239</v>
      </c>
      <c r="H27" s="399" t="s">
        <v>1239</v>
      </c>
      <c r="I27" s="399" t="s">
        <v>2326</v>
      </c>
      <c r="J27" s="399" t="s">
        <v>2400</v>
      </c>
      <c r="K27" s="788">
        <v>44470</v>
      </c>
      <c r="L27" s="399">
        <v>0</v>
      </c>
      <c r="M27" s="399">
        <v>0</v>
      </c>
      <c r="N27" s="399">
        <v>22.548999999999999</v>
      </c>
      <c r="O27" s="399">
        <v>22.548999999999999</v>
      </c>
      <c r="P27" s="399">
        <v>22.548999999999999</v>
      </c>
      <c r="Q27" s="399">
        <v>22.548999999999999</v>
      </c>
      <c r="R27" s="399"/>
      <c r="S27" s="399">
        <v>100.48</v>
      </c>
      <c r="T27" s="399">
        <v>286.42</v>
      </c>
      <c r="U27" s="399"/>
      <c r="V27" s="399">
        <v>8724.2080999999998</v>
      </c>
      <c r="W27" s="399">
        <v>8724.2080999999998</v>
      </c>
      <c r="X27" s="399">
        <v>7104.7389199999998</v>
      </c>
      <c r="Y27" s="399">
        <v>0</v>
      </c>
      <c r="Z27" s="399">
        <v>1193.9564063013734</v>
      </c>
      <c r="AA27" s="399">
        <v>0</v>
      </c>
      <c r="AB27" s="399">
        <v>0</v>
      </c>
      <c r="AC27" s="399">
        <v>0</v>
      </c>
      <c r="AD27" s="399">
        <v>0</v>
      </c>
      <c r="AE27" s="399">
        <v>0</v>
      </c>
      <c r="AF27" s="399">
        <v>6458.5600119034825</v>
      </c>
      <c r="AG27" s="399">
        <v>0</v>
      </c>
      <c r="AH27" s="399">
        <v>0</v>
      </c>
      <c r="AI27" s="399">
        <v>0</v>
      </c>
      <c r="AJ27" s="399">
        <v>0</v>
      </c>
      <c r="AK27" s="399">
        <v>0</v>
      </c>
      <c r="AL27" s="399">
        <v>212.09339004141654</v>
      </c>
      <c r="AM27" s="399"/>
      <c r="AN27" s="399">
        <v>30.894101398165827</v>
      </c>
      <c r="AO27" s="399">
        <v>0</v>
      </c>
      <c r="AP27" s="399">
        <v>0</v>
      </c>
      <c r="AQ27" s="399">
        <v>0</v>
      </c>
      <c r="AR27" s="399">
        <v>0</v>
      </c>
      <c r="AS27" s="399">
        <v>0</v>
      </c>
      <c r="AT27" s="399">
        <v>0</v>
      </c>
      <c r="AU27" s="399">
        <v>0</v>
      </c>
      <c r="AV27" s="399">
        <v>0</v>
      </c>
      <c r="AW27" s="399">
        <v>0</v>
      </c>
      <c r="AX27" s="399">
        <v>0</v>
      </c>
      <c r="AY27" s="399">
        <v>0</v>
      </c>
      <c r="AZ27" s="399">
        <v>0</v>
      </c>
      <c r="BA27" s="399"/>
      <c r="BB27" s="399">
        <v>0</v>
      </c>
      <c r="BC27" s="399">
        <v>0</v>
      </c>
      <c r="BD27" s="399">
        <v>0</v>
      </c>
      <c r="BE27" s="399">
        <v>0</v>
      </c>
      <c r="BF27" s="399">
        <v>0</v>
      </c>
      <c r="BG27" s="399">
        <v>265.79172734596415</v>
      </c>
      <c r="BH27" s="399">
        <v>0</v>
      </c>
      <c r="BI27" s="399">
        <v>0</v>
      </c>
      <c r="BJ27" s="399">
        <v>0</v>
      </c>
      <c r="BK27" s="399">
        <v>0</v>
      </c>
      <c r="BL27" s="399">
        <v>0</v>
      </c>
      <c r="BM27" s="399"/>
      <c r="BN27" s="399"/>
      <c r="BO27" s="399"/>
      <c r="BP27" s="399"/>
      <c r="BQ27" s="399"/>
      <c r="BR27" s="399"/>
      <c r="BS27" s="399"/>
      <c r="BT27" s="399"/>
      <c r="BU27" s="399"/>
      <c r="BV27" s="399">
        <v>6724.3517392494468</v>
      </c>
      <c r="BW27" s="399"/>
      <c r="BX27" s="399"/>
      <c r="BY27" s="399"/>
      <c r="BZ27" s="399"/>
      <c r="CA27" s="399"/>
      <c r="CB27" s="399"/>
      <c r="CC27" s="399"/>
      <c r="CD27" s="399"/>
      <c r="CE27" s="399"/>
      <c r="CF27" s="399"/>
      <c r="CG27" s="399"/>
      <c r="CH27" s="399"/>
      <c r="CI27" s="399">
        <v>7105.0540000000001</v>
      </c>
      <c r="CJ27" s="399">
        <v>-1619.1841000000004</v>
      </c>
      <c r="CK27" s="399"/>
      <c r="CL27" s="399"/>
      <c r="CM27" s="399"/>
      <c r="CN27" s="399"/>
      <c r="CO27" s="399">
        <v>-157.84299999999999</v>
      </c>
      <c r="CP27" s="399">
        <v>-1461.6261800000004</v>
      </c>
      <c r="CQ27" s="399">
        <v>31</v>
      </c>
      <c r="CR27" s="399">
        <v>-1619.5211001188154</v>
      </c>
      <c r="CS27" s="399">
        <v>0</v>
      </c>
      <c r="CT27" s="399">
        <v>0</v>
      </c>
      <c r="CU27" s="399">
        <v>0</v>
      </c>
      <c r="CV27" s="399">
        <v>0</v>
      </c>
      <c r="CW27" s="399">
        <v>0</v>
      </c>
      <c r="CX27" s="399">
        <v>0</v>
      </c>
      <c r="CY27" s="399">
        <v>0</v>
      </c>
      <c r="CZ27" s="399">
        <v>0</v>
      </c>
      <c r="DA27" s="399">
        <v>0</v>
      </c>
      <c r="DB27" s="399">
        <v>0</v>
      </c>
      <c r="DC27" s="399">
        <v>-1461.7788251631737</v>
      </c>
      <c r="DD27" s="399">
        <v>0</v>
      </c>
      <c r="DE27" s="399">
        <v>0</v>
      </c>
      <c r="DF27" s="399">
        <v>0</v>
      </c>
      <c r="DG27" s="399">
        <v>-60.157174079330048</v>
      </c>
      <c r="DH27" s="399">
        <v>0</v>
      </c>
      <c r="DI27" s="399">
        <v>-82.832100656799867</v>
      </c>
      <c r="DJ27" s="399"/>
      <c r="DK27" s="399">
        <v>0</v>
      </c>
      <c r="DL27" s="399">
        <v>0</v>
      </c>
      <c r="DM27" s="399">
        <v>0</v>
      </c>
      <c r="DN27" s="399">
        <v>0</v>
      </c>
      <c r="DO27" s="399">
        <v>-12.137743865957077</v>
      </c>
      <c r="DP27" s="399">
        <v>-2.6152563535543436</v>
      </c>
      <c r="DQ27" s="399">
        <v>0</v>
      </c>
      <c r="DR27" s="399">
        <v>0</v>
      </c>
      <c r="DS27" s="399"/>
      <c r="DT27" s="399"/>
      <c r="DU27" s="399"/>
      <c r="DV27" s="399">
        <v>0</v>
      </c>
      <c r="DW27" s="399">
        <v>0</v>
      </c>
      <c r="DX27" s="399">
        <v>0</v>
      </c>
      <c r="DY27" s="399">
        <v>-157.84299999999985</v>
      </c>
      <c r="DZ27" s="399">
        <v>-1461.6261800000002</v>
      </c>
      <c r="EA27" s="399">
        <v>0</v>
      </c>
      <c r="EB27" s="399">
        <v>0</v>
      </c>
      <c r="EC27" s="399">
        <v>0</v>
      </c>
      <c r="ED27" s="399">
        <v>0</v>
      </c>
      <c r="EE27" s="399">
        <v>0</v>
      </c>
      <c r="EF27" s="399">
        <v>0</v>
      </c>
      <c r="EG27" s="399">
        <v>0</v>
      </c>
      <c r="EH27" s="399">
        <v>0</v>
      </c>
      <c r="EI27" s="399">
        <v>0</v>
      </c>
      <c r="EJ27" s="399">
        <v>0</v>
      </c>
      <c r="EK27" s="399">
        <v>0</v>
      </c>
      <c r="EL27" s="399">
        <v>0</v>
      </c>
      <c r="EM27" s="399">
        <v>0</v>
      </c>
      <c r="EN27" s="399">
        <v>0</v>
      </c>
      <c r="EO27" s="399">
        <v>0</v>
      </c>
      <c r="EP27" s="399">
        <v>562.99129677381848</v>
      </c>
      <c r="EQ27" s="399">
        <v>0</v>
      </c>
      <c r="ER27" s="399">
        <v>0</v>
      </c>
      <c r="ES27" s="399">
        <v>0</v>
      </c>
      <c r="ET27" s="399">
        <v>0</v>
      </c>
      <c r="EU27" s="399">
        <v>0</v>
      </c>
      <c r="EV27" s="399">
        <v>202</v>
      </c>
      <c r="EW27" s="399">
        <v>0</v>
      </c>
      <c r="EX27" s="399">
        <v>0</v>
      </c>
      <c r="EY27" s="399">
        <v>0</v>
      </c>
      <c r="EZ27" s="399"/>
      <c r="FA27" s="399">
        <v>0</v>
      </c>
      <c r="FB27" s="399">
        <v>-17.698635468909799</v>
      </c>
      <c r="FC27" s="399"/>
      <c r="FD27" s="399">
        <v>-17.698635468909799</v>
      </c>
      <c r="FE27" s="399"/>
      <c r="FF27" s="399">
        <v>0</v>
      </c>
      <c r="FG27" s="399">
        <v>0</v>
      </c>
      <c r="FH27" s="399">
        <v>0</v>
      </c>
      <c r="FI27" s="399">
        <v>0</v>
      </c>
    </row>
    <row r="28" spans="1:165" customFormat="1">
      <c r="A28" s="399">
        <v>41</v>
      </c>
      <c r="B28" s="399" t="s">
        <v>956</v>
      </c>
      <c r="C28" s="399" t="s">
        <v>2399</v>
      </c>
      <c r="D28" s="399" t="s">
        <v>533</v>
      </c>
      <c r="E28" s="399" t="s">
        <v>918</v>
      </c>
      <c r="F28" s="399" t="s">
        <v>1239</v>
      </c>
      <c r="G28" s="399" t="s">
        <v>1239</v>
      </c>
      <c r="H28" s="399" t="s">
        <v>1239</v>
      </c>
      <c r="I28" s="399" t="s">
        <v>1239</v>
      </c>
      <c r="J28" s="399" t="s">
        <v>2400</v>
      </c>
      <c r="K28" s="788">
        <v>44470</v>
      </c>
      <c r="L28" s="399">
        <v>200</v>
      </c>
      <c r="M28" s="399">
        <v>200</v>
      </c>
      <c r="N28" s="399">
        <v>0</v>
      </c>
      <c r="O28" s="399">
        <v>0</v>
      </c>
      <c r="P28" s="399">
        <v>0</v>
      </c>
      <c r="Q28" s="399">
        <v>0</v>
      </c>
      <c r="R28" s="399">
        <v>39.21</v>
      </c>
      <c r="S28" s="399"/>
      <c r="T28" s="399"/>
      <c r="U28" s="399">
        <v>7842</v>
      </c>
      <c r="V28" s="399"/>
      <c r="W28" s="399">
        <v>7842</v>
      </c>
      <c r="X28" s="399">
        <v>5968</v>
      </c>
      <c r="Y28" s="399">
        <v>0</v>
      </c>
      <c r="Z28" s="399">
        <v>0</v>
      </c>
      <c r="AA28" s="399">
        <v>0</v>
      </c>
      <c r="AB28" s="399">
        <v>0</v>
      </c>
      <c r="AC28" s="399">
        <v>0</v>
      </c>
      <c r="AD28" s="399">
        <v>2470.4459924729599</v>
      </c>
      <c r="AE28" s="399">
        <v>5372.3982459365207</v>
      </c>
      <c r="AF28" s="399"/>
      <c r="AG28" s="399"/>
      <c r="AH28" s="399"/>
      <c r="AI28" s="399">
        <v>0</v>
      </c>
      <c r="AJ28" s="399">
        <v>0</v>
      </c>
      <c r="AK28" s="399">
        <v>0</v>
      </c>
      <c r="AL28" s="399">
        <v>0</v>
      </c>
      <c r="AM28" s="399"/>
      <c r="AN28" s="399">
        <v>0</v>
      </c>
      <c r="AO28" s="399">
        <v>0</v>
      </c>
      <c r="AP28" s="399">
        <v>0</v>
      </c>
      <c r="AQ28" s="399">
        <v>0</v>
      </c>
      <c r="AR28" s="399">
        <v>0</v>
      </c>
      <c r="AS28" s="399"/>
      <c r="AT28" s="399"/>
      <c r="AU28" s="399">
        <v>0</v>
      </c>
      <c r="AV28" s="399">
        <v>0</v>
      </c>
      <c r="AW28" s="399">
        <v>0</v>
      </c>
      <c r="AX28" s="399"/>
      <c r="AY28" s="399"/>
      <c r="AZ28" s="399">
        <v>0</v>
      </c>
      <c r="BA28" s="399"/>
      <c r="BB28" s="399">
        <v>0</v>
      </c>
      <c r="BC28" s="399">
        <v>0</v>
      </c>
      <c r="BD28" s="399">
        <v>0</v>
      </c>
      <c r="BE28" s="399">
        <v>0</v>
      </c>
      <c r="BF28" s="399"/>
      <c r="BG28" s="399">
        <v>0</v>
      </c>
      <c r="BH28" s="399">
        <v>0</v>
      </c>
      <c r="BI28" s="399">
        <v>130.09</v>
      </c>
      <c r="BJ28" s="399">
        <v>600.42999999999995</v>
      </c>
      <c r="BK28" s="399">
        <v>3924.29</v>
      </c>
      <c r="BL28" s="399">
        <v>1</v>
      </c>
      <c r="BM28" s="399"/>
      <c r="BN28" s="399"/>
      <c r="BO28" s="399"/>
      <c r="BP28" s="399"/>
      <c r="BQ28" s="399"/>
      <c r="BR28" s="399"/>
      <c r="BS28" s="399"/>
      <c r="BT28" s="399"/>
      <c r="BU28" s="399"/>
      <c r="BV28" s="399">
        <v>0</v>
      </c>
      <c r="BW28" s="399"/>
      <c r="BX28" s="399"/>
      <c r="BY28" s="399"/>
      <c r="BZ28" s="399"/>
      <c r="CA28" s="399"/>
      <c r="CB28" s="399"/>
      <c r="CC28" s="399"/>
      <c r="CD28" s="399"/>
      <c r="CE28" s="399"/>
      <c r="CF28" s="399"/>
      <c r="CG28" s="399"/>
      <c r="CH28" s="399"/>
      <c r="CI28" s="399">
        <v>5968</v>
      </c>
      <c r="CJ28" s="399">
        <v>-1874.0300000000007</v>
      </c>
      <c r="CK28" s="399"/>
      <c r="CL28" s="399"/>
      <c r="CM28" s="399"/>
      <c r="CN28" s="399"/>
      <c r="CO28" s="399">
        <v>-1874.0000000000002</v>
      </c>
      <c r="CP28" s="399">
        <v>0</v>
      </c>
      <c r="CQ28" s="399">
        <v>31</v>
      </c>
      <c r="CR28" s="399">
        <v>84.77806630906025</v>
      </c>
      <c r="CS28" s="399">
        <v>0</v>
      </c>
      <c r="CT28" s="399">
        <v>0</v>
      </c>
      <c r="CU28" s="399">
        <v>0</v>
      </c>
      <c r="CV28" s="399">
        <v>0</v>
      </c>
      <c r="CW28" s="399"/>
      <c r="CX28" s="399"/>
      <c r="CY28" s="399"/>
      <c r="CZ28" s="399">
        <v>84.77806630906025</v>
      </c>
      <c r="DA28" s="399">
        <v>0</v>
      </c>
      <c r="DB28" s="399">
        <v>0</v>
      </c>
      <c r="DC28" s="399"/>
      <c r="DD28" s="399"/>
      <c r="DE28" s="399">
        <v>0</v>
      </c>
      <c r="DF28" s="399">
        <v>0</v>
      </c>
      <c r="DG28" s="399">
        <v>0</v>
      </c>
      <c r="DH28" s="399">
        <v>0</v>
      </c>
      <c r="DI28" s="399">
        <v>0</v>
      </c>
      <c r="DJ28" s="399"/>
      <c r="DK28" s="399">
        <v>0</v>
      </c>
      <c r="DL28" s="399">
        <v>0</v>
      </c>
      <c r="DM28" s="399"/>
      <c r="DN28" s="399">
        <v>0</v>
      </c>
      <c r="DO28" s="399">
        <v>0</v>
      </c>
      <c r="DP28" s="399">
        <v>0</v>
      </c>
      <c r="DQ28" s="399">
        <v>0</v>
      </c>
      <c r="DR28" s="399">
        <v>0</v>
      </c>
      <c r="DS28" s="399"/>
      <c r="DT28" s="399"/>
      <c r="DU28" s="399">
        <v>5372.3982459365207</v>
      </c>
      <c r="DV28" s="399"/>
      <c r="DW28" s="399">
        <v>0</v>
      </c>
      <c r="DX28" s="399">
        <v>0</v>
      </c>
      <c r="DY28" s="399">
        <v>-1874</v>
      </c>
      <c r="DZ28" s="399"/>
      <c r="EA28" s="399">
        <v>0</v>
      </c>
      <c r="EB28" s="399"/>
      <c r="EC28" s="399">
        <v>-1960.3887537343408</v>
      </c>
      <c r="ED28" s="399"/>
      <c r="EE28" s="399">
        <v>0</v>
      </c>
      <c r="EF28" s="399">
        <v>0</v>
      </c>
      <c r="EG28" s="399"/>
      <c r="EH28" s="399">
        <v>0</v>
      </c>
      <c r="EI28" s="399">
        <v>0</v>
      </c>
      <c r="EJ28" s="399">
        <v>0</v>
      </c>
      <c r="EK28" s="399">
        <v>0</v>
      </c>
      <c r="EL28" s="399">
        <v>0</v>
      </c>
      <c r="EM28" s="399"/>
      <c r="EN28" s="399"/>
      <c r="EO28" s="399">
        <v>0</v>
      </c>
      <c r="EP28" s="399">
        <v>0</v>
      </c>
      <c r="EQ28" s="399"/>
      <c r="ER28" s="399">
        <v>0</v>
      </c>
      <c r="ES28" s="399"/>
      <c r="ET28" s="399">
        <v>0</v>
      </c>
      <c r="EU28" s="399"/>
      <c r="EV28" s="399">
        <v>202</v>
      </c>
      <c r="EW28" s="399"/>
      <c r="EX28" s="399"/>
      <c r="EY28" s="399"/>
      <c r="EZ28" s="399"/>
      <c r="FA28" s="399">
        <v>0</v>
      </c>
      <c r="FB28" s="399">
        <v>-17.698635468909799</v>
      </c>
      <c r="FC28" s="399"/>
      <c r="FD28" s="399">
        <v>-17.698635468909799</v>
      </c>
      <c r="FE28" s="399"/>
      <c r="FF28" s="399">
        <v>0</v>
      </c>
      <c r="FG28" s="399">
        <v>0</v>
      </c>
      <c r="FH28" s="399">
        <v>0</v>
      </c>
      <c r="FI28" s="399">
        <v>0</v>
      </c>
    </row>
    <row r="29" spans="1:165" customFormat="1">
      <c r="A29" s="399">
        <v>24</v>
      </c>
      <c r="B29" s="399" t="s">
        <v>956</v>
      </c>
      <c r="C29" s="399" t="s">
        <v>2402</v>
      </c>
      <c r="D29" s="399" t="s">
        <v>1823</v>
      </c>
      <c r="E29" s="399" t="s">
        <v>889</v>
      </c>
      <c r="F29" s="399" t="s">
        <v>889</v>
      </c>
      <c r="G29" s="399" t="s">
        <v>1239</v>
      </c>
      <c r="H29" s="399" t="s">
        <v>1239</v>
      </c>
      <c r="I29" s="399" t="s">
        <v>1239</v>
      </c>
      <c r="J29" s="399" t="s">
        <v>2400</v>
      </c>
      <c r="K29" s="788">
        <v>44470</v>
      </c>
      <c r="L29" s="399">
        <v>0</v>
      </c>
      <c r="M29" s="399">
        <v>0</v>
      </c>
      <c r="N29" s="399">
        <v>406.84899999999999</v>
      </c>
      <c r="O29" s="399">
        <v>406.84899999999999</v>
      </c>
      <c r="P29" s="399">
        <v>406.84899999999999</v>
      </c>
      <c r="Q29" s="399">
        <v>406.84899999999999</v>
      </c>
      <c r="R29" s="399"/>
      <c r="S29" s="399">
        <v>609.05999999999995</v>
      </c>
      <c r="T29" s="399">
        <v>286.42</v>
      </c>
      <c r="U29" s="399"/>
      <c r="V29" s="399">
        <v>364325.14251999999</v>
      </c>
      <c r="W29" s="399">
        <v>364325.14251999999</v>
      </c>
      <c r="X29" s="399">
        <v>278231.82562999998</v>
      </c>
      <c r="Y29" s="399">
        <v>0</v>
      </c>
      <c r="Z29" s="399">
        <v>24761.399310075041</v>
      </c>
      <c r="AA29" s="399">
        <v>0</v>
      </c>
      <c r="AB29" s="399">
        <v>0</v>
      </c>
      <c r="AC29" s="399">
        <v>0</v>
      </c>
      <c r="AD29" s="399">
        <v>39729.679557107505</v>
      </c>
      <c r="AE29" s="399">
        <v>153468.32303301408</v>
      </c>
      <c r="AF29" s="399">
        <v>116531.05158911349</v>
      </c>
      <c r="AG29" s="399">
        <v>0</v>
      </c>
      <c r="AH29" s="399">
        <v>0</v>
      </c>
      <c r="AI29" s="399">
        <v>0</v>
      </c>
      <c r="AJ29" s="399">
        <v>0</v>
      </c>
      <c r="AK29" s="399">
        <v>0</v>
      </c>
      <c r="AL29" s="399">
        <v>3826.7765153647733</v>
      </c>
      <c r="AM29" s="399"/>
      <c r="AN29" s="399">
        <v>694.83200604980811</v>
      </c>
      <c r="AO29" s="399">
        <v>0</v>
      </c>
      <c r="AP29" s="399">
        <v>0</v>
      </c>
      <c r="AQ29" s="399">
        <v>0</v>
      </c>
      <c r="AR29" s="399">
        <v>0</v>
      </c>
      <c r="AS29" s="399">
        <v>0</v>
      </c>
      <c r="AT29" s="399">
        <v>0</v>
      </c>
      <c r="AU29" s="399">
        <v>0</v>
      </c>
      <c r="AV29" s="399">
        <v>0</v>
      </c>
      <c r="AW29" s="399">
        <v>0</v>
      </c>
      <c r="AX29" s="399">
        <v>0</v>
      </c>
      <c r="AY29" s="399">
        <v>0</v>
      </c>
      <c r="AZ29" s="399">
        <v>0</v>
      </c>
      <c r="BA29" s="399"/>
      <c r="BB29" s="399">
        <v>0</v>
      </c>
      <c r="BC29" s="399">
        <v>0</v>
      </c>
      <c r="BD29" s="399">
        <v>0</v>
      </c>
      <c r="BE29" s="399">
        <v>0</v>
      </c>
      <c r="BF29" s="399">
        <v>0</v>
      </c>
      <c r="BG29" s="399">
        <v>13638.521905944681</v>
      </c>
      <c r="BH29" s="399">
        <v>0</v>
      </c>
      <c r="BI29" s="399">
        <v>1706.4</v>
      </c>
      <c r="BJ29" s="399">
        <v>7968.85</v>
      </c>
      <c r="BK29" s="399">
        <v>64035.8</v>
      </c>
      <c r="BL29" s="399">
        <v>3261</v>
      </c>
      <c r="BM29" s="399"/>
      <c r="BN29" s="399"/>
      <c r="BO29" s="399"/>
      <c r="BP29" s="399"/>
      <c r="BQ29" s="399"/>
      <c r="BR29" s="399"/>
      <c r="BS29" s="399"/>
      <c r="BT29" s="399"/>
      <c r="BU29" s="399"/>
      <c r="BV29" s="399">
        <v>130169.57349505817</v>
      </c>
      <c r="BW29" s="399"/>
      <c r="BX29" s="399"/>
      <c r="BY29" s="399"/>
      <c r="BZ29" s="399"/>
      <c r="CA29" s="399"/>
      <c r="CB29" s="399"/>
      <c r="CC29" s="399"/>
      <c r="CD29" s="399"/>
      <c r="CE29" s="399"/>
      <c r="CF29" s="399"/>
      <c r="CG29" s="399"/>
      <c r="CH29" s="399"/>
      <c r="CI29" s="399">
        <v>278232.50949999999</v>
      </c>
      <c r="CJ29" s="399">
        <v>-86092.663020000036</v>
      </c>
      <c r="CK29" s="399"/>
      <c r="CL29" s="399"/>
      <c r="CM29" s="399"/>
      <c r="CN29" s="399"/>
      <c r="CO29" s="399">
        <v>-59721.364709999987</v>
      </c>
      <c r="CP29" s="399">
        <v>-26371.952180000008</v>
      </c>
      <c r="CQ29" s="399">
        <v>31</v>
      </c>
      <c r="CR29" s="399">
        <v>-30093.810209441581</v>
      </c>
      <c r="CS29" s="399">
        <v>0</v>
      </c>
      <c r="CT29" s="399">
        <v>0</v>
      </c>
      <c r="CU29" s="399">
        <v>0</v>
      </c>
      <c r="CV29" s="399">
        <v>0</v>
      </c>
      <c r="CW29" s="399">
        <v>0</v>
      </c>
      <c r="CX29" s="399">
        <v>0</v>
      </c>
      <c r="CY29" s="399">
        <v>0</v>
      </c>
      <c r="CZ29" s="399">
        <v>1363.3997335675522</v>
      </c>
      <c r="DA29" s="399">
        <v>0</v>
      </c>
      <c r="DB29" s="399">
        <v>0</v>
      </c>
      <c r="DC29" s="399">
        <v>-26374.706339031094</v>
      </c>
      <c r="DD29" s="399">
        <v>0</v>
      </c>
      <c r="DE29" s="399">
        <v>0</v>
      </c>
      <c r="DF29" s="399">
        <v>0</v>
      </c>
      <c r="DG29" s="399">
        <v>-3086.8339834096168</v>
      </c>
      <c r="DH29" s="399">
        <v>0</v>
      </c>
      <c r="DI29" s="399">
        <v>-1717.8505925597565</v>
      </c>
      <c r="DJ29" s="399"/>
      <c r="DK29" s="399">
        <v>0</v>
      </c>
      <c r="DL29" s="399">
        <v>0</v>
      </c>
      <c r="DM29" s="399">
        <v>0</v>
      </c>
      <c r="DN29" s="399">
        <v>0</v>
      </c>
      <c r="DO29" s="399">
        <v>-218.99990926962482</v>
      </c>
      <c r="DP29" s="399">
        <v>-58.819118739040277</v>
      </c>
      <c r="DQ29" s="399">
        <v>0</v>
      </c>
      <c r="DR29" s="399">
        <v>0</v>
      </c>
      <c r="DS29" s="399"/>
      <c r="DT29" s="399"/>
      <c r="DU29" s="399"/>
      <c r="DV29" s="399">
        <v>153468.32303301408</v>
      </c>
      <c r="DW29" s="399">
        <v>0</v>
      </c>
      <c r="DX29" s="399">
        <v>0</v>
      </c>
      <c r="DY29" s="399">
        <v>-59721.364709999994</v>
      </c>
      <c r="DZ29" s="399">
        <v>-26371.952180000008</v>
      </c>
      <c r="EA29" s="399">
        <v>0</v>
      </c>
      <c r="EB29" s="399">
        <v>0</v>
      </c>
      <c r="EC29" s="399">
        <v>-56000.609179698673</v>
      </c>
      <c r="ED29" s="399">
        <v>0</v>
      </c>
      <c r="EE29" s="399">
        <v>0</v>
      </c>
      <c r="EF29" s="399">
        <v>0</v>
      </c>
      <c r="EG29" s="399">
        <v>0</v>
      </c>
      <c r="EH29" s="399">
        <v>0</v>
      </c>
      <c r="EI29" s="399">
        <v>0</v>
      </c>
      <c r="EJ29" s="399">
        <v>0</v>
      </c>
      <c r="EK29" s="399">
        <v>0</v>
      </c>
      <c r="EL29" s="399">
        <v>0</v>
      </c>
      <c r="EM29" s="399">
        <v>0</v>
      </c>
      <c r="EN29" s="399">
        <v>0</v>
      </c>
      <c r="EO29" s="399">
        <v>0</v>
      </c>
      <c r="EP29" s="399">
        <v>11675.846985651744</v>
      </c>
      <c r="EQ29" s="399">
        <v>0</v>
      </c>
      <c r="ER29" s="399">
        <v>0</v>
      </c>
      <c r="ES29" s="399">
        <v>0</v>
      </c>
      <c r="ET29" s="399">
        <v>0</v>
      </c>
      <c r="EU29" s="399">
        <v>0</v>
      </c>
      <c r="EV29" s="399">
        <v>202</v>
      </c>
      <c r="EW29" s="399">
        <v>0</v>
      </c>
      <c r="EX29" s="399">
        <v>0</v>
      </c>
      <c r="EY29" s="399">
        <v>0</v>
      </c>
      <c r="EZ29" s="399"/>
      <c r="FA29" s="399">
        <v>0</v>
      </c>
      <c r="FB29" s="399">
        <v>-17.698635468909799</v>
      </c>
      <c r="FC29" s="399"/>
      <c r="FD29" s="399">
        <v>-17.698635468909799</v>
      </c>
      <c r="FE29" s="399"/>
      <c r="FF29" s="399">
        <v>0</v>
      </c>
      <c r="FG29" s="399">
        <v>0</v>
      </c>
      <c r="FH29" s="399">
        <v>0</v>
      </c>
      <c r="FI29" s="399">
        <v>0</v>
      </c>
    </row>
    <row r="30" spans="1:165" customFormat="1">
      <c r="A30" s="399">
        <v>25</v>
      </c>
      <c r="B30" s="399" t="s">
        <v>2403</v>
      </c>
      <c r="C30" s="399" t="s">
        <v>2402</v>
      </c>
      <c r="D30" s="399" t="s">
        <v>1823</v>
      </c>
      <c r="E30" s="399" t="s">
        <v>889</v>
      </c>
      <c r="F30" s="399" t="s">
        <v>889</v>
      </c>
      <c r="G30" s="399" t="s">
        <v>1239</v>
      </c>
      <c r="H30" s="399" t="s">
        <v>1239</v>
      </c>
      <c r="I30" s="399" t="s">
        <v>1239</v>
      </c>
      <c r="J30" s="399" t="s">
        <v>2400</v>
      </c>
      <c r="K30" s="788">
        <v>44470</v>
      </c>
      <c r="L30" s="399">
        <v>0</v>
      </c>
      <c r="M30" s="399">
        <v>0</v>
      </c>
      <c r="N30" s="399">
        <v>-0.111</v>
      </c>
      <c r="O30" s="399">
        <v>-0.111</v>
      </c>
      <c r="P30" s="399">
        <v>-0.111</v>
      </c>
      <c r="Q30" s="399">
        <v>-0.111</v>
      </c>
      <c r="R30" s="399"/>
      <c r="S30" s="399">
        <v>609.05999999999995</v>
      </c>
      <c r="T30" s="399">
        <v>286.42</v>
      </c>
      <c r="U30" s="399"/>
      <c r="V30" s="399">
        <v>-99.39828</v>
      </c>
      <c r="W30" s="399">
        <v>-99.39828</v>
      </c>
      <c r="X30" s="399">
        <v>-75.909570000000002</v>
      </c>
      <c r="Y30" s="399">
        <v>0</v>
      </c>
      <c r="Z30" s="399">
        <v>-6.755615285814466</v>
      </c>
      <c r="AA30" s="399">
        <v>0</v>
      </c>
      <c r="AB30" s="399">
        <v>0</v>
      </c>
      <c r="AC30" s="399">
        <v>0</v>
      </c>
      <c r="AD30" s="399">
        <v>-10.839388645022927</v>
      </c>
      <c r="AE30" s="399">
        <v>-41.870531466624136</v>
      </c>
      <c r="AF30" s="399">
        <v>-31.792991322066904</v>
      </c>
      <c r="AG30" s="399">
        <v>0</v>
      </c>
      <c r="AH30" s="399">
        <v>0</v>
      </c>
      <c r="AI30" s="399">
        <v>0</v>
      </c>
      <c r="AJ30" s="399">
        <v>0</v>
      </c>
      <c r="AK30" s="399">
        <v>0</v>
      </c>
      <c r="AL30" s="399">
        <v>-1.0440536739809851</v>
      </c>
      <c r="AM30" s="399"/>
      <c r="AN30" s="399">
        <v>-0.18956996986972735</v>
      </c>
      <c r="AO30" s="399">
        <v>0</v>
      </c>
      <c r="AP30" s="399">
        <v>0</v>
      </c>
      <c r="AQ30" s="399">
        <v>0</v>
      </c>
      <c r="AR30" s="399">
        <v>0</v>
      </c>
      <c r="AS30" s="399">
        <v>0</v>
      </c>
      <c r="AT30" s="399">
        <v>0</v>
      </c>
      <c r="AU30" s="399">
        <v>0</v>
      </c>
      <c r="AV30" s="399">
        <v>0</v>
      </c>
      <c r="AW30" s="399">
        <v>0</v>
      </c>
      <c r="AX30" s="399">
        <v>0</v>
      </c>
      <c r="AY30" s="399">
        <v>0</v>
      </c>
      <c r="AZ30" s="399">
        <v>0</v>
      </c>
      <c r="BA30" s="399"/>
      <c r="BB30" s="399">
        <v>0</v>
      </c>
      <c r="BC30" s="399">
        <v>0</v>
      </c>
      <c r="BD30" s="399">
        <v>0</v>
      </c>
      <c r="BE30" s="399">
        <v>0</v>
      </c>
      <c r="BF30" s="399">
        <v>0</v>
      </c>
      <c r="BG30" s="399">
        <v>-3.7209773934797914</v>
      </c>
      <c r="BH30" s="399">
        <v>0</v>
      </c>
      <c r="BI30" s="399">
        <v>-0.46</v>
      </c>
      <c r="BJ30" s="399">
        <v>-2.19</v>
      </c>
      <c r="BK30" s="399">
        <v>-18.73</v>
      </c>
      <c r="BL30" s="399">
        <v>0</v>
      </c>
      <c r="BM30" s="399"/>
      <c r="BN30" s="399"/>
      <c r="BO30" s="399"/>
      <c r="BP30" s="399"/>
      <c r="BQ30" s="399"/>
      <c r="BR30" s="399"/>
      <c r="BS30" s="399"/>
      <c r="BT30" s="399"/>
      <c r="BU30" s="399"/>
      <c r="BV30" s="399">
        <v>-35.513968715546696</v>
      </c>
      <c r="BW30" s="399"/>
      <c r="BX30" s="399"/>
      <c r="BY30" s="399"/>
      <c r="BZ30" s="399"/>
      <c r="CA30" s="399"/>
      <c r="CB30" s="399"/>
      <c r="CC30" s="399"/>
      <c r="CD30" s="399"/>
      <c r="CE30" s="399"/>
      <c r="CF30" s="399"/>
      <c r="CG30" s="399"/>
      <c r="CH30" s="399"/>
      <c r="CI30" s="399">
        <v>-75.225700000000003</v>
      </c>
      <c r="CJ30" s="399">
        <v>24.142579999999981</v>
      </c>
      <c r="CK30" s="399"/>
      <c r="CL30" s="399"/>
      <c r="CM30" s="399"/>
      <c r="CN30" s="399"/>
      <c r="CO30" s="399">
        <v>16.293689999999994</v>
      </c>
      <c r="CP30" s="399">
        <v>7.1950200000000022</v>
      </c>
      <c r="CQ30" s="399">
        <v>31</v>
      </c>
      <c r="CR30" s="399">
        <v>8.2104489214622944</v>
      </c>
      <c r="CS30" s="399">
        <v>0</v>
      </c>
      <c r="CT30" s="399">
        <v>0</v>
      </c>
      <c r="CU30" s="399">
        <v>0</v>
      </c>
      <c r="CV30" s="399">
        <v>0</v>
      </c>
      <c r="CW30" s="399">
        <v>0</v>
      </c>
      <c r="CX30" s="399">
        <v>0</v>
      </c>
      <c r="CY30" s="399">
        <v>0</v>
      </c>
      <c r="CZ30" s="399">
        <v>-0.37197429617867783</v>
      </c>
      <c r="DA30" s="399">
        <v>0</v>
      </c>
      <c r="DB30" s="399">
        <v>0</v>
      </c>
      <c r="DC30" s="399">
        <v>7.1957714130609922</v>
      </c>
      <c r="DD30" s="399">
        <v>0</v>
      </c>
      <c r="DE30" s="399">
        <v>0</v>
      </c>
      <c r="DF30" s="399">
        <v>0</v>
      </c>
      <c r="DG30" s="399">
        <v>0.84217626726000905</v>
      </c>
      <c r="DH30" s="399">
        <v>0</v>
      </c>
      <c r="DI30" s="399">
        <v>0.46867859027337655</v>
      </c>
      <c r="DJ30" s="399"/>
      <c r="DK30" s="399">
        <v>0</v>
      </c>
      <c r="DL30" s="399">
        <v>0</v>
      </c>
      <c r="DM30" s="399">
        <v>0</v>
      </c>
      <c r="DN30" s="399">
        <v>0</v>
      </c>
      <c r="DO30" s="399">
        <v>5.9749415456172517E-2</v>
      </c>
      <c r="DP30" s="399">
        <v>1.60475315904266E-2</v>
      </c>
      <c r="DQ30" s="399">
        <v>0</v>
      </c>
      <c r="DR30" s="399">
        <v>0</v>
      </c>
      <c r="DS30" s="399"/>
      <c r="DT30" s="399"/>
      <c r="DU30" s="399"/>
      <c r="DV30" s="399">
        <v>-41.870531466624136</v>
      </c>
      <c r="DW30" s="399">
        <v>0</v>
      </c>
      <c r="DX30" s="399">
        <v>0</v>
      </c>
      <c r="DY30" s="399">
        <v>16.293690000000005</v>
      </c>
      <c r="DZ30" s="399">
        <v>7.1950200000000031</v>
      </c>
      <c r="EA30" s="399">
        <v>0</v>
      </c>
      <c r="EB30" s="399">
        <v>0</v>
      </c>
      <c r="EC30" s="399">
        <v>15.278561871717891</v>
      </c>
      <c r="ED30" s="399">
        <v>0</v>
      </c>
      <c r="EE30" s="399">
        <v>0</v>
      </c>
      <c r="EF30" s="399">
        <v>0</v>
      </c>
      <c r="EG30" s="399">
        <v>0</v>
      </c>
      <c r="EH30" s="399">
        <v>0</v>
      </c>
      <c r="EI30" s="399">
        <v>0</v>
      </c>
      <c r="EJ30" s="399">
        <v>0</v>
      </c>
      <c r="EK30" s="399">
        <v>0</v>
      </c>
      <c r="EL30" s="399">
        <v>0</v>
      </c>
      <c r="EM30" s="399">
        <v>0</v>
      </c>
      <c r="EN30" s="399">
        <v>0</v>
      </c>
      <c r="EO30" s="399">
        <v>0</v>
      </c>
      <c r="EP30" s="399">
        <v>-3.1855037505495738</v>
      </c>
      <c r="EQ30" s="399">
        <v>0</v>
      </c>
      <c r="ER30" s="399">
        <v>0</v>
      </c>
      <c r="ES30" s="399">
        <v>0</v>
      </c>
      <c r="ET30" s="399">
        <v>0</v>
      </c>
      <c r="EU30" s="399">
        <v>0</v>
      </c>
      <c r="EV30" s="399">
        <v>202</v>
      </c>
      <c r="EW30" s="399">
        <v>0</v>
      </c>
      <c r="EX30" s="399">
        <v>0</v>
      </c>
      <c r="EY30" s="399">
        <v>0</v>
      </c>
      <c r="EZ30" s="399"/>
      <c r="FA30" s="399">
        <v>0</v>
      </c>
      <c r="FB30" s="399">
        <v>-17.698635468909799</v>
      </c>
      <c r="FC30" s="399"/>
      <c r="FD30" s="399">
        <v>-17.698635468909799</v>
      </c>
      <c r="FE30" s="399"/>
      <c r="FF30" s="399">
        <v>0</v>
      </c>
      <c r="FG30" s="399">
        <v>0</v>
      </c>
      <c r="FH30" s="399">
        <v>0</v>
      </c>
      <c r="FI30" s="399">
        <v>0</v>
      </c>
    </row>
    <row r="31" spans="1:165" customFormat="1">
      <c r="A31" s="399">
        <v>26</v>
      </c>
      <c r="B31" s="399" t="s">
        <v>2404</v>
      </c>
      <c r="C31" s="399" t="s">
        <v>2402</v>
      </c>
      <c r="D31" s="399" t="s">
        <v>1823</v>
      </c>
      <c r="E31" s="399" t="s">
        <v>889</v>
      </c>
      <c r="F31" s="399" t="s">
        <v>889</v>
      </c>
      <c r="G31" s="399" t="s">
        <v>1239</v>
      </c>
      <c r="H31" s="399" t="s">
        <v>1239</v>
      </c>
      <c r="I31" s="399" t="s">
        <v>1239</v>
      </c>
      <c r="J31" s="399" t="s">
        <v>2400</v>
      </c>
      <c r="K31" s="788">
        <v>44470</v>
      </c>
      <c r="L31" s="399">
        <v>0</v>
      </c>
      <c r="M31" s="399">
        <v>0</v>
      </c>
      <c r="N31" s="399">
        <v>3.2170000000000001</v>
      </c>
      <c r="O31" s="399">
        <v>3.2170000000000001</v>
      </c>
      <c r="P31" s="399">
        <v>3.2170000000000001</v>
      </c>
      <c r="Q31" s="399">
        <v>3.2170000000000001</v>
      </c>
      <c r="R31" s="399"/>
      <c r="S31" s="399">
        <v>609.05999999999995</v>
      </c>
      <c r="T31" s="399">
        <v>286.42</v>
      </c>
      <c r="U31" s="399"/>
      <c r="V31" s="399">
        <v>2880.7591600000001</v>
      </c>
      <c r="W31" s="399">
        <v>2880.7591600000001</v>
      </c>
      <c r="X31" s="399">
        <v>2200.0097900000001</v>
      </c>
      <c r="Y31" s="399">
        <v>0</v>
      </c>
      <c r="Z31" s="399">
        <v>195.79112049067692</v>
      </c>
      <c r="AA31" s="399">
        <v>0</v>
      </c>
      <c r="AB31" s="399">
        <v>0</v>
      </c>
      <c r="AC31" s="399">
        <v>0</v>
      </c>
      <c r="AD31" s="399">
        <v>314.1469664057546</v>
      </c>
      <c r="AE31" s="399">
        <v>1213.4909885417103</v>
      </c>
      <c r="AF31" s="399">
        <v>921.42390164945255</v>
      </c>
      <c r="AG31" s="399">
        <v>0</v>
      </c>
      <c r="AH31" s="399">
        <v>0</v>
      </c>
      <c r="AI31" s="399">
        <v>0</v>
      </c>
      <c r="AJ31" s="399">
        <v>0</v>
      </c>
      <c r="AK31" s="399">
        <v>0</v>
      </c>
      <c r="AL31" s="399">
        <v>30.258744767539003</v>
      </c>
      <c r="AM31" s="399"/>
      <c r="AN31" s="399">
        <v>5.494113451089305</v>
      </c>
      <c r="AO31" s="399">
        <v>0</v>
      </c>
      <c r="AP31" s="399">
        <v>0</v>
      </c>
      <c r="AQ31" s="399">
        <v>0</v>
      </c>
      <c r="AR31" s="399">
        <v>0</v>
      </c>
      <c r="AS31" s="399">
        <v>0</v>
      </c>
      <c r="AT31" s="399">
        <v>0</v>
      </c>
      <c r="AU31" s="399">
        <v>0</v>
      </c>
      <c r="AV31" s="399">
        <v>0</v>
      </c>
      <c r="AW31" s="399">
        <v>0</v>
      </c>
      <c r="AX31" s="399">
        <v>0</v>
      </c>
      <c r="AY31" s="399">
        <v>0</v>
      </c>
      <c r="AZ31" s="399">
        <v>0</v>
      </c>
      <c r="BA31" s="399"/>
      <c r="BB31" s="399">
        <v>0</v>
      </c>
      <c r="BC31" s="399">
        <v>0</v>
      </c>
      <c r="BD31" s="399">
        <v>0</v>
      </c>
      <c r="BE31" s="399">
        <v>0</v>
      </c>
      <c r="BF31" s="399">
        <v>0</v>
      </c>
      <c r="BG31" s="399">
        <v>107.8412997731936</v>
      </c>
      <c r="BH31" s="399">
        <v>0</v>
      </c>
      <c r="BI31" s="399">
        <v>9.9600000000000009</v>
      </c>
      <c r="BJ31" s="399">
        <v>46.46</v>
      </c>
      <c r="BK31" s="399">
        <v>1720.81</v>
      </c>
      <c r="BL31" s="399">
        <v>26</v>
      </c>
      <c r="BM31" s="399"/>
      <c r="BN31" s="399"/>
      <c r="BO31" s="399"/>
      <c r="BP31" s="399"/>
      <c r="BQ31" s="399"/>
      <c r="BR31" s="399"/>
      <c r="BS31" s="399"/>
      <c r="BT31" s="399"/>
      <c r="BU31" s="399"/>
      <c r="BV31" s="399">
        <v>1029.2652014226462</v>
      </c>
      <c r="BW31" s="399"/>
      <c r="BX31" s="399"/>
      <c r="BY31" s="399"/>
      <c r="BZ31" s="399"/>
      <c r="CA31" s="399"/>
      <c r="CB31" s="399"/>
      <c r="CC31" s="399"/>
      <c r="CD31" s="399"/>
      <c r="CE31" s="399"/>
      <c r="CF31" s="399"/>
      <c r="CG31" s="399"/>
      <c r="CH31" s="399"/>
      <c r="CI31" s="399">
        <v>2202.0614</v>
      </c>
      <c r="CJ31" s="399">
        <v>-678.72776000000022</v>
      </c>
      <c r="CK31" s="399"/>
      <c r="CL31" s="399"/>
      <c r="CM31" s="399"/>
      <c r="CN31" s="399"/>
      <c r="CO31" s="399">
        <v>-472.22342999999989</v>
      </c>
      <c r="CP31" s="399">
        <v>-208.52594000000008</v>
      </c>
      <c r="CQ31" s="399">
        <v>31</v>
      </c>
      <c r="CR31" s="399">
        <v>-237.95508270580376</v>
      </c>
      <c r="CS31" s="399">
        <v>0</v>
      </c>
      <c r="CT31" s="399">
        <v>0</v>
      </c>
      <c r="CU31" s="399">
        <v>0</v>
      </c>
      <c r="CV31" s="399">
        <v>0</v>
      </c>
      <c r="CW31" s="399">
        <v>0</v>
      </c>
      <c r="CX31" s="399">
        <v>0</v>
      </c>
      <c r="CY31" s="399">
        <v>0</v>
      </c>
      <c r="CZ31" s="399">
        <v>10.780552349610844</v>
      </c>
      <c r="DA31" s="399">
        <v>0</v>
      </c>
      <c r="DB31" s="399">
        <v>0</v>
      </c>
      <c r="DC31" s="399">
        <v>-208.54771743979472</v>
      </c>
      <c r="DD31" s="399">
        <v>0</v>
      </c>
      <c r="DE31" s="399">
        <v>0</v>
      </c>
      <c r="DF31" s="399">
        <v>0</v>
      </c>
      <c r="DG31" s="399">
        <v>-24.407937403382434</v>
      </c>
      <c r="DH31" s="399">
        <v>0</v>
      </c>
      <c r="DI31" s="399">
        <v>-13.583234458643716</v>
      </c>
      <c r="DJ31" s="399"/>
      <c r="DK31" s="399">
        <v>0</v>
      </c>
      <c r="DL31" s="399">
        <v>0</v>
      </c>
      <c r="DM31" s="399">
        <v>0</v>
      </c>
      <c r="DN31" s="399">
        <v>0</v>
      </c>
      <c r="DO31" s="399">
        <v>-1.73165648218475</v>
      </c>
      <c r="DP31" s="399">
        <v>-0.46508927140903022</v>
      </c>
      <c r="DQ31" s="399">
        <v>0</v>
      </c>
      <c r="DR31" s="399">
        <v>0</v>
      </c>
      <c r="DS31" s="399"/>
      <c r="DT31" s="399"/>
      <c r="DU31" s="399"/>
      <c r="DV31" s="399">
        <v>1213.4909885417103</v>
      </c>
      <c r="DW31" s="399">
        <v>0</v>
      </c>
      <c r="DX31" s="399">
        <v>0</v>
      </c>
      <c r="DY31" s="399">
        <v>-472.22343000000001</v>
      </c>
      <c r="DZ31" s="399">
        <v>-208.52594000000011</v>
      </c>
      <c r="EA31" s="399">
        <v>0</v>
      </c>
      <c r="EB31" s="399">
        <v>0</v>
      </c>
      <c r="EC31" s="399">
        <v>-442.8030048767248</v>
      </c>
      <c r="ED31" s="399">
        <v>0</v>
      </c>
      <c r="EE31" s="399">
        <v>0</v>
      </c>
      <c r="EF31" s="399">
        <v>0</v>
      </c>
      <c r="EG31" s="399">
        <v>0</v>
      </c>
      <c r="EH31" s="399">
        <v>0</v>
      </c>
      <c r="EI31" s="399">
        <v>0</v>
      </c>
      <c r="EJ31" s="399">
        <v>0</v>
      </c>
      <c r="EK31" s="399">
        <v>0</v>
      </c>
      <c r="EL31" s="399">
        <v>0</v>
      </c>
      <c r="EM31" s="399">
        <v>0</v>
      </c>
      <c r="EN31" s="399">
        <v>0</v>
      </c>
      <c r="EO31" s="399">
        <v>0</v>
      </c>
      <c r="EP31" s="399">
        <v>92.322212301963788</v>
      </c>
      <c r="EQ31" s="399">
        <v>0</v>
      </c>
      <c r="ER31" s="399">
        <v>0</v>
      </c>
      <c r="ES31" s="399">
        <v>0</v>
      </c>
      <c r="ET31" s="399">
        <v>0</v>
      </c>
      <c r="EU31" s="399">
        <v>0</v>
      </c>
      <c r="EV31" s="399">
        <v>202</v>
      </c>
      <c r="EW31" s="399">
        <v>0</v>
      </c>
      <c r="EX31" s="399">
        <v>0</v>
      </c>
      <c r="EY31" s="399">
        <v>0</v>
      </c>
      <c r="EZ31" s="399"/>
      <c r="FA31" s="399">
        <v>0</v>
      </c>
      <c r="FB31" s="399">
        <v>-17.698635468909799</v>
      </c>
      <c r="FC31" s="399"/>
      <c r="FD31" s="399">
        <v>-17.698635468909799</v>
      </c>
      <c r="FE31" s="399"/>
      <c r="FF31" s="399">
        <v>0</v>
      </c>
      <c r="FG31" s="399">
        <v>0</v>
      </c>
      <c r="FH31" s="399">
        <v>0</v>
      </c>
      <c r="FI31" s="399">
        <v>0</v>
      </c>
    </row>
    <row r="32" spans="1:165" customFormat="1">
      <c r="A32" s="399">
        <v>27</v>
      </c>
      <c r="B32" s="399" t="s">
        <v>956</v>
      </c>
      <c r="C32" s="399" t="s">
        <v>2402</v>
      </c>
      <c r="D32" s="399" t="s">
        <v>1823</v>
      </c>
      <c r="E32" s="399" t="s">
        <v>889</v>
      </c>
      <c r="F32" s="399" t="s">
        <v>2405</v>
      </c>
      <c r="G32" s="399" t="s">
        <v>1239</v>
      </c>
      <c r="H32" s="399" t="s">
        <v>1239</v>
      </c>
      <c r="I32" s="399" t="s">
        <v>1239</v>
      </c>
      <c r="J32" s="399" t="s">
        <v>2400</v>
      </c>
      <c r="K32" s="788">
        <v>44470</v>
      </c>
      <c r="L32" s="399">
        <v>0</v>
      </c>
      <c r="M32" s="399">
        <v>0</v>
      </c>
      <c r="N32" s="399">
        <v>3.63</v>
      </c>
      <c r="O32" s="399">
        <v>3.63</v>
      </c>
      <c r="P32" s="399">
        <v>3.63</v>
      </c>
      <c r="Q32" s="399">
        <v>3.63</v>
      </c>
      <c r="R32" s="399"/>
      <c r="S32" s="399">
        <v>510.09</v>
      </c>
      <c r="T32" s="399">
        <v>286.42</v>
      </c>
      <c r="U32" s="399"/>
      <c r="V32" s="399">
        <v>2891.3312999999998</v>
      </c>
      <c r="W32" s="399">
        <v>2891.3312999999998</v>
      </c>
      <c r="X32" s="399">
        <v>2140.5020999999997</v>
      </c>
      <c r="Y32" s="399">
        <v>0</v>
      </c>
      <c r="Z32" s="399">
        <v>0</v>
      </c>
      <c r="AA32" s="399">
        <v>0</v>
      </c>
      <c r="AB32" s="399">
        <v>0</v>
      </c>
      <c r="AC32" s="399">
        <v>0</v>
      </c>
      <c r="AD32" s="399">
        <v>354.47730433723626</v>
      </c>
      <c r="AE32" s="399">
        <v>1369.2795425571676</v>
      </c>
      <c r="AF32" s="399">
        <v>1039.7167432351609</v>
      </c>
      <c r="AG32" s="399">
        <v>0</v>
      </c>
      <c r="AH32" s="399">
        <v>0</v>
      </c>
      <c r="AI32" s="399">
        <v>0</v>
      </c>
      <c r="AJ32" s="399">
        <v>0</v>
      </c>
      <c r="AK32" s="399">
        <v>0</v>
      </c>
      <c r="AL32" s="399">
        <v>0</v>
      </c>
      <c r="AM32" s="399"/>
      <c r="AN32" s="399">
        <v>6.1994503660100024</v>
      </c>
      <c r="AO32" s="399">
        <v>0</v>
      </c>
      <c r="AP32" s="399">
        <v>0</v>
      </c>
      <c r="AQ32" s="399">
        <v>0</v>
      </c>
      <c r="AR32" s="399">
        <v>0</v>
      </c>
      <c r="AS32" s="399">
        <v>0</v>
      </c>
      <c r="AT32" s="399">
        <v>0</v>
      </c>
      <c r="AU32" s="399">
        <v>0</v>
      </c>
      <c r="AV32" s="399">
        <v>0</v>
      </c>
      <c r="AW32" s="399">
        <v>0</v>
      </c>
      <c r="AX32" s="399">
        <v>0</v>
      </c>
      <c r="AY32" s="399">
        <v>0</v>
      </c>
      <c r="AZ32" s="399">
        <v>0</v>
      </c>
      <c r="BA32" s="399"/>
      <c r="BB32" s="399">
        <v>0</v>
      </c>
      <c r="BC32" s="399">
        <v>0</v>
      </c>
      <c r="BD32" s="399">
        <v>0</v>
      </c>
      <c r="BE32" s="399">
        <v>0</v>
      </c>
      <c r="BF32" s="399">
        <v>0</v>
      </c>
      <c r="BG32" s="399">
        <v>121.68601746244724</v>
      </c>
      <c r="BH32" s="399">
        <v>0</v>
      </c>
      <c r="BI32" s="399">
        <v>4.3600000000000003</v>
      </c>
      <c r="BJ32" s="399">
        <v>21.25</v>
      </c>
      <c r="BK32" s="399">
        <v>372.88</v>
      </c>
      <c r="BL32" s="399">
        <v>0</v>
      </c>
      <c r="BM32" s="399"/>
      <c r="BN32" s="399"/>
      <c r="BO32" s="399"/>
      <c r="BP32" s="399"/>
      <c r="BQ32" s="399"/>
      <c r="BR32" s="399"/>
      <c r="BS32" s="399"/>
      <c r="BT32" s="399">
        <v>1391.3426999999999</v>
      </c>
      <c r="BU32" s="399"/>
      <c r="BV32" s="399">
        <v>1161.4027606976083</v>
      </c>
      <c r="BW32" s="399"/>
      <c r="BX32" s="399"/>
      <c r="BY32" s="399"/>
      <c r="BZ32" s="399"/>
      <c r="CA32" s="399"/>
      <c r="CB32" s="399"/>
      <c r="CC32" s="399"/>
      <c r="CD32" s="399"/>
      <c r="CE32" s="399"/>
      <c r="CF32" s="399"/>
      <c r="CG32" s="399"/>
      <c r="CH32" s="399"/>
      <c r="CI32" s="399">
        <v>749.15940000000001</v>
      </c>
      <c r="CJ32" s="399">
        <v>-262.84199999999987</v>
      </c>
      <c r="CK32" s="399"/>
      <c r="CL32" s="399"/>
      <c r="CM32" s="399"/>
      <c r="CN32" s="399"/>
      <c r="CO32" s="399">
        <v>-515.53259999999989</v>
      </c>
      <c r="CP32" s="399">
        <v>-235.29660000000007</v>
      </c>
      <c r="CQ32" s="399">
        <v>31</v>
      </c>
      <c r="CR32" s="399">
        <v>-251.22284616315255</v>
      </c>
      <c r="CS32" s="399">
        <v>0</v>
      </c>
      <c r="CT32" s="399">
        <v>0</v>
      </c>
      <c r="CU32" s="399">
        <v>0</v>
      </c>
      <c r="CV32" s="399">
        <v>0</v>
      </c>
      <c r="CW32" s="399">
        <v>0</v>
      </c>
      <c r="CX32" s="399">
        <v>0</v>
      </c>
      <c r="CY32" s="399">
        <v>0</v>
      </c>
      <c r="CZ32" s="399">
        <v>12.164564820978399</v>
      </c>
      <c r="DA32" s="399">
        <v>0</v>
      </c>
      <c r="DB32" s="399">
        <v>0</v>
      </c>
      <c r="DC32" s="399">
        <v>-235.32117323794068</v>
      </c>
      <c r="DD32" s="399">
        <v>0</v>
      </c>
      <c r="DE32" s="399">
        <v>0</v>
      </c>
      <c r="DF32" s="399">
        <v>0</v>
      </c>
      <c r="DG32" s="399">
        <v>-27.541440091475991</v>
      </c>
      <c r="DH32" s="399">
        <v>0</v>
      </c>
      <c r="DI32" s="399">
        <v>0</v>
      </c>
      <c r="DJ32" s="399"/>
      <c r="DK32" s="399">
        <v>0</v>
      </c>
      <c r="DL32" s="399">
        <v>0</v>
      </c>
      <c r="DM32" s="399">
        <v>0</v>
      </c>
      <c r="DN32" s="399">
        <v>0</v>
      </c>
      <c r="DO32" s="399">
        <v>0</v>
      </c>
      <c r="DP32" s="399">
        <v>-0.52479765471395101</v>
      </c>
      <c r="DQ32" s="399">
        <v>0</v>
      </c>
      <c r="DR32" s="399">
        <v>0</v>
      </c>
      <c r="DS32" s="399"/>
      <c r="DT32" s="399"/>
      <c r="DU32" s="399"/>
      <c r="DV32" s="399">
        <v>1369.2795425571676</v>
      </c>
      <c r="DW32" s="399">
        <v>0</v>
      </c>
      <c r="DX32" s="399">
        <v>0</v>
      </c>
      <c r="DY32" s="399">
        <v>-515.53259999999977</v>
      </c>
      <c r="DZ32" s="399">
        <v>-235.29660000000013</v>
      </c>
      <c r="EA32" s="399">
        <v>0</v>
      </c>
      <c r="EB32" s="399">
        <v>0</v>
      </c>
      <c r="EC32" s="399">
        <v>-499.65026661563911</v>
      </c>
      <c r="ED32" s="399">
        <v>0</v>
      </c>
      <c r="EE32" s="399">
        <v>0</v>
      </c>
      <c r="EF32" s="399">
        <v>0</v>
      </c>
      <c r="EG32" s="399">
        <v>0</v>
      </c>
      <c r="EH32" s="399">
        <v>0</v>
      </c>
      <c r="EI32" s="399">
        <v>0</v>
      </c>
      <c r="EJ32" s="399">
        <v>0</v>
      </c>
      <c r="EK32" s="399">
        <v>0</v>
      </c>
      <c r="EL32" s="399">
        <v>0</v>
      </c>
      <c r="EM32" s="399">
        <v>0</v>
      </c>
      <c r="EN32" s="399">
        <v>0</v>
      </c>
      <c r="EO32" s="399">
        <v>0</v>
      </c>
      <c r="EP32" s="399">
        <v>0</v>
      </c>
      <c r="EQ32" s="399">
        <v>0</v>
      </c>
      <c r="ER32" s="399">
        <v>0</v>
      </c>
      <c r="ES32" s="399">
        <v>0</v>
      </c>
      <c r="ET32" s="399">
        <v>0</v>
      </c>
      <c r="EU32" s="399">
        <v>0</v>
      </c>
      <c r="EV32" s="399">
        <v>202</v>
      </c>
      <c r="EW32" s="399">
        <v>0</v>
      </c>
      <c r="EX32" s="399">
        <v>0</v>
      </c>
      <c r="EY32" s="399">
        <v>0</v>
      </c>
      <c r="EZ32" s="399"/>
      <c r="FA32" s="399">
        <v>0</v>
      </c>
      <c r="FB32" s="399">
        <v>-17.698635468909799</v>
      </c>
      <c r="FC32" s="399"/>
      <c r="FD32" s="399">
        <v>-17.698635468909799</v>
      </c>
      <c r="FE32" s="399"/>
      <c r="FF32" s="399">
        <v>0</v>
      </c>
      <c r="FG32" s="399">
        <v>0</v>
      </c>
      <c r="FH32" s="399">
        <v>0</v>
      </c>
      <c r="FI32" s="399">
        <v>0</v>
      </c>
    </row>
    <row r="33" spans="1:165" customFormat="1">
      <c r="A33" s="399">
        <v>28</v>
      </c>
      <c r="B33" s="399" t="s">
        <v>2403</v>
      </c>
      <c r="C33" s="399" t="s">
        <v>2402</v>
      </c>
      <c r="D33" s="399" t="s">
        <v>1823</v>
      </c>
      <c r="E33" s="399" t="s">
        <v>889</v>
      </c>
      <c r="F33" s="399" t="s">
        <v>2405</v>
      </c>
      <c r="G33" s="399" t="s">
        <v>1239</v>
      </c>
      <c r="H33" s="399" t="s">
        <v>1239</v>
      </c>
      <c r="I33" s="399" t="s">
        <v>1239</v>
      </c>
      <c r="J33" s="399" t="s">
        <v>2400</v>
      </c>
      <c r="K33" s="788">
        <v>44470</v>
      </c>
      <c r="L33" s="399">
        <v>0</v>
      </c>
      <c r="M33" s="399">
        <v>0</v>
      </c>
      <c r="N33" s="399">
        <v>0</v>
      </c>
      <c r="O33" s="399">
        <v>0</v>
      </c>
      <c r="P33" s="399">
        <v>0</v>
      </c>
      <c r="Q33" s="399">
        <v>0</v>
      </c>
      <c r="R33" s="399"/>
      <c r="S33" s="399"/>
      <c r="T33" s="399"/>
      <c r="U33" s="399"/>
      <c r="V33" s="399"/>
      <c r="W33" s="399"/>
      <c r="X33" s="399"/>
      <c r="Y33" s="399"/>
      <c r="Z33" s="399"/>
      <c r="AA33" s="399">
        <v>0</v>
      </c>
      <c r="AB33" s="399"/>
      <c r="AC33" s="399"/>
      <c r="AD33" s="399"/>
      <c r="AE33" s="399"/>
      <c r="AF33" s="399"/>
      <c r="AG33" s="399"/>
      <c r="AH33" s="399"/>
      <c r="AI33" s="399"/>
      <c r="AJ33" s="399"/>
      <c r="AK33" s="399"/>
      <c r="AL33" s="399"/>
      <c r="AM33" s="399"/>
      <c r="AN33" s="399"/>
      <c r="AO33" s="399"/>
      <c r="AP33" s="399"/>
      <c r="AQ33" s="399"/>
      <c r="AR33" s="399"/>
      <c r="AS33" s="399"/>
      <c r="AT33" s="399"/>
      <c r="AU33" s="399"/>
      <c r="AV33" s="399"/>
      <c r="AW33" s="399"/>
      <c r="AX33" s="399"/>
      <c r="AY33" s="399"/>
      <c r="AZ33" s="399">
        <v>0</v>
      </c>
      <c r="BA33" s="399"/>
      <c r="BB33" s="399"/>
      <c r="BC33" s="399"/>
      <c r="BD33" s="399"/>
      <c r="BE33" s="399"/>
      <c r="BF33" s="399"/>
      <c r="BG33" s="399"/>
      <c r="BH33" s="399"/>
      <c r="BI33" s="399">
        <v>0</v>
      </c>
      <c r="BJ33" s="399">
        <v>0</v>
      </c>
      <c r="BK33" s="399">
        <v>-4.12</v>
      </c>
      <c r="BL33" s="399">
        <v>0</v>
      </c>
      <c r="BM33" s="399"/>
      <c r="BN33" s="399"/>
      <c r="BO33" s="399"/>
      <c r="BP33" s="399"/>
      <c r="BQ33" s="399"/>
      <c r="BR33" s="399"/>
      <c r="BS33" s="399"/>
      <c r="BT33" s="399"/>
      <c r="BU33" s="399"/>
      <c r="BV33" s="399"/>
      <c r="BW33" s="399"/>
      <c r="BX33" s="399"/>
      <c r="BY33" s="399"/>
      <c r="BZ33" s="399"/>
      <c r="CA33" s="399"/>
      <c r="CB33" s="399"/>
      <c r="CC33" s="399"/>
      <c r="CD33" s="399"/>
      <c r="CE33" s="399"/>
      <c r="CF33" s="399"/>
      <c r="CG33" s="399"/>
      <c r="CH33" s="399"/>
      <c r="CI33" s="399"/>
      <c r="CJ33" s="399">
        <v>-0.03</v>
      </c>
      <c r="CK33" s="399"/>
      <c r="CL33" s="399"/>
      <c r="CM33" s="399"/>
      <c r="CN33" s="399"/>
      <c r="CO33" s="399">
        <v>0</v>
      </c>
      <c r="CP33" s="399">
        <v>0</v>
      </c>
      <c r="CQ33" s="399">
        <v>31</v>
      </c>
      <c r="CR33" s="399"/>
      <c r="CS33" s="399"/>
      <c r="CT33" s="399"/>
      <c r="CU33" s="399"/>
      <c r="CV33" s="399"/>
      <c r="CW33" s="399"/>
      <c r="CX33" s="399"/>
      <c r="CY33" s="399"/>
      <c r="CZ33" s="399"/>
      <c r="DA33" s="399"/>
      <c r="DB33" s="399"/>
      <c r="DC33" s="399"/>
      <c r="DD33" s="399"/>
      <c r="DE33" s="399"/>
      <c r="DF33" s="399"/>
      <c r="DG33" s="399"/>
      <c r="DH33" s="399"/>
      <c r="DI33" s="399"/>
      <c r="DJ33" s="399"/>
      <c r="DK33" s="399">
        <v>0</v>
      </c>
      <c r="DL33" s="399"/>
      <c r="DM33" s="399"/>
      <c r="DN33" s="399"/>
      <c r="DO33" s="399"/>
      <c r="DP33" s="399"/>
      <c r="DQ33" s="399"/>
      <c r="DR33" s="399"/>
      <c r="DS33" s="399"/>
      <c r="DT33" s="399"/>
      <c r="DU33" s="399"/>
      <c r="DV33" s="399"/>
      <c r="DW33" s="399"/>
      <c r="DX33" s="399"/>
      <c r="DY33" s="399"/>
      <c r="DZ33" s="399"/>
      <c r="EA33" s="399"/>
      <c r="EB33" s="399"/>
      <c r="EC33" s="399"/>
      <c r="ED33" s="399"/>
      <c r="EE33" s="399"/>
      <c r="EF33" s="399"/>
      <c r="EG33" s="399"/>
      <c r="EH33" s="399"/>
      <c r="EI33" s="399"/>
      <c r="EJ33" s="399"/>
      <c r="EK33" s="399"/>
      <c r="EL33" s="399"/>
      <c r="EM33" s="399"/>
      <c r="EN33" s="399"/>
      <c r="EO33" s="399"/>
      <c r="EP33" s="399"/>
      <c r="EQ33" s="399"/>
      <c r="ER33" s="399"/>
      <c r="ES33" s="399"/>
      <c r="ET33" s="399"/>
      <c r="EU33" s="399"/>
      <c r="EV33" s="399">
        <v>202</v>
      </c>
      <c r="EW33" s="399"/>
      <c r="EX33" s="399"/>
      <c r="EY33" s="399"/>
      <c r="EZ33" s="399"/>
      <c r="FA33" s="399">
        <v>0</v>
      </c>
      <c r="FB33" s="399">
        <v>-17.698635468909799</v>
      </c>
      <c r="FC33" s="399"/>
      <c r="FD33" s="399">
        <v>-17.698635468909799</v>
      </c>
      <c r="FE33" s="399"/>
      <c r="FF33" s="399">
        <v>0</v>
      </c>
      <c r="FG33" s="399">
        <v>0</v>
      </c>
      <c r="FH33" s="399">
        <v>0</v>
      </c>
      <c r="FI33" s="399">
        <v>0</v>
      </c>
    </row>
    <row r="34" spans="1:165" customFormat="1">
      <c r="A34" s="399">
        <v>29</v>
      </c>
      <c r="B34" s="399" t="s">
        <v>956</v>
      </c>
      <c r="C34" s="399" t="s">
        <v>2402</v>
      </c>
      <c r="D34" s="399" t="s">
        <v>1823</v>
      </c>
      <c r="E34" s="399" t="s">
        <v>889</v>
      </c>
      <c r="F34" s="399" t="s">
        <v>2406</v>
      </c>
      <c r="G34" s="399" t="s">
        <v>1239</v>
      </c>
      <c r="H34" s="399" t="s">
        <v>1239</v>
      </c>
      <c r="I34" s="399" t="s">
        <v>1239</v>
      </c>
      <c r="J34" s="399" t="s">
        <v>2400</v>
      </c>
      <c r="K34" s="788">
        <v>44470</v>
      </c>
      <c r="L34" s="399">
        <v>0</v>
      </c>
      <c r="M34" s="399">
        <v>0</v>
      </c>
      <c r="N34" s="399">
        <v>7.4450000000000003</v>
      </c>
      <c r="O34" s="399">
        <v>7.4450000000000003</v>
      </c>
      <c r="P34" s="399">
        <v>7.4450000000000003</v>
      </c>
      <c r="Q34" s="399">
        <v>7.4450000000000003</v>
      </c>
      <c r="R34" s="399"/>
      <c r="S34" s="399">
        <v>510.09</v>
      </c>
      <c r="T34" s="399">
        <v>286.42</v>
      </c>
      <c r="U34" s="399"/>
      <c r="V34" s="399">
        <v>5930.0169500000002</v>
      </c>
      <c r="W34" s="399">
        <v>5930.0169500000002</v>
      </c>
      <c r="X34" s="399">
        <v>4390.0931500000006</v>
      </c>
      <c r="Y34" s="399">
        <v>0</v>
      </c>
      <c r="Z34" s="399">
        <v>0</v>
      </c>
      <c r="AA34" s="399">
        <v>0</v>
      </c>
      <c r="AB34" s="399">
        <v>0</v>
      </c>
      <c r="AC34" s="399">
        <v>0</v>
      </c>
      <c r="AD34" s="399">
        <v>727.0202564161774</v>
      </c>
      <c r="AE34" s="399">
        <v>2808.3433042253755</v>
      </c>
      <c r="AF34" s="399">
        <v>2132.4218053404334</v>
      </c>
      <c r="AG34" s="399">
        <v>0</v>
      </c>
      <c r="AH34" s="399">
        <v>0</v>
      </c>
      <c r="AI34" s="399">
        <v>0</v>
      </c>
      <c r="AJ34" s="399">
        <v>0</v>
      </c>
      <c r="AK34" s="399">
        <v>0</v>
      </c>
      <c r="AL34" s="399">
        <v>0</v>
      </c>
      <c r="AM34" s="399"/>
      <c r="AN34" s="399">
        <v>12.714850681802885</v>
      </c>
      <c r="AO34" s="399">
        <v>0</v>
      </c>
      <c r="AP34" s="399">
        <v>0</v>
      </c>
      <c r="AQ34" s="399">
        <v>0</v>
      </c>
      <c r="AR34" s="399">
        <v>0</v>
      </c>
      <c r="AS34" s="399">
        <v>0</v>
      </c>
      <c r="AT34" s="399">
        <v>0</v>
      </c>
      <c r="AU34" s="399">
        <v>0</v>
      </c>
      <c r="AV34" s="399">
        <v>0</v>
      </c>
      <c r="AW34" s="399">
        <v>0</v>
      </c>
      <c r="AX34" s="399">
        <v>0</v>
      </c>
      <c r="AY34" s="399">
        <v>0</v>
      </c>
      <c r="AZ34" s="399">
        <v>0</v>
      </c>
      <c r="BA34" s="399"/>
      <c r="BB34" s="399">
        <v>0</v>
      </c>
      <c r="BC34" s="399">
        <v>0</v>
      </c>
      <c r="BD34" s="399">
        <v>0</v>
      </c>
      <c r="BE34" s="399">
        <v>0</v>
      </c>
      <c r="BF34" s="399">
        <v>0</v>
      </c>
      <c r="BG34" s="399">
        <v>249.57366391402746</v>
      </c>
      <c r="BH34" s="399">
        <v>0</v>
      </c>
      <c r="BI34" s="399">
        <v>16.989999999999998</v>
      </c>
      <c r="BJ34" s="399">
        <v>80.22</v>
      </c>
      <c r="BK34" s="399">
        <v>878.81</v>
      </c>
      <c r="BL34" s="399">
        <v>39</v>
      </c>
      <c r="BM34" s="399"/>
      <c r="BN34" s="399"/>
      <c r="BO34" s="399"/>
      <c r="BP34" s="399"/>
      <c r="BQ34" s="399"/>
      <c r="BR34" s="399"/>
      <c r="BS34" s="399"/>
      <c r="BT34" s="399">
        <v>1756.05215</v>
      </c>
      <c r="BU34" s="399"/>
      <c r="BV34" s="399">
        <v>2381.9954692544607</v>
      </c>
      <c r="BW34" s="399"/>
      <c r="BX34" s="399"/>
      <c r="BY34" s="399"/>
      <c r="BZ34" s="399"/>
      <c r="CA34" s="399"/>
      <c r="CB34" s="399"/>
      <c r="CC34" s="399"/>
      <c r="CD34" s="399"/>
      <c r="CE34" s="399"/>
      <c r="CF34" s="399"/>
      <c r="CG34" s="399"/>
      <c r="CH34" s="399"/>
      <c r="CI34" s="399">
        <v>2635.8100000000004</v>
      </c>
      <c r="CJ34" s="399">
        <v>-922.25995000000057</v>
      </c>
      <c r="CK34" s="399"/>
      <c r="CL34" s="399"/>
      <c r="CM34" s="399"/>
      <c r="CN34" s="399"/>
      <c r="CO34" s="399">
        <v>-1057.3389</v>
      </c>
      <c r="CP34" s="399">
        <v>-482.58490000000018</v>
      </c>
      <c r="CQ34" s="399">
        <v>31</v>
      </c>
      <c r="CR34" s="399">
        <v>-515.24906051919197</v>
      </c>
      <c r="CS34" s="399">
        <v>0</v>
      </c>
      <c r="CT34" s="399">
        <v>0</v>
      </c>
      <c r="CU34" s="399">
        <v>0</v>
      </c>
      <c r="CV34" s="399">
        <v>0</v>
      </c>
      <c r="CW34" s="399">
        <v>0</v>
      </c>
      <c r="CX34" s="399">
        <v>0</v>
      </c>
      <c r="CY34" s="399">
        <v>0</v>
      </c>
      <c r="CZ34" s="399">
        <v>24.949086802254556</v>
      </c>
      <c r="DA34" s="399">
        <v>0</v>
      </c>
      <c r="DB34" s="399">
        <v>0</v>
      </c>
      <c r="DC34" s="399">
        <v>-482.63529883098272</v>
      </c>
      <c r="DD34" s="399">
        <v>0</v>
      </c>
      <c r="DE34" s="399">
        <v>0</v>
      </c>
      <c r="DF34" s="399">
        <v>0</v>
      </c>
      <c r="DG34" s="399">
        <v>-56.486507295051979</v>
      </c>
      <c r="DH34" s="399">
        <v>0</v>
      </c>
      <c r="DI34" s="399">
        <v>0</v>
      </c>
      <c r="DJ34" s="399"/>
      <c r="DK34" s="399">
        <v>0</v>
      </c>
      <c r="DL34" s="399">
        <v>0</v>
      </c>
      <c r="DM34" s="399">
        <v>0</v>
      </c>
      <c r="DN34" s="399">
        <v>0</v>
      </c>
      <c r="DO34" s="399">
        <v>0</v>
      </c>
      <c r="DP34" s="399">
        <v>-1.0763411954119473</v>
      </c>
      <c r="DQ34" s="399">
        <v>0</v>
      </c>
      <c r="DR34" s="399">
        <v>0</v>
      </c>
      <c r="DS34" s="399"/>
      <c r="DT34" s="399"/>
      <c r="DU34" s="399"/>
      <c r="DV34" s="399">
        <v>2808.3433042253755</v>
      </c>
      <c r="DW34" s="399">
        <v>0</v>
      </c>
      <c r="DX34" s="399">
        <v>0</v>
      </c>
      <c r="DY34" s="399">
        <v>-1057.3388999999997</v>
      </c>
      <c r="DZ34" s="399">
        <v>-482.58490000000006</v>
      </c>
      <c r="EA34" s="399">
        <v>0</v>
      </c>
      <c r="EB34" s="399">
        <v>0</v>
      </c>
      <c r="EC34" s="399">
        <v>-1024.7648030174746</v>
      </c>
      <c r="ED34" s="399">
        <v>0</v>
      </c>
      <c r="EE34" s="399">
        <v>0</v>
      </c>
      <c r="EF34" s="399">
        <v>0</v>
      </c>
      <c r="EG34" s="399">
        <v>0</v>
      </c>
      <c r="EH34" s="399">
        <v>0</v>
      </c>
      <c r="EI34" s="399">
        <v>0</v>
      </c>
      <c r="EJ34" s="399">
        <v>0</v>
      </c>
      <c r="EK34" s="399">
        <v>0</v>
      </c>
      <c r="EL34" s="399">
        <v>0</v>
      </c>
      <c r="EM34" s="399">
        <v>0</v>
      </c>
      <c r="EN34" s="399">
        <v>0</v>
      </c>
      <c r="EO34" s="399">
        <v>0</v>
      </c>
      <c r="EP34" s="399">
        <v>0</v>
      </c>
      <c r="EQ34" s="399">
        <v>0</v>
      </c>
      <c r="ER34" s="399">
        <v>0</v>
      </c>
      <c r="ES34" s="399">
        <v>0</v>
      </c>
      <c r="ET34" s="399">
        <v>0</v>
      </c>
      <c r="EU34" s="399">
        <v>0</v>
      </c>
      <c r="EV34" s="399">
        <v>202</v>
      </c>
      <c r="EW34" s="399">
        <v>0</v>
      </c>
      <c r="EX34" s="399">
        <v>0</v>
      </c>
      <c r="EY34" s="399">
        <v>0</v>
      </c>
      <c r="EZ34" s="399"/>
      <c r="FA34" s="399">
        <v>0</v>
      </c>
      <c r="FB34" s="399">
        <v>-17.698635468909799</v>
      </c>
      <c r="FC34" s="399"/>
      <c r="FD34" s="399">
        <v>-17.698635468909799</v>
      </c>
      <c r="FE34" s="399"/>
      <c r="FF34" s="399">
        <v>0</v>
      </c>
      <c r="FG34" s="399">
        <v>0</v>
      </c>
      <c r="FH34" s="399">
        <v>0</v>
      </c>
      <c r="FI34" s="399">
        <v>0</v>
      </c>
    </row>
    <row r="35" spans="1:165" customFormat="1">
      <c r="A35" s="399">
        <v>30</v>
      </c>
      <c r="B35" s="399" t="s">
        <v>2403</v>
      </c>
      <c r="C35" s="399" t="s">
        <v>2402</v>
      </c>
      <c r="D35" s="399" t="s">
        <v>1823</v>
      </c>
      <c r="E35" s="399" t="s">
        <v>889</v>
      </c>
      <c r="F35" s="399" t="s">
        <v>2406</v>
      </c>
      <c r="G35" s="399" t="s">
        <v>1239</v>
      </c>
      <c r="H35" s="399" t="s">
        <v>1239</v>
      </c>
      <c r="I35" s="399" t="s">
        <v>1239</v>
      </c>
      <c r="J35" s="399" t="s">
        <v>2400</v>
      </c>
      <c r="K35" s="788">
        <v>44470</v>
      </c>
      <c r="L35" s="399">
        <v>0</v>
      </c>
      <c r="M35" s="399">
        <v>0</v>
      </c>
      <c r="N35" s="399">
        <v>0</v>
      </c>
      <c r="O35" s="399">
        <v>0</v>
      </c>
      <c r="P35" s="399">
        <v>0</v>
      </c>
      <c r="Q35" s="399">
        <v>0</v>
      </c>
      <c r="R35" s="399"/>
      <c r="S35" s="399"/>
      <c r="T35" s="399"/>
      <c r="U35" s="399"/>
      <c r="V35" s="399"/>
      <c r="W35" s="399"/>
      <c r="X35" s="399"/>
      <c r="Y35" s="399"/>
      <c r="Z35" s="399"/>
      <c r="AA35" s="399">
        <v>0</v>
      </c>
      <c r="AB35" s="399"/>
      <c r="AC35" s="399"/>
      <c r="AD35" s="399"/>
      <c r="AE35" s="399"/>
      <c r="AF35" s="399"/>
      <c r="AG35" s="399"/>
      <c r="AH35" s="399"/>
      <c r="AI35" s="399"/>
      <c r="AJ35" s="399"/>
      <c r="AK35" s="399"/>
      <c r="AL35" s="399"/>
      <c r="AM35" s="399"/>
      <c r="AN35" s="399"/>
      <c r="AO35" s="399"/>
      <c r="AP35" s="399"/>
      <c r="AQ35" s="399"/>
      <c r="AR35" s="399"/>
      <c r="AS35" s="399"/>
      <c r="AT35" s="399"/>
      <c r="AU35" s="399"/>
      <c r="AV35" s="399"/>
      <c r="AW35" s="399"/>
      <c r="AX35" s="399"/>
      <c r="AY35" s="399"/>
      <c r="AZ35" s="399">
        <v>0</v>
      </c>
      <c r="BA35" s="399"/>
      <c r="BB35" s="399"/>
      <c r="BC35" s="399"/>
      <c r="BD35" s="399"/>
      <c r="BE35" s="399"/>
      <c r="BF35" s="399"/>
      <c r="BG35" s="399"/>
      <c r="BH35" s="399"/>
      <c r="BI35" s="399">
        <v>0</v>
      </c>
      <c r="BJ35" s="399">
        <v>0</v>
      </c>
      <c r="BK35" s="399">
        <v>-9.6199999999999992</v>
      </c>
      <c r="BL35" s="399">
        <v>0</v>
      </c>
      <c r="BM35" s="399"/>
      <c r="BN35" s="399"/>
      <c r="BO35" s="399"/>
      <c r="BP35" s="399"/>
      <c r="BQ35" s="399"/>
      <c r="BR35" s="399"/>
      <c r="BS35" s="399"/>
      <c r="BT35" s="399"/>
      <c r="BU35" s="399"/>
      <c r="BV35" s="399"/>
      <c r="BW35" s="399"/>
      <c r="BX35" s="399"/>
      <c r="BY35" s="399"/>
      <c r="BZ35" s="399"/>
      <c r="CA35" s="399"/>
      <c r="CB35" s="399"/>
      <c r="CC35" s="399"/>
      <c r="CD35" s="399"/>
      <c r="CE35" s="399"/>
      <c r="CF35" s="399"/>
      <c r="CG35" s="399"/>
      <c r="CH35" s="399"/>
      <c r="CI35" s="399"/>
      <c r="CJ35" s="399">
        <v>-0.03</v>
      </c>
      <c r="CK35" s="399"/>
      <c r="CL35" s="399"/>
      <c r="CM35" s="399"/>
      <c r="CN35" s="399"/>
      <c r="CO35" s="399">
        <v>0</v>
      </c>
      <c r="CP35" s="399">
        <v>0</v>
      </c>
      <c r="CQ35" s="399">
        <v>31</v>
      </c>
      <c r="CR35" s="399"/>
      <c r="CS35" s="399"/>
      <c r="CT35" s="399"/>
      <c r="CU35" s="399"/>
      <c r="CV35" s="399"/>
      <c r="CW35" s="399"/>
      <c r="CX35" s="399"/>
      <c r="CY35" s="399"/>
      <c r="CZ35" s="399"/>
      <c r="DA35" s="399"/>
      <c r="DB35" s="399"/>
      <c r="DC35" s="399"/>
      <c r="DD35" s="399"/>
      <c r="DE35" s="399"/>
      <c r="DF35" s="399"/>
      <c r="DG35" s="399"/>
      <c r="DH35" s="399"/>
      <c r="DI35" s="399"/>
      <c r="DJ35" s="399"/>
      <c r="DK35" s="399">
        <v>0</v>
      </c>
      <c r="DL35" s="399"/>
      <c r="DM35" s="399"/>
      <c r="DN35" s="399"/>
      <c r="DO35" s="399"/>
      <c r="DP35" s="399"/>
      <c r="DQ35" s="399"/>
      <c r="DR35" s="399"/>
      <c r="DS35" s="399"/>
      <c r="DT35" s="399"/>
      <c r="DU35" s="399"/>
      <c r="DV35" s="399"/>
      <c r="DW35" s="399"/>
      <c r="DX35" s="399"/>
      <c r="DY35" s="399"/>
      <c r="DZ35" s="399"/>
      <c r="EA35" s="399"/>
      <c r="EB35" s="399"/>
      <c r="EC35" s="399"/>
      <c r="ED35" s="399"/>
      <c r="EE35" s="399"/>
      <c r="EF35" s="399"/>
      <c r="EG35" s="399"/>
      <c r="EH35" s="399"/>
      <c r="EI35" s="399"/>
      <c r="EJ35" s="399"/>
      <c r="EK35" s="399"/>
      <c r="EL35" s="399"/>
      <c r="EM35" s="399"/>
      <c r="EN35" s="399"/>
      <c r="EO35" s="399"/>
      <c r="EP35" s="399"/>
      <c r="EQ35" s="399"/>
      <c r="ER35" s="399"/>
      <c r="ES35" s="399"/>
      <c r="ET35" s="399"/>
      <c r="EU35" s="399"/>
      <c r="EV35" s="399">
        <v>202</v>
      </c>
      <c r="EW35" s="399"/>
      <c r="EX35" s="399"/>
      <c r="EY35" s="399"/>
      <c r="EZ35" s="399"/>
      <c r="FA35" s="399">
        <v>0</v>
      </c>
      <c r="FB35" s="399">
        <v>-17.698635468909799</v>
      </c>
      <c r="FC35" s="399"/>
      <c r="FD35" s="399">
        <v>-17.698635468909799</v>
      </c>
      <c r="FE35" s="399"/>
      <c r="FF35" s="399">
        <v>0</v>
      </c>
      <c r="FG35" s="399">
        <v>0</v>
      </c>
      <c r="FH35" s="399">
        <v>0</v>
      </c>
      <c r="FI35" s="399">
        <v>0</v>
      </c>
    </row>
    <row r="36" spans="1:165" customFormat="1">
      <c r="A36" s="399">
        <v>31</v>
      </c>
      <c r="B36" s="399" t="s">
        <v>956</v>
      </c>
      <c r="C36" s="399" t="s">
        <v>2402</v>
      </c>
      <c r="D36" s="399" t="s">
        <v>1823</v>
      </c>
      <c r="E36" s="399" t="s">
        <v>889</v>
      </c>
      <c r="F36" s="399" t="s">
        <v>2407</v>
      </c>
      <c r="G36" s="399" t="s">
        <v>1239</v>
      </c>
      <c r="H36" s="399" t="s">
        <v>1239</v>
      </c>
      <c r="I36" s="399" t="s">
        <v>1239</v>
      </c>
      <c r="J36" s="399" t="s">
        <v>2400</v>
      </c>
      <c r="K36" s="788">
        <v>44470</v>
      </c>
      <c r="L36" s="399">
        <v>0</v>
      </c>
      <c r="M36" s="399">
        <v>0</v>
      </c>
      <c r="N36" s="399">
        <v>5.2969999999999997</v>
      </c>
      <c r="O36" s="399">
        <v>5.2969999999999997</v>
      </c>
      <c r="P36" s="399">
        <v>5.2969999999999997</v>
      </c>
      <c r="Q36" s="399">
        <v>5.2969999999999997</v>
      </c>
      <c r="R36" s="399"/>
      <c r="S36" s="399">
        <v>510.09</v>
      </c>
      <c r="T36" s="399">
        <v>286.42</v>
      </c>
      <c r="U36" s="399"/>
      <c r="V36" s="399">
        <v>4219.1134699999993</v>
      </c>
      <c r="W36" s="399">
        <v>4219.1134699999993</v>
      </c>
      <c r="X36" s="399">
        <v>3123.4819899999998</v>
      </c>
      <c r="Y36" s="399">
        <v>0</v>
      </c>
      <c r="Z36" s="399">
        <v>0</v>
      </c>
      <c r="AA36" s="399">
        <v>0</v>
      </c>
      <c r="AB36" s="399">
        <v>0</v>
      </c>
      <c r="AC36" s="399">
        <v>0</v>
      </c>
      <c r="AD36" s="399">
        <v>517.26343831249051</v>
      </c>
      <c r="AE36" s="399">
        <v>1998.091938546919</v>
      </c>
      <c r="AF36" s="399">
        <v>1517.1844597566521</v>
      </c>
      <c r="AG36" s="399">
        <v>0</v>
      </c>
      <c r="AH36" s="399">
        <v>0</v>
      </c>
      <c r="AI36" s="399">
        <v>0</v>
      </c>
      <c r="AJ36" s="399">
        <v>0</v>
      </c>
      <c r="AK36" s="399">
        <v>0</v>
      </c>
      <c r="AL36" s="399">
        <v>0</v>
      </c>
      <c r="AM36" s="399"/>
      <c r="AN36" s="399">
        <v>9.0464155891886993</v>
      </c>
      <c r="AO36" s="399">
        <v>0</v>
      </c>
      <c r="AP36" s="399">
        <v>0</v>
      </c>
      <c r="AQ36" s="399">
        <v>0</v>
      </c>
      <c r="AR36" s="399">
        <v>0</v>
      </c>
      <c r="AS36" s="399">
        <v>0</v>
      </c>
      <c r="AT36" s="399">
        <v>0</v>
      </c>
      <c r="AU36" s="399">
        <v>0</v>
      </c>
      <c r="AV36" s="399">
        <v>0</v>
      </c>
      <c r="AW36" s="399">
        <v>0</v>
      </c>
      <c r="AX36" s="399">
        <v>0</v>
      </c>
      <c r="AY36" s="399">
        <v>0</v>
      </c>
      <c r="AZ36" s="399">
        <v>0</v>
      </c>
      <c r="BA36" s="399"/>
      <c r="BB36" s="399">
        <v>0</v>
      </c>
      <c r="BC36" s="399">
        <v>0</v>
      </c>
      <c r="BD36" s="399">
        <v>0</v>
      </c>
      <c r="BE36" s="399">
        <v>0</v>
      </c>
      <c r="BF36" s="399">
        <v>0</v>
      </c>
      <c r="BG36" s="399">
        <v>177.56772300236446</v>
      </c>
      <c r="BH36" s="399">
        <v>0</v>
      </c>
      <c r="BI36" s="399">
        <v>21.59</v>
      </c>
      <c r="BJ36" s="399">
        <v>100.31</v>
      </c>
      <c r="BK36" s="399">
        <v>1109.54</v>
      </c>
      <c r="BL36" s="399">
        <v>68</v>
      </c>
      <c r="BM36" s="399"/>
      <c r="BN36" s="399"/>
      <c r="BO36" s="399"/>
      <c r="BP36" s="399"/>
      <c r="BQ36" s="399"/>
      <c r="BR36" s="399"/>
      <c r="BS36" s="399"/>
      <c r="BT36" s="399">
        <v>312.36408999999998</v>
      </c>
      <c r="BU36" s="399"/>
      <c r="BV36" s="399">
        <v>1694.7521827590167</v>
      </c>
      <c r="BW36" s="399"/>
      <c r="BX36" s="399"/>
      <c r="BY36" s="399"/>
      <c r="BZ36" s="399"/>
      <c r="CA36" s="399"/>
      <c r="CB36" s="399"/>
      <c r="CC36" s="399"/>
      <c r="CD36" s="399"/>
      <c r="CE36" s="399"/>
      <c r="CF36" s="399"/>
      <c r="CG36" s="399"/>
      <c r="CH36" s="399"/>
      <c r="CI36" s="399">
        <v>2812.71</v>
      </c>
      <c r="CJ36" s="399">
        <v>-984.52742000000035</v>
      </c>
      <c r="CK36" s="399"/>
      <c r="CL36" s="399"/>
      <c r="CM36" s="399"/>
      <c r="CN36" s="399"/>
      <c r="CO36" s="399">
        <v>-752.2799399999999</v>
      </c>
      <c r="CP36" s="399">
        <v>-343.35154000000011</v>
      </c>
      <c r="CQ36" s="399">
        <v>31</v>
      </c>
      <c r="CR36" s="399">
        <v>-366.59157469041793</v>
      </c>
      <c r="CS36" s="399">
        <v>0</v>
      </c>
      <c r="CT36" s="399">
        <v>0</v>
      </c>
      <c r="CU36" s="399">
        <v>0</v>
      </c>
      <c r="CV36" s="399">
        <v>0</v>
      </c>
      <c r="CW36" s="399">
        <v>0</v>
      </c>
      <c r="CX36" s="399">
        <v>0</v>
      </c>
      <c r="CY36" s="399">
        <v>0</v>
      </c>
      <c r="CZ36" s="399">
        <v>17.750881503229266</v>
      </c>
      <c r="DA36" s="399">
        <v>0</v>
      </c>
      <c r="DB36" s="399">
        <v>0</v>
      </c>
      <c r="DC36" s="399">
        <v>-343.3873979728296</v>
      </c>
      <c r="DD36" s="399">
        <v>0</v>
      </c>
      <c r="DE36" s="399">
        <v>0</v>
      </c>
      <c r="DF36" s="399">
        <v>0</v>
      </c>
      <c r="DG36" s="399">
        <v>-40.189258447533973</v>
      </c>
      <c r="DH36" s="399">
        <v>0</v>
      </c>
      <c r="DI36" s="399">
        <v>0</v>
      </c>
      <c r="DJ36" s="399"/>
      <c r="DK36" s="399">
        <v>0</v>
      </c>
      <c r="DL36" s="399">
        <v>0</v>
      </c>
      <c r="DM36" s="399">
        <v>0</v>
      </c>
      <c r="DN36" s="399">
        <v>0</v>
      </c>
      <c r="DO36" s="399">
        <v>0</v>
      </c>
      <c r="DP36" s="399">
        <v>-0.76579977328369075</v>
      </c>
      <c r="DQ36" s="399">
        <v>0</v>
      </c>
      <c r="DR36" s="399">
        <v>0</v>
      </c>
      <c r="DS36" s="399"/>
      <c r="DT36" s="399"/>
      <c r="DU36" s="399"/>
      <c r="DV36" s="399">
        <v>1998.091938546919</v>
      </c>
      <c r="DW36" s="399">
        <v>0</v>
      </c>
      <c r="DX36" s="399">
        <v>0</v>
      </c>
      <c r="DY36" s="399">
        <v>-752.2799399999999</v>
      </c>
      <c r="DZ36" s="399">
        <v>-343.35153999999989</v>
      </c>
      <c r="EA36" s="399">
        <v>0</v>
      </c>
      <c r="EB36" s="399">
        <v>0</v>
      </c>
      <c r="EC36" s="399">
        <v>-729.10398409450113</v>
      </c>
      <c r="ED36" s="399">
        <v>0</v>
      </c>
      <c r="EE36" s="399">
        <v>0</v>
      </c>
      <c r="EF36" s="399">
        <v>0</v>
      </c>
      <c r="EG36" s="399">
        <v>0</v>
      </c>
      <c r="EH36" s="399">
        <v>0</v>
      </c>
      <c r="EI36" s="399">
        <v>0</v>
      </c>
      <c r="EJ36" s="399">
        <v>0</v>
      </c>
      <c r="EK36" s="399">
        <v>0</v>
      </c>
      <c r="EL36" s="399">
        <v>0</v>
      </c>
      <c r="EM36" s="399">
        <v>0</v>
      </c>
      <c r="EN36" s="399">
        <v>0</v>
      </c>
      <c r="EO36" s="399">
        <v>0</v>
      </c>
      <c r="EP36" s="399">
        <v>0</v>
      </c>
      <c r="EQ36" s="399">
        <v>0</v>
      </c>
      <c r="ER36" s="399">
        <v>0</v>
      </c>
      <c r="ES36" s="399">
        <v>0</v>
      </c>
      <c r="ET36" s="399">
        <v>0</v>
      </c>
      <c r="EU36" s="399">
        <v>0</v>
      </c>
      <c r="EV36" s="399">
        <v>202</v>
      </c>
      <c r="EW36" s="399">
        <v>0</v>
      </c>
      <c r="EX36" s="399">
        <v>0</v>
      </c>
      <c r="EY36" s="399">
        <v>0</v>
      </c>
      <c r="EZ36" s="399"/>
      <c r="FA36" s="399">
        <v>0</v>
      </c>
      <c r="FB36" s="399">
        <v>-17.698635468909799</v>
      </c>
      <c r="FC36" s="399"/>
      <c r="FD36" s="399">
        <v>-17.698635468909799</v>
      </c>
      <c r="FE36" s="399"/>
      <c r="FF36" s="399">
        <v>0</v>
      </c>
      <c r="FG36" s="399">
        <v>0</v>
      </c>
      <c r="FH36" s="399">
        <v>0</v>
      </c>
      <c r="FI36" s="399">
        <v>0</v>
      </c>
    </row>
    <row r="37" spans="1:165" customFormat="1">
      <c r="A37" s="399">
        <v>32</v>
      </c>
      <c r="B37" s="399" t="s">
        <v>2403</v>
      </c>
      <c r="C37" s="399" t="s">
        <v>2402</v>
      </c>
      <c r="D37" s="399" t="s">
        <v>1823</v>
      </c>
      <c r="E37" s="399" t="s">
        <v>889</v>
      </c>
      <c r="F37" s="399" t="s">
        <v>2407</v>
      </c>
      <c r="G37" s="399" t="s">
        <v>1239</v>
      </c>
      <c r="H37" s="399" t="s">
        <v>1239</v>
      </c>
      <c r="I37" s="399" t="s">
        <v>1239</v>
      </c>
      <c r="J37" s="399" t="s">
        <v>2400</v>
      </c>
      <c r="K37" s="788">
        <v>44470</v>
      </c>
      <c r="L37" s="399">
        <v>0</v>
      </c>
      <c r="M37" s="399">
        <v>0</v>
      </c>
      <c r="N37" s="399">
        <v>-2.4E-2</v>
      </c>
      <c r="O37" s="399">
        <v>-2.4E-2</v>
      </c>
      <c r="P37" s="399">
        <v>-2.4E-2</v>
      </c>
      <c r="Q37" s="399">
        <v>-2.4E-2</v>
      </c>
      <c r="R37" s="399"/>
      <c r="S37" s="399">
        <v>510.09</v>
      </c>
      <c r="T37" s="399">
        <v>286.42</v>
      </c>
      <c r="U37" s="399"/>
      <c r="V37" s="399">
        <v>-19.116240000000001</v>
      </c>
      <c r="W37" s="399">
        <v>-19.116240000000001</v>
      </c>
      <c r="X37" s="399">
        <v>-14.152079999999998</v>
      </c>
      <c r="Y37" s="399">
        <v>0</v>
      </c>
      <c r="Z37" s="399">
        <v>0</v>
      </c>
      <c r="AA37" s="399">
        <v>0</v>
      </c>
      <c r="AB37" s="399">
        <v>0</v>
      </c>
      <c r="AC37" s="399">
        <v>0</v>
      </c>
      <c r="AD37" s="399">
        <v>-2.3436515989238762</v>
      </c>
      <c r="AE37" s="399">
        <v>-9.0530878846754881</v>
      </c>
      <c r="AF37" s="399">
        <v>-6.8741602858523034</v>
      </c>
      <c r="AG37" s="399">
        <v>0</v>
      </c>
      <c r="AH37" s="399">
        <v>0</v>
      </c>
      <c r="AI37" s="399">
        <v>0</v>
      </c>
      <c r="AJ37" s="399">
        <v>0</v>
      </c>
      <c r="AK37" s="399">
        <v>0</v>
      </c>
      <c r="AL37" s="399">
        <v>0</v>
      </c>
      <c r="AM37" s="399"/>
      <c r="AN37" s="399">
        <v>-4.0988101593454562E-2</v>
      </c>
      <c r="AO37" s="399">
        <v>0</v>
      </c>
      <c r="AP37" s="399">
        <v>0</v>
      </c>
      <c r="AQ37" s="399">
        <v>0</v>
      </c>
      <c r="AR37" s="399">
        <v>0</v>
      </c>
      <c r="AS37" s="399">
        <v>0</v>
      </c>
      <c r="AT37" s="399">
        <v>0</v>
      </c>
      <c r="AU37" s="399">
        <v>0</v>
      </c>
      <c r="AV37" s="399">
        <v>0</v>
      </c>
      <c r="AW37" s="399">
        <v>0</v>
      </c>
      <c r="AX37" s="399">
        <v>0</v>
      </c>
      <c r="AY37" s="399">
        <v>0</v>
      </c>
      <c r="AZ37" s="399">
        <v>0</v>
      </c>
      <c r="BA37" s="399"/>
      <c r="BB37" s="399">
        <v>0</v>
      </c>
      <c r="BC37" s="399">
        <v>0</v>
      </c>
      <c r="BD37" s="399">
        <v>0</v>
      </c>
      <c r="BE37" s="399">
        <v>0</v>
      </c>
      <c r="BF37" s="399">
        <v>0</v>
      </c>
      <c r="BG37" s="399">
        <v>-0.80453565264427929</v>
      </c>
      <c r="BH37" s="399">
        <v>0</v>
      </c>
      <c r="BI37" s="399">
        <v>0</v>
      </c>
      <c r="BJ37" s="399">
        <v>0.01</v>
      </c>
      <c r="BK37" s="399">
        <v>-16.190000000000001</v>
      </c>
      <c r="BL37" s="399">
        <v>0</v>
      </c>
      <c r="BM37" s="399"/>
      <c r="BN37" s="399"/>
      <c r="BO37" s="399"/>
      <c r="BP37" s="399"/>
      <c r="BQ37" s="399"/>
      <c r="BR37" s="399"/>
      <c r="BS37" s="399"/>
      <c r="BT37" s="399">
        <v>-1.4152800000000001</v>
      </c>
      <c r="BU37" s="399"/>
      <c r="BV37" s="399">
        <v>-7.6786959384965829</v>
      </c>
      <c r="BW37" s="399"/>
      <c r="BX37" s="399"/>
      <c r="BY37" s="399"/>
      <c r="BZ37" s="399"/>
      <c r="CA37" s="399"/>
      <c r="CB37" s="399"/>
      <c r="CC37" s="399"/>
      <c r="CD37" s="399"/>
      <c r="CE37" s="399"/>
      <c r="CF37" s="399"/>
      <c r="CG37" s="399"/>
      <c r="CH37" s="399"/>
      <c r="CI37" s="399">
        <v>-10.613999999999999</v>
      </c>
      <c r="CJ37" s="399">
        <v>6.5606400000000011</v>
      </c>
      <c r="CK37" s="399"/>
      <c r="CL37" s="399"/>
      <c r="CM37" s="399"/>
      <c r="CN37" s="399"/>
      <c r="CO37" s="399">
        <v>3.4084799999999995</v>
      </c>
      <c r="CP37" s="399">
        <v>1.5556800000000006</v>
      </c>
      <c r="CQ37" s="399">
        <v>31</v>
      </c>
      <c r="CR37" s="399">
        <v>1.660977495293567</v>
      </c>
      <c r="CS37" s="399">
        <v>0</v>
      </c>
      <c r="CT37" s="399">
        <v>0</v>
      </c>
      <c r="CU37" s="399">
        <v>0</v>
      </c>
      <c r="CV37" s="399">
        <v>0</v>
      </c>
      <c r="CW37" s="399">
        <v>0</v>
      </c>
      <c r="CX37" s="399">
        <v>0</v>
      </c>
      <c r="CY37" s="399">
        <v>0</v>
      </c>
      <c r="CZ37" s="399">
        <v>-8.0426874849443664E-2</v>
      </c>
      <c r="DA37" s="399">
        <v>0</v>
      </c>
      <c r="DB37" s="399">
        <v>0</v>
      </c>
      <c r="DC37" s="399">
        <v>1.5558424676888629</v>
      </c>
      <c r="DD37" s="399">
        <v>0</v>
      </c>
      <c r="DE37" s="399">
        <v>0</v>
      </c>
      <c r="DF37" s="399">
        <v>0</v>
      </c>
      <c r="DG37" s="399">
        <v>0.18209216589405608</v>
      </c>
      <c r="DH37" s="399">
        <v>0</v>
      </c>
      <c r="DI37" s="399">
        <v>0</v>
      </c>
      <c r="DJ37" s="399"/>
      <c r="DK37" s="399">
        <v>0</v>
      </c>
      <c r="DL37" s="399">
        <v>0</v>
      </c>
      <c r="DM37" s="399">
        <v>0</v>
      </c>
      <c r="DN37" s="399">
        <v>0</v>
      </c>
      <c r="DO37" s="399">
        <v>0</v>
      </c>
      <c r="DP37" s="399">
        <v>3.4697365600922375E-3</v>
      </c>
      <c r="DQ37" s="399">
        <v>0</v>
      </c>
      <c r="DR37" s="399">
        <v>0</v>
      </c>
      <c r="DS37" s="399"/>
      <c r="DT37" s="399"/>
      <c r="DU37" s="399"/>
      <c r="DV37" s="399">
        <v>-9.0530878846754881</v>
      </c>
      <c r="DW37" s="399">
        <v>0</v>
      </c>
      <c r="DX37" s="399">
        <v>0</v>
      </c>
      <c r="DY37" s="399">
        <v>3.4084800000000008</v>
      </c>
      <c r="DZ37" s="399">
        <v>1.5556800000000006</v>
      </c>
      <c r="EA37" s="399">
        <v>0</v>
      </c>
      <c r="EB37" s="399">
        <v>0</v>
      </c>
      <c r="EC37" s="399">
        <v>3.3034728371281918</v>
      </c>
      <c r="ED37" s="399">
        <v>0</v>
      </c>
      <c r="EE37" s="399">
        <v>0</v>
      </c>
      <c r="EF37" s="399">
        <v>0</v>
      </c>
      <c r="EG37" s="399">
        <v>0</v>
      </c>
      <c r="EH37" s="399">
        <v>0</v>
      </c>
      <c r="EI37" s="399">
        <v>0</v>
      </c>
      <c r="EJ37" s="399">
        <v>0</v>
      </c>
      <c r="EK37" s="399">
        <v>0</v>
      </c>
      <c r="EL37" s="399">
        <v>0</v>
      </c>
      <c r="EM37" s="399">
        <v>0</v>
      </c>
      <c r="EN37" s="399">
        <v>0</v>
      </c>
      <c r="EO37" s="399">
        <v>0</v>
      </c>
      <c r="EP37" s="399">
        <v>0</v>
      </c>
      <c r="EQ37" s="399">
        <v>0</v>
      </c>
      <c r="ER37" s="399">
        <v>0</v>
      </c>
      <c r="ES37" s="399">
        <v>0</v>
      </c>
      <c r="ET37" s="399">
        <v>0</v>
      </c>
      <c r="EU37" s="399">
        <v>0</v>
      </c>
      <c r="EV37" s="399">
        <v>202</v>
      </c>
      <c r="EW37" s="399">
        <v>0</v>
      </c>
      <c r="EX37" s="399">
        <v>0</v>
      </c>
      <c r="EY37" s="399">
        <v>0</v>
      </c>
      <c r="EZ37" s="399"/>
      <c r="FA37" s="399">
        <v>0</v>
      </c>
      <c r="FB37" s="399">
        <v>-17.698635468909799</v>
      </c>
      <c r="FC37" s="399"/>
      <c r="FD37" s="399">
        <v>-17.698635468909799</v>
      </c>
      <c r="FE37" s="399"/>
      <c r="FF37" s="399">
        <v>0</v>
      </c>
      <c r="FG37" s="399">
        <v>0</v>
      </c>
      <c r="FH37" s="399">
        <v>0</v>
      </c>
      <c r="FI37" s="399">
        <v>0</v>
      </c>
    </row>
    <row r="38" spans="1:165" customFormat="1">
      <c r="A38" s="399">
        <v>33</v>
      </c>
      <c r="B38" s="399" t="s">
        <v>956</v>
      </c>
      <c r="C38" s="399" t="s">
        <v>2402</v>
      </c>
      <c r="D38" s="399" t="s">
        <v>1823</v>
      </c>
      <c r="E38" s="399" t="s">
        <v>889</v>
      </c>
      <c r="F38" s="399" t="s">
        <v>2408</v>
      </c>
      <c r="G38" s="399" t="s">
        <v>1239</v>
      </c>
      <c r="H38" s="399" t="s">
        <v>1239</v>
      </c>
      <c r="I38" s="399" t="s">
        <v>1239</v>
      </c>
      <c r="J38" s="399" t="s">
        <v>2400</v>
      </c>
      <c r="K38" s="788">
        <v>44470</v>
      </c>
      <c r="L38" s="399">
        <v>0</v>
      </c>
      <c r="M38" s="399">
        <v>0</v>
      </c>
      <c r="N38" s="399">
        <v>1.1439999999999999</v>
      </c>
      <c r="O38" s="399">
        <v>1.1439999999999999</v>
      </c>
      <c r="P38" s="399">
        <v>1.1439999999999999</v>
      </c>
      <c r="Q38" s="399">
        <v>1.1439999999999999</v>
      </c>
      <c r="R38" s="399"/>
      <c r="S38" s="399">
        <v>510.09</v>
      </c>
      <c r="T38" s="399">
        <v>286.42</v>
      </c>
      <c r="U38" s="399"/>
      <c r="V38" s="399">
        <v>911.20743999999991</v>
      </c>
      <c r="W38" s="399">
        <v>911.20743999999991</v>
      </c>
      <c r="X38" s="399">
        <v>674.58247999999992</v>
      </c>
      <c r="Y38" s="399">
        <v>0</v>
      </c>
      <c r="Z38" s="399">
        <v>0</v>
      </c>
      <c r="AA38" s="399">
        <v>0</v>
      </c>
      <c r="AB38" s="399">
        <v>0</v>
      </c>
      <c r="AC38" s="399">
        <v>0</v>
      </c>
      <c r="AD38" s="399">
        <v>111.71405954870475</v>
      </c>
      <c r="AE38" s="399">
        <v>431.53052250286493</v>
      </c>
      <c r="AF38" s="399">
        <v>327.66830695895976</v>
      </c>
      <c r="AG38" s="399">
        <v>0</v>
      </c>
      <c r="AH38" s="399">
        <v>0</v>
      </c>
      <c r="AI38" s="399">
        <v>0</v>
      </c>
      <c r="AJ38" s="399">
        <v>0</v>
      </c>
      <c r="AK38" s="399">
        <v>0</v>
      </c>
      <c r="AL38" s="399">
        <v>0</v>
      </c>
      <c r="AM38" s="399"/>
      <c r="AN38" s="399">
        <v>1.9537661759546672</v>
      </c>
      <c r="AO38" s="399">
        <v>0</v>
      </c>
      <c r="AP38" s="399">
        <v>0</v>
      </c>
      <c r="AQ38" s="399">
        <v>0</v>
      </c>
      <c r="AR38" s="399">
        <v>0</v>
      </c>
      <c r="AS38" s="399">
        <v>0</v>
      </c>
      <c r="AT38" s="399">
        <v>0</v>
      </c>
      <c r="AU38" s="399">
        <v>0</v>
      </c>
      <c r="AV38" s="399">
        <v>0</v>
      </c>
      <c r="AW38" s="399">
        <v>0</v>
      </c>
      <c r="AX38" s="399">
        <v>0</v>
      </c>
      <c r="AY38" s="399">
        <v>0</v>
      </c>
      <c r="AZ38" s="399">
        <v>0</v>
      </c>
      <c r="BA38" s="399"/>
      <c r="BB38" s="399">
        <v>0</v>
      </c>
      <c r="BC38" s="399">
        <v>0</v>
      </c>
      <c r="BD38" s="399">
        <v>0</v>
      </c>
      <c r="BE38" s="399">
        <v>0</v>
      </c>
      <c r="BF38" s="399">
        <v>0</v>
      </c>
      <c r="BG38" s="399">
        <v>38.349532776043972</v>
      </c>
      <c r="BH38" s="399">
        <v>0</v>
      </c>
      <c r="BI38" s="399">
        <v>5.34</v>
      </c>
      <c r="BJ38" s="399">
        <v>24.62</v>
      </c>
      <c r="BK38" s="399">
        <v>407.81</v>
      </c>
      <c r="BL38" s="399">
        <v>14</v>
      </c>
      <c r="BM38" s="399"/>
      <c r="BN38" s="399"/>
      <c r="BO38" s="399"/>
      <c r="BP38" s="399"/>
      <c r="BQ38" s="399"/>
      <c r="BR38" s="399"/>
      <c r="BS38" s="399"/>
      <c r="BT38" s="399"/>
      <c r="BU38" s="399"/>
      <c r="BV38" s="399">
        <v>366.01783973500375</v>
      </c>
      <c r="BW38" s="399"/>
      <c r="BX38" s="399"/>
      <c r="BY38" s="399"/>
      <c r="BZ38" s="399"/>
      <c r="CA38" s="399"/>
      <c r="CB38" s="399"/>
      <c r="CC38" s="399"/>
      <c r="CD38" s="399"/>
      <c r="CE38" s="399"/>
      <c r="CF38" s="399"/>
      <c r="CG38" s="399"/>
      <c r="CH38" s="399"/>
      <c r="CI38" s="399">
        <v>672.22379999999998</v>
      </c>
      <c r="CJ38" s="399">
        <v>-239.0136399999999</v>
      </c>
      <c r="CK38" s="399"/>
      <c r="CL38" s="399"/>
      <c r="CM38" s="399"/>
      <c r="CN38" s="399"/>
      <c r="CO38" s="399">
        <v>-162.47087999999997</v>
      </c>
      <c r="CP38" s="399">
        <v>-74.154080000000022</v>
      </c>
      <c r="CQ38" s="399">
        <v>31</v>
      </c>
      <c r="CR38" s="399">
        <v>-79.173260608993417</v>
      </c>
      <c r="CS38" s="399">
        <v>0</v>
      </c>
      <c r="CT38" s="399">
        <v>0</v>
      </c>
      <c r="CU38" s="399">
        <v>0</v>
      </c>
      <c r="CV38" s="399">
        <v>0</v>
      </c>
      <c r="CW38" s="399">
        <v>0</v>
      </c>
      <c r="CX38" s="399">
        <v>0</v>
      </c>
      <c r="CY38" s="399">
        <v>0</v>
      </c>
      <c r="CZ38" s="399">
        <v>3.8336810344901551</v>
      </c>
      <c r="DA38" s="399">
        <v>0</v>
      </c>
      <c r="DB38" s="399">
        <v>0</v>
      </c>
      <c r="DC38" s="399">
        <v>-74.161824293169133</v>
      </c>
      <c r="DD38" s="399">
        <v>0</v>
      </c>
      <c r="DE38" s="399">
        <v>0</v>
      </c>
      <c r="DF38" s="399">
        <v>0</v>
      </c>
      <c r="DG38" s="399">
        <v>-8.679726574283336</v>
      </c>
      <c r="DH38" s="399">
        <v>0</v>
      </c>
      <c r="DI38" s="399">
        <v>0</v>
      </c>
      <c r="DJ38" s="399"/>
      <c r="DK38" s="399">
        <v>0</v>
      </c>
      <c r="DL38" s="399">
        <v>0</v>
      </c>
      <c r="DM38" s="399">
        <v>0</v>
      </c>
      <c r="DN38" s="399">
        <v>0</v>
      </c>
      <c r="DO38" s="399">
        <v>0</v>
      </c>
      <c r="DP38" s="399">
        <v>-0.16539077603106334</v>
      </c>
      <c r="DQ38" s="399">
        <v>0</v>
      </c>
      <c r="DR38" s="399">
        <v>0</v>
      </c>
      <c r="DS38" s="399"/>
      <c r="DT38" s="399"/>
      <c r="DU38" s="399"/>
      <c r="DV38" s="399">
        <v>431.53052250286493</v>
      </c>
      <c r="DW38" s="399">
        <v>0</v>
      </c>
      <c r="DX38" s="399">
        <v>0</v>
      </c>
      <c r="DY38" s="399">
        <v>-162.47087999999991</v>
      </c>
      <c r="DZ38" s="399">
        <v>-74.154079999999993</v>
      </c>
      <c r="EA38" s="399">
        <v>0</v>
      </c>
      <c r="EB38" s="399">
        <v>0</v>
      </c>
      <c r="EC38" s="399">
        <v>-157.46553856977715</v>
      </c>
      <c r="ED38" s="399">
        <v>0</v>
      </c>
      <c r="EE38" s="399">
        <v>0</v>
      </c>
      <c r="EF38" s="399">
        <v>0</v>
      </c>
      <c r="EG38" s="399">
        <v>0</v>
      </c>
      <c r="EH38" s="399">
        <v>0</v>
      </c>
      <c r="EI38" s="399">
        <v>0</v>
      </c>
      <c r="EJ38" s="399">
        <v>0</v>
      </c>
      <c r="EK38" s="399">
        <v>0</v>
      </c>
      <c r="EL38" s="399">
        <v>0</v>
      </c>
      <c r="EM38" s="399">
        <v>0</v>
      </c>
      <c r="EN38" s="399">
        <v>0</v>
      </c>
      <c r="EO38" s="399">
        <v>0</v>
      </c>
      <c r="EP38" s="399">
        <v>0</v>
      </c>
      <c r="EQ38" s="399">
        <v>0</v>
      </c>
      <c r="ER38" s="399">
        <v>0</v>
      </c>
      <c r="ES38" s="399">
        <v>0</v>
      </c>
      <c r="ET38" s="399">
        <v>0</v>
      </c>
      <c r="EU38" s="399">
        <v>0</v>
      </c>
      <c r="EV38" s="399">
        <v>202</v>
      </c>
      <c r="EW38" s="399">
        <v>0</v>
      </c>
      <c r="EX38" s="399">
        <v>0</v>
      </c>
      <c r="EY38" s="399">
        <v>0</v>
      </c>
      <c r="EZ38" s="399"/>
      <c r="FA38" s="399">
        <v>0</v>
      </c>
      <c r="FB38" s="399">
        <v>-17.698635468909799</v>
      </c>
      <c r="FC38" s="399"/>
      <c r="FD38" s="399">
        <v>-17.698635468909799</v>
      </c>
      <c r="FE38" s="399"/>
      <c r="FF38" s="399">
        <v>0</v>
      </c>
      <c r="FG38" s="399">
        <v>0</v>
      </c>
      <c r="FH38" s="399">
        <v>0</v>
      </c>
      <c r="FI38" s="399">
        <v>0</v>
      </c>
    </row>
    <row r="39" spans="1:165" customFormat="1">
      <c r="A39" s="399">
        <v>34</v>
      </c>
      <c r="B39" s="399" t="s">
        <v>2403</v>
      </c>
      <c r="C39" s="399" t="s">
        <v>2402</v>
      </c>
      <c r="D39" s="399" t="s">
        <v>1823</v>
      </c>
      <c r="E39" s="399" t="s">
        <v>889</v>
      </c>
      <c r="F39" s="399" t="s">
        <v>2408</v>
      </c>
      <c r="G39" s="399" t="s">
        <v>1239</v>
      </c>
      <c r="H39" s="399" t="s">
        <v>1239</v>
      </c>
      <c r="I39" s="399" t="s">
        <v>1239</v>
      </c>
      <c r="J39" s="399" t="s">
        <v>2400</v>
      </c>
      <c r="K39" s="788">
        <v>44470</v>
      </c>
      <c r="L39" s="399">
        <v>0</v>
      </c>
      <c r="M39" s="399">
        <v>0</v>
      </c>
      <c r="N39" s="399">
        <v>-0.23</v>
      </c>
      <c r="O39" s="399">
        <v>-0.23</v>
      </c>
      <c r="P39" s="399">
        <v>-0.23</v>
      </c>
      <c r="Q39" s="399">
        <v>-0.23</v>
      </c>
      <c r="R39" s="399"/>
      <c r="S39" s="399">
        <v>510.09</v>
      </c>
      <c r="T39" s="399">
        <v>286.42</v>
      </c>
      <c r="U39" s="399"/>
      <c r="V39" s="399">
        <v>-183.19730000000001</v>
      </c>
      <c r="W39" s="399">
        <v>-183.19730000000001</v>
      </c>
      <c r="X39" s="399">
        <v>-135.6241</v>
      </c>
      <c r="Y39" s="399">
        <v>0</v>
      </c>
      <c r="Z39" s="399">
        <v>0</v>
      </c>
      <c r="AA39" s="399">
        <v>0</v>
      </c>
      <c r="AB39" s="399">
        <v>0</v>
      </c>
      <c r="AC39" s="399">
        <v>0</v>
      </c>
      <c r="AD39" s="399">
        <v>-22.459994489687148</v>
      </c>
      <c r="AE39" s="399">
        <v>-86.758758894806761</v>
      </c>
      <c r="AF39" s="399">
        <v>-65.877369406084583</v>
      </c>
      <c r="AG39" s="399">
        <v>0</v>
      </c>
      <c r="AH39" s="399">
        <v>0</v>
      </c>
      <c r="AI39" s="399">
        <v>0</v>
      </c>
      <c r="AJ39" s="399">
        <v>0</v>
      </c>
      <c r="AK39" s="399">
        <v>0</v>
      </c>
      <c r="AL39" s="399">
        <v>0</v>
      </c>
      <c r="AM39" s="399"/>
      <c r="AN39" s="399">
        <v>-0.39280264027060624</v>
      </c>
      <c r="AO39" s="399">
        <v>0</v>
      </c>
      <c r="AP39" s="399">
        <v>0</v>
      </c>
      <c r="AQ39" s="399">
        <v>0</v>
      </c>
      <c r="AR39" s="399">
        <v>0</v>
      </c>
      <c r="AS39" s="399">
        <v>0</v>
      </c>
      <c r="AT39" s="399">
        <v>0</v>
      </c>
      <c r="AU39" s="399">
        <v>0</v>
      </c>
      <c r="AV39" s="399">
        <v>0</v>
      </c>
      <c r="AW39" s="399">
        <v>0</v>
      </c>
      <c r="AX39" s="399">
        <v>0</v>
      </c>
      <c r="AY39" s="399">
        <v>0</v>
      </c>
      <c r="AZ39" s="399">
        <v>0</v>
      </c>
      <c r="BA39" s="399"/>
      <c r="BB39" s="399">
        <v>0</v>
      </c>
      <c r="BC39" s="399">
        <v>0</v>
      </c>
      <c r="BD39" s="399">
        <v>0</v>
      </c>
      <c r="BE39" s="399">
        <v>0</v>
      </c>
      <c r="BF39" s="399">
        <v>0</v>
      </c>
      <c r="BG39" s="399">
        <v>-7.7101333378410102</v>
      </c>
      <c r="BH39" s="399">
        <v>0</v>
      </c>
      <c r="BI39" s="399">
        <v>-0.52</v>
      </c>
      <c r="BJ39" s="399">
        <v>-2.41</v>
      </c>
      <c r="BK39" s="399">
        <v>-67.959999999999994</v>
      </c>
      <c r="BL39" s="399">
        <v>0</v>
      </c>
      <c r="BM39" s="399"/>
      <c r="BN39" s="399"/>
      <c r="BO39" s="399"/>
      <c r="BP39" s="399"/>
      <c r="BQ39" s="399"/>
      <c r="BR39" s="399"/>
      <c r="BS39" s="399"/>
      <c r="BT39" s="399"/>
      <c r="BU39" s="399"/>
      <c r="BV39" s="399">
        <v>-73.587502743925597</v>
      </c>
      <c r="BW39" s="399"/>
      <c r="BX39" s="399"/>
      <c r="BY39" s="399"/>
      <c r="BZ39" s="399"/>
      <c r="CA39" s="399"/>
      <c r="CB39" s="399"/>
      <c r="CC39" s="399"/>
      <c r="CD39" s="399"/>
      <c r="CE39" s="399"/>
      <c r="CF39" s="399"/>
      <c r="CG39" s="399"/>
      <c r="CH39" s="399"/>
      <c r="CI39" s="399">
        <v>-135.6241</v>
      </c>
      <c r="CJ39" s="399">
        <v>47.543200000000013</v>
      </c>
      <c r="CK39" s="399"/>
      <c r="CL39" s="399"/>
      <c r="CM39" s="399"/>
      <c r="CN39" s="399"/>
      <c r="CO39" s="399">
        <v>32.6646</v>
      </c>
      <c r="CP39" s="399">
        <v>14.908600000000005</v>
      </c>
      <c r="CQ39" s="399">
        <v>31</v>
      </c>
      <c r="CR39" s="399">
        <v>15.917700996563369</v>
      </c>
      <c r="CS39" s="399">
        <v>0</v>
      </c>
      <c r="CT39" s="399">
        <v>0</v>
      </c>
      <c r="CU39" s="399">
        <v>0</v>
      </c>
      <c r="CV39" s="399">
        <v>0</v>
      </c>
      <c r="CW39" s="399">
        <v>0</v>
      </c>
      <c r="CX39" s="399">
        <v>0</v>
      </c>
      <c r="CY39" s="399">
        <v>0</v>
      </c>
      <c r="CZ39" s="399">
        <v>-0.77075755064050355</v>
      </c>
      <c r="DA39" s="399">
        <v>0</v>
      </c>
      <c r="DB39" s="399">
        <v>0</v>
      </c>
      <c r="DC39" s="399">
        <v>14.910156982018279</v>
      </c>
      <c r="DD39" s="399">
        <v>0</v>
      </c>
      <c r="DE39" s="399">
        <v>0</v>
      </c>
      <c r="DF39" s="399">
        <v>0</v>
      </c>
      <c r="DG39" s="399">
        <v>1.7450499231513712</v>
      </c>
      <c r="DH39" s="399">
        <v>0</v>
      </c>
      <c r="DI39" s="399">
        <v>0</v>
      </c>
      <c r="DJ39" s="399"/>
      <c r="DK39" s="399">
        <v>0</v>
      </c>
      <c r="DL39" s="399">
        <v>0</v>
      </c>
      <c r="DM39" s="399">
        <v>0</v>
      </c>
      <c r="DN39" s="399">
        <v>0</v>
      </c>
      <c r="DO39" s="399">
        <v>0</v>
      </c>
      <c r="DP39" s="399">
        <v>3.3251642034217321E-2</v>
      </c>
      <c r="DQ39" s="399">
        <v>0</v>
      </c>
      <c r="DR39" s="399">
        <v>0</v>
      </c>
      <c r="DS39" s="399"/>
      <c r="DT39" s="399"/>
      <c r="DU39" s="399"/>
      <c r="DV39" s="399">
        <v>-86.758758894806761</v>
      </c>
      <c r="DW39" s="399">
        <v>0</v>
      </c>
      <c r="DX39" s="399">
        <v>0</v>
      </c>
      <c r="DY39" s="399">
        <v>32.664600000000007</v>
      </c>
      <c r="DZ39" s="399">
        <v>14.908600000000007</v>
      </c>
      <c r="EA39" s="399">
        <v>0</v>
      </c>
      <c r="EB39" s="399">
        <v>0</v>
      </c>
      <c r="EC39" s="399">
        <v>31.658281355811837</v>
      </c>
      <c r="ED39" s="399">
        <v>0</v>
      </c>
      <c r="EE39" s="399">
        <v>0</v>
      </c>
      <c r="EF39" s="399">
        <v>0</v>
      </c>
      <c r="EG39" s="399">
        <v>0</v>
      </c>
      <c r="EH39" s="399">
        <v>0</v>
      </c>
      <c r="EI39" s="399">
        <v>0</v>
      </c>
      <c r="EJ39" s="399">
        <v>0</v>
      </c>
      <c r="EK39" s="399">
        <v>0</v>
      </c>
      <c r="EL39" s="399">
        <v>0</v>
      </c>
      <c r="EM39" s="399">
        <v>0</v>
      </c>
      <c r="EN39" s="399">
        <v>0</v>
      </c>
      <c r="EO39" s="399">
        <v>0</v>
      </c>
      <c r="EP39" s="399">
        <v>0</v>
      </c>
      <c r="EQ39" s="399">
        <v>0</v>
      </c>
      <c r="ER39" s="399">
        <v>0</v>
      </c>
      <c r="ES39" s="399">
        <v>0</v>
      </c>
      <c r="ET39" s="399">
        <v>0</v>
      </c>
      <c r="EU39" s="399">
        <v>0</v>
      </c>
      <c r="EV39" s="399">
        <v>202</v>
      </c>
      <c r="EW39" s="399">
        <v>0</v>
      </c>
      <c r="EX39" s="399">
        <v>0</v>
      </c>
      <c r="EY39" s="399">
        <v>0</v>
      </c>
      <c r="EZ39" s="399"/>
      <c r="FA39" s="399">
        <v>0</v>
      </c>
      <c r="FB39" s="399">
        <v>-17.698635468909799</v>
      </c>
      <c r="FC39" s="399"/>
      <c r="FD39" s="399">
        <v>-17.698635468909799</v>
      </c>
      <c r="FE39" s="399"/>
      <c r="FF39" s="399">
        <v>0</v>
      </c>
      <c r="FG39" s="399">
        <v>0</v>
      </c>
      <c r="FH39" s="399">
        <v>0</v>
      </c>
      <c r="FI39" s="399">
        <v>0</v>
      </c>
    </row>
    <row r="40" spans="1:165" customFormat="1">
      <c r="A40" s="399">
        <v>35</v>
      </c>
      <c r="B40" s="399" t="s">
        <v>956</v>
      </c>
      <c r="C40" s="399" t="s">
        <v>2409</v>
      </c>
      <c r="D40" s="399" t="s">
        <v>1823</v>
      </c>
      <c r="E40" s="399" t="s">
        <v>889</v>
      </c>
      <c r="F40" s="399" t="s">
        <v>889</v>
      </c>
      <c r="G40" s="399" t="s">
        <v>1239</v>
      </c>
      <c r="H40" s="399" t="s">
        <v>1239</v>
      </c>
      <c r="I40" s="399" t="s">
        <v>2326</v>
      </c>
      <c r="J40" s="399" t="s">
        <v>2400</v>
      </c>
      <c r="K40" s="788">
        <v>44470</v>
      </c>
      <c r="L40" s="399">
        <v>0</v>
      </c>
      <c r="M40" s="399">
        <v>0</v>
      </c>
      <c r="N40" s="399">
        <v>3.5000000000000003E-2</v>
      </c>
      <c r="O40" s="399">
        <v>3.5000000000000003E-2</v>
      </c>
      <c r="P40" s="399">
        <v>3.5000000000000003E-2</v>
      </c>
      <c r="Q40" s="399">
        <v>3.5000000000000003E-2</v>
      </c>
      <c r="R40" s="399"/>
      <c r="S40" s="399">
        <v>409.62</v>
      </c>
      <c r="T40" s="399">
        <v>286.42</v>
      </c>
      <c r="U40" s="399"/>
      <c r="V40" s="399">
        <v>24.361400000000003</v>
      </c>
      <c r="W40" s="399">
        <v>24.361400000000003</v>
      </c>
      <c r="X40" s="399">
        <v>18.929400000000001</v>
      </c>
      <c r="Y40" s="399">
        <v>0</v>
      </c>
      <c r="Z40" s="399">
        <v>2.1301489639955524</v>
      </c>
      <c r="AA40" s="399">
        <v>0</v>
      </c>
      <c r="AB40" s="399">
        <v>0</v>
      </c>
      <c r="AC40" s="399">
        <v>0</v>
      </c>
      <c r="AD40" s="399">
        <v>1.9825124520896906</v>
      </c>
      <c r="AE40" s="399">
        <v>7.6574005186712251</v>
      </c>
      <c r="AF40" s="399">
        <v>10.024817083534609</v>
      </c>
      <c r="AG40" s="399">
        <v>0</v>
      </c>
      <c r="AH40" s="399">
        <v>0</v>
      </c>
      <c r="AI40" s="399">
        <v>0</v>
      </c>
      <c r="AJ40" s="399">
        <v>0</v>
      </c>
      <c r="AK40" s="399">
        <v>0</v>
      </c>
      <c r="AL40" s="399">
        <v>0.32920611341742778</v>
      </c>
      <c r="AM40" s="399"/>
      <c r="AN40" s="399">
        <v>5.9774314823787908E-2</v>
      </c>
      <c r="AO40" s="399">
        <v>0</v>
      </c>
      <c r="AP40" s="399">
        <v>0</v>
      </c>
      <c r="AQ40" s="399">
        <v>0</v>
      </c>
      <c r="AR40" s="399">
        <v>0</v>
      </c>
      <c r="AS40" s="399">
        <v>0</v>
      </c>
      <c r="AT40" s="399">
        <v>0</v>
      </c>
      <c r="AU40" s="399">
        <v>0</v>
      </c>
      <c r="AV40" s="399">
        <v>0</v>
      </c>
      <c r="AW40" s="399">
        <v>0</v>
      </c>
      <c r="AX40" s="399">
        <v>0</v>
      </c>
      <c r="AY40" s="399">
        <v>0</v>
      </c>
      <c r="AZ40" s="399">
        <v>0</v>
      </c>
      <c r="BA40" s="399"/>
      <c r="BB40" s="399">
        <v>0</v>
      </c>
      <c r="BC40" s="399">
        <v>0</v>
      </c>
      <c r="BD40" s="399">
        <v>0</v>
      </c>
      <c r="BE40" s="399">
        <v>0</v>
      </c>
      <c r="BF40" s="399">
        <v>0</v>
      </c>
      <c r="BG40" s="399">
        <v>1.1732811601062407</v>
      </c>
      <c r="BH40" s="399">
        <v>0</v>
      </c>
      <c r="BI40" s="399">
        <v>0</v>
      </c>
      <c r="BJ40" s="399">
        <v>0</v>
      </c>
      <c r="BK40" s="399">
        <v>0</v>
      </c>
      <c r="BL40" s="399">
        <v>0</v>
      </c>
      <c r="BM40" s="399"/>
      <c r="BN40" s="399"/>
      <c r="BO40" s="399"/>
      <c r="BP40" s="399"/>
      <c r="BQ40" s="399"/>
      <c r="BR40" s="399"/>
      <c r="BS40" s="399"/>
      <c r="BT40" s="399"/>
      <c r="BU40" s="399"/>
      <c r="BV40" s="399">
        <v>11.19809824364085</v>
      </c>
      <c r="BW40" s="399"/>
      <c r="BX40" s="399"/>
      <c r="BY40" s="399"/>
      <c r="BZ40" s="399"/>
      <c r="CA40" s="399"/>
      <c r="CB40" s="399"/>
      <c r="CC40" s="399"/>
      <c r="CD40" s="399"/>
      <c r="CE40" s="399"/>
      <c r="CF40" s="399"/>
      <c r="CG40" s="399"/>
      <c r="CH40" s="399"/>
      <c r="CI40" s="399">
        <v>21.633600000000001</v>
      </c>
      <c r="CJ40" s="399">
        <v>-2.7578000000000031</v>
      </c>
      <c r="CK40" s="399"/>
      <c r="CL40" s="399"/>
      <c r="CM40" s="399"/>
      <c r="CN40" s="399"/>
      <c r="CO40" s="399">
        <v>-3.1633</v>
      </c>
      <c r="CP40" s="399">
        <v>-2.2687000000000008</v>
      </c>
      <c r="CQ40" s="399">
        <v>31</v>
      </c>
      <c r="CR40" s="399">
        <v>-2.6381357868434332</v>
      </c>
      <c r="CS40" s="399">
        <v>0</v>
      </c>
      <c r="CT40" s="399">
        <v>0</v>
      </c>
      <c r="CU40" s="399">
        <v>0</v>
      </c>
      <c r="CV40" s="399">
        <v>0</v>
      </c>
      <c r="CW40" s="399">
        <v>0</v>
      </c>
      <c r="CX40" s="399">
        <v>0</v>
      </c>
      <c r="CY40" s="399">
        <v>0</v>
      </c>
      <c r="CZ40" s="399">
        <v>6.8033696196511562E-2</v>
      </c>
      <c r="DA40" s="399">
        <v>0</v>
      </c>
      <c r="DB40" s="399">
        <v>0</v>
      </c>
      <c r="DC40" s="399">
        <v>-2.268936932046258</v>
      </c>
      <c r="DD40" s="399">
        <v>0</v>
      </c>
      <c r="DE40" s="399">
        <v>0</v>
      </c>
      <c r="DF40" s="399">
        <v>0</v>
      </c>
      <c r="DG40" s="399">
        <v>-0.26555107526216515</v>
      </c>
      <c r="DH40" s="399">
        <v>0</v>
      </c>
      <c r="DI40" s="399">
        <v>-0.14778153747358713</v>
      </c>
      <c r="DJ40" s="399"/>
      <c r="DK40" s="399">
        <v>0</v>
      </c>
      <c r="DL40" s="399">
        <v>0</v>
      </c>
      <c r="DM40" s="399">
        <v>0</v>
      </c>
      <c r="DN40" s="399">
        <v>0</v>
      </c>
      <c r="DO40" s="399">
        <v>-1.8839905774468813E-2</v>
      </c>
      <c r="DP40" s="399">
        <v>-5.0600324834678481E-3</v>
      </c>
      <c r="DQ40" s="399">
        <v>0</v>
      </c>
      <c r="DR40" s="399">
        <v>0</v>
      </c>
      <c r="DS40" s="399"/>
      <c r="DT40" s="399"/>
      <c r="DU40" s="399"/>
      <c r="DV40" s="399">
        <v>7.6574005186712251</v>
      </c>
      <c r="DW40" s="399">
        <v>0</v>
      </c>
      <c r="DX40" s="399">
        <v>0</v>
      </c>
      <c r="DY40" s="399">
        <v>-3.1633000000000013</v>
      </c>
      <c r="DZ40" s="399">
        <v>-2.2687000000000008</v>
      </c>
      <c r="EA40" s="399">
        <v>0</v>
      </c>
      <c r="EB40" s="399">
        <v>0</v>
      </c>
      <c r="EC40" s="399">
        <v>-2.7941863526213346</v>
      </c>
      <c r="ED40" s="399">
        <v>0</v>
      </c>
      <c r="EE40" s="399">
        <v>0</v>
      </c>
      <c r="EF40" s="399">
        <v>0</v>
      </c>
      <c r="EG40" s="399">
        <v>0</v>
      </c>
      <c r="EH40" s="399">
        <v>0</v>
      </c>
      <c r="EI40" s="399">
        <v>0</v>
      </c>
      <c r="EJ40" s="399">
        <v>0</v>
      </c>
      <c r="EK40" s="399">
        <v>0</v>
      </c>
      <c r="EL40" s="399">
        <v>0</v>
      </c>
      <c r="EM40" s="399">
        <v>0</v>
      </c>
      <c r="EN40" s="399">
        <v>0</v>
      </c>
      <c r="EO40" s="399">
        <v>0</v>
      </c>
      <c r="EP40" s="399">
        <v>1.0044381195426586</v>
      </c>
      <c r="EQ40" s="399">
        <v>0</v>
      </c>
      <c r="ER40" s="399">
        <v>0</v>
      </c>
      <c r="ES40" s="399">
        <v>0</v>
      </c>
      <c r="ET40" s="399">
        <v>0</v>
      </c>
      <c r="EU40" s="399">
        <v>0</v>
      </c>
      <c r="EV40" s="399">
        <v>202</v>
      </c>
      <c r="EW40" s="399">
        <v>0</v>
      </c>
      <c r="EX40" s="399">
        <v>0</v>
      </c>
      <c r="EY40" s="399">
        <v>0</v>
      </c>
      <c r="EZ40" s="399"/>
      <c r="FA40" s="399">
        <v>0</v>
      </c>
      <c r="FB40" s="399">
        <v>-17.698635468909799</v>
      </c>
      <c r="FC40" s="399"/>
      <c r="FD40" s="399">
        <v>-17.698635468909799</v>
      </c>
      <c r="FE40" s="399"/>
      <c r="FF40" s="399">
        <v>0</v>
      </c>
      <c r="FG40" s="399">
        <v>0</v>
      </c>
      <c r="FH40" s="399">
        <v>0</v>
      </c>
      <c r="FI40" s="399">
        <v>0</v>
      </c>
    </row>
    <row r="41" spans="1:165" customFormat="1">
      <c r="A41" s="399">
        <v>36</v>
      </c>
      <c r="B41" s="399" t="s">
        <v>956</v>
      </c>
      <c r="C41" s="399" t="s">
        <v>2409</v>
      </c>
      <c r="D41" s="399" t="s">
        <v>1823</v>
      </c>
      <c r="E41" s="399" t="s">
        <v>889</v>
      </c>
      <c r="F41" s="399" t="s">
        <v>889</v>
      </c>
      <c r="G41" s="399" t="s">
        <v>1239</v>
      </c>
      <c r="H41" s="399" t="s">
        <v>1239</v>
      </c>
      <c r="I41" s="399" t="s">
        <v>1239</v>
      </c>
      <c r="J41" s="399" t="s">
        <v>2400</v>
      </c>
      <c r="K41" s="788">
        <v>44470</v>
      </c>
      <c r="L41" s="399">
        <v>0</v>
      </c>
      <c r="M41" s="399">
        <v>0</v>
      </c>
      <c r="N41" s="399">
        <v>0</v>
      </c>
      <c r="O41" s="399">
        <v>0</v>
      </c>
      <c r="P41" s="399">
        <v>0</v>
      </c>
      <c r="Q41" s="399">
        <v>0</v>
      </c>
      <c r="R41" s="399"/>
      <c r="S41" s="399"/>
      <c r="T41" s="399"/>
      <c r="U41" s="399"/>
      <c r="V41" s="399"/>
      <c r="W41" s="399"/>
      <c r="X41" s="399"/>
      <c r="Y41" s="399"/>
      <c r="Z41" s="399"/>
      <c r="AA41" s="399">
        <v>0</v>
      </c>
      <c r="AB41" s="399"/>
      <c r="AC41" s="399"/>
      <c r="AD41" s="399"/>
      <c r="AE41" s="399"/>
      <c r="AF41" s="399"/>
      <c r="AG41" s="399"/>
      <c r="AH41" s="399"/>
      <c r="AI41" s="399"/>
      <c r="AJ41" s="399"/>
      <c r="AK41" s="399"/>
      <c r="AL41" s="399"/>
      <c r="AM41" s="399"/>
      <c r="AN41" s="399"/>
      <c r="AO41" s="399"/>
      <c r="AP41" s="399"/>
      <c r="AQ41" s="399"/>
      <c r="AR41" s="399"/>
      <c r="AS41" s="399"/>
      <c r="AT41" s="399"/>
      <c r="AU41" s="399"/>
      <c r="AV41" s="399"/>
      <c r="AW41" s="399"/>
      <c r="AX41" s="399"/>
      <c r="AY41" s="399"/>
      <c r="AZ41" s="399">
        <v>0</v>
      </c>
      <c r="BA41" s="399"/>
      <c r="BB41" s="399"/>
      <c r="BC41" s="399"/>
      <c r="BD41" s="399"/>
      <c r="BE41" s="399"/>
      <c r="BF41" s="399"/>
      <c r="BG41" s="399"/>
      <c r="BH41" s="399"/>
      <c r="BI41" s="399">
        <v>0.28999999999999998</v>
      </c>
      <c r="BJ41" s="399">
        <v>1.39</v>
      </c>
      <c r="BK41" s="399">
        <v>0</v>
      </c>
      <c r="BL41" s="399">
        <v>1</v>
      </c>
      <c r="BM41" s="399"/>
      <c r="BN41" s="399"/>
      <c r="BO41" s="399"/>
      <c r="BP41" s="399"/>
      <c r="BQ41" s="399"/>
      <c r="BR41" s="399"/>
      <c r="BS41" s="399"/>
      <c r="BT41" s="399"/>
      <c r="BU41" s="399"/>
      <c r="BV41" s="399"/>
      <c r="BW41" s="399"/>
      <c r="BX41" s="399"/>
      <c r="BY41" s="399"/>
      <c r="BZ41" s="399"/>
      <c r="CA41" s="399"/>
      <c r="CB41" s="399"/>
      <c r="CC41" s="399"/>
      <c r="CD41" s="399"/>
      <c r="CE41" s="399"/>
      <c r="CF41" s="399"/>
      <c r="CG41" s="399"/>
      <c r="CH41" s="399"/>
      <c r="CI41" s="399"/>
      <c r="CJ41" s="399">
        <v>-0.03</v>
      </c>
      <c r="CK41" s="399"/>
      <c r="CL41" s="399"/>
      <c r="CM41" s="399"/>
      <c r="CN41" s="399"/>
      <c r="CO41" s="399">
        <v>0</v>
      </c>
      <c r="CP41" s="399">
        <v>0</v>
      </c>
      <c r="CQ41" s="399">
        <v>31</v>
      </c>
      <c r="CR41" s="399"/>
      <c r="CS41" s="399"/>
      <c r="CT41" s="399"/>
      <c r="CU41" s="399"/>
      <c r="CV41" s="399"/>
      <c r="CW41" s="399"/>
      <c r="CX41" s="399"/>
      <c r="CY41" s="399"/>
      <c r="CZ41" s="399"/>
      <c r="DA41" s="399"/>
      <c r="DB41" s="399"/>
      <c r="DC41" s="399"/>
      <c r="DD41" s="399"/>
      <c r="DE41" s="399"/>
      <c r="DF41" s="399"/>
      <c r="DG41" s="399"/>
      <c r="DH41" s="399"/>
      <c r="DI41" s="399"/>
      <c r="DJ41" s="399"/>
      <c r="DK41" s="399">
        <v>0</v>
      </c>
      <c r="DL41" s="399"/>
      <c r="DM41" s="399"/>
      <c r="DN41" s="399"/>
      <c r="DO41" s="399"/>
      <c r="DP41" s="399"/>
      <c r="DQ41" s="399"/>
      <c r="DR41" s="399"/>
      <c r="DS41" s="399"/>
      <c r="DT41" s="399"/>
      <c r="DU41" s="399"/>
      <c r="DV41" s="399"/>
      <c r="DW41" s="399"/>
      <c r="DX41" s="399"/>
      <c r="DY41" s="399"/>
      <c r="DZ41" s="399"/>
      <c r="EA41" s="399"/>
      <c r="EB41" s="399"/>
      <c r="EC41" s="399"/>
      <c r="ED41" s="399"/>
      <c r="EE41" s="399"/>
      <c r="EF41" s="399"/>
      <c r="EG41" s="399"/>
      <c r="EH41" s="399"/>
      <c r="EI41" s="399"/>
      <c r="EJ41" s="399"/>
      <c r="EK41" s="399"/>
      <c r="EL41" s="399"/>
      <c r="EM41" s="399"/>
      <c r="EN41" s="399"/>
      <c r="EO41" s="399"/>
      <c r="EP41" s="399"/>
      <c r="EQ41" s="399"/>
      <c r="ER41" s="399"/>
      <c r="ES41" s="399"/>
      <c r="ET41" s="399"/>
      <c r="EU41" s="399"/>
      <c r="EV41" s="399">
        <v>202</v>
      </c>
      <c r="EW41" s="399"/>
      <c r="EX41" s="399"/>
      <c r="EY41" s="399"/>
      <c r="EZ41" s="399"/>
      <c r="FA41" s="399">
        <v>0</v>
      </c>
      <c r="FB41" s="399">
        <v>-17.698635468909799</v>
      </c>
      <c r="FC41" s="399"/>
      <c r="FD41" s="399">
        <v>-17.698635468909799</v>
      </c>
      <c r="FE41" s="399"/>
      <c r="FF41" s="399">
        <v>0</v>
      </c>
      <c r="FG41" s="399">
        <v>0</v>
      </c>
      <c r="FH41" s="399">
        <v>0</v>
      </c>
      <c r="FI41" s="399">
        <v>0</v>
      </c>
    </row>
    <row r="42" spans="1:165" customFormat="1">
      <c r="A42" s="399">
        <v>37</v>
      </c>
      <c r="B42" s="399" t="s">
        <v>956</v>
      </c>
      <c r="C42" s="399" t="s">
        <v>2409</v>
      </c>
      <c r="D42" s="399" t="s">
        <v>1823</v>
      </c>
      <c r="E42" s="399" t="s">
        <v>889</v>
      </c>
      <c r="F42" s="399" t="s">
        <v>889</v>
      </c>
      <c r="G42" s="399" t="s">
        <v>1239</v>
      </c>
      <c r="H42" s="399" t="s">
        <v>1239</v>
      </c>
      <c r="I42" s="399" t="s">
        <v>2410</v>
      </c>
      <c r="J42" s="399" t="s">
        <v>2400</v>
      </c>
      <c r="K42" s="788">
        <v>44470</v>
      </c>
      <c r="L42" s="399">
        <v>0</v>
      </c>
      <c r="M42" s="399">
        <v>0</v>
      </c>
      <c r="N42" s="399">
        <v>1.9E-2</v>
      </c>
      <c r="O42" s="399">
        <v>1.9E-2</v>
      </c>
      <c r="P42" s="399">
        <v>1.9E-2</v>
      </c>
      <c r="Q42" s="399">
        <v>1.9E-2</v>
      </c>
      <c r="R42" s="399"/>
      <c r="S42" s="399">
        <v>960.47</v>
      </c>
      <c r="T42" s="399">
        <v>286.42</v>
      </c>
      <c r="U42" s="399"/>
      <c r="V42" s="399">
        <v>23.690910000000002</v>
      </c>
      <c r="W42" s="399">
        <v>23.690910000000002</v>
      </c>
      <c r="X42" s="399">
        <v>17.782289999999996</v>
      </c>
      <c r="Y42" s="399">
        <v>0</v>
      </c>
      <c r="Z42" s="399">
        <v>1.1563665804547285</v>
      </c>
      <c r="AA42" s="399">
        <v>0</v>
      </c>
      <c r="AB42" s="399">
        <v>0</v>
      </c>
      <c r="AC42" s="399">
        <v>0</v>
      </c>
      <c r="AD42" s="399">
        <v>3.2285619074252416</v>
      </c>
      <c r="AE42" s="399">
        <v>12.470630053868019</v>
      </c>
      <c r="AF42" s="399">
        <v>5.4420435596330732</v>
      </c>
      <c r="AG42" s="399">
        <v>0</v>
      </c>
      <c r="AH42" s="399">
        <v>0</v>
      </c>
      <c r="AI42" s="399">
        <v>0</v>
      </c>
      <c r="AJ42" s="399">
        <v>0</v>
      </c>
      <c r="AK42" s="399">
        <v>0</v>
      </c>
      <c r="AL42" s="399">
        <v>0.17871189014088934</v>
      </c>
      <c r="AM42" s="399"/>
      <c r="AN42" s="399">
        <v>3.2448913761484857E-2</v>
      </c>
      <c r="AO42" s="399">
        <v>0</v>
      </c>
      <c r="AP42" s="399">
        <v>0</v>
      </c>
      <c r="AQ42" s="399">
        <v>0</v>
      </c>
      <c r="AR42" s="399">
        <v>0</v>
      </c>
      <c r="AS42" s="399">
        <v>0</v>
      </c>
      <c r="AT42" s="399">
        <v>0</v>
      </c>
      <c r="AU42" s="399">
        <v>0</v>
      </c>
      <c r="AV42" s="399">
        <v>0</v>
      </c>
      <c r="AW42" s="399">
        <v>0</v>
      </c>
      <c r="AX42" s="399">
        <v>0</v>
      </c>
      <c r="AY42" s="399">
        <v>0</v>
      </c>
      <c r="AZ42" s="399">
        <v>0</v>
      </c>
      <c r="BA42" s="399"/>
      <c r="BB42" s="399">
        <v>0</v>
      </c>
      <c r="BC42" s="399">
        <v>0</v>
      </c>
      <c r="BD42" s="399">
        <v>0</v>
      </c>
      <c r="BE42" s="399">
        <v>0</v>
      </c>
      <c r="BF42" s="399">
        <v>0</v>
      </c>
      <c r="BG42" s="399">
        <v>0.63692405834338772</v>
      </c>
      <c r="BH42" s="399">
        <v>0</v>
      </c>
      <c r="BI42" s="399">
        <v>0</v>
      </c>
      <c r="BJ42" s="399">
        <v>0</v>
      </c>
      <c r="BK42" s="399">
        <v>0</v>
      </c>
      <c r="BL42" s="399">
        <v>0</v>
      </c>
      <c r="BM42" s="399"/>
      <c r="BN42" s="399"/>
      <c r="BO42" s="399"/>
      <c r="BP42" s="399"/>
      <c r="BQ42" s="399"/>
      <c r="BR42" s="399"/>
      <c r="BS42" s="399"/>
      <c r="BT42" s="399"/>
      <c r="BU42" s="399"/>
      <c r="BV42" s="399">
        <v>6.0789676179764607</v>
      </c>
      <c r="BW42" s="399"/>
      <c r="BX42" s="399"/>
      <c r="BY42" s="399"/>
      <c r="BZ42" s="399"/>
      <c r="CA42" s="399"/>
      <c r="CB42" s="399"/>
      <c r="CC42" s="399"/>
      <c r="CD42" s="399"/>
      <c r="CE42" s="399"/>
      <c r="CF42" s="399"/>
      <c r="CG42" s="399"/>
      <c r="CH42" s="399"/>
      <c r="CI42" s="399">
        <v>18.7182</v>
      </c>
      <c r="CJ42" s="399">
        <v>-5.0027100000000075</v>
      </c>
      <c r="CK42" s="399"/>
      <c r="CL42" s="399"/>
      <c r="CM42" s="399"/>
      <c r="CN42" s="399"/>
      <c r="CO42" s="399">
        <v>-4.6770400000000016</v>
      </c>
      <c r="CP42" s="399">
        <v>-1.2315800000000003</v>
      </c>
      <c r="CQ42" s="399">
        <v>31</v>
      </c>
      <c r="CR42" s="399">
        <v>-1.3582691737050769</v>
      </c>
      <c r="CS42" s="399">
        <v>0</v>
      </c>
      <c r="CT42" s="399">
        <v>0</v>
      </c>
      <c r="CU42" s="399">
        <v>0</v>
      </c>
      <c r="CV42" s="399">
        <v>0</v>
      </c>
      <c r="CW42" s="399">
        <v>0</v>
      </c>
      <c r="CX42" s="399">
        <v>0</v>
      </c>
      <c r="CY42" s="399">
        <v>0</v>
      </c>
      <c r="CZ42" s="399">
        <v>0.11079425994518033</v>
      </c>
      <c r="DA42" s="399">
        <v>0</v>
      </c>
      <c r="DB42" s="399">
        <v>0</v>
      </c>
      <c r="DC42" s="399">
        <v>-1.2317086202536833</v>
      </c>
      <c r="DD42" s="399">
        <v>0</v>
      </c>
      <c r="DE42" s="399">
        <v>0</v>
      </c>
      <c r="DF42" s="399">
        <v>0</v>
      </c>
      <c r="DG42" s="399">
        <v>-0.14415629799946106</v>
      </c>
      <c r="DH42" s="399">
        <v>0</v>
      </c>
      <c r="DI42" s="399">
        <v>-8.0224263199947465E-2</v>
      </c>
      <c r="DJ42" s="399"/>
      <c r="DK42" s="399">
        <v>0</v>
      </c>
      <c r="DL42" s="399">
        <v>0</v>
      </c>
      <c r="DM42" s="399">
        <v>0</v>
      </c>
      <c r="DN42" s="399">
        <v>0</v>
      </c>
      <c r="DO42" s="399">
        <v>-1.0227377420425926E-2</v>
      </c>
      <c r="DP42" s="399">
        <v>-2.7468747767396863E-3</v>
      </c>
      <c r="DQ42" s="399">
        <v>0</v>
      </c>
      <c r="DR42" s="399">
        <v>0</v>
      </c>
      <c r="DS42" s="399"/>
      <c r="DT42" s="399"/>
      <c r="DU42" s="399"/>
      <c r="DV42" s="399">
        <v>12.470630053868019</v>
      </c>
      <c r="DW42" s="399">
        <v>0</v>
      </c>
      <c r="DX42" s="399">
        <v>0</v>
      </c>
      <c r="DY42" s="399">
        <v>-4.6770400000000034</v>
      </c>
      <c r="DZ42" s="399">
        <v>-1.2315800000000001</v>
      </c>
      <c r="EA42" s="399">
        <v>0</v>
      </c>
      <c r="EB42" s="399">
        <v>0</v>
      </c>
      <c r="EC42" s="399">
        <v>-4.5505343778405498</v>
      </c>
      <c r="ED42" s="399">
        <v>0</v>
      </c>
      <c r="EE42" s="399">
        <v>0</v>
      </c>
      <c r="EF42" s="399">
        <v>0</v>
      </c>
      <c r="EG42" s="399">
        <v>0</v>
      </c>
      <c r="EH42" s="399">
        <v>0</v>
      </c>
      <c r="EI42" s="399">
        <v>0</v>
      </c>
      <c r="EJ42" s="399">
        <v>0</v>
      </c>
      <c r="EK42" s="399">
        <v>0</v>
      </c>
      <c r="EL42" s="399">
        <v>0</v>
      </c>
      <c r="EM42" s="399">
        <v>0</v>
      </c>
      <c r="EN42" s="399">
        <v>0</v>
      </c>
      <c r="EO42" s="399">
        <v>0</v>
      </c>
      <c r="EP42" s="399">
        <v>0.54526640775172885</v>
      </c>
      <c r="EQ42" s="399">
        <v>0</v>
      </c>
      <c r="ER42" s="399">
        <v>0</v>
      </c>
      <c r="ES42" s="399">
        <v>0</v>
      </c>
      <c r="ET42" s="399">
        <v>0</v>
      </c>
      <c r="EU42" s="399">
        <v>0</v>
      </c>
      <c r="EV42" s="399">
        <v>202</v>
      </c>
      <c r="EW42" s="399">
        <v>0</v>
      </c>
      <c r="EX42" s="399">
        <v>0</v>
      </c>
      <c r="EY42" s="399">
        <v>0</v>
      </c>
      <c r="EZ42" s="399"/>
      <c r="FA42" s="399">
        <v>0</v>
      </c>
      <c r="FB42" s="399">
        <v>-17.698635468909799</v>
      </c>
      <c r="FC42" s="399"/>
      <c r="FD42" s="399">
        <v>-17.698635468909799</v>
      </c>
      <c r="FE42" s="399"/>
      <c r="FF42" s="399">
        <v>0</v>
      </c>
      <c r="FG42" s="399">
        <v>0</v>
      </c>
      <c r="FH42" s="399">
        <v>0</v>
      </c>
      <c r="FI42" s="399">
        <v>0</v>
      </c>
    </row>
    <row r="43" spans="1:165" customFormat="1">
      <c r="A43" s="399">
        <v>42</v>
      </c>
      <c r="B43" s="399" t="s">
        <v>956</v>
      </c>
      <c r="C43" s="399" t="s">
        <v>2402</v>
      </c>
      <c r="D43" s="399" t="s">
        <v>2411</v>
      </c>
      <c r="E43" s="399" t="s">
        <v>894</v>
      </c>
      <c r="F43" s="399" t="s">
        <v>1239</v>
      </c>
      <c r="G43" s="399" t="s">
        <v>1239</v>
      </c>
      <c r="H43" s="399" t="s">
        <v>1239</v>
      </c>
      <c r="I43" s="399" t="s">
        <v>1239</v>
      </c>
      <c r="J43" s="399" t="s">
        <v>2400</v>
      </c>
      <c r="K43" s="788">
        <v>44470</v>
      </c>
      <c r="L43" s="399">
        <v>0</v>
      </c>
      <c r="M43" s="399">
        <v>0</v>
      </c>
      <c r="N43" s="399">
        <v>105.29</v>
      </c>
      <c r="O43" s="399">
        <v>105.29</v>
      </c>
      <c r="P43" s="399">
        <v>105.29</v>
      </c>
      <c r="Q43" s="399">
        <v>105.29</v>
      </c>
      <c r="R43" s="399"/>
      <c r="S43" s="399">
        <v>609.05999999999995</v>
      </c>
      <c r="T43" s="399">
        <v>286.42</v>
      </c>
      <c r="U43" s="399"/>
      <c r="V43" s="399">
        <v>94285.089200000002</v>
      </c>
      <c r="W43" s="399">
        <v>94285.089200000002</v>
      </c>
      <c r="X43" s="399">
        <v>72004.672300000006</v>
      </c>
      <c r="Y43" s="399">
        <v>0</v>
      </c>
      <c r="Z43" s="399">
        <v>6408.0966976883346</v>
      </c>
      <c r="AA43" s="399">
        <v>0</v>
      </c>
      <c r="AB43" s="399">
        <v>0</v>
      </c>
      <c r="AC43" s="399">
        <v>0</v>
      </c>
      <c r="AD43" s="399">
        <v>10281.794868778956</v>
      </c>
      <c r="AE43" s="399">
        <v>39716.650974061755</v>
      </c>
      <c r="AF43" s="399">
        <v>30157.514020724546</v>
      </c>
      <c r="AG43" s="399">
        <v>0</v>
      </c>
      <c r="AH43" s="399">
        <v>0</v>
      </c>
      <c r="AI43" s="399">
        <v>0</v>
      </c>
      <c r="AJ43" s="399">
        <v>0</v>
      </c>
      <c r="AK43" s="399">
        <v>0</v>
      </c>
      <c r="AL43" s="399">
        <v>990.34604804917058</v>
      </c>
      <c r="AM43" s="399"/>
      <c r="AN43" s="399">
        <v>179.81821736561795</v>
      </c>
      <c r="AO43" s="399">
        <v>0</v>
      </c>
      <c r="AP43" s="399">
        <v>0</v>
      </c>
      <c r="AQ43" s="399">
        <v>0</v>
      </c>
      <c r="AR43" s="399">
        <v>0</v>
      </c>
      <c r="AS43" s="399">
        <v>0</v>
      </c>
      <c r="AT43" s="399">
        <v>0</v>
      </c>
      <c r="AU43" s="399">
        <v>0</v>
      </c>
      <c r="AV43" s="399">
        <v>0</v>
      </c>
      <c r="AW43" s="399">
        <v>0</v>
      </c>
      <c r="AX43" s="399">
        <v>0</v>
      </c>
      <c r="AY43" s="399">
        <v>0</v>
      </c>
      <c r="AZ43" s="399">
        <v>0</v>
      </c>
      <c r="BA43" s="399"/>
      <c r="BB43" s="399">
        <v>0</v>
      </c>
      <c r="BC43" s="399">
        <v>0</v>
      </c>
      <c r="BD43" s="399">
        <v>0</v>
      </c>
      <c r="BE43" s="399">
        <v>0</v>
      </c>
      <c r="BF43" s="399">
        <v>0</v>
      </c>
      <c r="BG43" s="399">
        <v>3529.5649527881737</v>
      </c>
      <c r="BH43" s="399">
        <v>0</v>
      </c>
      <c r="BI43" s="399">
        <v>389.27</v>
      </c>
      <c r="BJ43" s="399">
        <v>1809.62</v>
      </c>
      <c r="BK43" s="399">
        <v>2782.47</v>
      </c>
      <c r="BL43" s="399">
        <v>334</v>
      </c>
      <c r="BM43" s="399"/>
      <c r="BN43" s="399"/>
      <c r="BO43" s="399"/>
      <c r="BP43" s="399"/>
      <c r="BQ43" s="399"/>
      <c r="BR43" s="399">
        <v>8641.1502999999975</v>
      </c>
      <c r="BS43" s="399"/>
      <c r="BT43" s="399"/>
      <c r="BU43" s="399"/>
      <c r="BV43" s="399">
        <v>33687.078973512718</v>
      </c>
      <c r="BW43" s="399"/>
      <c r="BX43" s="399"/>
      <c r="BY43" s="399"/>
      <c r="BZ43" s="399"/>
      <c r="CA43" s="399"/>
      <c r="CB43" s="399"/>
      <c r="CC43" s="399"/>
      <c r="CD43" s="399"/>
      <c r="CE43" s="399"/>
      <c r="CF43" s="399"/>
      <c r="CG43" s="399"/>
      <c r="CH43" s="399"/>
      <c r="CI43" s="399">
        <v>63363.522000000004</v>
      </c>
      <c r="CJ43" s="399">
        <v>-19607.133800000003</v>
      </c>
      <c r="CK43" s="399"/>
      <c r="CL43" s="399"/>
      <c r="CM43" s="399"/>
      <c r="CN43" s="399"/>
      <c r="CO43" s="399">
        <v>-15455.519099999998</v>
      </c>
      <c r="CP43" s="399">
        <v>-6824.8978000000025</v>
      </c>
      <c r="CQ43" s="399">
        <v>31</v>
      </c>
      <c r="CR43" s="399">
        <v>-7788.0915940609484</v>
      </c>
      <c r="CS43" s="399">
        <v>0</v>
      </c>
      <c r="CT43" s="399">
        <v>0</v>
      </c>
      <c r="CU43" s="399">
        <v>0</v>
      </c>
      <c r="CV43" s="399">
        <v>0</v>
      </c>
      <c r="CW43" s="399">
        <v>0</v>
      </c>
      <c r="CX43" s="399">
        <v>0</v>
      </c>
      <c r="CY43" s="399">
        <v>0</v>
      </c>
      <c r="CZ43" s="399">
        <v>352.83940220408113</v>
      </c>
      <c r="DA43" s="399">
        <v>0</v>
      </c>
      <c r="DB43" s="399">
        <v>0</v>
      </c>
      <c r="DC43" s="399">
        <v>-6825.6105592900167</v>
      </c>
      <c r="DD43" s="399">
        <v>0</v>
      </c>
      <c r="DE43" s="399">
        <v>0</v>
      </c>
      <c r="DF43" s="399">
        <v>0</v>
      </c>
      <c r="DG43" s="399">
        <v>-798.85350612438197</v>
      </c>
      <c r="DH43" s="399">
        <v>0</v>
      </c>
      <c r="DI43" s="399">
        <v>-444.56908801697136</v>
      </c>
      <c r="DJ43" s="399"/>
      <c r="DK43" s="399">
        <v>0</v>
      </c>
      <c r="DL43" s="399">
        <v>0</v>
      </c>
      <c r="DM43" s="399">
        <v>0</v>
      </c>
      <c r="DN43" s="399">
        <v>0</v>
      </c>
      <c r="DO43" s="399">
        <v>-56.675819399823467</v>
      </c>
      <c r="DP43" s="399">
        <v>-15.22202343383799</v>
      </c>
      <c r="DQ43" s="399">
        <v>0</v>
      </c>
      <c r="DR43" s="399">
        <v>0</v>
      </c>
      <c r="DS43" s="399"/>
      <c r="DT43" s="399"/>
      <c r="DU43" s="399"/>
      <c r="DV43" s="399">
        <v>39716.650974061755</v>
      </c>
      <c r="DW43" s="399">
        <v>0</v>
      </c>
      <c r="DX43" s="399">
        <v>0</v>
      </c>
      <c r="DY43" s="399">
        <v>-15455.519099999998</v>
      </c>
      <c r="DZ43" s="399">
        <v>-6824.8978000000025</v>
      </c>
      <c r="EA43" s="399">
        <v>0</v>
      </c>
      <c r="EB43" s="399">
        <v>0</v>
      </c>
      <c r="EC43" s="399">
        <v>-14492.61062588447</v>
      </c>
      <c r="ED43" s="399">
        <v>0</v>
      </c>
      <c r="EE43" s="399">
        <v>0</v>
      </c>
      <c r="EF43" s="399">
        <v>0</v>
      </c>
      <c r="EG43" s="399">
        <v>0</v>
      </c>
      <c r="EH43" s="399">
        <v>0</v>
      </c>
      <c r="EI43" s="399">
        <v>0</v>
      </c>
      <c r="EJ43" s="399">
        <v>0</v>
      </c>
      <c r="EK43" s="399">
        <v>0</v>
      </c>
      <c r="EL43" s="399">
        <v>0</v>
      </c>
      <c r="EM43" s="399">
        <v>0</v>
      </c>
      <c r="EN43" s="399">
        <v>0</v>
      </c>
      <c r="EO43" s="399">
        <v>0</v>
      </c>
      <c r="EP43" s="399">
        <v>3021.636845904186</v>
      </c>
      <c r="EQ43" s="399">
        <v>0</v>
      </c>
      <c r="ER43" s="399">
        <v>0</v>
      </c>
      <c r="ES43" s="399">
        <v>0</v>
      </c>
      <c r="ET43" s="399">
        <v>0</v>
      </c>
      <c r="EU43" s="399">
        <v>0</v>
      </c>
      <c r="EV43" s="399">
        <v>202</v>
      </c>
      <c r="EW43" s="399">
        <v>0</v>
      </c>
      <c r="EX43" s="399">
        <v>0</v>
      </c>
      <c r="EY43" s="399">
        <v>0</v>
      </c>
      <c r="EZ43" s="399"/>
      <c r="FA43" s="399">
        <v>0</v>
      </c>
      <c r="FB43" s="399">
        <v>-12.3890448282368</v>
      </c>
      <c r="FC43" s="399"/>
      <c r="FD43" s="399">
        <v>-17.698635468909799</v>
      </c>
      <c r="FE43" s="399"/>
      <c r="FF43" s="399">
        <v>0</v>
      </c>
      <c r="FG43" s="399">
        <v>0</v>
      </c>
      <c r="FH43" s="399">
        <v>0</v>
      </c>
      <c r="FI43" s="399">
        <v>0</v>
      </c>
    </row>
    <row r="44" spans="1:165" customFormat="1">
      <c r="A44" s="399">
        <v>43</v>
      </c>
      <c r="B44" s="399" t="s">
        <v>2403</v>
      </c>
      <c r="C44" s="399" t="s">
        <v>2402</v>
      </c>
      <c r="D44" s="399" t="s">
        <v>2411</v>
      </c>
      <c r="E44" s="399" t="s">
        <v>894</v>
      </c>
      <c r="F44" s="399" t="s">
        <v>1239</v>
      </c>
      <c r="G44" s="399" t="s">
        <v>1239</v>
      </c>
      <c r="H44" s="399" t="s">
        <v>1239</v>
      </c>
      <c r="I44" s="399" t="s">
        <v>1239</v>
      </c>
      <c r="J44" s="399" t="s">
        <v>2400</v>
      </c>
      <c r="K44" s="788">
        <v>44470</v>
      </c>
      <c r="L44" s="399">
        <v>0</v>
      </c>
      <c r="M44" s="399">
        <v>0</v>
      </c>
      <c r="N44" s="399">
        <v>-0.44600000000000001</v>
      </c>
      <c r="O44" s="399">
        <v>-0.44600000000000001</v>
      </c>
      <c r="P44" s="399">
        <v>-0.44600000000000001</v>
      </c>
      <c r="Q44" s="399">
        <v>-0.44600000000000001</v>
      </c>
      <c r="R44" s="399"/>
      <c r="S44" s="399">
        <v>609.05999999999995</v>
      </c>
      <c r="T44" s="399">
        <v>286.42</v>
      </c>
      <c r="U44" s="399"/>
      <c r="V44" s="399">
        <v>-399.38408000000004</v>
      </c>
      <c r="W44" s="399">
        <v>-399.38408000000004</v>
      </c>
      <c r="X44" s="399">
        <v>-305.00601999999998</v>
      </c>
      <c r="Y44" s="399">
        <v>0</v>
      </c>
      <c r="Z44" s="399">
        <v>-27.144183941200467</v>
      </c>
      <c r="AA44" s="399">
        <v>0</v>
      </c>
      <c r="AB44" s="399">
        <v>0</v>
      </c>
      <c r="AC44" s="399">
        <v>0</v>
      </c>
      <c r="AD44" s="399">
        <v>-43.552858880002034</v>
      </c>
      <c r="AE44" s="399">
        <v>-168.23654985688617</v>
      </c>
      <c r="AF44" s="399">
        <v>-127.74481197875531</v>
      </c>
      <c r="AG44" s="399">
        <v>0</v>
      </c>
      <c r="AH44" s="399">
        <v>0</v>
      </c>
      <c r="AI44" s="399">
        <v>0</v>
      </c>
      <c r="AJ44" s="399">
        <v>0</v>
      </c>
      <c r="AK44" s="399">
        <v>0</v>
      </c>
      <c r="AL44" s="399">
        <v>-4.1950264738335079</v>
      </c>
      <c r="AM44" s="399"/>
      <c r="AN44" s="399">
        <v>-0.76169555461169725</v>
      </c>
      <c r="AO44" s="399">
        <v>0</v>
      </c>
      <c r="AP44" s="399">
        <v>0</v>
      </c>
      <c r="AQ44" s="399">
        <v>0</v>
      </c>
      <c r="AR44" s="399">
        <v>0</v>
      </c>
      <c r="AS44" s="399">
        <v>0</v>
      </c>
      <c r="AT44" s="399">
        <v>0</v>
      </c>
      <c r="AU44" s="399">
        <v>0</v>
      </c>
      <c r="AV44" s="399">
        <v>0</v>
      </c>
      <c r="AW44" s="399">
        <v>0</v>
      </c>
      <c r="AX44" s="399">
        <v>0</v>
      </c>
      <c r="AY44" s="399">
        <v>0</v>
      </c>
      <c r="AZ44" s="399">
        <v>0</v>
      </c>
      <c r="BA44" s="399"/>
      <c r="BB44" s="399">
        <v>0</v>
      </c>
      <c r="BC44" s="399">
        <v>0</v>
      </c>
      <c r="BD44" s="399">
        <v>0</v>
      </c>
      <c r="BE44" s="399">
        <v>0</v>
      </c>
      <c r="BF44" s="399">
        <v>0</v>
      </c>
      <c r="BG44" s="399">
        <v>-14.950954211639523</v>
      </c>
      <c r="BH44" s="399">
        <v>0</v>
      </c>
      <c r="BI44" s="399">
        <v>-0.97</v>
      </c>
      <c r="BJ44" s="399">
        <v>-4.5</v>
      </c>
      <c r="BK44" s="399">
        <v>0</v>
      </c>
      <c r="BL44" s="399">
        <v>0</v>
      </c>
      <c r="BM44" s="399"/>
      <c r="BN44" s="399"/>
      <c r="BO44" s="399"/>
      <c r="BP44" s="399"/>
      <c r="BQ44" s="399"/>
      <c r="BR44" s="399">
        <v>-36.603219999999986</v>
      </c>
      <c r="BS44" s="399"/>
      <c r="BT44" s="399"/>
      <c r="BU44" s="399"/>
      <c r="BV44" s="399">
        <v>-142.69576619039483</v>
      </c>
      <c r="BW44" s="399"/>
      <c r="BX44" s="399"/>
      <c r="BY44" s="399"/>
      <c r="BZ44" s="399"/>
      <c r="CA44" s="399"/>
      <c r="CB44" s="399"/>
      <c r="CC44" s="399"/>
      <c r="CD44" s="399"/>
      <c r="CE44" s="399"/>
      <c r="CF44" s="399"/>
      <c r="CG44" s="399"/>
      <c r="CH44" s="399"/>
      <c r="CI44" s="399">
        <v>-270.81</v>
      </c>
      <c r="CJ44" s="399">
        <v>80.61692000000005</v>
      </c>
      <c r="CK44" s="399"/>
      <c r="CL44" s="399"/>
      <c r="CM44" s="399"/>
      <c r="CN44" s="399"/>
      <c r="CO44" s="399">
        <v>65.468339999999984</v>
      </c>
      <c r="CP44" s="399">
        <v>28.909720000000011</v>
      </c>
      <c r="CQ44" s="399">
        <v>31</v>
      </c>
      <c r="CR44" s="399">
        <v>32.989731702452133</v>
      </c>
      <c r="CS44" s="399">
        <v>0</v>
      </c>
      <c r="CT44" s="399">
        <v>0</v>
      </c>
      <c r="CU44" s="399">
        <v>0</v>
      </c>
      <c r="CV44" s="399">
        <v>0</v>
      </c>
      <c r="CW44" s="399">
        <v>0</v>
      </c>
      <c r="CX44" s="399">
        <v>0</v>
      </c>
      <c r="CY44" s="399">
        <v>0</v>
      </c>
      <c r="CZ44" s="399">
        <v>-1.4945994242854965</v>
      </c>
      <c r="DA44" s="399">
        <v>0</v>
      </c>
      <c r="DB44" s="399">
        <v>0</v>
      </c>
      <c r="DC44" s="399">
        <v>28.912739191218037</v>
      </c>
      <c r="DD44" s="399">
        <v>0</v>
      </c>
      <c r="DE44" s="399">
        <v>0</v>
      </c>
      <c r="DF44" s="399">
        <v>0</v>
      </c>
      <c r="DG44" s="399">
        <v>3.3838794161978765</v>
      </c>
      <c r="DH44" s="399">
        <v>0</v>
      </c>
      <c r="DI44" s="399">
        <v>1.8831590203777111</v>
      </c>
      <c r="DJ44" s="399"/>
      <c r="DK44" s="399">
        <v>0</v>
      </c>
      <c r="DL44" s="399">
        <v>0</v>
      </c>
      <c r="DM44" s="399">
        <v>0</v>
      </c>
      <c r="DN44" s="399">
        <v>0</v>
      </c>
      <c r="DO44" s="399">
        <v>0.24007422786894539</v>
      </c>
      <c r="DP44" s="399">
        <v>6.4479271075047362E-2</v>
      </c>
      <c r="DQ44" s="399">
        <v>0</v>
      </c>
      <c r="DR44" s="399">
        <v>0</v>
      </c>
      <c r="DS44" s="399"/>
      <c r="DT44" s="399"/>
      <c r="DU44" s="399"/>
      <c r="DV44" s="399">
        <v>-168.23654985688617</v>
      </c>
      <c r="DW44" s="399">
        <v>0</v>
      </c>
      <c r="DX44" s="399">
        <v>0</v>
      </c>
      <c r="DY44" s="399">
        <v>65.468340000000012</v>
      </c>
      <c r="DZ44" s="399">
        <v>28.909720000000007</v>
      </c>
      <c r="EA44" s="399">
        <v>0</v>
      </c>
      <c r="EB44" s="399">
        <v>0</v>
      </c>
      <c r="EC44" s="399">
        <v>61.389536889965584</v>
      </c>
      <c r="ED44" s="399">
        <v>0</v>
      </c>
      <c r="EE44" s="399">
        <v>0</v>
      </c>
      <c r="EF44" s="399">
        <v>0</v>
      </c>
      <c r="EG44" s="399">
        <v>0</v>
      </c>
      <c r="EH44" s="399">
        <v>0</v>
      </c>
      <c r="EI44" s="399">
        <v>0</v>
      </c>
      <c r="EJ44" s="399">
        <v>0</v>
      </c>
      <c r="EK44" s="399">
        <v>0</v>
      </c>
      <c r="EL44" s="399">
        <v>0</v>
      </c>
      <c r="EM44" s="399">
        <v>0</v>
      </c>
      <c r="EN44" s="399">
        <v>0</v>
      </c>
      <c r="EO44" s="399">
        <v>0</v>
      </c>
      <c r="EP44" s="399">
        <v>-12.799411466172161</v>
      </c>
      <c r="EQ44" s="399">
        <v>0</v>
      </c>
      <c r="ER44" s="399">
        <v>0</v>
      </c>
      <c r="ES44" s="399">
        <v>0</v>
      </c>
      <c r="ET44" s="399">
        <v>0</v>
      </c>
      <c r="EU44" s="399">
        <v>0</v>
      </c>
      <c r="EV44" s="399">
        <v>202</v>
      </c>
      <c r="EW44" s="399">
        <v>0</v>
      </c>
      <c r="EX44" s="399">
        <v>0</v>
      </c>
      <c r="EY44" s="399">
        <v>0</v>
      </c>
      <c r="EZ44" s="399"/>
      <c r="FA44" s="399">
        <v>0</v>
      </c>
      <c r="FB44" s="399">
        <v>-12.3890448282368</v>
      </c>
      <c r="FC44" s="399"/>
      <c r="FD44" s="399">
        <v>-17.698635468909799</v>
      </c>
      <c r="FE44" s="399"/>
      <c r="FF44" s="399">
        <v>0</v>
      </c>
      <c r="FG44" s="399">
        <v>0</v>
      </c>
      <c r="FH44" s="399">
        <v>0</v>
      </c>
      <c r="FI44" s="399">
        <v>0</v>
      </c>
    </row>
    <row r="45" spans="1:165" customFormat="1">
      <c r="A45" s="399">
        <v>44</v>
      </c>
      <c r="B45" s="399" t="s">
        <v>2404</v>
      </c>
      <c r="C45" s="399" t="s">
        <v>2402</v>
      </c>
      <c r="D45" s="399" t="s">
        <v>2411</v>
      </c>
      <c r="E45" s="399" t="s">
        <v>894</v>
      </c>
      <c r="F45" s="399" t="s">
        <v>1239</v>
      </c>
      <c r="G45" s="399" t="s">
        <v>1239</v>
      </c>
      <c r="H45" s="399" t="s">
        <v>1239</v>
      </c>
      <c r="I45" s="399" t="s">
        <v>1239</v>
      </c>
      <c r="J45" s="399" t="s">
        <v>2400</v>
      </c>
      <c r="K45" s="788">
        <v>44470</v>
      </c>
      <c r="L45" s="399">
        <v>0</v>
      </c>
      <c r="M45" s="399">
        <v>0</v>
      </c>
      <c r="N45" s="399">
        <v>1.4690000000000001</v>
      </c>
      <c r="O45" s="399">
        <v>1.4690000000000001</v>
      </c>
      <c r="P45" s="399">
        <v>1.4690000000000001</v>
      </c>
      <c r="Q45" s="399">
        <v>1.4690000000000001</v>
      </c>
      <c r="R45" s="399"/>
      <c r="S45" s="399">
        <v>609.05999999999995</v>
      </c>
      <c r="T45" s="399">
        <v>286.42</v>
      </c>
      <c r="U45" s="399"/>
      <c r="V45" s="399">
        <v>1315.46012</v>
      </c>
      <c r="W45" s="399">
        <v>1315.46012</v>
      </c>
      <c r="X45" s="399">
        <v>1004.6050299999999</v>
      </c>
      <c r="Y45" s="399">
        <v>0</v>
      </c>
      <c r="Z45" s="399">
        <v>89.4053950888419</v>
      </c>
      <c r="AA45" s="399">
        <v>0</v>
      </c>
      <c r="AB45" s="399">
        <v>0</v>
      </c>
      <c r="AC45" s="399">
        <v>0</v>
      </c>
      <c r="AD45" s="399">
        <v>143.45100828413226</v>
      </c>
      <c r="AE45" s="399">
        <v>554.12442094117887</v>
      </c>
      <c r="AF45" s="399">
        <v>420.75589416320975</v>
      </c>
      <c r="AG45" s="399">
        <v>0</v>
      </c>
      <c r="AH45" s="399">
        <v>0</v>
      </c>
      <c r="AI45" s="399">
        <v>0</v>
      </c>
      <c r="AJ45" s="399">
        <v>0</v>
      </c>
      <c r="AK45" s="399">
        <v>0</v>
      </c>
      <c r="AL45" s="399">
        <v>13.817250874577184</v>
      </c>
      <c r="AM45" s="399"/>
      <c r="AN45" s="399">
        <v>2.5088133850326981</v>
      </c>
      <c r="AO45" s="399">
        <v>0</v>
      </c>
      <c r="AP45" s="399">
        <v>0</v>
      </c>
      <c r="AQ45" s="399">
        <v>0</v>
      </c>
      <c r="AR45" s="399">
        <v>0</v>
      </c>
      <c r="AS45" s="399">
        <v>0</v>
      </c>
      <c r="AT45" s="399">
        <v>0</v>
      </c>
      <c r="AU45" s="399">
        <v>0</v>
      </c>
      <c r="AV45" s="399">
        <v>0</v>
      </c>
      <c r="AW45" s="399">
        <v>0</v>
      </c>
      <c r="AX45" s="399">
        <v>0</v>
      </c>
      <c r="AY45" s="399">
        <v>0</v>
      </c>
      <c r="AZ45" s="399">
        <v>0</v>
      </c>
      <c r="BA45" s="399"/>
      <c r="BB45" s="399">
        <v>0</v>
      </c>
      <c r="BC45" s="399">
        <v>0</v>
      </c>
      <c r="BD45" s="399">
        <v>0</v>
      </c>
      <c r="BE45" s="399">
        <v>0</v>
      </c>
      <c r="BF45" s="399">
        <v>0</v>
      </c>
      <c r="BG45" s="399">
        <v>49.244286405601926</v>
      </c>
      <c r="BH45" s="399">
        <v>0</v>
      </c>
      <c r="BI45" s="399">
        <v>3.35</v>
      </c>
      <c r="BJ45" s="399">
        <v>15.55</v>
      </c>
      <c r="BK45" s="399">
        <v>0</v>
      </c>
      <c r="BL45" s="399">
        <v>3</v>
      </c>
      <c r="BM45" s="399"/>
      <c r="BN45" s="399"/>
      <c r="BO45" s="399"/>
      <c r="BP45" s="399"/>
      <c r="BQ45" s="399"/>
      <c r="BR45" s="399">
        <v>120.56082999999995</v>
      </c>
      <c r="BS45" s="399"/>
      <c r="BT45" s="399"/>
      <c r="BU45" s="399"/>
      <c r="BV45" s="399">
        <v>470.00018056881169</v>
      </c>
      <c r="BW45" s="399"/>
      <c r="BX45" s="399"/>
      <c r="BY45" s="399"/>
      <c r="BZ45" s="399"/>
      <c r="CA45" s="399"/>
      <c r="CB45" s="399"/>
      <c r="CC45" s="399"/>
      <c r="CD45" s="399"/>
      <c r="CE45" s="399"/>
      <c r="CF45" s="399"/>
      <c r="CG45" s="399"/>
      <c r="CH45" s="399"/>
      <c r="CI45" s="399">
        <v>884.64599999999996</v>
      </c>
      <c r="CJ45" s="399">
        <v>-272.98538000000008</v>
      </c>
      <c r="CK45" s="399"/>
      <c r="CL45" s="399"/>
      <c r="CM45" s="399"/>
      <c r="CN45" s="399"/>
      <c r="CO45" s="399">
        <v>-215.63450999999995</v>
      </c>
      <c r="CP45" s="399">
        <v>-95.220580000000041</v>
      </c>
      <c r="CQ45" s="399">
        <v>31</v>
      </c>
      <c r="CR45" s="399">
        <v>-108.65900419484797</v>
      </c>
      <c r="CS45" s="399">
        <v>0</v>
      </c>
      <c r="CT45" s="399">
        <v>0</v>
      </c>
      <c r="CU45" s="399">
        <v>0</v>
      </c>
      <c r="CV45" s="399">
        <v>0</v>
      </c>
      <c r="CW45" s="399">
        <v>0</v>
      </c>
      <c r="CX45" s="399">
        <v>0</v>
      </c>
      <c r="CY45" s="399">
        <v>0</v>
      </c>
      <c r="CZ45" s="399">
        <v>4.9227949647430478</v>
      </c>
      <c r="DA45" s="399">
        <v>0</v>
      </c>
      <c r="DB45" s="399">
        <v>0</v>
      </c>
      <c r="DC45" s="399">
        <v>-95.230524376455833</v>
      </c>
      <c r="DD45" s="399">
        <v>0</v>
      </c>
      <c r="DE45" s="399">
        <v>0</v>
      </c>
      <c r="DF45" s="399">
        <v>0</v>
      </c>
      <c r="DG45" s="399">
        <v>-11.145557987432014</v>
      </c>
      <c r="DH45" s="399">
        <v>0</v>
      </c>
      <c r="DI45" s="399">
        <v>-6.2026022442485527</v>
      </c>
      <c r="DJ45" s="399"/>
      <c r="DK45" s="399">
        <v>0</v>
      </c>
      <c r="DL45" s="399">
        <v>0</v>
      </c>
      <c r="DM45" s="399">
        <v>0</v>
      </c>
      <c r="DN45" s="399">
        <v>0</v>
      </c>
      <c r="DO45" s="399">
        <v>-0.79073775950556424</v>
      </c>
      <c r="DP45" s="399">
        <v>-0.21237679194897918</v>
      </c>
      <c r="DQ45" s="399">
        <v>0</v>
      </c>
      <c r="DR45" s="399">
        <v>0</v>
      </c>
      <c r="DS45" s="399"/>
      <c r="DT45" s="399"/>
      <c r="DU45" s="399"/>
      <c r="DV45" s="399">
        <v>554.12442094117887</v>
      </c>
      <c r="DW45" s="399">
        <v>0</v>
      </c>
      <c r="DX45" s="399">
        <v>0</v>
      </c>
      <c r="DY45" s="399">
        <v>-215.63450999999998</v>
      </c>
      <c r="DZ45" s="399">
        <v>-95.220580000000041</v>
      </c>
      <c r="EA45" s="399">
        <v>0</v>
      </c>
      <c r="EB45" s="399">
        <v>0</v>
      </c>
      <c r="EC45" s="399">
        <v>-202.20006657255476</v>
      </c>
      <c r="ED45" s="399">
        <v>0</v>
      </c>
      <c r="EE45" s="399">
        <v>0</v>
      </c>
      <c r="EF45" s="399">
        <v>0</v>
      </c>
      <c r="EG45" s="399">
        <v>0</v>
      </c>
      <c r="EH45" s="399">
        <v>0</v>
      </c>
      <c r="EI45" s="399">
        <v>0</v>
      </c>
      <c r="EJ45" s="399">
        <v>0</v>
      </c>
      <c r="EK45" s="399">
        <v>0</v>
      </c>
      <c r="EL45" s="399">
        <v>0</v>
      </c>
      <c r="EM45" s="399">
        <v>0</v>
      </c>
      <c r="EN45" s="399">
        <v>0</v>
      </c>
      <c r="EO45" s="399">
        <v>0</v>
      </c>
      <c r="EP45" s="399">
        <v>42.157702788804727</v>
      </c>
      <c r="EQ45" s="399">
        <v>0</v>
      </c>
      <c r="ER45" s="399">
        <v>0</v>
      </c>
      <c r="ES45" s="399">
        <v>0</v>
      </c>
      <c r="ET45" s="399">
        <v>0</v>
      </c>
      <c r="EU45" s="399">
        <v>0</v>
      </c>
      <c r="EV45" s="399">
        <v>202</v>
      </c>
      <c r="EW45" s="399">
        <v>0</v>
      </c>
      <c r="EX45" s="399">
        <v>0</v>
      </c>
      <c r="EY45" s="399">
        <v>0</v>
      </c>
      <c r="EZ45" s="399"/>
      <c r="FA45" s="399">
        <v>0</v>
      </c>
      <c r="FB45" s="399">
        <v>-12.3890448282368</v>
      </c>
      <c r="FC45" s="399"/>
      <c r="FD45" s="399">
        <v>-17.698635468909799</v>
      </c>
      <c r="FE45" s="399"/>
      <c r="FF45" s="399">
        <v>0</v>
      </c>
      <c r="FG45" s="399">
        <v>0</v>
      </c>
      <c r="FH45" s="399">
        <v>0</v>
      </c>
      <c r="FI45" s="399">
        <v>0</v>
      </c>
    </row>
    <row r="46" spans="1:165" customFormat="1">
      <c r="A46" s="399">
        <v>38</v>
      </c>
      <c r="B46" s="399" t="s">
        <v>956</v>
      </c>
      <c r="C46" s="399" t="s">
        <v>2402</v>
      </c>
      <c r="D46" s="399" t="s">
        <v>1826</v>
      </c>
      <c r="E46" s="399" t="s">
        <v>918</v>
      </c>
      <c r="F46" s="399" t="s">
        <v>1239</v>
      </c>
      <c r="G46" s="399" t="s">
        <v>1239</v>
      </c>
      <c r="H46" s="399" t="s">
        <v>1239</v>
      </c>
      <c r="I46" s="399" t="s">
        <v>1239</v>
      </c>
      <c r="J46" s="399" t="s">
        <v>2400</v>
      </c>
      <c r="K46" s="788">
        <v>44470</v>
      </c>
      <c r="L46" s="399">
        <v>0</v>
      </c>
      <c r="M46" s="399">
        <v>0</v>
      </c>
      <c r="N46" s="399">
        <v>15.944000000000001</v>
      </c>
      <c r="O46" s="399">
        <v>15.944000000000001</v>
      </c>
      <c r="P46" s="399">
        <v>15.944000000000001</v>
      </c>
      <c r="Q46" s="399">
        <v>15.944000000000001</v>
      </c>
      <c r="R46" s="399"/>
      <c r="S46" s="399">
        <v>609.05999999999995</v>
      </c>
      <c r="T46" s="399">
        <v>286.42</v>
      </c>
      <c r="U46" s="399"/>
      <c r="V46" s="399">
        <v>14277.53312</v>
      </c>
      <c r="W46" s="399">
        <v>14277.53312</v>
      </c>
      <c r="X46" s="399">
        <v>10903.62328</v>
      </c>
      <c r="Y46" s="399">
        <v>0</v>
      </c>
      <c r="Z46" s="399">
        <v>970.37414519843117</v>
      </c>
      <c r="AA46" s="399">
        <v>0</v>
      </c>
      <c r="AB46" s="399">
        <v>0</v>
      </c>
      <c r="AC46" s="399">
        <v>0</v>
      </c>
      <c r="AD46" s="399">
        <v>1556.9658788850952</v>
      </c>
      <c r="AE46" s="399">
        <v>6014.2680513860832</v>
      </c>
      <c r="AF46" s="399">
        <v>4566.7338165678802</v>
      </c>
      <c r="AG46" s="399">
        <v>0</v>
      </c>
      <c r="AH46" s="399">
        <v>0</v>
      </c>
      <c r="AI46" s="399">
        <v>0</v>
      </c>
      <c r="AJ46" s="399">
        <v>0</v>
      </c>
      <c r="AK46" s="399">
        <v>0</v>
      </c>
      <c r="AL46" s="399">
        <v>149.96749349507053</v>
      </c>
      <c r="AM46" s="399"/>
      <c r="AN46" s="399">
        <v>27.229762158584983</v>
      </c>
      <c r="AO46" s="399">
        <v>0</v>
      </c>
      <c r="AP46" s="399">
        <v>0</v>
      </c>
      <c r="AQ46" s="399">
        <v>0</v>
      </c>
      <c r="AR46" s="399">
        <v>0</v>
      </c>
      <c r="AS46" s="399">
        <v>0</v>
      </c>
      <c r="AT46" s="399">
        <v>0</v>
      </c>
      <c r="AU46" s="399">
        <v>0</v>
      </c>
      <c r="AV46" s="399">
        <v>0</v>
      </c>
      <c r="AW46" s="399">
        <v>0</v>
      </c>
      <c r="AX46" s="399">
        <v>0</v>
      </c>
      <c r="AY46" s="399">
        <v>0</v>
      </c>
      <c r="AZ46" s="399">
        <v>0</v>
      </c>
      <c r="BA46" s="399"/>
      <c r="BB46" s="399">
        <v>0</v>
      </c>
      <c r="BC46" s="399">
        <v>0</v>
      </c>
      <c r="BD46" s="399">
        <v>0</v>
      </c>
      <c r="BE46" s="399">
        <v>0</v>
      </c>
      <c r="BF46" s="399">
        <v>0</v>
      </c>
      <c r="BG46" s="399">
        <v>534.47985190668282</v>
      </c>
      <c r="BH46" s="399">
        <v>0</v>
      </c>
      <c r="BI46" s="399">
        <v>50.82</v>
      </c>
      <c r="BJ46" s="399">
        <v>235.76</v>
      </c>
      <c r="BK46" s="399">
        <v>2959.5</v>
      </c>
      <c r="BL46" s="399">
        <v>43</v>
      </c>
      <c r="BM46" s="399"/>
      <c r="BN46" s="399"/>
      <c r="BO46" s="399"/>
      <c r="BP46" s="399"/>
      <c r="BQ46" s="399"/>
      <c r="BR46" s="399"/>
      <c r="BS46" s="399"/>
      <c r="BT46" s="399"/>
      <c r="BU46" s="399"/>
      <c r="BV46" s="399">
        <v>5101.2136684745628</v>
      </c>
      <c r="BW46" s="399"/>
      <c r="BX46" s="399"/>
      <c r="BY46" s="399"/>
      <c r="BZ46" s="399"/>
      <c r="CA46" s="399"/>
      <c r="CB46" s="399"/>
      <c r="CC46" s="399"/>
      <c r="CD46" s="399"/>
      <c r="CE46" s="399"/>
      <c r="CF46" s="399"/>
      <c r="CG46" s="399"/>
      <c r="CH46" s="399"/>
      <c r="CI46" s="399">
        <v>10900.887799999999</v>
      </c>
      <c r="CJ46" s="399">
        <v>-3376.6753200000021</v>
      </c>
      <c r="CK46" s="399"/>
      <c r="CL46" s="399"/>
      <c r="CM46" s="399"/>
      <c r="CN46" s="399"/>
      <c r="CO46" s="399">
        <v>-2340.4197599999998</v>
      </c>
      <c r="CP46" s="399">
        <v>-1033.4900800000005</v>
      </c>
      <c r="CQ46" s="399">
        <v>31</v>
      </c>
      <c r="CR46" s="399">
        <v>-1179.3459243585121</v>
      </c>
      <c r="CS46" s="399">
        <v>0</v>
      </c>
      <c r="CT46" s="399">
        <v>0</v>
      </c>
      <c r="CU46" s="399">
        <v>0</v>
      </c>
      <c r="CV46" s="399">
        <v>0</v>
      </c>
      <c r="CW46" s="399">
        <v>0</v>
      </c>
      <c r="CX46" s="399">
        <v>0</v>
      </c>
      <c r="CY46" s="399">
        <v>0</v>
      </c>
      <c r="CZ46" s="399">
        <v>53.43025385831379</v>
      </c>
      <c r="DA46" s="399">
        <v>0</v>
      </c>
      <c r="DB46" s="399">
        <v>0</v>
      </c>
      <c r="DC46" s="399">
        <v>-1033.5980127013013</v>
      </c>
      <c r="DD46" s="399">
        <v>0</v>
      </c>
      <c r="DE46" s="399">
        <v>0</v>
      </c>
      <c r="DF46" s="399">
        <v>0</v>
      </c>
      <c r="DG46" s="399">
        <v>-120.96989554228452</v>
      </c>
      <c r="DH46" s="399">
        <v>0</v>
      </c>
      <c r="DI46" s="399">
        <v>-67.320823813682182</v>
      </c>
      <c r="DJ46" s="399"/>
      <c r="DK46" s="399">
        <v>0</v>
      </c>
      <c r="DL46" s="399">
        <v>0</v>
      </c>
      <c r="DM46" s="399">
        <v>0</v>
      </c>
      <c r="DN46" s="399">
        <v>0</v>
      </c>
      <c r="DO46" s="399">
        <v>-8.5823845048037413</v>
      </c>
      <c r="DP46" s="399">
        <v>-2.3050616547546134</v>
      </c>
      <c r="DQ46" s="399">
        <v>0</v>
      </c>
      <c r="DR46" s="399">
        <v>0</v>
      </c>
      <c r="DS46" s="399"/>
      <c r="DT46" s="399"/>
      <c r="DU46" s="399"/>
      <c r="DV46" s="399">
        <v>6014.2680513860832</v>
      </c>
      <c r="DW46" s="399">
        <v>0</v>
      </c>
      <c r="DX46" s="399">
        <v>0</v>
      </c>
      <c r="DY46" s="399">
        <v>-2340.4197599999989</v>
      </c>
      <c r="DZ46" s="399">
        <v>-1033.4900800000009</v>
      </c>
      <c r="EA46" s="399">
        <v>0</v>
      </c>
      <c r="EB46" s="399">
        <v>0</v>
      </c>
      <c r="EC46" s="399">
        <v>-2194.6071214654958</v>
      </c>
      <c r="ED46" s="399">
        <v>0</v>
      </c>
      <c r="EE46" s="399">
        <v>0</v>
      </c>
      <c r="EF46" s="399">
        <v>0</v>
      </c>
      <c r="EG46" s="399">
        <v>0</v>
      </c>
      <c r="EH46" s="399">
        <v>0</v>
      </c>
      <c r="EI46" s="399">
        <v>0</v>
      </c>
      <c r="EJ46" s="399">
        <v>0</v>
      </c>
      <c r="EK46" s="399">
        <v>0</v>
      </c>
      <c r="EL46" s="399">
        <v>0</v>
      </c>
      <c r="EM46" s="399">
        <v>0</v>
      </c>
      <c r="EN46" s="399">
        <v>0</v>
      </c>
      <c r="EO46" s="399">
        <v>0</v>
      </c>
      <c r="EP46" s="399">
        <v>457.56461079966135</v>
      </c>
      <c r="EQ46" s="399">
        <v>0</v>
      </c>
      <c r="ER46" s="399">
        <v>0</v>
      </c>
      <c r="ES46" s="399">
        <v>0</v>
      </c>
      <c r="ET46" s="399">
        <v>0</v>
      </c>
      <c r="EU46" s="399">
        <v>0</v>
      </c>
      <c r="EV46" s="399">
        <v>202</v>
      </c>
      <c r="EW46" s="399">
        <v>0</v>
      </c>
      <c r="EX46" s="399">
        <v>0</v>
      </c>
      <c r="EY46" s="399">
        <v>0</v>
      </c>
      <c r="EZ46" s="399"/>
      <c r="FA46" s="399">
        <v>0</v>
      </c>
      <c r="FB46" s="399">
        <v>-17.698635468909799</v>
      </c>
      <c r="FC46" s="399"/>
      <c r="FD46" s="399">
        <v>-17.698635468909799</v>
      </c>
      <c r="FE46" s="399"/>
      <c r="FF46" s="399">
        <v>0</v>
      </c>
      <c r="FG46" s="399">
        <v>0</v>
      </c>
      <c r="FH46" s="399">
        <v>0</v>
      </c>
      <c r="FI46" s="399">
        <v>0</v>
      </c>
    </row>
    <row r="47" spans="1:165" customFormat="1">
      <c r="A47" s="399">
        <v>45</v>
      </c>
      <c r="B47" s="399" t="s">
        <v>956</v>
      </c>
      <c r="C47" s="399" t="s">
        <v>2402</v>
      </c>
      <c r="D47" s="399" t="s">
        <v>1826</v>
      </c>
      <c r="E47" s="399" t="s">
        <v>2412</v>
      </c>
      <c r="F47" s="399" t="s">
        <v>1239</v>
      </c>
      <c r="G47" s="399" t="s">
        <v>1239</v>
      </c>
      <c r="H47" s="399" t="s">
        <v>1239</v>
      </c>
      <c r="I47" s="399" t="s">
        <v>1239</v>
      </c>
      <c r="J47" s="399" t="s">
        <v>2400</v>
      </c>
      <c r="K47" s="788">
        <v>44470</v>
      </c>
      <c r="L47" s="399">
        <v>0</v>
      </c>
      <c r="M47" s="399">
        <v>0</v>
      </c>
      <c r="N47" s="399">
        <v>6.1349999999999998</v>
      </c>
      <c r="O47" s="399">
        <v>6.1349999999999998</v>
      </c>
      <c r="P47" s="399">
        <v>6.1349999999999998</v>
      </c>
      <c r="Q47" s="399">
        <v>6.1349999999999998</v>
      </c>
      <c r="R47" s="399"/>
      <c r="S47" s="399">
        <v>609.05999999999995</v>
      </c>
      <c r="T47" s="399">
        <v>286.42</v>
      </c>
      <c r="U47" s="399"/>
      <c r="V47" s="399">
        <v>5493.7697999999991</v>
      </c>
      <c r="W47" s="399">
        <v>5493.7697999999991</v>
      </c>
      <c r="X47" s="399">
        <v>4195.5424499999999</v>
      </c>
      <c r="Y47" s="399">
        <v>0</v>
      </c>
      <c r="Z47" s="399">
        <v>373.38468268893467</v>
      </c>
      <c r="AA47" s="399">
        <v>0</v>
      </c>
      <c r="AB47" s="399">
        <v>0</v>
      </c>
      <c r="AC47" s="399">
        <v>0</v>
      </c>
      <c r="AD47" s="399">
        <v>599.09593997491584</v>
      </c>
      <c r="AE47" s="399">
        <v>2314.1955905201717</v>
      </c>
      <c r="AF47" s="399">
        <v>1757.207223070995</v>
      </c>
      <c r="AG47" s="399">
        <v>0</v>
      </c>
      <c r="AH47" s="399">
        <v>0</v>
      </c>
      <c r="AI47" s="399">
        <v>0</v>
      </c>
      <c r="AJ47" s="399">
        <v>0</v>
      </c>
      <c r="AK47" s="399">
        <v>0</v>
      </c>
      <c r="AL47" s="399">
        <v>57.70512873759769</v>
      </c>
      <c r="AM47" s="399"/>
      <c r="AN47" s="399">
        <v>10.477583469826822</v>
      </c>
      <c r="AO47" s="399">
        <v>0</v>
      </c>
      <c r="AP47" s="399">
        <v>0</v>
      </c>
      <c r="AQ47" s="399">
        <v>0</v>
      </c>
      <c r="AR47" s="399">
        <v>0</v>
      </c>
      <c r="AS47" s="399">
        <v>0</v>
      </c>
      <c r="AT47" s="399">
        <v>0</v>
      </c>
      <c r="AU47" s="399">
        <v>0</v>
      </c>
      <c r="AV47" s="399">
        <v>0</v>
      </c>
      <c r="AW47" s="399">
        <v>0</v>
      </c>
      <c r="AX47" s="399">
        <v>0</v>
      </c>
      <c r="AY47" s="399">
        <v>0</v>
      </c>
      <c r="AZ47" s="399">
        <v>0</v>
      </c>
      <c r="BA47" s="399"/>
      <c r="BB47" s="399">
        <v>0</v>
      </c>
      <c r="BC47" s="399">
        <v>0</v>
      </c>
      <c r="BD47" s="399">
        <v>0</v>
      </c>
      <c r="BE47" s="399">
        <v>0</v>
      </c>
      <c r="BF47" s="399">
        <v>0</v>
      </c>
      <c r="BG47" s="399">
        <v>205.65942620719389</v>
      </c>
      <c r="BH47" s="399">
        <v>0</v>
      </c>
      <c r="BI47" s="399">
        <v>28.37</v>
      </c>
      <c r="BJ47" s="399">
        <v>131.77000000000001</v>
      </c>
      <c r="BK47" s="399">
        <v>609.17999999999995</v>
      </c>
      <c r="BL47" s="399">
        <v>10</v>
      </c>
      <c r="BM47" s="399"/>
      <c r="BN47" s="399"/>
      <c r="BO47" s="399"/>
      <c r="BP47" s="399"/>
      <c r="BQ47" s="399"/>
      <c r="BR47" s="399"/>
      <c r="BS47" s="399"/>
      <c r="BT47" s="399"/>
      <c r="BU47" s="399"/>
      <c r="BV47" s="399">
        <v>1962.866649278189</v>
      </c>
      <c r="BW47" s="399"/>
      <c r="BX47" s="399"/>
      <c r="BY47" s="399"/>
      <c r="BZ47" s="399"/>
      <c r="CA47" s="399"/>
      <c r="CB47" s="399"/>
      <c r="CC47" s="399"/>
      <c r="CD47" s="399"/>
      <c r="CE47" s="399"/>
      <c r="CF47" s="399"/>
      <c r="CG47" s="399"/>
      <c r="CH47" s="399"/>
      <c r="CI47" s="399">
        <v>4198.9617999999991</v>
      </c>
      <c r="CJ47" s="399">
        <v>-1294.8380000000006</v>
      </c>
      <c r="CK47" s="399"/>
      <c r="CL47" s="399"/>
      <c r="CM47" s="399"/>
      <c r="CN47" s="399"/>
      <c r="CO47" s="399">
        <v>-900.55664999999976</v>
      </c>
      <c r="CP47" s="399">
        <v>-397.67070000000012</v>
      </c>
      <c r="CQ47" s="399">
        <v>31</v>
      </c>
      <c r="CR47" s="399">
        <v>-453.79373092947026</v>
      </c>
      <c r="CS47" s="399">
        <v>0</v>
      </c>
      <c r="CT47" s="399">
        <v>0</v>
      </c>
      <c r="CU47" s="399">
        <v>0</v>
      </c>
      <c r="CV47" s="399">
        <v>0</v>
      </c>
      <c r="CW47" s="399">
        <v>0</v>
      </c>
      <c r="CX47" s="399">
        <v>0</v>
      </c>
      <c r="CY47" s="399">
        <v>0</v>
      </c>
      <c r="CZ47" s="399">
        <v>20.55911988338903</v>
      </c>
      <c r="DA47" s="399">
        <v>0</v>
      </c>
      <c r="DB47" s="399">
        <v>0</v>
      </c>
      <c r="DC47" s="399">
        <v>-397.71223080296568</v>
      </c>
      <c r="DD47" s="399">
        <v>0</v>
      </c>
      <c r="DE47" s="399">
        <v>0</v>
      </c>
      <c r="DF47" s="399">
        <v>0</v>
      </c>
      <c r="DG47" s="399">
        <v>-46.54730990666809</v>
      </c>
      <c r="DH47" s="399">
        <v>0</v>
      </c>
      <c r="DI47" s="399">
        <v>-25.903992354298794</v>
      </c>
      <c r="DJ47" s="399"/>
      <c r="DK47" s="399">
        <v>0</v>
      </c>
      <c r="DL47" s="399">
        <v>0</v>
      </c>
      <c r="DM47" s="399">
        <v>0</v>
      </c>
      <c r="DN47" s="399">
        <v>0</v>
      </c>
      <c r="DO47" s="399">
        <v>-3.3023663407533164</v>
      </c>
      <c r="DP47" s="399">
        <v>-0.88695140817357832</v>
      </c>
      <c r="DQ47" s="399">
        <v>0</v>
      </c>
      <c r="DR47" s="399">
        <v>0</v>
      </c>
      <c r="DS47" s="399"/>
      <c r="DT47" s="399"/>
      <c r="DU47" s="399"/>
      <c r="DV47" s="399">
        <v>2314.1955905201717</v>
      </c>
      <c r="DW47" s="399">
        <v>0</v>
      </c>
      <c r="DX47" s="399">
        <v>0</v>
      </c>
      <c r="DY47" s="399">
        <v>-900.55664999999954</v>
      </c>
      <c r="DZ47" s="399">
        <v>-397.67070000000012</v>
      </c>
      <c r="EA47" s="399">
        <v>0</v>
      </c>
      <c r="EB47" s="399">
        <v>0</v>
      </c>
      <c r="EC47" s="399">
        <v>-844.45024399089402</v>
      </c>
      <c r="ED47" s="399">
        <v>0</v>
      </c>
      <c r="EE47" s="399">
        <v>0</v>
      </c>
      <c r="EF47" s="399">
        <v>0</v>
      </c>
      <c r="EG47" s="399">
        <v>0</v>
      </c>
      <c r="EH47" s="399">
        <v>0</v>
      </c>
      <c r="EI47" s="399">
        <v>0</v>
      </c>
      <c r="EJ47" s="399">
        <v>0</v>
      </c>
      <c r="EK47" s="399">
        <v>0</v>
      </c>
      <c r="EL47" s="399">
        <v>0</v>
      </c>
      <c r="EM47" s="399">
        <v>0</v>
      </c>
      <c r="EN47" s="399">
        <v>0</v>
      </c>
      <c r="EO47" s="399">
        <v>0</v>
      </c>
      <c r="EP47" s="399">
        <v>176.06365323983457</v>
      </c>
      <c r="EQ47" s="399">
        <v>0</v>
      </c>
      <c r="ER47" s="399">
        <v>0</v>
      </c>
      <c r="ES47" s="399">
        <v>0</v>
      </c>
      <c r="ET47" s="399">
        <v>0</v>
      </c>
      <c r="EU47" s="399">
        <v>0</v>
      </c>
      <c r="EV47" s="399">
        <v>202</v>
      </c>
      <c r="EW47" s="399">
        <v>0</v>
      </c>
      <c r="EX47" s="399">
        <v>0</v>
      </c>
      <c r="EY47" s="399">
        <v>0</v>
      </c>
      <c r="EZ47" s="399"/>
      <c r="FA47" s="399">
        <v>0</v>
      </c>
      <c r="FB47" s="399">
        <v>-17.698635468909799</v>
      </c>
      <c r="FC47" s="399"/>
      <c r="FD47" s="399">
        <v>-17.698635468909799</v>
      </c>
      <c r="FE47" s="399"/>
      <c r="FF47" s="399">
        <v>0</v>
      </c>
      <c r="FG47" s="399">
        <v>0</v>
      </c>
      <c r="FH47" s="399">
        <v>0</v>
      </c>
      <c r="FI47" s="399">
        <v>0</v>
      </c>
    </row>
    <row r="48" spans="1:165" customFormat="1">
      <c r="A48" s="399">
        <v>46</v>
      </c>
      <c r="B48" s="399" t="s">
        <v>956</v>
      </c>
      <c r="C48" s="399" t="s">
        <v>2402</v>
      </c>
      <c r="D48" s="399" t="s">
        <v>2413</v>
      </c>
      <c r="E48" s="399" t="s">
        <v>2414</v>
      </c>
      <c r="F48" s="399" t="s">
        <v>2415</v>
      </c>
      <c r="G48" s="399" t="s">
        <v>1239</v>
      </c>
      <c r="H48" s="399" t="s">
        <v>1239</v>
      </c>
      <c r="I48" s="399" t="s">
        <v>1239</v>
      </c>
      <c r="J48" s="399" t="s">
        <v>2400</v>
      </c>
      <c r="K48" s="788">
        <v>44470</v>
      </c>
      <c r="L48" s="399">
        <v>0</v>
      </c>
      <c r="M48" s="399">
        <v>0</v>
      </c>
      <c r="N48" s="399">
        <v>44.646999999999998</v>
      </c>
      <c r="O48" s="399">
        <v>44.646999999999998</v>
      </c>
      <c r="P48" s="399">
        <v>44.646999999999998</v>
      </c>
      <c r="Q48" s="399">
        <v>44.646999999999998</v>
      </c>
      <c r="R48" s="399"/>
      <c r="S48" s="399">
        <v>334.98</v>
      </c>
      <c r="T48" s="399">
        <v>157.53</v>
      </c>
      <c r="U48" s="399"/>
      <c r="V48" s="399">
        <v>21989.093970000002</v>
      </c>
      <c r="W48" s="399">
        <v>21989.093970000002</v>
      </c>
      <c r="X48" s="399">
        <v>16793.076109999998</v>
      </c>
      <c r="Y48" s="399">
        <v>0</v>
      </c>
      <c r="Z48" s="399">
        <v>1494.5033839294326</v>
      </c>
      <c r="AA48" s="399">
        <v>0</v>
      </c>
      <c r="AB48" s="399">
        <v>0</v>
      </c>
      <c r="AC48" s="399">
        <v>0</v>
      </c>
      <c r="AD48" s="399">
        <v>2397.9315464764513</v>
      </c>
      <c r="AE48" s="399">
        <v>9262.7611722045422</v>
      </c>
      <c r="AF48" s="399">
        <v>7033.368702306082</v>
      </c>
      <c r="AG48" s="399">
        <v>0</v>
      </c>
      <c r="AH48" s="399">
        <v>0</v>
      </c>
      <c r="AI48" s="399">
        <v>0</v>
      </c>
      <c r="AJ48" s="399">
        <v>0</v>
      </c>
      <c r="AK48" s="399">
        <v>0</v>
      </c>
      <c r="AL48" s="399">
        <v>230.96959829032417</v>
      </c>
      <c r="AM48" s="399"/>
      <c r="AN48" s="399">
        <v>41.937403104734628</v>
      </c>
      <c r="AO48" s="399">
        <v>0</v>
      </c>
      <c r="AP48" s="399">
        <v>0</v>
      </c>
      <c r="AQ48" s="399">
        <v>0</v>
      </c>
      <c r="AR48" s="399">
        <v>0</v>
      </c>
      <c r="AS48" s="399">
        <v>0</v>
      </c>
      <c r="AT48" s="399">
        <v>0</v>
      </c>
      <c r="AU48" s="399">
        <v>0</v>
      </c>
      <c r="AV48" s="399">
        <v>0</v>
      </c>
      <c r="AW48" s="399">
        <v>0</v>
      </c>
      <c r="AX48" s="399">
        <v>0</v>
      </c>
      <c r="AY48" s="399">
        <v>0</v>
      </c>
      <c r="AZ48" s="399">
        <v>0</v>
      </c>
      <c r="BA48" s="399"/>
      <c r="BB48" s="399">
        <v>0</v>
      </c>
      <c r="BC48" s="399">
        <v>0</v>
      </c>
      <c r="BD48" s="399">
        <v>0</v>
      </c>
      <c r="BE48" s="399">
        <v>0</v>
      </c>
      <c r="BF48" s="399">
        <v>0</v>
      </c>
      <c r="BG48" s="399">
        <v>823.16903358271088</v>
      </c>
      <c r="BH48" s="399">
        <v>0</v>
      </c>
      <c r="BI48" s="399">
        <v>69.05</v>
      </c>
      <c r="BJ48" s="399">
        <v>318.74</v>
      </c>
      <c r="BK48" s="399">
        <v>5163.07</v>
      </c>
      <c r="BL48" s="399">
        <v>3</v>
      </c>
      <c r="BM48" s="399"/>
      <c r="BN48" s="399"/>
      <c r="BO48" s="399"/>
      <c r="BP48" s="399"/>
      <c r="BQ48" s="399"/>
      <c r="BR48" s="399"/>
      <c r="BS48" s="399"/>
      <c r="BT48" s="399"/>
      <c r="BU48" s="399"/>
      <c r="BV48" s="399">
        <v>7856.5377358887927</v>
      </c>
      <c r="BW48" s="399"/>
      <c r="BX48" s="399"/>
      <c r="BY48" s="399"/>
      <c r="BZ48" s="399"/>
      <c r="CA48" s="399"/>
      <c r="CB48" s="399"/>
      <c r="CC48" s="399"/>
      <c r="CD48" s="399"/>
      <c r="CE48" s="399"/>
      <c r="CF48" s="399"/>
      <c r="CG48" s="399"/>
      <c r="CH48" s="399"/>
      <c r="CI48" s="399">
        <v>16794.2045</v>
      </c>
      <c r="CJ48" s="399">
        <v>-5194.9194700000007</v>
      </c>
      <c r="CK48" s="399"/>
      <c r="CL48" s="399"/>
      <c r="CM48" s="399"/>
      <c r="CN48" s="399"/>
      <c r="CO48" s="399">
        <v>-3604.3523100000007</v>
      </c>
      <c r="CP48" s="399">
        <v>-1591.6655500000002</v>
      </c>
      <c r="CQ48" s="399">
        <v>31</v>
      </c>
      <c r="CR48" s="399">
        <v>-1816.3473166494823</v>
      </c>
      <c r="CS48" s="399">
        <v>0</v>
      </c>
      <c r="CT48" s="399">
        <v>0</v>
      </c>
      <c r="CU48" s="399">
        <v>0</v>
      </c>
      <c r="CV48" s="399">
        <v>0</v>
      </c>
      <c r="CW48" s="399">
        <v>0</v>
      </c>
      <c r="CX48" s="399">
        <v>0</v>
      </c>
      <c r="CY48" s="399">
        <v>0</v>
      </c>
      <c r="CZ48" s="399">
        <v>82.289594782145286</v>
      </c>
      <c r="DA48" s="399">
        <v>0</v>
      </c>
      <c r="DB48" s="399">
        <v>0</v>
      </c>
      <c r="DC48" s="399">
        <v>-1591.8764275082412</v>
      </c>
      <c r="DD48" s="399">
        <v>0</v>
      </c>
      <c r="DE48" s="399">
        <v>0</v>
      </c>
      <c r="DF48" s="399">
        <v>0</v>
      </c>
      <c r="DG48" s="399">
        <v>-186.30949632790043</v>
      </c>
      <c r="DH48" s="399">
        <v>0</v>
      </c>
      <c r="DI48" s="399">
        <v>-103.68289334202382</v>
      </c>
      <c r="DJ48" s="399"/>
      <c r="DK48" s="399">
        <v>0</v>
      </c>
      <c r="DL48" s="399">
        <v>0</v>
      </c>
      <c r="DM48" s="399">
        <v>0</v>
      </c>
      <c r="DN48" s="399">
        <v>0</v>
      </c>
      <c r="DO48" s="399">
        <v>-13.217997148914236</v>
      </c>
      <c r="DP48" s="399">
        <v>-3.550097104547433</v>
      </c>
      <c r="DQ48" s="399">
        <v>0</v>
      </c>
      <c r="DR48" s="399">
        <v>0</v>
      </c>
      <c r="DS48" s="399"/>
      <c r="DT48" s="399"/>
      <c r="DU48" s="399"/>
      <c r="DV48" s="399">
        <v>9262.7611722045422</v>
      </c>
      <c r="DW48" s="399">
        <v>0</v>
      </c>
      <c r="DX48" s="399">
        <v>0</v>
      </c>
      <c r="DY48" s="399">
        <v>-3604.352310000002</v>
      </c>
      <c r="DZ48" s="399">
        <v>-1591.6655499999997</v>
      </c>
      <c r="EA48" s="399">
        <v>0</v>
      </c>
      <c r="EB48" s="399">
        <v>0</v>
      </c>
      <c r="EC48" s="399">
        <v>-3379.9826444831233</v>
      </c>
      <c r="ED48" s="399">
        <v>0</v>
      </c>
      <c r="EE48" s="399">
        <v>0</v>
      </c>
      <c r="EF48" s="399">
        <v>0</v>
      </c>
      <c r="EG48" s="399">
        <v>0</v>
      </c>
      <c r="EH48" s="399">
        <v>0</v>
      </c>
      <c r="EI48" s="399">
        <v>0</v>
      </c>
      <c r="EJ48" s="399">
        <v>0</v>
      </c>
      <c r="EK48" s="399">
        <v>0</v>
      </c>
      <c r="EL48" s="399">
        <v>0</v>
      </c>
      <c r="EM48" s="399">
        <v>0</v>
      </c>
      <c r="EN48" s="399">
        <v>0</v>
      </c>
      <c r="EO48" s="399">
        <v>0</v>
      </c>
      <c r="EP48" s="399">
        <v>704.70947993633092</v>
      </c>
      <c r="EQ48" s="399">
        <v>0</v>
      </c>
      <c r="ER48" s="399">
        <v>0</v>
      </c>
      <c r="ES48" s="399">
        <v>0</v>
      </c>
      <c r="ET48" s="399">
        <v>0</v>
      </c>
      <c r="EU48" s="399">
        <v>0</v>
      </c>
      <c r="EV48" s="399">
        <v>202</v>
      </c>
      <c r="EW48" s="399">
        <v>0</v>
      </c>
      <c r="EX48" s="399">
        <v>0</v>
      </c>
      <c r="EY48" s="399">
        <v>0</v>
      </c>
      <c r="EZ48" s="399"/>
      <c r="FA48" s="399">
        <v>0</v>
      </c>
      <c r="FB48" s="399">
        <v>-9.7342495079003708</v>
      </c>
      <c r="FC48" s="399"/>
      <c r="FD48" s="399">
        <v>-9.7342495079003708</v>
      </c>
      <c r="FE48" s="399"/>
      <c r="FF48" s="399">
        <v>0</v>
      </c>
      <c r="FG48" s="399">
        <v>0</v>
      </c>
      <c r="FH48" s="399">
        <v>0</v>
      </c>
      <c r="FI48" s="399">
        <v>0</v>
      </c>
    </row>
    <row r="49" spans="1:165" customFormat="1">
      <c r="A49" s="399">
        <v>48</v>
      </c>
      <c r="B49" s="399" t="s">
        <v>956</v>
      </c>
      <c r="C49" s="399" t="s">
        <v>2399</v>
      </c>
      <c r="D49" s="399" t="s">
        <v>533</v>
      </c>
      <c r="E49" s="399" t="s">
        <v>921</v>
      </c>
      <c r="F49" s="399" t="s">
        <v>2401</v>
      </c>
      <c r="G49" s="399" t="s">
        <v>1239</v>
      </c>
      <c r="H49" s="399" t="s">
        <v>1239</v>
      </c>
      <c r="I49" s="399" t="s">
        <v>893</v>
      </c>
      <c r="J49" s="399" t="s">
        <v>2400</v>
      </c>
      <c r="K49" s="788">
        <v>44470</v>
      </c>
      <c r="L49" s="399">
        <v>0</v>
      </c>
      <c r="M49" s="399">
        <v>0</v>
      </c>
      <c r="N49" s="399">
        <v>19.920999999999999</v>
      </c>
      <c r="O49" s="399">
        <v>18.725739999999998</v>
      </c>
      <c r="P49" s="399">
        <v>19.920999999999999</v>
      </c>
      <c r="Q49" s="399">
        <v>18.725739999999998</v>
      </c>
      <c r="R49" s="399"/>
      <c r="S49" s="399">
        <v>3305.85</v>
      </c>
      <c r="T49" s="399">
        <v>286.42</v>
      </c>
      <c r="U49" s="399"/>
      <c r="V49" s="399">
        <v>71561.610669999995</v>
      </c>
      <c r="W49" s="399">
        <v>71561.610669999995</v>
      </c>
      <c r="X49" s="399">
        <v>52015.723100000003</v>
      </c>
      <c r="Y49" s="399">
        <v>0</v>
      </c>
      <c r="Z49" s="399">
        <v>1054.8053381493485</v>
      </c>
      <c r="AA49" s="399">
        <v>0</v>
      </c>
      <c r="AB49" s="399">
        <v>0</v>
      </c>
      <c r="AC49" s="399">
        <v>0</v>
      </c>
      <c r="AD49" s="399">
        <v>12988.194599121687</v>
      </c>
      <c r="AE49" s="399">
        <v>50866.055581025459</v>
      </c>
      <c r="AF49" s="399">
        <v>5705.839460602655</v>
      </c>
      <c r="AG49" s="399">
        <v>0</v>
      </c>
      <c r="AH49" s="399">
        <v>0</v>
      </c>
      <c r="AI49" s="399">
        <v>0</v>
      </c>
      <c r="AJ49" s="399">
        <v>0</v>
      </c>
      <c r="AK49" s="399">
        <v>0</v>
      </c>
      <c r="AL49" s="399">
        <v>187.3747138682451</v>
      </c>
      <c r="AM49" s="399"/>
      <c r="AN49" s="399">
        <v>27.293511639223976</v>
      </c>
      <c r="AO49" s="399">
        <v>0</v>
      </c>
      <c r="AP49" s="399">
        <v>0</v>
      </c>
      <c r="AQ49" s="399">
        <v>0</v>
      </c>
      <c r="AR49" s="399">
        <v>0</v>
      </c>
      <c r="AS49" s="399">
        <v>0</v>
      </c>
      <c r="AT49" s="399">
        <v>0</v>
      </c>
      <c r="AU49" s="399">
        <v>0</v>
      </c>
      <c r="AV49" s="399">
        <v>0</v>
      </c>
      <c r="AW49" s="399">
        <v>0</v>
      </c>
      <c r="AX49" s="399">
        <v>0</v>
      </c>
      <c r="AY49" s="399">
        <v>0</v>
      </c>
      <c r="AZ49" s="399">
        <v>0</v>
      </c>
      <c r="BA49" s="399"/>
      <c r="BB49" s="399">
        <v>0</v>
      </c>
      <c r="BC49" s="399">
        <v>0</v>
      </c>
      <c r="BD49" s="399">
        <v>0</v>
      </c>
      <c r="BE49" s="399">
        <v>0</v>
      </c>
      <c r="BF49" s="399">
        <v>0</v>
      </c>
      <c r="BG49" s="399">
        <v>234.81471464184449</v>
      </c>
      <c r="BH49" s="399">
        <v>0</v>
      </c>
      <c r="BI49" s="399">
        <v>0</v>
      </c>
      <c r="BJ49" s="399">
        <v>0</v>
      </c>
      <c r="BK49" s="399">
        <v>0</v>
      </c>
      <c r="BL49" s="399">
        <v>0</v>
      </c>
      <c r="BM49" s="399"/>
      <c r="BN49" s="399"/>
      <c r="BO49" s="399"/>
      <c r="BP49" s="399"/>
      <c r="BQ49" s="399">
        <v>3120.9433860000031</v>
      </c>
      <c r="BR49" s="399"/>
      <c r="BS49" s="399"/>
      <c r="BT49" s="399"/>
      <c r="BU49" s="399"/>
      <c r="BV49" s="399">
        <v>5940.6541752444991</v>
      </c>
      <c r="BW49" s="399"/>
      <c r="BX49" s="399"/>
      <c r="BY49" s="399"/>
      <c r="BZ49" s="399"/>
      <c r="CA49" s="399"/>
      <c r="CB49" s="399"/>
      <c r="CC49" s="399"/>
      <c r="CD49" s="399"/>
      <c r="CE49" s="399"/>
      <c r="CF49" s="399"/>
      <c r="CG49" s="399"/>
      <c r="CH49" s="399"/>
      <c r="CI49" s="399">
        <v>48905.902999999998</v>
      </c>
      <c r="CJ49" s="399">
        <v>-18362.041029799999</v>
      </c>
      <c r="CK49" s="399"/>
      <c r="CL49" s="399"/>
      <c r="CM49" s="399"/>
      <c r="CN49" s="399"/>
      <c r="CO49" s="399">
        <v>-18254.608349999999</v>
      </c>
      <c r="CP49" s="399">
        <v>-1291.2792200000004</v>
      </c>
      <c r="CQ49" s="399">
        <v>31</v>
      </c>
      <c r="CR49" s="399">
        <v>-985.05741794551068</v>
      </c>
      <c r="CS49" s="399">
        <v>0</v>
      </c>
      <c r="CT49" s="399">
        <v>0</v>
      </c>
      <c r="CU49" s="399">
        <v>0</v>
      </c>
      <c r="CV49" s="399">
        <v>0</v>
      </c>
      <c r="CW49" s="399">
        <v>0</v>
      </c>
      <c r="CX49" s="399">
        <v>0</v>
      </c>
      <c r="CY49" s="399">
        <v>0</v>
      </c>
      <c r="CZ49" s="399">
        <v>445.71467108135948</v>
      </c>
      <c r="DA49" s="399">
        <v>0</v>
      </c>
      <c r="DB49" s="399">
        <v>0</v>
      </c>
      <c r="DC49" s="399">
        <v>-1291.4140749512426</v>
      </c>
      <c r="DD49" s="399">
        <v>0</v>
      </c>
      <c r="DE49" s="399">
        <v>0</v>
      </c>
      <c r="DF49" s="399">
        <v>0</v>
      </c>
      <c r="DG49" s="399">
        <v>-53.146084741422385</v>
      </c>
      <c r="DH49" s="399">
        <v>0</v>
      </c>
      <c r="DI49" s="399">
        <v>-73.178335056282322</v>
      </c>
      <c r="DJ49" s="399"/>
      <c r="DK49" s="399">
        <v>0</v>
      </c>
      <c r="DL49" s="399">
        <v>0</v>
      </c>
      <c r="DM49" s="399">
        <v>0</v>
      </c>
      <c r="DN49" s="399">
        <v>0</v>
      </c>
      <c r="DO49" s="399">
        <v>-10.723136083805542</v>
      </c>
      <c r="DP49" s="399">
        <v>-2.3104581941175262</v>
      </c>
      <c r="DQ49" s="399">
        <v>0</v>
      </c>
      <c r="DR49" s="399">
        <v>0</v>
      </c>
      <c r="DS49" s="399"/>
      <c r="DT49" s="399"/>
      <c r="DU49" s="399"/>
      <c r="DV49" s="399">
        <v>50866.055581025459</v>
      </c>
      <c r="DW49" s="399">
        <v>0</v>
      </c>
      <c r="DX49" s="399">
        <v>0</v>
      </c>
      <c r="DY49" s="399">
        <v>-18254.608349999995</v>
      </c>
      <c r="DZ49" s="399">
        <v>-1291.2792200000004</v>
      </c>
      <c r="EA49" s="399">
        <v>0</v>
      </c>
      <c r="EB49" s="399">
        <v>0</v>
      </c>
      <c r="EC49" s="399">
        <v>-18561.029682282249</v>
      </c>
      <c r="ED49" s="399">
        <v>0</v>
      </c>
      <c r="EE49" s="399">
        <v>0</v>
      </c>
      <c r="EF49" s="399">
        <v>0</v>
      </c>
      <c r="EG49" s="399">
        <v>0</v>
      </c>
      <c r="EH49" s="399">
        <v>0</v>
      </c>
      <c r="EI49" s="399">
        <v>0</v>
      </c>
      <c r="EJ49" s="399">
        <v>0</v>
      </c>
      <c r="EK49" s="399">
        <v>0</v>
      </c>
      <c r="EL49" s="399">
        <v>0</v>
      </c>
      <c r="EM49" s="399">
        <v>0</v>
      </c>
      <c r="EN49" s="399">
        <v>0</v>
      </c>
      <c r="EO49" s="399">
        <v>0</v>
      </c>
      <c r="EP49" s="399">
        <v>497.37680708817408</v>
      </c>
      <c r="EQ49" s="399">
        <v>0</v>
      </c>
      <c r="ER49" s="399">
        <v>0</v>
      </c>
      <c r="ES49" s="399">
        <v>0</v>
      </c>
      <c r="ET49" s="399">
        <v>0</v>
      </c>
      <c r="EU49" s="399">
        <v>0</v>
      </c>
      <c r="EV49" s="399">
        <v>202</v>
      </c>
      <c r="EW49" s="399">
        <v>0</v>
      </c>
      <c r="EX49" s="399">
        <v>0</v>
      </c>
      <c r="EY49" s="399">
        <v>0</v>
      </c>
      <c r="EZ49" s="399"/>
      <c r="FA49" s="399">
        <v>0</v>
      </c>
      <c r="FB49" s="399">
        <v>-17.698635468909799</v>
      </c>
      <c r="FC49" s="399"/>
      <c r="FD49" s="399">
        <v>-17.698635468909799</v>
      </c>
      <c r="FE49" s="399"/>
      <c r="FF49" s="399">
        <v>0</v>
      </c>
      <c r="FG49" s="399">
        <v>0</v>
      </c>
      <c r="FH49" s="399">
        <v>0</v>
      </c>
      <c r="FI49" s="399">
        <v>0</v>
      </c>
    </row>
    <row r="50" spans="1:165" customFormat="1">
      <c r="A50" s="399">
        <v>49</v>
      </c>
      <c r="B50" s="399" t="s">
        <v>956</v>
      </c>
      <c r="C50" s="399" t="s">
        <v>2399</v>
      </c>
      <c r="D50" s="399" t="s">
        <v>533</v>
      </c>
      <c r="E50" s="399" t="s">
        <v>921</v>
      </c>
      <c r="F50" s="399" t="s">
        <v>2401</v>
      </c>
      <c r="G50" s="399" t="s">
        <v>1239</v>
      </c>
      <c r="H50" s="399" t="s">
        <v>1239</v>
      </c>
      <c r="I50" s="399" t="s">
        <v>2326</v>
      </c>
      <c r="J50" s="399" t="s">
        <v>2400</v>
      </c>
      <c r="K50" s="788">
        <v>44470</v>
      </c>
      <c r="L50" s="399">
        <v>0</v>
      </c>
      <c r="M50" s="399">
        <v>0</v>
      </c>
      <c r="N50" s="399">
        <v>221.91499999999999</v>
      </c>
      <c r="O50" s="399">
        <v>208.6001</v>
      </c>
      <c r="P50" s="399">
        <v>221.91499999999999</v>
      </c>
      <c r="Q50" s="399">
        <v>208.6001</v>
      </c>
      <c r="R50" s="399"/>
      <c r="S50" s="399">
        <v>100.48</v>
      </c>
      <c r="T50" s="399">
        <v>286.42</v>
      </c>
      <c r="U50" s="399"/>
      <c r="V50" s="399">
        <v>85858.913499999995</v>
      </c>
      <c r="W50" s="399">
        <v>85858.913499999995</v>
      </c>
      <c r="X50" s="399">
        <v>69920.978199999998</v>
      </c>
      <c r="Y50" s="399">
        <v>0</v>
      </c>
      <c r="Z50" s="399">
        <v>11750.269896863243</v>
      </c>
      <c r="AA50" s="399">
        <v>0</v>
      </c>
      <c r="AB50" s="399">
        <v>0</v>
      </c>
      <c r="AC50" s="399">
        <v>0</v>
      </c>
      <c r="AD50" s="399">
        <v>0</v>
      </c>
      <c r="AE50" s="399">
        <v>0</v>
      </c>
      <c r="AF50" s="399">
        <v>63561.636659788077</v>
      </c>
      <c r="AG50" s="399">
        <v>0</v>
      </c>
      <c r="AH50" s="399">
        <v>0</v>
      </c>
      <c r="AI50" s="399">
        <v>0</v>
      </c>
      <c r="AJ50" s="399">
        <v>0</v>
      </c>
      <c r="AK50" s="399">
        <v>0</v>
      </c>
      <c r="AL50" s="399">
        <v>2087.3078474008139</v>
      </c>
      <c r="AM50" s="399"/>
      <c r="AN50" s="399">
        <v>304.0429514290642</v>
      </c>
      <c r="AO50" s="399">
        <v>0</v>
      </c>
      <c r="AP50" s="399">
        <v>0</v>
      </c>
      <c r="AQ50" s="399">
        <v>0</v>
      </c>
      <c r="AR50" s="399">
        <v>0</v>
      </c>
      <c r="AS50" s="399">
        <v>0</v>
      </c>
      <c r="AT50" s="399">
        <v>0</v>
      </c>
      <c r="AU50" s="399">
        <v>0</v>
      </c>
      <c r="AV50" s="399">
        <v>0</v>
      </c>
      <c r="AW50" s="399">
        <v>0</v>
      </c>
      <c r="AX50" s="399">
        <v>0</v>
      </c>
      <c r="AY50" s="399">
        <v>0</v>
      </c>
      <c r="AZ50" s="399">
        <v>0</v>
      </c>
      <c r="BA50" s="399"/>
      <c r="BB50" s="399">
        <v>0</v>
      </c>
      <c r="BC50" s="399">
        <v>0</v>
      </c>
      <c r="BD50" s="399">
        <v>0</v>
      </c>
      <c r="BE50" s="399">
        <v>0</v>
      </c>
      <c r="BF50" s="399">
        <v>0</v>
      </c>
      <c r="BG50" s="399">
        <v>2615.7776918701329</v>
      </c>
      <c r="BH50" s="399">
        <v>0</v>
      </c>
      <c r="BI50" s="399">
        <v>0</v>
      </c>
      <c r="BJ50" s="399">
        <v>0</v>
      </c>
      <c r="BK50" s="399">
        <v>0</v>
      </c>
      <c r="BL50" s="399">
        <v>0</v>
      </c>
      <c r="BM50" s="399"/>
      <c r="BN50" s="399"/>
      <c r="BO50" s="399"/>
      <c r="BP50" s="399"/>
      <c r="BQ50" s="399">
        <v>4195.2586919999976</v>
      </c>
      <c r="BR50" s="399"/>
      <c r="BS50" s="399"/>
      <c r="BT50" s="399"/>
      <c r="BU50" s="399"/>
      <c r="BV50" s="399">
        <v>66177.414351658212</v>
      </c>
      <c r="BW50" s="399"/>
      <c r="BX50" s="399"/>
      <c r="BY50" s="399"/>
      <c r="BZ50" s="399"/>
      <c r="CA50" s="399"/>
      <c r="CB50" s="399"/>
      <c r="CC50" s="399"/>
      <c r="CD50" s="399"/>
      <c r="CE50" s="399"/>
      <c r="CF50" s="399"/>
      <c r="CG50" s="399"/>
      <c r="CH50" s="399"/>
      <c r="CI50" s="399">
        <v>65725.687999999995</v>
      </c>
      <c r="CJ50" s="399">
        <v>-14981.720690000002</v>
      </c>
      <c r="CK50" s="399"/>
      <c r="CL50" s="399"/>
      <c r="CM50" s="399"/>
      <c r="CN50" s="399"/>
      <c r="CO50" s="399">
        <v>-1553.405</v>
      </c>
      <c r="CP50" s="399">
        <v>-14384.530300000004</v>
      </c>
      <c r="CQ50" s="399">
        <v>31</v>
      </c>
      <c r="CR50" s="399">
        <v>-15938.446269584732</v>
      </c>
      <c r="CS50" s="399">
        <v>0</v>
      </c>
      <c r="CT50" s="399">
        <v>0</v>
      </c>
      <c r="CU50" s="399">
        <v>0</v>
      </c>
      <c r="CV50" s="399">
        <v>0</v>
      </c>
      <c r="CW50" s="399">
        <v>0</v>
      </c>
      <c r="CX50" s="399">
        <v>0</v>
      </c>
      <c r="CY50" s="399">
        <v>0</v>
      </c>
      <c r="CZ50" s="399">
        <v>0</v>
      </c>
      <c r="DA50" s="399">
        <v>0</v>
      </c>
      <c r="DB50" s="399">
        <v>0</v>
      </c>
      <c r="DC50" s="399">
        <v>-14386.032550715587</v>
      </c>
      <c r="DD50" s="399">
        <v>0</v>
      </c>
      <c r="DE50" s="399">
        <v>0</v>
      </c>
      <c r="DF50" s="399">
        <v>0</v>
      </c>
      <c r="DG50" s="399">
        <v>-592.03420487890889</v>
      </c>
      <c r="DH50" s="399">
        <v>0</v>
      </c>
      <c r="DI50" s="399">
        <v>-815.1885057986492</v>
      </c>
      <c r="DJ50" s="399"/>
      <c r="DK50" s="399">
        <v>0</v>
      </c>
      <c r="DL50" s="399">
        <v>0</v>
      </c>
      <c r="DM50" s="399">
        <v>0</v>
      </c>
      <c r="DN50" s="399">
        <v>0</v>
      </c>
      <c r="DO50" s="399">
        <v>-119.45307685546459</v>
      </c>
      <c r="DP50" s="399">
        <v>-25.737931336157317</v>
      </c>
      <c r="DQ50" s="399">
        <v>0</v>
      </c>
      <c r="DR50" s="399">
        <v>0</v>
      </c>
      <c r="DS50" s="399"/>
      <c r="DT50" s="399"/>
      <c r="DU50" s="399"/>
      <c r="DV50" s="399">
        <v>0</v>
      </c>
      <c r="DW50" s="399">
        <v>0</v>
      </c>
      <c r="DX50" s="399">
        <v>0</v>
      </c>
      <c r="DY50" s="399">
        <v>-1553.4049999999988</v>
      </c>
      <c r="DZ50" s="399">
        <v>-14384.530300000006</v>
      </c>
      <c r="EA50" s="399">
        <v>0</v>
      </c>
      <c r="EB50" s="399">
        <v>0</v>
      </c>
      <c r="EC50" s="399">
        <v>0</v>
      </c>
      <c r="ED50" s="399">
        <v>0</v>
      </c>
      <c r="EE50" s="399">
        <v>0</v>
      </c>
      <c r="EF50" s="399">
        <v>0</v>
      </c>
      <c r="EG50" s="399">
        <v>0</v>
      </c>
      <c r="EH50" s="399">
        <v>0</v>
      </c>
      <c r="EI50" s="399">
        <v>0</v>
      </c>
      <c r="EJ50" s="399">
        <v>0</v>
      </c>
      <c r="EK50" s="399">
        <v>0</v>
      </c>
      <c r="EL50" s="399">
        <v>0</v>
      </c>
      <c r="EM50" s="399">
        <v>0</v>
      </c>
      <c r="EN50" s="399">
        <v>0</v>
      </c>
      <c r="EO50" s="399">
        <v>0</v>
      </c>
      <c r="EP50" s="399">
        <v>5540.6542917008264</v>
      </c>
      <c r="EQ50" s="399">
        <v>0</v>
      </c>
      <c r="ER50" s="399">
        <v>0</v>
      </c>
      <c r="ES50" s="399">
        <v>0</v>
      </c>
      <c r="ET50" s="399">
        <v>0</v>
      </c>
      <c r="EU50" s="399">
        <v>0</v>
      </c>
      <c r="EV50" s="399">
        <v>202</v>
      </c>
      <c r="EW50" s="399">
        <v>0</v>
      </c>
      <c r="EX50" s="399">
        <v>0</v>
      </c>
      <c r="EY50" s="399">
        <v>0</v>
      </c>
      <c r="EZ50" s="399"/>
      <c r="FA50" s="399">
        <v>0</v>
      </c>
      <c r="FB50" s="399">
        <v>-17.698635468909799</v>
      </c>
      <c r="FC50" s="399"/>
      <c r="FD50" s="399">
        <v>-17.698635468909799</v>
      </c>
      <c r="FE50" s="399"/>
      <c r="FF50" s="399">
        <v>0</v>
      </c>
      <c r="FG50" s="399">
        <v>0</v>
      </c>
      <c r="FH50" s="399">
        <v>0</v>
      </c>
      <c r="FI50" s="399">
        <v>0</v>
      </c>
    </row>
    <row r="51" spans="1:165" customFormat="1">
      <c r="A51" s="399">
        <v>50</v>
      </c>
      <c r="B51" s="399" t="s">
        <v>956</v>
      </c>
      <c r="C51" s="399" t="s">
        <v>2399</v>
      </c>
      <c r="D51" s="399" t="s">
        <v>533</v>
      </c>
      <c r="E51" s="399" t="s">
        <v>921</v>
      </c>
      <c r="F51" s="399" t="s">
        <v>2401</v>
      </c>
      <c r="G51" s="399" t="s">
        <v>1239</v>
      </c>
      <c r="H51" s="399" t="s">
        <v>1239</v>
      </c>
      <c r="I51" s="399" t="s">
        <v>1239</v>
      </c>
      <c r="J51" s="399" t="s">
        <v>2400</v>
      </c>
      <c r="K51" s="788">
        <v>44470</v>
      </c>
      <c r="L51" s="399">
        <v>906</v>
      </c>
      <c r="M51" s="399">
        <v>851.64</v>
      </c>
      <c r="N51" s="399">
        <v>0</v>
      </c>
      <c r="O51" s="399">
        <v>0</v>
      </c>
      <c r="P51" s="399">
        <v>0</v>
      </c>
      <c r="Q51" s="399">
        <v>0</v>
      </c>
      <c r="R51" s="399">
        <v>39.21</v>
      </c>
      <c r="S51" s="399"/>
      <c r="T51" s="399"/>
      <c r="U51" s="399">
        <v>35524.26</v>
      </c>
      <c r="V51" s="399"/>
      <c r="W51" s="399">
        <v>35524.26</v>
      </c>
      <c r="X51" s="399">
        <v>27035.040000000001</v>
      </c>
      <c r="Y51" s="399">
        <v>0</v>
      </c>
      <c r="Z51" s="399">
        <v>0</v>
      </c>
      <c r="AA51" s="399">
        <v>0</v>
      </c>
      <c r="AB51" s="399">
        <v>0</v>
      </c>
      <c r="AC51" s="399">
        <v>0</v>
      </c>
      <c r="AD51" s="399">
        <v>11191.120345902509</v>
      </c>
      <c r="AE51" s="399">
        <v>24336.964054092437</v>
      </c>
      <c r="AF51" s="399"/>
      <c r="AG51" s="399"/>
      <c r="AH51" s="399"/>
      <c r="AI51" s="399">
        <v>0</v>
      </c>
      <c r="AJ51" s="399">
        <v>0</v>
      </c>
      <c r="AK51" s="399">
        <v>0</v>
      </c>
      <c r="AL51" s="399">
        <v>0</v>
      </c>
      <c r="AM51" s="399"/>
      <c r="AN51" s="399">
        <v>0</v>
      </c>
      <c r="AO51" s="399">
        <v>0</v>
      </c>
      <c r="AP51" s="399">
        <v>0</v>
      </c>
      <c r="AQ51" s="399">
        <v>0</v>
      </c>
      <c r="AR51" s="399">
        <v>0</v>
      </c>
      <c r="AS51" s="399"/>
      <c r="AT51" s="399"/>
      <c r="AU51" s="399">
        <v>0</v>
      </c>
      <c r="AV51" s="399">
        <v>0</v>
      </c>
      <c r="AW51" s="399">
        <v>0</v>
      </c>
      <c r="AX51" s="399"/>
      <c r="AY51" s="399"/>
      <c r="AZ51" s="399">
        <v>0</v>
      </c>
      <c r="BA51" s="399"/>
      <c r="BB51" s="399">
        <v>0</v>
      </c>
      <c r="BC51" s="399">
        <v>0</v>
      </c>
      <c r="BD51" s="399">
        <v>0</v>
      </c>
      <c r="BE51" s="399">
        <v>0</v>
      </c>
      <c r="BF51" s="399"/>
      <c r="BG51" s="399">
        <v>0</v>
      </c>
      <c r="BH51" s="399">
        <v>0</v>
      </c>
      <c r="BI51" s="399">
        <v>520.53</v>
      </c>
      <c r="BJ51" s="399">
        <v>2402.7399999999998</v>
      </c>
      <c r="BK51" s="399">
        <v>38043.379999999997</v>
      </c>
      <c r="BL51" s="399">
        <v>3</v>
      </c>
      <c r="BM51" s="399"/>
      <c r="BN51" s="399"/>
      <c r="BO51" s="399"/>
      <c r="BP51" s="399"/>
      <c r="BQ51" s="399">
        <v>1622.1024000000004</v>
      </c>
      <c r="BR51" s="399"/>
      <c r="BS51" s="399"/>
      <c r="BT51" s="399"/>
      <c r="BU51" s="399"/>
      <c r="BV51" s="399">
        <v>0</v>
      </c>
      <c r="BW51" s="399"/>
      <c r="BX51" s="399"/>
      <c r="BY51" s="399"/>
      <c r="BZ51" s="399"/>
      <c r="CA51" s="399"/>
      <c r="CB51" s="399"/>
      <c r="CC51" s="399"/>
      <c r="CD51" s="399"/>
      <c r="CE51" s="399"/>
      <c r="CF51" s="399"/>
      <c r="CG51" s="399"/>
      <c r="CH51" s="399"/>
      <c r="CI51" s="399">
        <v>25412.937600000001</v>
      </c>
      <c r="CJ51" s="399">
        <v>-7979.8968000000059</v>
      </c>
      <c r="CK51" s="399"/>
      <c r="CL51" s="399"/>
      <c r="CM51" s="399"/>
      <c r="CN51" s="399"/>
      <c r="CO51" s="399">
        <v>-8489.2200000000012</v>
      </c>
      <c r="CP51" s="399">
        <v>0</v>
      </c>
      <c r="CQ51" s="399">
        <v>31</v>
      </c>
      <c r="CR51" s="399">
        <v>384.04464038004153</v>
      </c>
      <c r="CS51" s="399">
        <v>0</v>
      </c>
      <c r="CT51" s="399">
        <v>0</v>
      </c>
      <c r="CU51" s="399">
        <v>0</v>
      </c>
      <c r="CV51" s="399">
        <v>0</v>
      </c>
      <c r="CW51" s="399"/>
      <c r="CX51" s="399"/>
      <c r="CY51" s="399"/>
      <c r="CZ51" s="399">
        <v>384.04464038004153</v>
      </c>
      <c r="DA51" s="399">
        <v>0</v>
      </c>
      <c r="DB51" s="399">
        <v>0</v>
      </c>
      <c r="DC51" s="399"/>
      <c r="DD51" s="399"/>
      <c r="DE51" s="399">
        <v>0</v>
      </c>
      <c r="DF51" s="399">
        <v>0</v>
      </c>
      <c r="DG51" s="399">
        <v>0</v>
      </c>
      <c r="DH51" s="399">
        <v>0</v>
      </c>
      <c r="DI51" s="399">
        <v>0</v>
      </c>
      <c r="DJ51" s="399"/>
      <c r="DK51" s="399">
        <v>0</v>
      </c>
      <c r="DL51" s="399">
        <v>0</v>
      </c>
      <c r="DM51" s="399"/>
      <c r="DN51" s="399">
        <v>0</v>
      </c>
      <c r="DO51" s="399">
        <v>0</v>
      </c>
      <c r="DP51" s="399">
        <v>0</v>
      </c>
      <c r="DQ51" s="399">
        <v>0</v>
      </c>
      <c r="DR51" s="399">
        <v>0</v>
      </c>
      <c r="DS51" s="399"/>
      <c r="DT51" s="399"/>
      <c r="DU51" s="399">
        <v>24336.964054092437</v>
      </c>
      <c r="DV51" s="399"/>
      <c r="DW51" s="399">
        <v>0</v>
      </c>
      <c r="DX51" s="399">
        <v>0</v>
      </c>
      <c r="DY51" s="399">
        <v>-8489.2200000000012</v>
      </c>
      <c r="DZ51" s="399"/>
      <c r="EA51" s="399">
        <v>0</v>
      </c>
      <c r="EB51" s="399"/>
      <c r="EC51" s="399">
        <v>-8880.5610544165629</v>
      </c>
      <c r="ED51" s="399"/>
      <c r="EE51" s="399">
        <v>0</v>
      </c>
      <c r="EF51" s="399">
        <v>0</v>
      </c>
      <c r="EG51" s="399"/>
      <c r="EH51" s="399">
        <v>0</v>
      </c>
      <c r="EI51" s="399">
        <v>0</v>
      </c>
      <c r="EJ51" s="399">
        <v>0</v>
      </c>
      <c r="EK51" s="399">
        <v>0</v>
      </c>
      <c r="EL51" s="399">
        <v>0</v>
      </c>
      <c r="EM51" s="399"/>
      <c r="EN51" s="399"/>
      <c r="EO51" s="399">
        <v>0</v>
      </c>
      <c r="EP51" s="399">
        <v>0</v>
      </c>
      <c r="EQ51" s="399"/>
      <c r="ER51" s="399">
        <v>0</v>
      </c>
      <c r="ES51" s="399"/>
      <c r="ET51" s="399">
        <v>0</v>
      </c>
      <c r="EU51" s="399"/>
      <c r="EV51" s="399">
        <v>202</v>
      </c>
      <c r="EW51" s="399"/>
      <c r="EX51" s="399"/>
      <c r="EY51" s="399"/>
      <c r="EZ51" s="399"/>
      <c r="FA51" s="399">
        <v>0</v>
      </c>
      <c r="FB51" s="399">
        <v>-17.698635468909799</v>
      </c>
      <c r="FC51" s="399"/>
      <c r="FD51" s="399">
        <v>-17.698635468909799</v>
      </c>
      <c r="FE51" s="399"/>
      <c r="FF51" s="399">
        <v>0</v>
      </c>
      <c r="FG51" s="399">
        <v>0</v>
      </c>
      <c r="FH51" s="399">
        <v>0</v>
      </c>
      <c r="FI51" s="399">
        <v>0</v>
      </c>
    </row>
    <row r="52" spans="1:165" customFormat="1">
      <c r="A52" s="399">
        <v>62</v>
      </c>
      <c r="B52" s="399" t="s">
        <v>956</v>
      </c>
      <c r="C52" s="399" t="s">
        <v>2399</v>
      </c>
      <c r="D52" s="399" t="s">
        <v>533</v>
      </c>
      <c r="E52" s="399" t="s">
        <v>918</v>
      </c>
      <c r="F52" s="399" t="s">
        <v>1239</v>
      </c>
      <c r="G52" s="399" t="s">
        <v>1239</v>
      </c>
      <c r="H52" s="399" t="s">
        <v>1239</v>
      </c>
      <c r="I52" s="399" t="s">
        <v>893</v>
      </c>
      <c r="J52" s="399" t="s">
        <v>2400</v>
      </c>
      <c r="K52" s="788">
        <v>44501</v>
      </c>
      <c r="L52" s="399">
        <v>0</v>
      </c>
      <c r="M52" s="399">
        <v>0</v>
      </c>
      <c r="N52" s="399">
        <v>0.90100000000000002</v>
      </c>
      <c r="O52" s="399">
        <v>0.90100000000000002</v>
      </c>
      <c r="P52" s="399">
        <v>0.90100000000000002</v>
      </c>
      <c r="Q52" s="399">
        <v>0.90100000000000002</v>
      </c>
      <c r="R52" s="399"/>
      <c r="S52" s="399">
        <v>3305.85</v>
      </c>
      <c r="T52" s="399">
        <v>286.42</v>
      </c>
      <c r="U52" s="399"/>
      <c r="V52" s="399">
        <v>3236.6352700000002</v>
      </c>
      <c r="W52" s="399">
        <v>3236.6352700000002</v>
      </c>
      <c r="X52" s="399">
        <v>2352.6010999999999</v>
      </c>
      <c r="Y52" s="399">
        <v>0</v>
      </c>
      <c r="Z52" s="399">
        <v>47.707424811634105</v>
      </c>
      <c r="AA52" s="399">
        <v>0</v>
      </c>
      <c r="AB52" s="399">
        <v>0</v>
      </c>
      <c r="AC52" s="399">
        <v>0</v>
      </c>
      <c r="AD52" s="399">
        <v>587.43854895881941</v>
      </c>
      <c r="AE52" s="399">
        <v>2300.6031865119194</v>
      </c>
      <c r="AF52" s="399">
        <v>258.06743406470525</v>
      </c>
      <c r="AG52" s="399">
        <v>0</v>
      </c>
      <c r="AH52" s="399">
        <v>0</v>
      </c>
      <c r="AI52" s="399">
        <v>0</v>
      </c>
      <c r="AJ52" s="399">
        <v>0</v>
      </c>
      <c r="AK52" s="399">
        <v>0</v>
      </c>
      <c r="AL52" s="399">
        <v>8.4747059482600697</v>
      </c>
      <c r="AM52" s="399"/>
      <c r="AN52" s="399">
        <v>1.2344487719964261</v>
      </c>
      <c r="AO52" s="399">
        <v>0</v>
      </c>
      <c r="AP52" s="399">
        <v>0</v>
      </c>
      <c r="AQ52" s="399">
        <v>0</v>
      </c>
      <c r="AR52" s="399">
        <v>0</v>
      </c>
      <c r="AS52" s="399">
        <v>0</v>
      </c>
      <c r="AT52" s="399">
        <v>0</v>
      </c>
      <c r="AU52" s="399">
        <v>0</v>
      </c>
      <c r="AV52" s="399">
        <v>0</v>
      </c>
      <c r="AW52" s="399">
        <v>0</v>
      </c>
      <c r="AX52" s="399">
        <v>0</v>
      </c>
      <c r="AY52" s="399">
        <v>0</v>
      </c>
      <c r="AZ52" s="399">
        <v>0</v>
      </c>
      <c r="BA52" s="399"/>
      <c r="BB52" s="399">
        <v>0</v>
      </c>
      <c r="BC52" s="399">
        <v>0</v>
      </c>
      <c r="BD52" s="399">
        <v>0</v>
      </c>
      <c r="BE52" s="399">
        <v>0</v>
      </c>
      <c r="BF52" s="399">
        <v>0</v>
      </c>
      <c r="BG52" s="399">
        <v>10.620353290111034</v>
      </c>
      <c r="BH52" s="399">
        <v>0</v>
      </c>
      <c r="BI52" s="399">
        <v>0</v>
      </c>
      <c r="BJ52" s="399">
        <v>0</v>
      </c>
      <c r="BK52" s="399">
        <v>0</v>
      </c>
      <c r="BL52" s="399">
        <v>0</v>
      </c>
      <c r="BM52" s="399"/>
      <c r="BN52" s="399"/>
      <c r="BO52" s="399"/>
      <c r="BP52" s="399"/>
      <c r="BQ52" s="399"/>
      <c r="BR52" s="399"/>
      <c r="BS52" s="399"/>
      <c r="BT52" s="399"/>
      <c r="BU52" s="399"/>
      <c r="BV52" s="399">
        <v>268.68778735481629</v>
      </c>
      <c r="BW52" s="399"/>
      <c r="BX52" s="399"/>
      <c r="BY52" s="399"/>
      <c r="BZ52" s="399"/>
      <c r="CA52" s="399"/>
      <c r="CB52" s="399"/>
      <c r="CC52" s="399"/>
      <c r="CD52" s="399"/>
      <c r="CE52" s="399"/>
      <c r="CF52" s="399"/>
      <c r="CG52" s="399"/>
      <c r="CH52" s="399"/>
      <c r="CI52" s="399">
        <v>2349.9900000000002</v>
      </c>
      <c r="CJ52" s="399">
        <v>-886.67527000000064</v>
      </c>
      <c r="CK52" s="399"/>
      <c r="CL52" s="399"/>
      <c r="CM52" s="399"/>
      <c r="CN52" s="399"/>
      <c r="CO52" s="399">
        <v>-825.63134999999988</v>
      </c>
      <c r="CP52" s="399">
        <v>-58.40282000000002</v>
      </c>
      <c r="CQ52" s="399">
        <v>30</v>
      </c>
      <c r="CR52" s="399">
        <v>-44.552820318704221</v>
      </c>
      <c r="CS52" s="399">
        <v>0</v>
      </c>
      <c r="CT52" s="399">
        <v>0</v>
      </c>
      <c r="CU52" s="399">
        <v>0</v>
      </c>
      <c r="CV52" s="399">
        <v>0</v>
      </c>
      <c r="CW52" s="399">
        <v>0</v>
      </c>
      <c r="CX52" s="399">
        <v>0</v>
      </c>
      <c r="CY52" s="399">
        <v>0</v>
      </c>
      <c r="CZ52" s="399">
        <v>20.159074275603871</v>
      </c>
      <c r="DA52" s="399">
        <v>0</v>
      </c>
      <c r="DB52" s="399">
        <v>0</v>
      </c>
      <c r="DC52" s="399">
        <v>-58.408919307819417</v>
      </c>
      <c r="DD52" s="399">
        <v>0</v>
      </c>
      <c r="DE52" s="399">
        <v>0</v>
      </c>
      <c r="DF52" s="399">
        <v>0</v>
      </c>
      <c r="DG52" s="399">
        <v>-2.403725834647938</v>
      </c>
      <c r="DH52" s="399">
        <v>0</v>
      </c>
      <c r="DI52" s="399">
        <v>-3.3097575365549119</v>
      </c>
      <c r="DJ52" s="399"/>
      <c r="DK52" s="399">
        <v>0</v>
      </c>
      <c r="DL52" s="399">
        <v>0</v>
      </c>
      <c r="DM52" s="399">
        <v>0</v>
      </c>
      <c r="DN52" s="399">
        <v>0</v>
      </c>
      <c r="DO52" s="399">
        <v>-0.48499300293704106</v>
      </c>
      <c r="DP52" s="399">
        <v>-0.10449891234877229</v>
      </c>
      <c r="DQ52" s="399">
        <v>0</v>
      </c>
      <c r="DR52" s="399">
        <v>0</v>
      </c>
      <c r="DS52" s="399"/>
      <c r="DT52" s="399"/>
      <c r="DU52" s="399"/>
      <c r="DV52" s="399">
        <v>2300.6031865119194</v>
      </c>
      <c r="DW52" s="399">
        <v>0</v>
      </c>
      <c r="DX52" s="399">
        <v>0</v>
      </c>
      <c r="DY52" s="399">
        <v>-825.63135000000011</v>
      </c>
      <c r="DZ52" s="399">
        <v>-58.402820000000048</v>
      </c>
      <c r="EA52" s="399">
        <v>0</v>
      </c>
      <c r="EB52" s="399">
        <v>0</v>
      </c>
      <c r="EC52" s="399">
        <v>-839.49037416476631</v>
      </c>
      <c r="ED52" s="399">
        <v>0</v>
      </c>
      <c r="EE52" s="399">
        <v>0</v>
      </c>
      <c r="EF52" s="399">
        <v>0</v>
      </c>
      <c r="EG52" s="399">
        <v>0</v>
      </c>
      <c r="EH52" s="399">
        <v>0</v>
      </c>
      <c r="EI52" s="399">
        <v>0</v>
      </c>
      <c r="EJ52" s="399">
        <v>0</v>
      </c>
      <c r="EK52" s="399">
        <v>0</v>
      </c>
      <c r="EL52" s="399">
        <v>0</v>
      </c>
      <c r="EM52" s="399">
        <v>0</v>
      </c>
      <c r="EN52" s="399">
        <v>0</v>
      </c>
      <c r="EO52" s="399">
        <v>0</v>
      </c>
      <c r="EP52" s="399">
        <v>22.495683107597255</v>
      </c>
      <c r="EQ52" s="399">
        <v>0</v>
      </c>
      <c r="ER52" s="399">
        <v>0</v>
      </c>
      <c r="ES52" s="399">
        <v>0</v>
      </c>
      <c r="ET52" s="399">
        <v>0</v>
      </c>
      <c r="EU52" s="399">
        <v>0</v>
      </c>
      <c r="EV52" s="399">
        <v>202</v>
      </c>
      <c r="EW52" s="399">
        <v>0</v>
      </c>
      <c r="EX52" s="399">
        <v>0</v>
      </c>
      <c r="EY52" s="399">
        <v>0</v>
      </c>
      <c r="EZ52" s="399"/>
      <c r="FA52" s="399">
        <v>0</v>
      </c>
      <c r="FB52" s="399">
        <v>-17.698635468909799</v>
      </c>
      <c r="FC52" s="399"/>
      <c r="FD52" s="399">
        <v>-17.698635468909799</v>
      </c>
      <c r="FE52" s="399"/>
      <c r="FF52" s="399">
        <v>0</v>
      </c>
      <c r="FG52" s="399">
        <v>0</v>
      </c>
      <c r="FH52" s="399">
        <v>0</v>
      </c>
      <c r="FI52" s="399">
        <v>0</v>
      </c>
    </row>
    <row r="53" spans="1:165" customFormat="1">
      <c r="A53" s="399">
        <v>63</v>
      </c>
      <c r="B53" s="399" t="s">
        <v>956</v>
      </c>
      <c r="C53" s="399" t="s">
        <v>2399</v>
      </c>
      <c r="D53" s="399" t="s">
        <v>533</v>
      </c>
      <c r="E53" s="399" t="s">
        <v>918</v>
      </c>
      <c r="F53" s="399" t="s">
        <v>1239</v>
      </c>
      <c r="G53" s="399" t="s">
        <v>1239</v>
      </c>
      <c r="H53" s="399" t="s">
        <v>1239</v>
      </c>
      <c r="I53" s="399" t="s">
        <v>2326</v>
      </c>
      <c r="J53" s="399" t="s">
        <v>2400</v>
      </c>
      <c r="K53" s="788">
        <v>44501</v>
      </c>
      <c r="L53" s="399">
        <v>0</v>
      </c>
      <c r="M53" s="399">
        <v>0</v>
      </c>
      <c r="N53" s="399">
        <v>20.863</v>
      </c>
      <c r="O53" s="399">
        <v>20.863</v>
      </c>
      <c r="P53" s="399">
        <v>20.863</v>
      </c>
      <c r="Q53" s="399">
        <v>20.863</v>
      </c>
      <c r="R53" s="399"/>
      <c r="S53" s="399">
        <v>100.48</v>
      </c>
      <c r="T53" s="399">
        <v>286.42</v>
      </c>
      <c r="U53" s="399"/>
      <c r="V53" s="399">
        <v>8071.8947000000007</v>
      </c>
      <c r="W53" s="399">
        <v>8071.8947000000007</v>
      </c>
      <c r="X53" s="399">
        <v>6573.51404</v>
      </c>
      <c r="Y53" s="399">
        <v>0</v>
      </c>
      <c r="Z53" s="399">
        <v>1104.683689062289</v>
      </c>
      <c r="AA53" s="399">
        <v>0</v>
      </c>
      <c r="AB53" s="399">
        <v>0</v>
      </c>
      <c r="AC53" s="399">
        <v>0</v>
      </c>
      <c r="AD53" s="399">
        <v>0</v>
      </c>
      <c r="AE53" s="399">
        <v>0</v>
      </c>
      <c r="AF53" s="399">
        <v>5975.6502518223588</v>
      </c>
      <c r="AG53" s="399">
        <v>0</v>
      </c>
      <c r="AH53" s="399">
        <v>0</v>
      </c>
      <c r="AI53" s="399">
        <v>0</v>
      </c>
      <c r="AJ53" s="399">
        <v>0</v>
      </c>
      <c r="AK53" s="399">
        <v>0</v>
      </c>
      <c r="AL53" s="399">
        <v>196.23506126365129</v>
      </c>
      <c r="AM53" s="399"/>
      <c r="AN53" s="399">
        <v>28.584133995739663</v>
      </c>
      <c r="AO53" s="399">
        <v>0</v>
      </c>
      <c r="AP53" s="399">
        <v>0</v>
      </c>
      <c r="AQ53" s="399">
        <v>0</v>
      </c>
      <c r="AR53" s="399">
        <v>0</v>
      </c>
      <c r="AS53" s="399">
        <v>0</v>
      </c>
      <c r="AT53" s="399">
        <v>0</v>
      </c>
      <c r="AU53" s="399">
        <v>0</v>
      </c>
      <c r="AV53" s="399">
        <v>0</v>
      </c>
      <c r="AW53" s="399">
        <v>0</v>
      </c>
      <c r="AX53" s="399">
        <v>0</v>
      </c>
      <c r="AY53" s="399">
        <v>0</v>
      </c>
      <c r="AZ53" s="399">
        <v>0</v>
      </c>
      <c r="BA53" s="399"/>
      <c r="BB53" s="399">
        <v>0</v>
      </c>
      <c r="BC53" s="399">
        <v>0</v>
      </c>
      <c r="BD53" s="399">
        <v>0</v>
      </c>
      <c r="BE53" s="399">
        <v>0</v>
      </c>
      <c r="BF53" s="399">
        <v>0</v>
      </c>
      <c r="BG53" s="399">
        <v>245.91834704948553</v>
      </c>
      <c r="BH53" s="399">
        <v>0</v>
      </c>
      <c r="BI53" s="399">
        <v>0</v>
      </c>
      <c r="BJ53" s="399">
        <v>0</v>
      </c>
      <c r="BK53" s="399">
        <v>0</v>
      </c>
      <c r="BL53" s="399">
        <v>0</v>
      </c>
      <c r="BM53" s="399"/>
      <c r="BN53" s="399"/>
      <c r="BO53" s="399"/>
      <c r="BP53" s="399"/>
      <c r="BQ53" s="399"/>
      <c r="BR53" s="399"/>
      <c r="BS53" s="399"/>
      <c r="BT53" s="399"/>
      <c r="BU53" s="399"/>
      <c r="BV53" s="399">
        <v>6221.5685988718442</v>
      </c>
      <c r="BW53" s="399"/>
      <c r="BX53" s="399"/>
      <c r="BY53" s="399"/>
      <c r="BZ53" s="399"/>
      <c r="CA53" s="399"/>
      <c r="CB53" s="399"/>
      <c r="CC53" s="399"/>
      <c r="CD53" s="399"/>
      <c r="CE53" s="399"/>
      <c r="CF53" s="399"/>
      <c r="CG53" s="399"/>
      <c r="CH53" s="399"/>
      <c r="CI53" s="399">
        <v>6572.5688</v>
      </c>
      <c r="CJ53" s="399">
        <v>-1499.3559000000014</v>
      </c>
      <c r="CK53" s="399"/>
      <c r="CL53" s="399"/>
      <c r="CM53" s="399"/>
      <c r="CN53" s="399"/>
      <c r="CO53" s="399">
        <v>-146.041</v>
      </c>
      <c r="CP53" s="399">
        <v>-1352.3396600000003</v>
      </c>
      <c r="CQ53" s="399">
        <v>30</v>
      </c>
      <c r="CR53" s="399">
        <v>-1498.428698025582</v>
      </c>
      <c r="CS53" s="399">
        <v>0</v>
      </c>
      <c r="CT53" s="399">
        <v>0</v>
      </c>
      <c r="CU53" s="399">
        <v>0</v>
      </c>
      <c r="CV53" s="399">
        <v>0</v>
      </c>
      <c r="CW53" s="399">
        <v>0</v>
      </c>
      <c r="CX53" s="399">
        <v>0</v>
      </c>
      <c r="CY53" s="399">
        <v>0</v>
      </c>
      <c r="CZ53" s="399">
        <v>0</v>
      </c>
      <c r="DA53" s="399">
        <v>0</v>
      </c>
      <c r="DB53" s="399">
        <v>0</v>
      </c>
      <c r="DC53" s="399">
        <v>-1352.4808918080316</v>
      </c>
      <c r="DD53" s="399">
        <v>0</v>
      </c>
      <c r="DE53" s="399">
        <v>0</v>
      </c>
      <c r="DF53" s="399">
        <v>0</v>
      </c>
      <c r="DG53" s="399">
        <v>-55.659192106836741</v>
      </c>
      <c r="DH53" s="399">
        <v>0</v>
      </c>
      <c r="DI53" s="399">
        <v>-76.63870309117101</v>
      </c>
      <c r="DJ53" s="399"/>
      <c r="DK53" s="399">
        <v>0</v>
      </c>
      <c r="DL53" s="399">
        <v>0</v>
      </c>
      <c r="DM53" s="399">
        <v>0</v>
      </c>
      <c r="DN53" s="399">
        <v>0</v>
      </c>
      <c r="DO53" s="399">
        <v>-11.230198690649814</v>
      </c>
      <c r="DP53" s="399">
        <v>-2.4197123288928246</v>
      </c>
      <c r="DQ53" s="399">
        <v>0</v>
      </c>
      <c r="DR53" s="399">
        <v>0</v>
      </c>
      <c r="DS53" s="399"/>
      <c r="DT53" s="399"/>
      <c r="DU53" s="399"/>
      <c r="DV53" s="399">
        <v>0</v>
      </c>
      <c r="DW53" s="399">
        <v>0</v>
      </c>
      <c r="DX53" s="399">
        <v>0</v>
      </c>
      <c r="DY53" s="399">
        <v>-146.04100000000017</v>
      </c>
      <c r="DZ53" s="399">
        <v>-1352.3396600000005</v>
      </c>
      <c r="EA53" s="399">
        <v>0</v>
      </c>
      <c r="EB53" s="399">
        <v>0</v>
      </c>
      <c r="EC53" s="399">
        <v>0</v>
      </c>
      <c r="ED53" s="399">
        <v>0</v>
      </c>
      <c r="EE53" s="399">
        <v>0</v>
      </c>
      <c r="EF53" s="399">
        <v>0</v>
      </c>
      <c r="EG53" s="399">
        <v>0</v>
      </c>
      <c r="EH53" s="399">
        <v>0</v>
      </c>
      <c r="EI53" s="399">
        <v>0</v>
      </c>
      <c r="EJ53" s="399">
        <v>0</v>
      </c>
      <c r="EK53" s="399">
        <v>0</v>
      </c>
      <c r="EL53" s="399">
        <v>0</v>
      </c>
      <c r="EM53" s="399">
        <v>0</v>
      </c>
      <c r="EN53" s="399">
        <v>0</v>
      </c>
      <c r="EO53" s="399">
        <v>0</v>
      </c>
      <c r="EP53" s="399">
        <v>520.89615613074523</v>
      </c>
      <c r="EQ53" s="399">
        <v>0</v>
      </c>
      <c r="ER53" s="399">
        <v>0</v>
      </c>
      <c r="ES53" s="399">
        <v>0</v>
      </c>
      <c r="ET53" s="399">
        <v>0</v>
      </c>
      <c r="EU53" s="399">
        <v>0</v>
      </c>
      <c r="EV53" s="399">
        <v>202</v>
      </c>
      <c r="EW53" s="399">
        <v>0</v>
      </c>
      <c r="EX53" s="399">
        <v>0</v>
      </c>
      <c r="EY53" s="399">
        <v>0</v>
      </c>
      <c r="EZ53" s="399"/>
      <c r="FA53" s="399">
        <v>0</v>
      </c>
      <c r="FB53" s="399">
        <v>-17.698635468909799</v>
      </c>
      <c r="FC53" s="399"/>
      <c r="FD53" s="399">
        <v>-17.698635468909799</v>
      </c>
      <c r="FE53" s="399"/>
      <c r="FF53" s="399">
        <v>0</v>
      </c>
      <c r="FG53" s="399">
        <v>0</v>
      </c>
      <c r="FH53" s="399">
        <v>0</v>
      </c>
      <c r="FI53" s="399">
        <v>0</v>
      </c>
    </row>
    <row r="54" spans="1:165" customFormat="1">
      <c r="A54" s="399">
        <v>64</v>
      </c>
      <c r="B54" s="399" t="s">
        <v>956</v>
      </c>
      <c r="C54" s="399" t="s">
        <v>2399</v>
      </c>
      <c r="D54" s="399" t="s">
        <v>533</v>
      </c>
      <c r="E54" s="399" t="s">
        <v>918</v>
      </c>
      <c r="F54" s="399" t="s">
        <v>1239</v>
      </c>
      <c r="G54" s="399" t="s">
        <v>1239</v>
      </c>
      <c r="H54" s="399" t="s">
        <v>1239</v>
      </c>
      <c r="I54" s="399" t="s">
        <v>1239</v>
      </c>
      <c r="J54" s="399" t="s">
        <v>2400</v>
      </c>
      <c r="K54" s="788">
        <v>44501</v>
      </c>
      <c r="L54" s="399">
        <v>200</v>
      </c>
      <c r="M54" s="399">
        <v>200</v>
      </c>
      <c r="N54" s="399">
        <v>0</v>
      </c>
      <c r="O54" s="399">
        <v>0</v>
      </c>
      <c r="P54" s="399">
        <v>0</v>
      </c>
      <c r="Q54" s="399">
        <v>0</v>
      </c>
      <c r="R54" s="399">
        <v>39.21</v>
      </c>
      <c r="S54" s="399"/>
      <c r="T54" s="399"/>
      <c r="U54" s="399">
        <v>7842</v>
      </c>
      <c r="V54" s="399"/>
      <c r="W54" s="399">
        <v>7842</v>
      </c>
      <c r="X54" s="399">
        <v>5968</v>
      </c>
      <c r="Y54" s="399">
        <v>0</v>
      </c>
      <c r="Z54" s="399">
        <v>0</v>
      </c>
      <c r="AA54" s="399">
        <v>0</v>
      </c>
      <c r="AB54" s="399">
        <v>0</v>
      </c>
      <c r="AC54" s="399">
        <v>0</v>
      </c>
      <c r="AD54" s="399">
        <v>2470.4459924729599</v>
      </c>
      <c r="AE54" s="399">
        <v>5372.3982459365207</v>
      </c>
      <c r="AF54" s="399"/>
      <c r="AG54" s="399"/>
      <c r="AH54" s="399"/>
      <c r="AI54" s="399">
        <v>0</v>
      </c>
      <c r="AJ54" s="399">
        <v>0</v>
      </c>
      <c r="AK54" s="399">
        <v>0</v>
      </c>
      <c r="AL54" s="399">
        <v>0</v>
      </c>
      <c r="AM54" s="399"/>
      <c r="AN54" s="399">
        <v>0</v>
      </c>
      <c r="AO54" s="399">
        <v>0</v>
      </c>
      <c r="AP54" s="399">
        <v>0</v>
      </c>
      <c r="AQ54" s="399">
        <v>0</v>
      </c>
      <c r="AR54" s="399">
        <v>0</v>
      </c>
      <c r="AS54" s="399"/>
      <c r="AT54" s="399"/>
      <c r="AU54" s="399">
        <v>0</v>
      </c>
      <c r="AV54" s="399">
        <v>0</v>
      </c>
      <c r="AW54" s="399">
        <v>0</v>
      </c>
      <c r="AX54" s="399"/>
      <c r="AY54" s="399"/>
      <c r="AZ54" s="399">
        <v>0</v>
      </c>
      <c r="BA54" s="399"/>
      <c r="BB54" s="399">
        <v>0</v>
      </c>
      <c r="BC54" s="399">
        <v>0</v>
      </c>
      <c r="BD54" s="399">
        <v>0</v>
      </c>
      <c r="BE54" s="399">
        <v>0</v>
      </c>
      <c r="BF54" s="399"/>
      <c r="BG54" s="399">
        <v>0</v>
      </c>
      <c r="BH54" s="399">
        <v>0</v>
      </c>
      <c r="BI54" s="399">
        <v>121.32</v>
      </c>
      <c r="BJ54" s="399">
        <v>559.98</v>
      </c>
      <c r="BK54" s="399">
        <v>3750.67</v>
      </c>
      <c r="BL54" s="399">
        <v>1</v>
      </c>
      <c r="BM54" s="399"/>
      <c r="BN54" s="399"/>
      <c r="BO54" s="399"/>
      <c r="BP54" s="399"/>
      <c r="BQ54" s="399"/>
      <c r="BR54" s="399"/>
      <c r="BS54" s="399"/>
      <c r="BT54" s="399"/>
      <c r="BU54" s="399"/>
      <c r="BV54" s="399">
        <v>0</v>
      </c>
      <c r="BW54" s="399"/>
      <c r="BX54" s="399"/>
      <c r="BY54" s="399"/>
      <c r="BZ54" s="399"/>
      <c r="CA54" s="399"/>
      <c r="CB54" s="399"/>
      <c r="CC54" s="399"/>
      <c r="CD54" s="399"/>
      <c r="CE54" s="399"/>
      <c r="CF54" s="399"/>
      <c r="CG54" s="399"/>
      <c r="CH54" s="399"/>
      <c r="CI54" s="399">
        <v>5968</v>
      </c>
      <c r="CJ54" s="399">
        <v>-1874.0300000000007</v>
      </c>
      <c r="CK54" s="399"/>
      <c r="CL54" s="399"/>
      <c r="CM54" s="399"/>
      <c r="CN54" s="399"/>
      <c r="CO54" s="399">
        <v>-1874.0000000000002</v>
      </c>
      <c r="CP54" s="399">
        <v>0</v>
      </c>
      <c r="CQ54" s="399">
        <v>30</v>
      </c>
      <c r="CR54" s="399">
        <v>84.77806630906025</v>
      </c>
      <c r="CS54" s="399">
        <v>0</v>
      </c>
      <c r="CT54" s="399">
        <v>0</v>
      </c>
      <c r="CU54" s="399">
        <v>0</v>
      </c>
      <c r="CV54" s="399">
        <v>0</v>
      </c>
      <c r="CW54" s="399"/>
      <c r="CX54" s="399"/>
      <c r="CY54" s="399"/>
      <c r="CZ54" s="399">
        <v>84.77806630906025</v>
      </c>
      <c r="DA54" s="399">
        <v>0</v>
      </c>
      <c r="DB54" s="399">
        <v>0</v>
      </c>
      <c r="DC54" s="399"/>
      <c r="DD54" s="399"/>
      <c r="DE54" s="399">
        <v>0</v>
      </c>
      <c r="DF54" s="399">
        <v>0</v>
      </c>
      <c r="DG54" s="399">
        <v>0</v>
      </c>
      <c r="DH54" s="399">
        <v>0</v>
      </c>
      <c r="DI54" s="399">
        <v>0</v>
      </c>
      <c r="DJ54" s="399"/>
      <c r="DK54" s="399">
        <v>0</v>
      </c>
      <c r="DL54" s="399">
        <v>0</v>
      </c>
      <c r="DM54" s="399"/>
      <c r="DN54" s="399">
        <v>0</v>
      </c>
      <c r="DO54" s="399">
        <v>0</v>
      </c>
      <c r="DP54" s="399">
        <v>0</v>
      </c>
      <c r="DQ54" s="399">
        <v>0</v>
      </c>
      <c r="DR54" s="399">
        <v>0</v>
      </c>
      <c r="DS54" s="399"/>
      <c r="DT54" s="399"/>
      <c r="DU54" s="399">
        <v>5372.3982459365207</v>
      </c>
      <c r="DV54" s="399"/>
      <c r="DW54" s="399">
        <v>0</v>
      </c>
      <c r="DX54" s="399">
        <v>0</v>
      </c>
      <c r="DY54" s="399">
        <v>-1874</v>
      </c>
      <c r="DZ54" s="399"/>
      <c r="EA54" s="399">
        <v>0</v>
      </c>
      <c r="EB54" s="399"/>
      <c r="EC54" s="399">
        <v>-1960.3887537343408</v>
      </c>
      <c r="ED54" s="399"/>
      <c r="EE54" s="399">
        <v>0</v>
      </c>
      <c r="EF54" s="399">
        <v>0</v>
      </c>
      <c r="EG54" s="399"/>
      <c r="EH54" s="399">
        <v>0</v>
      </c>
      <c r="EI54" s="399">
        <v>0</v>
      </c>
      <c r="EJ54" s="399">
        <v>0</v>
      </c>
      <c r="EK54" s="399">
        <v>0</v>
      </c>
      <c r="EL54" s="399">
        <v>0</v>
      </c>
      <c r="EM54" s="399"/>
      <c r="EN54" s="399"/>
      <c r="EO54" s="399">
        <v>0</v>
      </c>
      <c r="EP54" s="399">
        <v>0</v>
      </c>
      <c r="EQ54" s="399"/>
      <c r="ER54" s="399">
        <v>0</v>
      </c>
      <c r="ES54" s="399"/>
      <c r="ET54" s="399">
        <v>0</v>
      </c>
      <c r="EU54" s="399"/>
      <c r="EV54" s="399">
        <v>202</v>
      </c>
      <c r="EW54" s="399"/>
      <c r="EX54" s="399"/>
      <c r="EY54" s="399"/>
      <c r="EZ54" s="399"/>
      <c r="FA54" s="399">
        <v>0</v>
      </c>
      <c r="FB54" s="399">
        <v>-17.698635468909799</v>
      </c>
      <c r="FC54" s="399"/>
      <c r="FD54" s="399">
        <v>-17.698635468909799</v>
      </c>
      <c r="FE54" s="399"/>
      <c r="FF54" s="399">
        <v>0</v>
      </c>
      <c r="FG54" s="399">
        <v>0</v>
      </c>
      <c r="FH54" s="399">
        <v>0</v>
      </c>
      <c r="FI54" s="399">
        <v>0</v>
      </c>
    </row>
    <row r="55" spans="1:165" customFormat="1">
      <c r="A55" s="399">
        <v>51</v>
      </c>
      <c r="B55" s="399" t="s">
        <v>956</v>
      </c>
      <c r="C55" s="399" t="s">
        <v>2402</v>
      </c>
      <c r="D55" s="399" t="s">
        <v>1823</v>
      </c>
      <c r="E55" s="399" t="s">
        <v>889</v>
      </c>
      <c r="F55" s="399" t="s">
        <v>889</v>
      </c>
      <c r="G55" s="399" t="s">
        <v>1239</v>
      </c>
      <c r="H55" s="399" t="s">
        <v>1239</v>
      </c>
      <c r="I55" s="399" t="s">
        <v>1239</v>
      </c>
      <c r="J55" s="399" t="s">
        <v>2400</v>
      </c>
      <c r="K55" s="788">
        <v>44501</v>
      </c>
      <c r="L55" s="399">
        <v>0</v>
      </c>
      <c r="M55" s="399">
        <v>0</v>
      </c>
      <c r="N55" s="399">
        <v>430.00400000000002</v>
      </c>
      <c r="O55" s="399">
        <v>430.00400000000002</v>
      </c>
      <c r="P55" s="399">
        <v>430.00400000000002</v>
      </c>
      <c r="Q55" s="399">
        <v>430.00400000000002</v>
      </c>
      <c r="R55" s="399"/>
      <c r="S55" s="399">
        <v>609.05999999999995</v>
      </c>
      <c r="T55" s="399">
        <v>286.42</v>
      </c>
      <c r="U55" s="399"/>
      <c r="V55" s="399">
        <v>385059.98191999999</v>
      </c>
      <c r="W55" s="399">
        <v>385059.98191999999</v>
      </c>
      <c r="X55" s="399">
        <v>294066.83548000001</v>
      </c>
      <c r="Y55" s="399">
        <v>0</v>
      </c>
      <c r="Z55" s="399">
        <v>26170.645003255529</v>
      </c>
      <c r="AA55" s="399">
        <v>0</v>
      </c>
      <c r="AB55" s="399">
        <v>0</v>
      </c>
      <c r="AC55" s="399">
        <v>0</v>
      </c>
      <c r="AD55" s="399">
        <v>41990.815089319272</v>
      </c>
      <c r="AE55" s="399">
        <v>162202.66678174995</v>
      </c>
      <c r="AF55" s="399">
        <v>123163.18414823475</v>
      </c>
      <c r="AG55" s="399">
        <v>0</v>
      </c>
      <c r="AH55" s="399">
        <v>0</v>
      </c>
      <c r="AI55" s="399">
        <v>0</v>
      </c>
      <c r="AJ55" s="399">
        <v>0</v>
      </c>
      <c r="AK55" s="399">
        <v>0</v>
      </c>
      <c r="AL55" s="399">
        <v>4044.569874112789</v>
      </c>
      <c r="AM55" s="399"/>
      <c r="AN55" s="399">
        <v>734.37698489965987</v>
      </c>
      <c r="AO55" s="399">
        <v>0</v>
      </c>
      <c r="AP55" s="399">
        <v>0</v>
      </c>
      <c r="AQ55" s="399">
        <v>0</v>
      </c>
      <c r="AR55" s="399">
        <v>0</v>
      </c>
      <c r="AS55" s="399">
        <v>0</v>
      </c>
      <c r="AT55" s="399">
        <v>0</v>
      </c>
      <c r="AU55" s="399">
        <v>0</v>
      </c>
      <c r="AV55" s="399">
        <v>0</v>
      </c>
      <c r="AW55" s="399">
        <v>0</v>
      </c>
      <c r="AX55" s="399">
        <v>0</v>
      </c>
      <c r="AY55" s="399">
        <v>0</v>
      </c>
      <c r="AZ55" s="399">
        <v>0</v>
      </c>
      <c r="BA55" s="399"/>
      <c r="BB55" s="399">
        <v>0</v>
      </c>
      <c r="BC55" s="399">
        <v>0</v>
      </c>
      <c r="BD55" s="399">
        <v>0</v>
      </c>
      <c r="BE55" s="399">
        <v>0</v>
      </c>
      <c r="BF55" s="399">
        <v>0</v>
      </c>
      <c r="BG55" s="399">
        <v>14414.731199152111</v>
      </c>
      <c r="BH55" s="399">
        <v>0</v>
      </c>
      <c r="BI55" s="399">
        <v>1327.78</v>
      </c>
      <c r="BJ55" s="399">
        <v>8133.71</v>
      </c>
      <c r="BK55" s="399">
        <v>70674.23</v>
      </c>
      <c r="BL55" s="399">
        <v>3283</v>
      </c>
      <c r="BM55" s="399"/>
      <c r="BN55" s="399"/>
      <c r="BO55" s="399"/>
      <c r="BP55" s="399"/>
      <c r="BQ55" s="399"/>
      <c r="BR55" s="399"/>
      <c r="BS55" s="399"/>
      <c r="BT55" s="399"/>
      <c r="BU55" s="399"/>
      <c r="BV55" s="399">
        <v>137577.91534738685</v>
      </c>
      <c r="BW55" s="399"/>
      <c r="BX55" s="399"/>
      <c r="BY55" s="399"/>
      <c r="BZ55" s="399"/>
      <c r="CA55" s="399"/>
      <c r="CB55" s="399"/>
      <c r="CC55" s="399"/>
      <c r="CD55" s="399"/>
      <c r="CE55" s="399"/>
      <c r="CF55" s="399"/>
      <c r="CG55" s="399"/>
      <c r="CH55" s="399"/>
      <c r="CI55" s="399">
        <v>294064.09999999998</v>
      </c>
      <c r="CJ55" s="399">
        <v>-90995.911920000042</v>
      </c>
      <c r="CK55" s="399"/>
      <c r="CL55" s="399"/>
      <c r="CM55" s="399"/>
      <c r="CN55" s="399"/>
      <c r="CO55" s="399">
        <v>-63120.287159999985</v>
      </c>
      <c r="CP55" s="399">
        <v>-27872.859280000011</v>
      </c>
      <c r="CQ55" s="399">
        <v>30</v>
      </c>
      <c r="CR55" s="399">
        <v>-31806.539441661967</v>
      </c>
      <c r="CS55" s="399">
        <v>0</v>
      </c>
      <c r="CT55" s="399">
        <v>0</v>
      </c>
      <c r="CU55" s="399">
        <v>0</v>
      </c>
      <c r="CV55" s="399">
        <v>0</v>
      </c>
      <c r="CW55" s="399">
        <v>0</v>
      </c>
      <c r="CX55" s="399">
        <v>0</v>
      </c>
      <c r="CY55" s="399">
        <v>0</v>
      </c>
      <c r="CZ55" s="399">
        <v>1440.9949121983445</v>
      </c>
      <c r="DA55" s="399">
        <v>0</v>
      </c>
      <c r="DB55" s="399">
        <v>0</v>
      </c>
      <c r="DC55" s="399">
        <v>-27875.770186503418</v>
      </c>
      <c r="DD55" s="399">
        <v>0</v>
      </c>
      <c r="DE55" s="399">
        <v>0</v>
      </c>
      <c r="DF55" s="399">
        <v>0</v>
      </c>
      <c r="DG55" s="399">
        <v>-3262.5149876294872</v>
      </c>
      <c r="DH55" s="399">
        <v>0</v>
      </c>
      <c r="DI55" s="399">
        <v>-1815.6186354226411</v>
      </c>
      <c r="DJ55" s="399"/>
      <c r="DK55" s="399">
        <v>0</v>
      </c>
      <c r="DL55" s="399">
        <v>0</v>
      </c>
      <c r="DM55" s="399">
        <v>0</v>
      </c>
      <c r="DN55" s="399">
        <v>0</v>
      </c>
      <c r="DO55" s="399">
        <v>-231.4638526469912</v>
      </c>
      <c r="DP55" s="399">
        <v>-62.166691657746014</v>
      </c>
      <c r="DQ55" s="399">
        <v>0</v>
      </c>
      <c r="DR55" s="399">
        <v>0</v>
      </c>
      <c r="DS55" s="399"/>
      <c r="DT55" s="399"/>
      <c r="DU55" s="399"/>
      <c r="DV55" s="399">
        <v>162202.66678174995</v>
      </c>
      <c r="DW55" s="399">
        <v>0</v>
      </c>
      <c r="DX55" s="399">
        <v>0</v>
      </c>
      <c r="DY55" s="399">
        <v>-63120.287160000007</v>
      </c>
      <c r="DZ55" s="399">
        <v>-27872.859280000004</v>
      </c>
      <c r="EA55" s="399">
        <v>0</v>
      </c>
      <c r="EB55" s="399">
        <v>0</v>
      </c>
      <c r="EC55" s="399">
        <v>-59187.772244019638</v>
      </c>
      <c r="ED55" s="399">
        <v>0</v>
      </c>
      <c r="EE55" s="399">
        <v>0</v>
      </c>
      <c r="EF55" s="399">
        <v>0</v>
      </c>
      <c r="EG55" s="399">
        <v>0</v>
      </c>
      <c r="EH55" s="399">
        <v>0</v>
      </c>
      <c r="EI55" s="399">
        <v>0</v>
      </c>
      <c r="EJ55" s="399">
        <v>0</v>
      </c>
      <c r="EK55" s="399">
        <v>0</v>
      </c>
      <c r="EL55" s="399">
        <v>0</v>
      </c>
      <c r="EM55" s="399">
        <v>0</v>
      </c>
      <c r="EN55" s="399">
        <v>0</v>
      </c>
      <c r="EO55" s="399">
        <v>0</v>
      </c>
      <c r="EP55" s="399">
        <v>12340.35454730918</v>
      </c>
      <c r="EQ55" s="399">
        <v>0</v>
      </c>
      <c r="ER55" s="399">
        <v>0</v>
      </c>
      <c r="ES55" s="399">
        <v>0</v>
      </c>
      <c r="ET55" s="399">
        <v>0</v>
      </c>
      <c r="EU55" s="399">
        <v>0</v>
      </c>
      <c r="EV55" s="399">
        <v>202</v>
      </c>
      <c r="EW55" s="399">
        <v>0</v>
      </c>
      <c r="EX55" s="399">
        <v>0</v>
      </c>
      <c r="EY55" s="399">
        <v>0</v>
      </c>
      <c r="EZ55" s="399"/>
      <c r="FA55" s="399">
        <v>0</v>
      </c>
      <c r="FB55" s="399">
        <v>-17.698635468909799</v>
      </c>
      <c r="FC55" s="399"/>
      <c r="FD55" s="399">
        <v>-17.698635468909799</v>
      </c>
      <c r="FE55" s="399"/>
      <c r="FF55" s="399">
        <v>0</v>
      </c>
      <c r="FG55" s="399">
        <v>0</v>
      </c>
      <c r="FH55" s="399">
        <v>0</v>
      </c>
      <c r="FI55" s="399">
        <v>0</v>
      </c>
    </row>
    <row r="56" spans="1:165" customFormat="1">
      <c r="A56" s="399">
        <v>52</v>
      </c>
      <c r="B56" s="399" t="s">
        <v>2403</v>
      </c>
      <c r="C56" s="399" t="s">
        <v>2402</v>
      </c>
      <c r="D56" s="399" t="s">
        <v>1823</v>
      </c>
      <c r="E56" s="399" t="s">
        <v>889</v>
      </c>
      <c r="F56" s="399" t="s">
        <v>889</v>
      </c>
      <c r="G56" s="399" t="s">
        <v>1239</v>
      </c>
      <c r="H56" s="399" t="s">
        <v>1239</v>
      </c>
      <c r="I56" s="399" t="s">
        <v>1239</v>
      </c>
      <c r="J56" s="399" t="s">
        <v>2400</v>
      </c>
      <c r="K56" s="788">
        <v>44501</v>
      </c>
      <c r="L56" s="399">
        <v>0</v>
      </c>
      <c r="M56" s="399">
        <v>0</v>
      </c>
      <c r="N56" s="399">
        <v>-1.139</v>
      </c>
      <c r="O56" s="399">
        <v>-1.139</v>
      </c>
      <c r="P56" s="399">
        <v>-1.139</v>
      </c>
      <c r="Q56" s="399">
        <v>-1.139</v>
      </c>
      <c r="R56" s="399"/>
      <c r="S56" s="399">
        <v>609.05999999999995</v>
      </c>
      <c r="T56" s="399">
        <v>286.42</v>
      </c>
      <c r="U56" s="399"/>
      <c r="V56" s="399">
        <v>-1019.95172</v>
      </c>
      <c r="W56" s="399">
        <v>-1019.95172</v>
      </c>
      <c r="X56" s="399">
        <v>-778.92793000000006</v>
      </c>
      <c r="Y56" s="399">
        <v>0</v>
      </c>
      <c r="Z56" s="399">
        <v>-69.321133428312407</v>
      </c>
      <c r="AA56" s="399">
        <v>0</v>
      </c>
      <c r="AB56" s="399">
        <v>0</v>
      </c>
      <c r="AC56" s="399">
        <v>0</v>
      </c>
      <c r="AD56" s="399">
        <v>-111.22579879892895</v>
      </c>
      <c r="AE56" s="399">
        <v>-429.64446252689089</v>
      </c>
      <c r="AF56" s="399">
        <v>-326.23619023274057</v>
      </c>
      <c r="AG56" s="399">
        <v>0</v>
      </c>
      <c r="AH56" s="399">
        <v>0</v>
      </c>
      <c r="AI56" s="399">
        <v>0</v>
      </c>
      <c r="AJ56" s="399">
        <v>0</v>
      </c>
      <c r="AK56" s="399">
        <v>0</v>
      </c>
      <c r="AL56" s="399">
        <v>-10.713307519498578</v>
      </c>
      <c r="AM56" s="399"/>
      <c r="AN56" s="399">
        <v>-1.9452269881226978</v>
      </c>
      <c r="AO56" s="399">
        <v>0</v>
      </c>
      <c r="AP56" s="399">
        <v>0</v>
      </c>
      <c r="AQ56" s="399">
        <v>0</v>
      </c>
      <c r="AR56" s="399">
        <v>0</v>
      </c>
      <c r="AS56" s="399">
        <v>0</v>
      </c>
      <c r="AT56" s="399">
        <v>0</v>
      </c>
      <c r="AU56" s="399">
        <v>0</v>
      </c>
      <c r="AV56" s="399">
        <v>0</v>
      </c>
      <c r="AW56" s="399">
        <v>0</v>
      </c>
      <c r="AX56" s="399">
        <v>0</v>
      </c>
      <c r="AY56" s="399">
        <v>0</v>
      </c>
      <c r="AZ56" s="399">
        <v>0</v>
      </c>
      <c r="BA56" s="399"/>
      <c r="BB56" s="399">
        <v>0</v>
      </c>
      <c r="BC56" s="399">
        <v>0</v>
      </c>
      <c r="BD56" s="399">
        <v>0</v>
      </c>
      <c r="BE56" s="399">
        <v>0</v>
      </c>
      <c r="BF56" s="399">
        <v>0</v>
      </c>
      <c r="BG56" s="399">
        <v>-38.181921181743085</v>
      </c>
      <c r="BH56" s="399">
        <v>0</v>
      </c>
      <c r="BI56" s="399">
        <v>-5.94</v>
      </c>
      <c r="BJ56" s="399">
        <v>-27.56</v>
      </c>
      <c r="BK56" s="399">
        <v>-340.73</v>
      </c>
      <c r="BL56" s="399">
        <v>0</v>
      </c>
      <c r="BM56" s="399"/>
      <c r="BN56" s="399"/>
      <c r="BO56" s="399"/>
      <c r="BP56" s="399"/>
      <c r="BQ56" s="399"/>
      <c r="BR56" s="399"/>
      <c r="BS56" s="399"/>
      <c r="BT56" s="399"/>
      <c r="BU56" s="399"/>
      <c r="BV56" s="399">
        <v>-364.41811141448363</v>
      </c>
      <c r="BW56" s="399"/>
      <c r="BX56" s="399"/>
      <c r="BY56" s="399"/>
      <c r="BZ56" s="399"/>
      <c r="CA56" s="399"/>
      <c r="CB56" s="399"/>
      <c r="CC56" s="399"/>
      <c r="CD56" s="399"/>
      <c r="CE56" s="399"/>
      <c r="CF56" s="399"/>
      <c r="CG56" s="399"/>
      <c r="CH56" s="399"/>
      <c r="CI56" s="399">
        <v>-779.6117999999999</v>
      </c>
      <c r="CJ56" s="399">
        <v>240.30992000000015</v>
      </c>
      <c r="CK56" s="399"/>
      <c r="CL56" s="399"/>
      <c r="CM56" s="399"/>
      <c r="CN56" s="399"/>
      <c r="CO56" s="399">
        <v>167.19380999999996</v>
      </c>
      <c r="CP56" s="399">
        <v>73.82998000000002</v>
      </c>
      <c r="CQ56" s="399">
        <v>30</v>
      </c>
      <c r="CR56" s="399">
        <v>84.249561455365324</v>
      </c>
      <c r="CS56" s="399">
        <v>0</v>
      </c>
      <c r="CT56" s="399">
        <v>0</v>
      </c>
      <c r="CU56" s="399">
        <v>0</v>
      </c>
      <c r="CV56" s="399">
        <v>0</v>
      </c>
      <c r="CW56" s="399">
        <v>0</v>
      </c>
      <c r="CX56" s="399">
        <v>0</v>
      </c>
      <c r="CY56" s="399">
        <v>0</v>
      </c>
      <c r="CZ56" s="399">
        <v>-3.8169254355631921</v>
      </c>
      <c r="DA56" s="399">
        <v>0</v>
      </c>
      <c r="DB56" s="399">
        <v>0</v>
      </c>
      <c r="DC56" s="399">
        <v>73.837690445733955</v>
      </c>
      <c r="DD56" s="399">
        <v>0</v>
      </c>
      <c r="DE56" s="399">
        <v>0</v>
      </c>
      <c r="DF56" s="399">
        <v>0</v>
      </c>
      <c r="DG56" s="399">
        <v>8.6417907063887434</v>
      </c>
      <c r="DH56" s="399">
        <v>0</v>
      </c>
      <c r="DI56" s="399">
        <v>4.8092334623547401</v>
      </c>
      <c r="DJ56" s="399"/>
      <c r="DK56" s="399">
        <v>0</v>
      </c>
      <c r="DL56" s="399">
        <v>0</v>
      </c>
      <c r="DM56" s="399">
        <v>0</v>
      </c>
      <c r="DN56" s="399">
        <v>0</v>
      </c>
      <c r="DO56" s="399">
        <v>0.61310436220342801</v>
      </c>
      <c r="DP56" s="399">
        <v>0.16466791424771099</v>
      </c>
      <c r="DQ56" s="399">
        <v>0</v>
      </c>
      <c r="DR56" s="399">
        <v>0</v>
      </c>
      <c r="DS56" s="399"/>
      <c r="DT56" s="399"/>
      <c r="DU56" s="399"/>
      <c r="DV56" s="399">
        <v>-429.64446252689089</v>
      </c>
      <c r="DW56" s="399">
        <v>0</v>
      </c>
      <c r="DX56" s="399">
        <v>0</v>
      </c>
      <c r="DY56" s="399">
        <v>167.19380999999998</v>
      </c>
      <c r="DZ56" s="399">
        <v>73.829980000000035</v>
      </c>
      <c r="EA56" s="399">
        <v>0</v>
      </c>
      <c r="EB56" s="399">
        <v>0</v>
      </c>
      <c r="EC56" s="399">
        <v>156.77731506204213</v>
      </c>
      <c r="ED56" s="399">
        <v>0</v>
      </c>
      <c r="EE56" s="399">
        <v>0</v>
      </c>
      <c r="EF56" s="399">
        <v>0</v>
      </c>
      <c r="EG56" s="399">
        <v>0</v>
      </c>
      <c r="EH56" s="399">
        <v>0</v>
      </c>
      <c r="EI56" s="399">
        <v>0</v>
      </c>
      <c r="EJ56" s="399">
        <v>0</v>
      </c>
      <c r="EK56" s="399">
        <v>0</v>
      </c>
      <c r="EL56" s="399">
        <v>0</v>
      </c>
      <c r="EM56" s="399">
        <v>0</v>
      </c>
      <c r="EN56" s="399">
        <v>0</v>
      </c>
      <c r="EO56" s="399">
        <v>0</v>
      </c>
      <c r="EP56" s="399">
        <v>-32.687286233116801</v>
      </c>
      <c r="EQ56" s="399">
        <v>0</v>
      </c>
      <c r="ER56" s="399">
        <v>0</v>
      </c>
      <c r="ES56" s="399">
        <v>0</v>
      </c>
      <c r="ET56" s="399">
        <v>0</v>
      </c>
      <c r="EU56" s="399">
        <v>0</v>
      </c>
      <c r="EV56" s="399">
        <v>202</v>
      </c>
      <c r="EW56" s="399">
        <v>0</v>
      </c>
      <c r="EX56" s="399">
        <v>0</v>
      </c>
      <c r="EY56" s="399">
        <v>0</v>
      </c>
      <c r="EZ56" s="399"/>
      <c r="FA56" s="399">
        <v>0</v>
      </c>
      <c r="FB56" s="399">
        <v>-17.698635468909799</v>
      </c>
      <c r="FC56" s="399"/>
      <c r="FD56" s="399">
        <v>-17.698635468909799</v>
      </c>
      <c r="FE56" s="399"/>
      <c r="FF56" s="399">
        <v>0</v>
      </c>
      <c r="FG56" s="399">
        <v>0</v>
      </c>
      <c r="FH56" s="399">
        <v>0</v>
      </c>
      <c r="FI56" s="399">
        <v>0</v>
      </c>
    </row>
    <row r="57" spans="1:165" customFormat="1">
      <c r="A57" s="399">
        <v>53</v>
      </c>
      <c r="B57" s="399" t="s">
        <v>2404</v>
      </c>
      <c r="C57" s="399" t="s">
        <v>2402</v>
      </c>
      <c r="D57" s="399" t="s">
        <v>1823</v>
      </c>
      <c r="E57" s="399" t="s">
        <v>889</v>
      </c>
      <c r="F57" s="399" t="s">
        <v>889</v>
      </c>
      <c r="G57" s="399" t="s">
        <v>1239</v>
      </c>
      <c r="H57" s="399" t="s">
        <v>1239</v>
      </c>
      <c r="I57" s="399" t="s">
        <v>1239</v>
      </c>
      <c r="J57" s="399" t="s">
        <v>2400</v>
      </c>
      <c r="K57" s="788">
        <v>44501</v>
      </c>
      <c r="L57" s="399">
        <v>0</v>
      </c>
      <c r="M57" s="399">
        <v>0</v>
      </c>
      <c r="N57" s="399">
        <v>2.8260000000000001</v>
      </c>
      <c r="O57" s="399">
        <v>2.8260000000000001</v>
      </c>
      <c r="P57" s="399">
        <v>2.8260000000000001</v>
      </c>
      <c r="Q57" s="399">
        <v>2.8260000000000001</v>
      </c>
      <c r="R57" s="399"/>
      <c r="S57" s="399">
        <v>609.05999999999995</v>
      </c>
      <c r="T57" s="399">
        <v>286.42</v>
      </c>
      <c r="U57" s="399"/>
      <c r="V57" s="399">
        <v>2530.6264799999999</v>
      </c>
      <c r="W57" s="399">
        <v>2530.6264799999999</v>
      </c>
      <c r="X57" s="399">
        <v>1932.6166199999998</v>
      </c>
      <c r="Y57" s="399">
        <v>0</v>
      </c>
      <c r="Z57" s="399">
        <v>171.99431349289804</v>
      </c>
      <c r="AA57" s="399">
        <v>0</v>
      </c>
      <c r="AB57" s="399">
        <v>0</v>
      </c>
      <c r="AC57" s="399">
        <v>0</v>
      </c>
      <c r="AD57" s="399">
        <v>275.96497577328643</v>
      </c>
      <c r="AE57" s="399">
        <v>1066.0010984205387</v>
      </c>
      <c r="AF57" s="399">
        <v>809.43237365910875</v>
      </c>
      <c r="AG57" s="399">
        <v>0</v>
      </c>
      <c r="AH57" s="399">
        <v>0</v>
      </c>
      <c r="AI57" s="399">
        <v>0</v>
      </c>
      <c r="AJ57" s="399">
        <v>0</v>
      </c>
      <c r="AK57" s="399">
        <v>0</v>
      </c>
      <c r="AL57" s="399">
        <v>26.581042186218596</v>
      </c>
      <c r="AM57" s="399"/>
      <c r="AN57" s="399">
        <v>4.8263489626292744</v>
      </c>
      <c r="AO57" s="399">
        <v>0</v>
      </c>
      <c r="AP57" s="399">
        <v>0</v>
      </c>
      <c r="AQ57" s="399">
        <v>0</v>
      </c>
      <c r="AR57" s="399">
        <v>0</v>
      </c>
      <c r="AS57" s="399">
        <v>0</v>
      </c>
      <c r="AT57" s="399">
        <v>0</v>
      </c>
      <c r="AU57" s="399">
        <v>0</v>
      </c>
      <c r="AV57" s="399">
        <v>0</v>
      </c>
      <c r="AW57" s="399">
        <v>0</v>
      </c>
      <c r="AX57" s="399">
        <v>0</v>
      </c>
      <c r="AY57" s="399">
        <v>0</v>
      </c>
      <c r="AZ57" s="399">
        <v>0</v>
      </c>
      <c r="BA57" s="399"/>
      <c r="BB57" s="399">
        <v>0</v>
      </c>
      <c r="BC57" s="399">
        <v>0</v>
      </c>
      <c r="BD57" s="399">
        <v>0</v>
      </c>
      <c r="BE57" s="399">
        <v>0</v>
      </c>
      <c r="BF57" s="399">
        <v>0</v>
      </c>
      <c r="BG57" s="399">
        <v>94.734073098863888</v>
      </c>
      <c r="BH57" s="399">
        <v>0</v>
      </c>
      <c r="BI57" s="399">
        <v>4.33</v>
      </c>
      <c r="BJ57" s="399">
        <v>47.59</v>
      </c>
      <c r="BK57" s="399">
        <v>1714.18</v>
      </c>
      <c r="BL57" s="399">
        <v>27</v>
      </c>
      <c r="BM57" s="399"/>
      <c r="BN57" s="399"/>
      <c r="BO57" s="399"/>
      <c r="BP57" s="399"/>
      <c r="BQ57" s="399"/>
      <c r="BR57" s="399"/>
      <c r="BS57" s="399"/>
      <c r="BT57" s="399"/>
      <c r="BU57" s="399"/>
      <c r="BV57" s="399">
        <v>904.16644675797261</v>
      </c>
      <c r="BW57" s="399"/>
      <c r="BX57" s="399"/>
      <c r="BY57" s="399"/>
      <c r="BZ57" s="399"/>
      <c r="CA57" s="399"/>
      <c r="CB57" s="399"/>
      <c r="CC57" s="399"/>
      <c r="CD57" s="399"/>
      <c r="CE57" s="399"/>
      <c r="CF57" s="399"/>
      <c r="CG57" s="399"/>
      <c r="CH57" s="399"/>
      <c r="CI57" s="399">
        <v>1935.3521000000001</v>
      </c>
      <c r="CJ57" s="399">
        <v>-595.30438000000004</v>
      </c>
      <c r="CK57" s="399"/>
      <c r="CL57" s="399"/>
      <c r="CM57" s="399"/>
      <c r="CN57" s="399"/>
      <c r="CO57" s="399">
        <v>-414.82853999999992</v>
      </c>
      <c r="CP57" s="399">
        <v>-183.18132000000006</v>
      </c>
      <c r="CQ57" s="399">
        <v>30</v>
      </c>
      <c r="CR57" s="399">
        <v>-209.03359145993181</v>
      </c>
      <c r="CS57" s="399">
        <v>0</v>
      </c>
      <c r="CT57" s="399">
        <v>0</v>
      </c>
      <c r="CU57" s="399">
        <v>0</v>
      </c>
      <c r="CV57" s="399">
        <v>0</v>
      </c>
      <c r="CW57" s="399">
        <v>0</v>
      </c>
      <c r="CX57" s="399">
        <v>0</v>
      </c>
      <c r="CY57" s="399">
        <v>0</v>
      </c>
      <c r="CZ57" s="399">
        <v>9.4702645135220109</v>
      </c>
      <c r="DA57" s="399">
        <v>0</v>
      </c>
      <c r="DB57" s="399">
        <v>0</v>
      </c>
      <c r="DC57" s="399">
        <v>-183.20045057036361</v>
      </c>
      <c r="DD57" s="399">
        <v>0</v>
      </c>
      <c r="DE57" s="399">
        <v>0</v>
      </c>
      <c r="DF57" s="399">
        <v>0</v>
      </c>
      <c r="DG57" s="399">
        <v>-21.441352534025114</v>
      </c>
      <c r="DH57" s="399">
        <v>0</v>
      </c>
      <c r="DI57" s="399">
        <v>-11.932303568581659</v>
      </c>
      <c r="DJ57" s="399"/>
      <c r="DK57" s="399">
        <v>0</v>
      </c>
      <c r="DL57" s="399">
        <v>0</v>
      </c>
      <c r="DM57" s="399">
        <v>0</v>
      </c>
      <c r="DN57" s="399">
        <v>0</v>
      </c>
      <c r="DO57" s="399">
        <v>-1.5211878205328269</v>
      </c>
      <c r="DP57" s="399">
        <v>-0.40856147995086101</v>
      </c>
      <c r="DQ57" s="399">
        <v>0</v>
      </c>
      <c r="DR57" s="399">
        <v>0</v>
      </c>
      <c r="DS57" s="399"/>
      <c r="DT57" s="399"/>
      <c r="DU57" s="399"/>
      <c r="DV57" s="399">
        <v>1066.0010984205387</v>
      </c>
      <c r="DW57" s="399">
        <v>0</v>
      </c>
      <c r="DX57" s="399">
        <v>0</v>
      </c>
      <c r="DY57" s="399">
        <v>-414.82853999999998</v>
      </c>
      <c r="DZ57" s="399">
        <v>-183.18132000000014</v>
      </c>
      <c r="EA57" s="399">
        <v>0</v>
      </c>
      <c r="EB57" s="399">
        <v>0</v>
      </c>
      <c r="EC57" s="399">
        <v>-388.98392657184456</v>
      </c>
      <c r="ED57" s="399">
        <v>0</v>
      </c>
      <c r="EE57" s="399">
        <v>0</v>
      </c>
      <c r="EF57" s="399">
        <v>0</v>
      </c>
      <c r="EG57" s="399">
        <v>0</v>
      </c>
      <c r="EH57" s="399">
        <v>0</v>
      </c>
      <c r="EI57" s="399">
        <v>0</v>
      </c>
      <c r="EJ57" s="399">
        <v>0</v>
      </c>
      <c r="EK57" s="399">
        <v>0</v>
      </c>
      <c r="EL57" s="399">
        <v>0</v>
      </c>
      <c r="EM57" s="399">
        <v>0</v>
      </c>
      <c r="EN57" s="399">
        <v>0</v>
      </c>
      <c r="EO57" s="399">
        <v>0</v>
      </c>
      <c r="EP57" s="399">
        <v>81.101203595072946</v>
      </c>
      <c r="EQ57" s="399">
        <v>0</v>
      </c>
      <c r="ER57" s="399">
        <v>0</v>
      </c>
      <c r="ES57" s="399">
        <v>0</v>
      </c>
      <c r="ET57" s="399">
        <v>0</v>
      </c>
      <c r="EU57" s="399">
        <v>0</v>
      </c>
      <c r="EV57" s="399">
        <v>202</v>
      </c>
      <c r="EW57" s="399">
        <v>0</v>
      </c>
      <c r="EX57" s="399">
        <v>0</v>
      </c>
      <c r="EY57" s="399">
        <v>0</v>
      </c>
      <c r="EZ57" s="399"/>
      <c r="FA57" s="399">
        <v>0</v>
      </c>
      <c r="FB57" s="399">
        <v>-17.698635468909799</v>
      </c>
      <c r="FC57" s="399"/>
      <c r="FD57" s="399">
        <v>-17.698635468909799</v>
      </c>
      <c r="FE57" s="399"/>
      <c r="FF57" s="399">
        <v>0</v>
      </c>
      <c r="FG57" s="399">
        <v>0</v>
      </c>
      <c r="FH57" s="399">
        <v>0</v>
      </c>
      <c r="FI57" s="399">
        <v>0</v>
      </c>
    </row>
    <row r="58" spans="1:165" customFormat="1">
      <c r="A58" s="399">
        <v>54</v>
      </c>
      <c r="B58" s="399" t="s">
        <v>956</v>
      </c>
      <c r="C58" s="399" t="s">
        <v>2402</v>
      </c>
      <c r="D58" s="399" t="s">
        <v>1823</v>
      </c>
      <c r="E58" s="399" t="s">
        <v>889</v>
      </c>
      <c r="F58" s="399" t="s">
        <v>2405</v>
      </c>
      <c r="G58" s="399" t="s">
        <v>1239</v>
      </c>
      <c r="H58" s="399" t="s">
        <v>1239</v>
      </c>
      <c r="I58" s="399" t="s">
        <v>1239</v>
      </c>
      <c r="J58" s="399" t="s">
        <v>2400</v>
      </c>
      <c r="K58" s="788">
        <v>44501</v>
      </c>
      <c r="L58" s="399">
        <v>0</v>
      </c>
      <c r="M58" s="399">
        <v>0</v>
      </c>
      <c r="N58" s="399">
        <v>3.6</v>
      </c>
      <c r="O58" s="399">
        <v>3.6</v>
      </c>
      <c r="P58" s="399">
        <v>3.6</v>
      </c>
      <c r="Q58" s="399">
        <v>3.6</v>
      </c>
      <c r="R58" s="399"/>
      <c r="S58" s="399">
        <v>510.09</v>
      </c>
      <c r="T58" s="399">
        <v>286.42</v>
      </c>
      <c r="U58" s="399"/>
      <c r="V58" s="399">
        <v>2867.4359999999997</v>
      </c>
      <c r="W58" s="399">
        <v>2867.4359999999997</v>
      </c>
      <c r="X58" s="399">
        <v>2122.8119999999999</v>
      </c>
      <c r="Y58" s="399">
        <v>0</v>
      </c>
      <c r="Z58" s="399">
        <v>0</v>
      </c>
      <c r="AA58" s="399">
        <v>0</v>
      </c>
      <c r="AB58" s="399">
        <v>0</v>
      </c>
      <c r="AC58" s="399">
        <v>0</v>
      </c>
      <c r="AD58" s="399">
        <v>351.54773983858144</v>
      </c>
      <c r="AE58" s="399">
        <v>1357.9631827013231</v>
      </c>
      <c r="AF58" s="399">
        <v>1031.1240428778456</v>
      </c>
      <c r="AG58" s="399">
        <v>0</v>
      </c>
      <c r="AH58" s="399">
        <v>0</v>
      </c>
      <c r="AI58" s="399">
        <v>0</v>
      </c>
      <c r="AJ58" s="399">
        <v>0</v>
      </c>
      <c r="AK58" s="399">
        <v>0</v>
      </c>
      <c r="AL58" s="399">
        <v>0</v>
      </c>
      <c r="AM58" s="399"/>
      <c r="AN58" s="399">
        <v>6.1482152390181843</v>
      </c>
      <c r="AO58" s="399">
        <v>0</v>
      </c>
      <c r="AP58" s="399">
        <v>0</v>
      </c>
      <c r="AQ58" s="399">
        <v>0</v>
      </c>
      <c r="AR58" s="399">
        <v>0</v>
      </c>
      <c r="AS58" s="399">
        <v>0</v>
      </c>
      <c r="AT58" s="399">
        <v>0</v>
      </c>
      <c r="AU58" s="399">
        <v>0</v>
      </c>
      <c r="AV58" s="399">
        <v>0</v>
      </c>
      <c r="AW58" s="399">
        <v>0</v>
      </c>
      <c r="AX58" s="399">
        <v>0</v>
      </c>
      <c r="AY58" s="399">
        <v>0</v>
      </c>
      <c r="AZ58" s="399">
        <v>0</v>
      </c>
      <c r="BA58" s="399"/>
      <c r="BB58" s="399">
        <v>0</v>
      </c>
      <c r="BC58" s="399">
        <v>0</v>
      </c>
      <c r="BD58" s="399">
        <v>0</v>
      </c>
      <c r="BE58" s="399">
        <v>0</v>
      </c>
      <c r="BF58" s="399">
        <v>0</v>
      </c>
      <c r="BG58" s="399">
        <v>120.68034789664189</v>
      </c>
      <c r="BH58" s="399">
        <v>0</v>
      </c>
      <c r="BI58" s="399">
        <v>3.9</v>
      </c>
      <c r="BJ58" s="399">
        <v>19.16</v>
      </c>
      <c r="BK58" s="399">
        <v>360.24</v>
      </c>
      <c r="BL58" s="399">
        <v>0</v>
      </c>
      <c r="BM58" s="399"/>
      <c r="BN58" s="399"/>
      <c r="BO58" s="399"/>
      <c r="BP58" s="399"/>
      <c r="BQ58" s="399"/>
      <c r="BR58" s="399"/>
      <c r="BS58" s="399"/>
      <c r="BT58" s="399">
        <v>1379.8440000000001</v>
      </c>
      <c r="BU58" s="399"/>
      <c r="BV58" s="399">
        <v>1151.8043907744875</v>
      </c>
      <c r="BW58" s="399"/>
      <c r="BX58" s="399"/>
      <c r="BY58" s="399"/>
      <c r="BZ58" s="399"/>
      <c r="CA58" s="399"/>
      <c r="CB58" s="399"/>
      <c r="CC58" s="399"/>
      <c r="CD58" s="399"/>
      <c r="CE58" s="399"/>
      <c r="CF58" s="399"/>
      <c r="CG58" s="399"/>
      <c r="CH58" s="399"/>
      <c r="CI58" s="399">
        <v>742.96800000000007</v>
      </c>
      <c r="CJ58" s="399">
        <v>-260.66999999999985</v>
      </c>
      <c r="CK58" s="399"/>
      <c r="CL58" s="399"/>
      <c r="CM58" s="399"/>
      <c r="CN58" s="399"/>
      <c r="CO58" s="399">
        <v>-511.27199999999993</v>
      </c>
      <c r="CP58" s="399">
        <v>-233.35200000000009</v>
      </c>
      <c r="CQ58" s="399">
        <v>30</v>
      </c>
      <c r="CR58" s="399">
        <v>-249.14662429403529</v>
      </c>
      <c r="CS58" s="399">
        <v>0</v>
      </c>
      <c r="CT58" s="399">
        <v>0</v>
      </c>
      <c r="CU58" s="399">
        <v>0</v>
      </c>
      <c r="CV58" s="399">
        <v>0</v>
      </c>
      <c r="CW58" s="399">
        <v>0</v>
      </c>
      <c r="CX58" s="399">
        <v>0</v>
      </c>
      <c r="CY58" s="399">
        <v>0</v>
      </c>
      <c r="CZ58" s="399">
        <v>12.064031227416592</v>
      </c>
      <c r="DA58" s="399">
        <v>0</v>
      </c>
      <c r="DB58" s="399">
        <v>0</v>
      </c>
      <c r="DC58" s="399">
        <v>-233.3763701533295</v>
      </c>
      <c r="DD58" s="399">
        <v>0</v>
      </c>
      <c r="DE58" s="399">
        <v>0</v>
      </c>
      <c r="DF58" s="399">
        <v>0</v>
      </c>
      <c r="DG58" s="399">
        <v>-27.313824884108413</v>
      </c>
      <c r="DH58" s="399">
        <v>0</v>
      </c>
      <c r="DI58" s="399">
        <v>0</v>
      </c>
      <c r="DJ58" s="399"/>
      <c r="DK58" s="399">
        <v>0</v>
      </c>
      <c r="DL58" s="399">
        <v>0</v>
      </c>
      <c r="DM58" s="399">
        <v>0</v>
      </c>
      <c r="DN58" s="399">
        <v>0</v>
      </c>
      <c r="DO58" s="399">
        <v>0</v>
      </c>
      <c r="DP58" s="399">
        <v>-0.52046048401383604</v>
      </c>
      <c r="DQ58" s="399">
        <v>0</v>
      </c>
      <c r="DR58" s="399">
        <v>0</v>
      </c>
      <c r="DS58" s="399"/>
      <c r="DT58" s="399"/>
      <c r="DU58" s="399"/>
      <c r="DV58" s="399">
        <v>1357.9631827013231</v>
      </c>
      <c r="DW58" s="399">
        <v>0</v>
      </c>
      <c r="DX58" s="399">
        <v>0</v>
      </c>
      <c r="DY58" s="399">
        <v>-511.27199999999993</v>
      </c>
      <c r="DZ58" s="399">
        <v>-233.35200000000009</v>
      </c>
      <c r="EA58" s="399">
        <v>0</v>
      </c>
      <c r="EB58" s="399">
        <v>0</v>
      </c>
      <c r="EC58" s="399">
        <v>-495.52092556922867</v>
      </c>
      <c r="ED58" s="399">
        <v>0</v>
      </c>
      <c r="EE58" s="399">
        <v>0</v>
      </c>
      <c r="EF58" s="399">
        <v>0</v>
      </c>
      <c r="EG58" s="399">
        <v>0</v>
      </c>
      <c r="EH58" s="399">
        <v>0</v>
      </c>
      <c r="EI58" s="399">
        <v>0</v>
      </c>
      <c r="EJ58" s="399">
        <v>0</v>
      </c>
      <c r="EK58" s="399">
        <v>0</v>
      </c>
      <c r="EL58" s="399">
        <v>0</v>
      </c>
      <c r="EM58" s="399">
        <v>0</v>
      </c>
      <c r="EN58" s="399">
        <v>0</v>
      </c>
      <c r="EO58" s="399">
        <v>0</v>
      </c>
      <c r="EP58" s="399">
        <v>0</v>
      </c>
      <c r="EQ58" s="399">
        <v>0</v>
      </c>
      <c r="ER58" s="399">
        <v>0</v>
      </c>
      <c r="ES58" s="399">
        <v>0</v>
      </c>
      <c r="ET58" s="399">
        <v>0</v>
      </c>
      <c r="EU58" s="399">
        <v>0</v>
      </c>
      <c r="EV58" s="399">
        <v>202</v>
      </c>
      <c r="EW58" s="399">
        <v>0</v>
      </c>
      <c r="EX58" s="399">
        <v>0</v>
      </c>
      <c r="EY58" s="399">
        <v>0</v>
      </c>
      <c r="EZ58" s="399"/>
      <c r="FA58" s="399">
        <v>0</v>
      </c>
      <c r="FB58" s="399">
        <v>-17.698635468909799</v>
      </c>
      <c r="FC58" s="399"/>
      <c r="FD58" s="399">
        <v>-17.698635468909799</v>
      </c>
      <c r="FE58" s="399"/>
      <c r="FF58" s="399">
        <v>0</v>
      </c>
      <c r="FG58" s="399">
        <v>0</v>
      </c>
      <c r="FH58" s="399">
        <v>0</v>
      </c>
      <c r="FI58" s="399">
        <v>0</v>
      </c>
    </row>
    <row r="59" spans="1:165" customFormat="1">
      <c r="A59" s="399">
        <v>55</v>
      </c>
      <c r="B59" s="399" t="s">
        <v>956</v>
      </c>
      <c r="C59" s="399" t="s">
        <v>2402</v>
      </c>
      <c r="D59" s="399" t="s">
        <v>1823</v>
      </c>
      <c r="E59" s="399" t="s">
        <v>889</v>
      </c>
      <c r="F59" s="399" t="s">
        <v>2406</v>
      </c>
      <c r="G59" s="399" t="s">
        <v>1239</v>
      </c>
      <c r="H59" s="399" t="s">
        <v>1239</v>
      </c>
      <c r="I59" s="399" t="s">
        <v>1239</v>
      </c>
      <c r="J59" s="399" t="s">
        <v>2400</v>
      </c>
      <c r="K59" s="788">
        <v>44501</v>
      </c>
      <c r="L59" s="399">
        <v>0</v>
      </c>
      <c r="M59" s="399">
        <v>0</v>
      </c>
      <c r="N59" s="399">
        <v>7.48</v>
      </c>
      <c r="O59" s="399">
        <v>7.48</v>
      </c>
      <c r="P59" s="399">
        <v>7.48</v>
      </c>
      <c r="Q59" s="399">
        <v>7.48</v>
      </c>
      <c r="R59" s="399"/>
      <c r="S59" s="399">
        <v>510.09</v>
      </c>
      <c r="T59" s="399">
        <v>286.42</v>
      </c>
      <c r="U59" s="399"/>
      <c r="V59" s="399">
        <v>5957.8948</v>
      </c>
      <c r="W59" s="399">
        <v>5957.8948</v>
      </c>
      <c r="X59" s="399">
        <v>4410.7316000000001</v>
      </c>
      <c r="Y59" s="399">
        <v>0</v>
      </c>
      <c r="Z59" s="399">
        <v>0</v>
      </c>
      <c r="AA59" s="399">
        <v>0</v>
      </c>
      <c r="AB59" s="399">
        <v>0</v>
      </c>
      <c r="AC59" s="399">
        <v>0</v>
      </c>
      <c r="AD59" s="399">
        <v>730.43808166460815</v>
      </c>
      <c r="AE59" s="399">
        <v>2821.5457240571941</v>
      </c>
      <c r="AF59" s="399">
        <v>2142.4466224239682</v>
      </c>
      <c r="AG59" s="399">
        <v>0</v>
      </c>
      <c r="AH59" s="399">
        <v>0</v>
      </c>
      <c r="AI59" s="399">
        <v>0</v>
      </c>
      <c r="AJ59" s="399">
        <v>0</v>
      </c>
      <c r="AK59" s="399">
        <v>0</v>
      </c>
      <c r="AL59" s="399">
        <v>0</v>
      </c>
      <c r="AM59" s="399"/>
      <c r="AN59" s="399">
        <v>12.774624996626672</v>
      </c>
      <c r="AO59" s="399">
        <v>0</v>
      </c>
      <c r="AP59" s="399">
        <v>0</v>
      </c>
      <c r="AQ59" s="399">
        <v>0</v>
      </c>
      <c r="AR59" s="399">
        <v>0</v>
      </c>
      <c r="AS59" s="399">
        <v>0</v>
      </c>
      <c r="AT59" s="399">
        <v>0</v>
      </c>
      <c r="AU59" s="399">
        <v>0</v>
      </c>
      <c r="AV59" s="399">
        <v>0</v>
      </c>
      <c r="AW59" s="399">
        <v>0</v>
      </c>
      <c r="AX59" s="399">
        <v>0</v>
      </c>
      <c r="AY59" s="399">
        <v>0</v>
      </c>
      <c r="AZ59" s="399">
        <v>0</v>
      </c>
      <c r="BA59" s="399"/>
      <c r="BB59" s="399">
        <v>0</v>
      </c>
      <c r="BC59" s="399">
        <v>0</v>
      </c>
      <c r="BD59" s="399">
        <v>0</v>
      </c>
      <c r="BE59" s="399">
        <v>0</v>
      </c>
      <c r="BF59" s="399">
        <v>0</v>
      </c>
      <c r="BG59" s="399">
        <v>250.74694507413372</v>
      </c>
      <c r="BH59" s="399">
        <v>0</v>
      </c>
      <c r="BI59" s="399">
        <v>14.64</v>
      </c>
      <c r="BJ59" s="399">
        <v>71.73</v>
      </c>
      <c r="BK59" s="399">
        <v>844.89</v>
      </c>
      <c r="BL59" s="399">
        <v>32</v>
      </c>
      <c r="BM59" s="399"/>
      <c r="BN59" s="399"/>
      <c r="BO59" s="399"/>
      <c r="BP59" s="399"/>
      <c r="BQ59" s="399"/>
      <c r="BR59" s="399"/>
      <c r="BS59" s="399"/>
      <c r="BT59" s="399">
        <v>1764.3076000000001</v>
      </c>
      <c r="BU59" s="399"/>
      <c r="BV59" s="399">
        <v>2393.1935674981019</v>
      </c>
      <c r="BW59" s="399"/>
      <c r="BX59" s="399"/>
      <c r="BY59" s="399"/>
      <c r="BZ59" s="399"/>
      <c r="CA59" s="399"/>
      <c r="CB59" s="399"/>
      <c r="CC59" s="399"/>
      <c r="CD59" s="399"/>
      <c r="CE59" s="399"/>
      <c r="CF59" s="399"/>
      <c r="CG59" s="399"/>
      <c r="CH59" s="399"/>
      <c r="CI59" s="399">
        <v>2646.4240000000004</v>
      </c>
      <c r="CJ59" s="399">
        <v>-928.37280000000055</v>
      </c>
      <c r="CK59" s="399"/>
      <c r="CL59" s="399"/>
      <c r="CM59" s="399"/>
      <c r="CN59" s="399"/>
      <c r="CO59" s="399">
        <v>-1062.3095999999998</v>
      </c>
      <c r="CP59" s="399">
        <v>-484.8536000000002</v>
      </c>
      <c r="CQ59" s="399">
        <v>30</v>
      </c>
      <c r="CR59" s="399">
        <v>-517.67131936649548</v>
      </c>
      <c r="CS59" s="399">
        <v>0</v>
      </c>
      <c r="CT59" s="399">
        <v>0</v>
      </c>
      <c r="CU59" s="399">
        <v>0</v>
      </c>
      <c r="CV59" s="399">
        <v>0</v>
      </c>
      <c r="CW59" s="399">
        <v>0</v>
      </c>
      <c r="CX59" s="399">
        <v>0</v>
      </c>
      <c r="CY59" s="399">
        <v>0</v>
      </c>
      <c r="CZ59" s="399">
        <v>25.066375994743225</v>
      </c>
      <c r="DA59" s="399">
        <v>0</v>
      </c>
      <c r="DB59" s="399">
        <v>0</v>
      </c>
      <c r="DC59" s="399">
        <v>-484.90423576302919</v>
      </c>
      <c r="DD59" s="399">
        <v>0</v>
      </c>
      <c r="DE59" s="399">
        <v>0</v>
      </c>
      <c r="DF59" s="399">
        <v>0</v>
      </c>
      <c r="DG59" s="399">
        <v>-56.75205837031416</v>
      </c>
      <c r="DH59" s="399">
        <v>0</v>
      </c>
      <c r="DI59" s="399">
        <v>0</v>
      </c>
      <c r="DJ59" s="399"/>
      <c r="DK59" s="399">
        <v>0</v>
      </c>
      <c r="DL59" s="399">
        <v>0</v>
      </c>
      <c r="DM59" s="399">
        <v>0</v>
      </c>
      <c r="DN59" s="399">
        <v>0</v>
      </c>
      <c r="DO59" s="399">
        <v>0</v>
      </c>
      <c r="DP59" s="399">
        <v>-1.0814012278954142</v>
      </c>
      <c r="DQ59" s="399">
        <v>0</v>
      </c>
      <c r="DR59" s="399">
        <v>0</v>
      </c>
      <c r="DS59" s="399"/>
      <c r="DT59" s="399"/>
      <c r="DU59" s="399"/>
      <c r="DV59" s="399">
        <v>2821.5457240571941</v>
      </c>
      <c r="DW59" s="399">
        <v>0</v>
      </c>
      <c r="DX59" s="399">
        <v>0</v>
      </c>
      <c r="DY59" s="399">
        <v>-1062.3095999999996</v>
      </c>
      <c r="DZ59" s="399">
        <v>-484.85360000000014</v>
      </c>
      <c r="EA59" s="399">
        <v>0</v>
      </c>
      <c r="EB59" s="399">
        <v>0</v>
      </c>
      <c r="EC59" s="399">
        <v>-1029.5823675716201</v>
      </c>
      <c r="ED59" s="399">
        <v>0</v>
      </c>
      <c r="EE59" s="399">
        <v>0</v>
      </c>
      <c r="EF59" s="399">
        <v>0</v>
      </c>
      <c r="EG59" s="399">
        <v>0</v>
      </c>
      <c r="EH59" s="399">
        <v>0</v>
      </c>
      <c r="EI59" s="399">
        <v>0</v>
      </c>
      <c r="EJ59" s="399">
        <v>0</v>
      </c>
      <c r="EK59" s="399">
        <v>0</v>
      </c>
      <c r="EL59" s="399">
        <v>0</v>
      </c>
      <c r="EM59" s="399">
        <v>0</v>
      </c>
      <c r="EN59" s="399">
        <v>0</v>
      </c>
      <c r="EO59" s="399">
        <v>0</v>
      </c>
      <c r="EP59" s="399">
        <v>0</v>
      </c>
      <c r="EQ59" s="399">
        <v>0</v>
      </c>
      <c r="ER59" s="399">
        <v>0</v>
      </c>
      <c r="ES59" s="399">
        <v>0</v>
      </c>
      <c r="ET59" s="399">
        <v>0</v>
      </c>
      <c r="EU59" s="399">
        <v>0</v>
      </c>
      <c r="EV59" s="399">
        <v>202</v>
      </c>
      <c r="EW59" s="399">
        <v>0</v>
      </c>
      <c r="EX59" s="399">
        <v>0</v>
      </c>
      <c r="EY59" s="399">
        <v>0</v>
      </c>
      <c r="EZ59" s="399"/>
      <c r="FA59" s="399">
        <v>0</v>
      </c>
      <c r="FB59" s="399">
        <v>-17.698635468909799</v>
      </c>
      <c r="FC59" s="399"/>
      <c r="FD59" s="399">
        <v>-17.698635468909799</v>
      </c>
      <c r="FE59" s="399"/>
      <c r="FF59" s="399">
        <v>0</v>
      </c>
      <c r="FG59" s="399">
        <v>0</v>
      </c>
      <c r="FH59" s="399">
        <v>0</v>
      </c>
      <c r="FI59" s="399">
        <v>0</v>
      </c>
    </row>
    <row r="60" spans="1:165" customFormat="1">
      <c r="A60" s="399">
        <v>56</v>
      </c>
      <c r="B60" s="399" t="s">
        <v>956</v>
      </c>
      <c r="C60" s="399" t="s">
        <v>2402</v>
      </c>
      <c r="D60" s="399" t="s">
        <v>1823</v>
      </c>
      <c r="E60" s="399" t="s">
        <v>889</v>
      </c>
      <c r="F60" s="399" t="s">
        <v>2407</v>
      </c>
      <c r="G60" s="399" t="s">
        <v>1239</v>
      </c>
      <c r="H60" s="399" t="s">
        <v>1239</v>
      </c>
      <c r="I60" s="399" t="s">
        <v>1239</v>
      </c>
      <c r="J60" s="399" t="s">
        <v>2400</v>
      </c>
      <c r="K60" s="788">
        <v>44501</v>
      </c>
      <c r="L60" s="399">
        <v>0</v>
      </c>
      <c r="M60" s="399">
        <v>0</v>
      </c>
      <c r="N60" s="399">
        <v>5.4630000000000001</v>
      </c>
      <c r="O60" s="399">
        <v>5.4630000000000001</v>
      </c>
      <c r="P60" s="399">
        <v>5.4630000000000001</v>
      </c>
      <c r="Q60" s="399">
        <v>5.4630000000000001</v>
      </c>
      <c r="R60" s="399"/>
      <c r="S60" s="399">
        <v>510.09</v>
      </c>
      <c r="T60" s="399">
        <v>286.42</v>
      </c>
      <c r="U60" s="399"/>
      <c r="V60" s="399">
        <v>4351.3341300000002</v>
      </c>
      <c r="W60" s="399">
        <v>4351.3341300000002</v>
      </c>
      <c r="X60" s="399">
        <v>3221.3672099999999</v>
      </c>
      <c r="Y60" s="399">
        <v>0</v>
      </c>
      <c r="Z60" s="399">
        <v>0</v>
      </c>
      <c r="AA60" s="399">
        <v>0</v>
      </c>
      <c r="AB60" s="399">
        <v>0</v>
      </c>
      <c r="AC60" s="399">
        <v>0</v>
      </c>
      <c r="AD60" s="399">
        <v>533.47369520504731</v>
      </c>
      <c r="AE60" s="399">
        <v>2060.709129749258</v>
      </c>
      <c r="AF60" s="399">
        <v>1564.7307350671306</v>
      </c>
      <c r="AG60" s="399">
        <v>0</v>
      </c>
      <c r="AH60" s="399">
        <v>0</v>
      </c>
      <c r="AI60" s="399">
        <v>0</v>
      </c>
      <c r="AJ60" s="399">
        <v>0</v>
      </c>
      <c r="AK60" s="399">
        <v>0</v>
      </c>
      <c r="AL60" s="399">
        <v>0</v>
      </c>
      <c r="AM60" s="399"/>
      <c r="AN60" s="399">
        <v>9.3299166252100942</v>
      </c>
      <c r="AO60" s="399">
        <v>0</v>
      </c>
      <c r="AP60" s="399">
        <v>0</v>
      </c>
      <c r="AQ60" s="399">
        <v>0</v>
      </c>
      <c r="AR60" s="399">
        <v>0</v>
      </c>
      <c r="AS60" s="399">
        <v>0</v>
      </c>
      <c r="AT60" s="399">
        <v>0</v>
      </c>
      <c r="AU60" s="399">
        <v>0</v>
      </c>
      <c r="AV60" s="399">
        <v>0</v>
      </c>
      <c r="AW60" s="399">
        <v>0</v>
      </c>
      <c r="AX60" s="399">
        <v>0</v>
      </c>
      <c r="AY60" s="399">
        <v>0</v>
      </c>
      <c r="AZ60" s="399">
        <v>0</v>
      </c>
      <c r="BA60" s="399"/>
      <c r="BB60" s="399">
        <v>0</v>
      </c>
      <c r="BC60" s="399">
        <v>0</v>
      </c>
      <c r="BD60" s="399">
        <v>0</v>
      </c>
      <c r="BE60" s="399">
        <v>0</v>
      </c>
      <c r="BF60" s="399">
        <v>0</v>
      </c>
      <c r="BG60" s="399">
        <v>183.13242793315408</v>
      </c>
      <c r="BH60" s="399">
        <v>0</v>
      </c>
      <c r="BI60" s="399">
        <v>18.260000000000002</v>
      </c>
      <c r="BJ60" s="399">
        <v>88</v>
      </c>
      <c r="BK60" s="399">
        <v>948.39</v>
      </c>
      <c r="BL60" s="399">
        <v>70</v>
      </c>
      <c r="BM60" s="399"/>
      <c r="BN60" s="399"/>
      <c r="BO60" s="399"/>
      <c r="BP60" s="399"/>
      <c r="BQ60" s="399"/>
      <c r="BR60" s="399"/>
      <c r="BS60" s="399"/>
      <c r="BT60" s="399">
        <v>322.15311000000003</v>
      </c>
      <c r="BU60" s="399"/>
      <c r="BV60" s="399">
        <v>1747.8631630002847</v>
      </c>
      <c r="BW60" s="399"/>
      <c r="BX60" s="399"/>
      <c r="BY60" s="399"/>
      <c r="BZ60" s="399"/>
      <c r="CA60" s="399"/>
      <c r="CB60" s="399"/>
      <c r="CC60" s="399"/>
      <c r="CD60" s="399"/>
      <c r="CE60" s="399"/>
      <c r="CF60" s="399"/>
      <c r="CG60" s="399"/>
      <c r="CH60" s="399"/>
      <c r="CI60" s="399">
        <v>2897.6219999999998</v>
      </c>
      <c r="CJ60" s="399">
        <v>-1018.6141800000009</v>
      </c>
      <c r="CK60" s="399"/>
      <c r="CL60" s="399"/>
      <c r="CM60" s="399"/>
      <c r="CN60" s="399"/>
      <c r="CO60" s="399">
        <v>-775.85525999999993</v>
      </c>
      <c r="CP60" s="399">
        <v>-354.11166000000014</v>
      </c>
      <c r="CQ60" s="399">
        <v>30</v>
      </c>
      <c r="CR60" s="399">
        <v>-378.08000236619773</v>
      </c>
      <c r="CS60" s="399">
        <v>0</v>
      </c>
      <c r="CT60" s="399">
        <v>0</v>
      </c>
      <c r="CU60" s="399">
        <v>0</v>
      </c>
      <c r="CV60" s="399">
        <v>0</v>
      </c>
      <c r="CW60" s="399">
        <v>0</v>
      </c>
      <c r="CX60" s="399">
        <v>0</v>
      </c>
      <c r="CY60" s="399">
        <v>0</v>
      </c>
      <c r="CZ60" s="399">
        <v>18.307167387604636</v>
      </c>
      <c r="DA60" s="399">
        <v>0</v>
      </c>
      <c r="DB60" s="399">
        <v>0</v>
      </c>
      <c r="DC60" s="399">
        <v>-354.14864170767737</v>
      </c>
      <c r="DD60" s="399">
        <v>0</v>
      </c>
      <c r="DE60" s="399">
        <v>0</v>
      </c>
      <c r="DF60" s="399">
        <v>0</v>
      </c>
      <c r="DG60" s="399">
        <v>-41.448729261634526</v>
      </c>
      <c r="DH60" s="399">
        <v>0</v>
      </c>
      <c r="DI60" s="399">
        <v>0</v>
      </c>
      <c r="DJ60" s="399"/>
      <c r="DK60" s="399">
        <v>0</v>
      </c>
      <c r="DL60" s="399">
        <v>0</v>
      </c>
      <c r="DM60" s="399">
        <v>0</v>
      </c>
      <c r="DN60" s="399">
        <v>0</v>
      </c>
      <c r="DO60" s="399">
        <v>0</v>
      </c>
      <c r="DP60" s="399">
        <v>-0.78979878449099594</v>
      </c>
      <c r="DQ60" s="399">
        <v>0</v>
      </c>
      <c r="DR60" s="399">
        <v>0</v>
      </c>
      <c r="DS60" s="399"/>
      <c r="DT60" s="399"/>
      <c r="DU60" s="399"/>
      <c r="DV60" s="399">
        <v>2060.709129749258</v>
      </c>
      <c r="DW60" s="399">
        <v>0</v>
      </c>
      <c r="DX60" s="399">
        <v>0</v>
      </c>
      <c r="DY60" s="399">
        <v>-775.85526000000004</v>
      </c>
      <c r="DZ60" s="399">
        <v>-354.11166000000026</v>
      </c>
      <c r="EA60" s="399">
        <v>0</v>
      </c>
      <c r="EB60" s="399">
        <v>0</v>
      </c>
      <c r="EC60" s="399">
        <v>-751.95300455130473</v>
      </c>
      <c r="ED60" s="399">
        <v>0</v>
      </c>
      <c r="EE60" s="399">
        <v>0</v>
      </c>
      <c r="EF60" s="399">
        <v>0</v>
      </c>
      <c r="EG60" s="399">
        <v>0</v>
      </c>
      <c r="EH60" s="399">
        <v>0</v>
      </c>
      <c r="EI60" s="399">
        <v>0</v>
      </c>
      <c r="EJ60" s="399">
        <v>0</v>
      </c>
      <c r="EK60" s="399">
        <v>0</v>
      </c>
      <c r="EL60" s="399">
        <v>0</v>
      </c>
      <c r="EM60" s="399">
        <v>0</v>
      </c>
      <c r="EN60" s="399">
        <v>0</v>
      </c>
      <c r="EO60" s="399">
        <v>0</v>
      </c>
      <c r="EP60" s="399">
        <v>0</v>
      </c>
      <c r="EQ60" s="399">
        <v>0</v>
      </c>
      <c r="ER60" s="399">
        <v>0</v>
      </c>
      <c r="ES60" s="399">
        <v>0</v>
      </c>
      <c r="ET60" s="399">
        <v>0</v>
      </c>
      <c r="EU60" s="399">
        <v>0</v>
      </c>
      <c r="EV60" s="399">
        <v>202</v>
      </c>
      <c r="EW60" s="399">
        <v>0</v>
      </c>
      <c r="EX60" s="399">
        <v>0</v>
      </c>
      <c r="EY60" s="399">
        <v>0</v>
      </c>
      <c r="EZ60" s="399"/>
      <c r="FA60" s="399">
        <v>0</v>
      </c>
      <c r="FB60" s="399">
        <v>-17.698635468909799</v>
      </c>
      <c r="FC60" s="399"/>
      <c r="FD60" s="399">
        <v>-17.698635468909799</v>
      </c>
      <c r="FE60" s="399"/>
      <c r="FF60" s="399">
        <v>0</v>
      </c>
      <c r="FG60" s="399">
        <v>0</v>
      </c>
      <c r="FH60" s="399">
        <v>0</v>
      </c>
      <c r="FI60" s="399">
        <v>0</v>
      </c>
    </row>
    <row r="61" spans="1:165" customFormat="1">
      <c r="A61" s="399">
        <v>57</v>
      </c>
      <c r="B61" s="399" t="s">
        <v>956</v>
      </c>
      <c r="C61" s="399" t="s">
        <v>2402</v>
      </c>
      <c r="D61" s="399" t="s">
        <v>1823</v>
      </c>
      <c r="E61" s="399" t="s">
        <v>889</v>
      </c>
      <c r="F61" s="399" t="s">
        <v>2408</v>
      </c>
      <c r="G61" s="399" t="s">
        <v>1239</v>
      </c>
      <c r="H61" s="399" t="s">
        <v>1239</v>
      </c>
      <c r="I61" s="399" t="s">
        <v>1239</v>
      </c>
      <c r="J61" s="399" t="s">
        <v>2400</v>
      </c>
      <c r="K61" s="788">
        <v>44501</v>
      </c>
      <c r="L61" s="399">
        <v>0</v>
      </c>
      <c r="M61" s="399">
        <v>0</v>
      </c>
      <c r="N61" s="399">
        <v>1.03</v>
      </c>
      <c r="O61" s="399">
        <v>1.03</v>
      </c>
      <c r="P61" s="399">
        <v>1.03</v>
      </c>
      <c r="Q61" s="399">
        <v>1.03</v>
      </c>
      <c r="R61" s="399"/>
      <c r="S61" s="399">
        <v>510.09</v>
      </c>
      <c r="T61" s="399">
        <v>286.42</v>
      </c>
      <c r="U61" s="399"/>
      <c r="V61" s="399">
        <v>820.40530000000001</v>
      </c>
      <c r="W61" s="399">
        <v>820.40530000000001</v>
      </c>
      <c r="X61" s="399">
        <v>607.36009999999999</v>
      </c>
      <c r="Y61" s="399">
        <v>0</v>
      </c>
      <c r="Z61" s="399">
        <v>0</v>
      </c>
      <c r="AA61" s="399">
        <v>0</v>
      </c>
      <c r="AB61" s="399">
        <v>0</v>
      </c>
      <c r="AC61" s="399">
        <v>0</v>
      </c>
      <c r="AD61" s="399">
        <v>100.58171445381635</v>
      </c>
      <c r="AE61" s="399">
        <v>388.52835505065639</v>
      </c>
      <c r="AF61" s="399">
        <v>295.01604560116135</v>
      </c>
      <c r="AG61" s="399">
        <v>0</v>
      </c>
      <c r="AH61" s="399">
        <v>0</v>
      </c>
      <c r="AI61" s="399">
        <v>0</v>
      </c>
      <c r="AJ61" s="399">
        <v>0</v>
      </c>
      <c r="AK61" s="399">
        <v>0</v>
      </c>
      <c r="AL61" s="399">
        <v>0</v>
      </c>
      <c r="AM61" s="399"/>
      <c r="AN61" s="399">
        <v>1.7590726933857583</v>
      </c>
      <c r="AO61" s="399">
        <v>0</v>
      </c>
      <c r="AP61" s="399">
        <v>0</v>
      </c>
      <c r="AQ61" s="399">
        <v>0</v>
      </c>
      <c r="AR61" s="399">
        <v>0</v>
      </c>
      <c r="AS61" s="399">
        <v>0</v>
      </c>
      <c r="AT61" s="399">
        <v>0</v>
      </c>
      <c r="AU61" s="399">
        <v>0</v>
      </c>
      <c r="AV61" s="399">
        <v>0</v>
      </c>
      <c r="AW61" s="399">
        <v>0</v>
      </c>
      <c r="AX61" s="399">
        <v>0</v>
      </c>
      <c r="AY61" s="399">
        <v>0</v>
      </c>
      <c r="AZ61" s="399">
        <v>0</v>
      </c>
      <c r="BA61" s="399"/>
      <c r="BB61" s="399">
        <v>0</v>
      </c>
      <c r="BC61" s="399">
        <v>0</v>
      </c>
      <c r="BD61" s="399">
        <v>0</v>
      </c>
      <c r="BE61" s="399">
        <v>0</v>
      </c>
      <c r="BF61" s="399">
        <v>0</v>
      </c>
      <c r="BG61" s="399">
        <v>34.527988425983651</v>
      </c>
      <c r="BH61" s="399">
        <v>0</v>
      </c>
      <c r="BI61" s="399">
        <v>5.04</v>
      </c>
      <c r="BJ61" s="399">
        <v>24.61</v>
      </c>
      <c r="BK61" s="399">
        <v>348.1</v>
      </c>
      <c r="BL61" s="399">
        <v>18</v>
      </c>
      <c r="BM61" s="399"/>
      <c r="BN61" s="399"/>
      <c r="BO61" s="399"/>
      <c r="BP61" s="399"/>
      <c r="BQ61" s="399"/>
      <c r="BR61" s="399"/>
      <c r="BS61" s="399"/>
      <c r="BT61" s="399"/>
      <c r="BU61" s="399"/>
      <c r="BV61" s="399">
        <v>329.54403402714502</v>
      </c>
      <c r="BW61" s="399"/>
      <c r="BX61" s="399"/>
      <c r="BY61" s="399"/>
      <c r="BZ61" s="399"/>
      <c r="CA61" s="399"/>
      <c r="CB61" s="399"/>
      <c r="CC61" s="399"/>
      <c r="CD61" s="399"/>
      <c r="CE61" s="399"/>
      <c r="CF61" s="399"/>
      <c r="CG61" s="399"/>
      <c r="CH61" s="399"/>
      <c r="CI61" s="399">
        <v>607.36009999999999</v>
      </c>
      <c r="CJ61" s="399">
        <v>-213.0752</v>
      </c>
      <c r="CK61" s="399"/>
      <c r="CL61" s="399"/>
      <c r="CM61" s="399"/>
      <c r="CN61" s="399"/>
      <c r="CO61" s="399">
        <v>-146.28059999999999</v>
      </c>
      <c r="CP61" s="399">
        <v>-66.76460000000003</v>
      </c>
      <c r="CQ61" s="399">
        <v>30</v>
      </c>
      <c r="CR61" s="399">
        <v>-71.283617506348946</v>
      </c>
      <c r="CS61" s="399">
        <v>0</v>
      </c>
      <c r="CT61" s="399">
        <v>0</v>
      </c>
      <c r="CU61" s="399">
        <v>0</v>
      </c>
      <c r="CV61" s="399">
        <v>0</v>
      </c>
      <c r="CW61" s="399">
        <v>0</v>
      </c>
      <c r="CX61" s="399">
        <v>0</v>
      </c>
      <c r="CY61" s="399">
        <v>0</v>
      </c>
      <c r="CZ61" s="399">
        <v>3.4516533789552994</v>
      </c>
      <c r="DA61" s="399">
        <v>0</v>
      </c>
      <c r="DB61" s="399">
        <v>0</v>
      </c>
      <c r="DC61" s="399">
        <v>-66.771572571647027</v>
      </c>
      <c r="DD61" s="399">
        <v>0</v>
      </c>
      <c r="DE61" s="399">
        <v>0</v>
      </c>
      <c r="DF61" s="399">
        <v>0</v>
      </c>
      <c r="DG61" s="399">
        <v>-7.8147887862865737</v>
      </c>
      <c r="DH61" s="399">
        <v>0</v>
      </c>
      <c r="DI61" s="399">
        <v>0</v>
      </c>
      <c r="DJ61" s="399"/>
      <c r="DK61" s="399">
        <v>0</v>
      </c>
      <c r="DL61" s="399">
        <v>0</v>
      </c>
      <c r="DM61" s="399">
        <v>0</v>
      </c>
      <c r="DN61" s="399">
        <v>0</v>
      </c>
      <c r="DO61" s="399">
        <v>0</v>
      </c>
      <c r="DP61" s="399">
        <v>-0.14890952737062535</v>
      </c>
      <c r="DQ61" s="399">
        <v>0</v>
      </c>
      <c r="DR61" s="399">
        <v>0</v>
      </c>
      <c r="DS61" s="399"/>
      <c r="DT61" s="399"/>
      <c r="DU61" s="399"/>
      <c r="DV61" s="399">
        <v>388.52835505065639</v>
      </c>
      <c r="DW61" s="399">
        <v>0</v>
      </c>
      <c r="DX61" s="399">
        <v>0</v>
      </c>
      <c r="DY61" s="399">
        <v>-146.28059999999999</v>
      </c>
      <c r="DZ61" s="399">
        <v>-66.76460000000003</v>
      </c>
      <c r="EA61" s="399">
        <v>0</v>
      </c>
      <c r="EB61" s="399">
        <v>0</v>
      </c>
      <c r="EC61" s="399">
        <v>-141.77404259341824</v>
      </c>
      <c r="ED61" s="399">
        <v>0</v>
      </c>
      <c r="EE61" s="399">
        <v>0</v>
      </c>
      <c r="EF61" s="399">
        <v>0</v>
      </c>
      <c r="EG61" s="399">
        <v>0</v>
      </c>
      <c r="EH61" s="399">
        <v>0</v>
      </c>
      <c r="EI61" s="399">
        <v>0</v>
      </c>
      <c r="EJ61" s="399">
        <v>0</v>
      </c>
      <c r="EK61" s="399">
        <v>0</v>
      </c>
      <c r="EL61" s="399">
        <v>0</v>
      </c>
      <c r="EM61" s="399">
        <v>0</v>
      </c>
      <c r="EN61" s="399">
        <v>0</v>
      </c>
      <c r="EO61" s="399">
        <v>0</v>
      </c>
      <c r="EP61" s="399">
        <v>0</v>
      </c>
      <c r="EQ61" s="399">
        <v>0</v>
      </c>
      <c r="ER61" s="399">
        <v>0</v>
      </c>
      <c r="ES61" s="399">
        <v>0</v>
      </c>
      <c r="ET61" s="399">
        <v>0</v>
      </c>
      <c r="EU61" s="399">
        <v>0</v>
      </c>
      <c r="EV61" s="399">
        <v>202</v>
      </c>
      <c r="EW61" s="399">
        <v>0</v>
      </c>
      <c r="EX61" s="399">
        <v>0</v>
      </c>
      <c r="EY61" s="399">
        <v>0</v>
      </c>
      <c r="EZ61" s="399"/>
      <c r="FA61" s="399">
        <v>0</v>
      </c>
      <c r="FB61" s="399">
        <v>-17.698635468909799</v>
      </c>
      <c r="FC61" s="399"/>
      <c r="FD61" s="399">
        <v>-17.698635468909799</v>
      </c>
      <c r="FE61" s="399"/>
      <c r="FF61" s="399">
        <v>0</v>
      </c>
      <c r="FG61" s="399">
        <v>0</v>
      </c>
      <c r="FH61" s="399">
        <v>0</v>
      </c>
      <c r="FI61" s="399">
        <v>0</v>
      </c>
    </row>
    <row r="62" spans="1:165" customFormat="1">
      <c r="A62" s="399">
        <v>58</v>
      </c>
      <c r="B62" s="399" t="s">
        <v>956</v>
      </c>
      <c r="C62" s="399" t="s">
        <v>2409</v>
      </c>
      <c r="D62" s="399" t="s">
        <v>1823</v>
      </c>
      <c r="E62" s="399" t="s">
        <v>889</v>
      </c>
      <c r="F62" s="399" t="s">
        <v>889</v>
      </c>
      <c r="G62" s="399" t="s">
        <v>1239</v>
      </c>
      <c r="H62" s="399" t="s">
        <v>1239</v>
      </c>
      <c r="I62" s="399" t="s">
        <v>2326</v>
      </c>
      <c r="J62" s="399" t="s">
        <v>2400</v>
      </c>
      <c r="K62" s="788">
        <v>44501</v>
      </c>
      <c r="L62" s="399">
        <v>0</v>
      </c>
      <c r="M62" s="399">
        <v>0</v>
      </c>
      <c r="N62" s="399">
        <v>0.04</v>
      </c>
      <c r="O62" s="399">
        <v>0.04</v>
      </c>
      <c r="P62" s="399">
        <v>0.04</v>
      </c>
      <c r="Q62" s="399">
        <v>0.04</v>
      </c>
      <c r="R62" s="399"/>
      <c r="S62" s="399">
        <v>409.62</v>
      </c>
      <c r="T62" s="399">
        <v>286.42</v>
      </c>
      <c r="U62" s="399"/>
      <c r="V62" s="399">
        <v>27.841600000000003</v>
      </c>
      <c r="W62" s="399">
        <v>27.841600000000003</v>
      </c>
      <c r="X62" s="399">
        <v>21.633600000000001</v>
      </c>
      <c r="Y62" s="399">
        <v>0</v>
      </c>
      <c r="Z62" s="399">
        <v>2.4344559588520598</v>
      </c>
      <c r="AA62" s="399">
        <v>0</v>
      </c>
      <c r="AB62" s="399">
        <v>0</v>
      </c>
      <c r="AC62" s="399">
        <v>0</v>
      </c>
      <c r="AD62" s="399">
        <v>2.2657285166739318</v>
      </c>
      <c r="AE62" s="399">
        <v>8.7513148784814003</v>
      </c>
      <c r="AF62" s="399">
        <v>11.456933809753838</v>
      </c>
      <c r="AG62" s="399">
        <v>0</v>
      </c>
      <c r="AH62" s="399">
        <v>0</v>
      </c>
      <c r="AI62" s="399">
        <v>0</v>
      </c>
      <c r="AJ62" s="399">
        <v>0</v>
      </c>
      <c r="AK62" s="399">
        <v>0</v>
      </c>
      <c r="AL62" s="399">
        <v>0.37623555819134602</v>
      </c>
      <c r="AM62" s="399"/>
      <c r="AN62" s="399">
        <v>6.8313502655757599E-2</v>
      </c>
      <c r="AO62" s="399">
        <v>0</v>
      </c>
      <c r="AP62" s="399">
        <v>0</v>
      </c>
      <c r="AQ62" s="399">
        <v>0</v>
      </c>
      <c r="AR62" s="399">
        <v>0</v>
      </c>
      <c r="AS62" s="399">
        <v>0</v>
      </c>
      <c r="AT62" s="399">
        <v>0</v>
      </c>
      <c r="AU62" s="399">
        <v>0</v>
      </c>
      <c r="AV62" s="399">
        <v>0</v>
      </c>
      <c r="AW62" s="399">
        <v>0</v>
      </c>
      <c r="AX62" s="399">
        <v>0</v>
      </c>
      <c r="AY62" s="399">
        <v>0</v>
      </c>
      <c r="AZ62" s="399">
        <v>0</v>
      </c>
      <c r="BA62" s="399"/>
      <c r="BB62" s="399">
        <v>0</v>
      </c>
      <c r="BC62" s="399">
        <v>0</v>
      </c>
      <c r="BD62" s="399">
        <v>0</v>
      </c>
      <c r="BE62" s="399">
        <v>0</v>
      </c>
      <c r="BF62" s="399">
        <v>0</v>
      </c>
      <c r="BG62" s="399">
        <v>1.3408927544071321</v>
      </c>
      <c r="BH62" s="399">
        <v>0</v>
      </c>
      <c r="BI62" s="399">
        <v>0</v>
      </c>
      <c r="BJ62" s="399">
        <v>0</v>
      </c>
      <c r="BK62" s="399">
        <v>0</v>
      </c>
      <c r="BL62" s="399">
        <v>0</v>
      </c>
      <c r="BM62" s="399"/>
      <c r="BN62" s="399"/>
      <c r="BO62" s="399"/>
      <c r="BP62" s="399"/>
      <c r="BQ62" s="399"/>
      <c r="BR62" s="399"/>
      <c r="BS62" s="399"/>
      <c r="BT62" s="399"/>
      <c r="BU62" s="399"/>
      <c r="BV62" s="399">
        <v>12.797826564160971</v>
      </c>
      <c r="BW62" s="399"/>
      <c r="BX62" s="399"/>
      <c r="BY62" s="399"/>
      <c r="BZ62" s="399"/>
      <c r="CA62" s="399"/>
      <c r="CB62" s="399"/>
      <c r="CC62" s="399"/>
      <c r="CD62" s="399"/>
      <c r="CE62" s="399"/>
      <c r="CF62" s="399"/>
      <c r="CG62" s="399"/>
      <c r="CH62" s="399"/>
      <c r="CI62" s="399">
        <v>21.633600000000001</v>
      </c>
      <c r="CJ62" s="399">
        <v>-6.2380000000000067</v>
      </c>
      <c r="CK62" s="399"/>
      <c r="CL62" s="399"/>
      <c r="CM62" s="399"/>
      <c r="CN62" s="399"/>
      <c r="CO62" s="399">
        <v>-3.6151999999999997</v>
      </c>
      <c r="CP62" s="399">
        <v>-2.5928000000000009</v>
      </c>
      <c r="CQ62" s="399">
        <v>30</v>
      </c>
      <c r="CR62" s="399">
        <v>-3.0150123278210721</v>
      </c>
      <c r="CS62" s="399">
        <v>0</v>
      </c>
      <c r="CT62" s="399">
        <v>0</v>
      </c>
      <c r="CU62" s="399">
        <v>0</v>
      </c>
      <c r="CV62" s="399">
        <v>0</v>
      </c>
      <c r="CW62" s="399">
        <v>0</v>
      </c>
      <c r="CX62" s="399">
        <v>0</v>
      </c>
      <c r="CY62" s="399">
        <v>0</v>
      </c>
      <c r="CZ62" s="399">
        <v>7.775279565315607E-2</v>
      </c>
      <c r="DA62" s="399">
        <v>0</v>
      </c>
      <c r="DB62" s="399">
        <v>0</v>
      </c>
      <c r="DC62" s="399">
        <v>-2.5930707794814385</v>
      </c>
      <c r="DD62" s="399">
        <v>0</v>
      </c>
      <c r="DE62" s="399">
        <v>0</v>
      </c>
      <c r="DF62" s="399">
        <v>0</v>
      </c>
      <c r="DG62" s="399">
        <v>-0.30348694315676017</v>
      </c>
      <c r="DH62" s="399">
        <v>0</v>
      </c>
      <c r="DI62" s="399">
        <v>-0.16889318568409939</v>
      </c>
      <c r="DJ62" s="399"/>
      <c r="DK62" s="399">
        <v>0</v>
      </c>
      <c r="DL62" s="399">
        <v>0</v>
      </c>
      <c r="DM62" s="399">
        <v>0</v>
      </c>
      <c r="DN62" s="399">
        <v>0</v>
      </c>
      <c r="DO62" s="399">
        <v>-2.153132088510723E-2</v>
      </c>
      <c r="DP62" s="399">
        <v>-5.7828942668203959E-3</v>
      </c>
      <c r="DQ62" s="399">
        <v>0</v>
      </c>
      <c r="DR62" s="399">
        <v>0</v>
      </c>
      <c r="DS62" s="399"/>
      <c r="DT62" s="399"/>
      <c r="DU62" s="399"/>
      <c r="DV62" s="399">
        <v>8.7513148784814003</v>
      </c>
      <c r="DW62" s="399">
        <v>0</v>
      </c>
      <c r="DX62" s="399">
        <v>0</v>
      </c>
      <c r="DY62" s="399">
        <v>-3.6152000000000015</v>
      </c>
      <c r="DZ62" s="399">
        <v>-2.5928000000000004</v>
      </c>
      <c r="EA62" s="399">
        <v>0</v>
      </c>
      <c r="EB62" s="399">
        <v>0</v>
      </c>
      <c r="EC62" s="399">
        <v>-3.1933558315672403</v>
      </c>
      <c r="ED62" s="399">
        <v>0</v>
      </c>
      <c r="EE62" s="399">
        <v>0</v>
      </c>
      <c r="EF62" s="399">
        <v>0</v>
      </c>
      <c r="EG62" s="399">
        <v>0</v>
      </c>
      <c r="EH62" s="399">
        <v>0</v>
      </c>
      <c r="EI62" s="399">
        <v>0</v>
      </c>
      <c r="EJ62" s="399">
        <v>0</v>
      </c>
      <c r="EK62" s="399">
        <v>0</v>
      </c>
      <c r="EL62" s="399">
        <v>0</v>
      </c>
      <c r="EM62" s="399">
        <v>0</v>
      </c>
      <c r="EN62" s="399">
        <v>0</v>
      </c>
      <c r="EO62" s="399">
        <v>0</v>
      </c>
      <c r="EP62" s="399">
        <v>1.1479292794773239</v>
      </c>
      <c r="EQ62" s="399">
        <v>0</v>
      </c>
      <c r="ER62" s="399">
        <v>0</v>
      </c>
      <c r="ES62" s="399">
        <v>0</v>
      </c>
      <c r="ET62" s="399">
        <v>0</v>
      </c>
      <c r="EU62" s="399">
        <v>0</v>
      </c>
      <c r="EV62" s="399">
        <v>202</v>
      </c>
      <c r="EW62" s="399">
        <v>0</v>
      </c>
      <c r="EX62" s="399">
        <v>0</v>
      </c>
      <c r="EY62" s="399">
        <v>0</v>
      </c>
      <c r="EZ62" s="399"/>
      <c r="FA62" s="399">
        <v>0</v>
      </c>
      <c r="FB62" s="399">
        <v>-17.698635468909799</v>
      </c>
      <c r="FC62" s="399"/>
      <c r="FD62" s="399">
        <v>-17.698635468909799</v>
      </c>
      <c r="FE62" s="399"/>
      <c r="FF62" s="399">
        <v>0</v>
      </c>
      <c r="FG62" s="399">
        <v>0</v>
      </c>
      <c r="FH62" s="399">
        <v>0</v>
      </c>
      <c r="FI62" s="399">
        <v>0</v>
      </c>
    </row>
    <row r="63" spans="1:165" customFormat="1">
      <c r="A63" s="399">
        <v>59</v>
      </c>
      <c r="B63" s="399" t="s">
        <v>956</v>
      </c>
      <c r="C63" s="399" t="s">
        <v>2409</v>
      </c>
      <c r="D63" s="399" t="s">
        <v>1823</v>
      </c>
      <c r="E63" s="399" t="s">
        <v>889</v>
      </c>
      <c r="F63" s="399" t="s">
        <v>889</v>
      </c>
      <c r="G63" s="399" t="s">
        <v>1239</v>
      </c>
      <c r="H63" s="399" t="s">
        <v>1239</v>
      </c>
      <c r="I63" s="399" t="s">
        <v>1239</v>
      </c>
      <c r="J63" s="399" t="s">
        <v>2400</v>
      </c>
      <c r="K63" s="788">
        <v>44501</v>
      </c>
      <c r="L63" s="399">
        <v>0</v>
      </c>
      <c r="M63" s="399">
        <v>0</v>
      </c>
      <c r="N63" s="399">
        <v>0</v>
      </c>
      <c r="O63" s="399">
        <v>0</v>
      </c>
      <c r="P63" s="399">
        <v>0</v>
      </c>
      <c r="Q63" s="399">
        <v>0</v>
      </c>
      <c r="R63" s="399"/>
      <c r="S63" s="399"/>
      <c r="T63" s="399"/>
      <c r="U63" s="399"/>
      <c r="V63" s="399"/>
      <c r="W63" s="399"/>
      <c r="X63" s="399"/>
      <c r="Y63" s="399"/>
      <c r="Z63" s="399"/>
      <c r="AA63" s="399">
        <v>0</v>
      </c>
      <c r="AB63" s="399"/>
      <c r="AC63" s="399"/>
      <c r="AD63" s="399"/>
      <c r="AE63" s="399"/>
      <c r="AF63" s="399"/>
      <c r="AG63" s="399"/>
      <c r="AH63" s="399"/>
      <c r="AI63" s="399"/>
      <c r="AJ63" s="399"/>
      <c r="AK63" s="399"/>
      <c r="AL63" s="399"/>
      <c r="AM63" s="399"/>
      <c r="AN63" s="399"/>
      <c r="AO63" s="399"/>
      <c r="AP63" s="399"/>
      <c r="AQ63" s="399"/>
      <c r="AR63" s="399"/>
      <c r="AS63" s="399"/>
      <c r="AT63" s="399"/>
      <c r="AU63" s="399"/>
      <c r="AV63" s="399"/>
      <c r="AW63" s="399"/>
      <c r="AX63" s="399"/>
      <c r="AY63" s="399"/>
      <c r="AZ63" s="399">
        <v>0</v>
      </c>
      <c r="BA63" s="399"/>
      <c r="BB63" s="399"/>
      <c r="BC63" s="399"/>
      <c r="BD63" s="399"/>
      <c r="BE63" s="399"/>
      <c r="BF63" s="399"/>
      <c r="BG63" s="399"/>
      <c r="BH63" s="399"/>
      <c r="BI63" s="399">
        <v>0.28000000000000003</v>
      </c>
      <c r="BJ63" s="399">
        <v>1.3</v>
      </c>
      <c r="BK63" s="399">
        <v>0</v>
      </c>
      <c r="BL63" s="399">
        <v>1</v>
      </c>
      <c r="BM63" s="399"/>
      <c r="BN63" s="399"/>
      <c r="BO63" s="399"/>
      <c r="BP63" s="399"/>
      <c r="BQ63" s="399"/>
      <c r="BR63" s="399"/>
      <c r="BS63" s="399"/>
      <c r="BT63" s="399"/>
      <c r="BU63" s="399"/>
      <c r="BV63" s="399"/>
      <c r="BW63" s="399"/>
      <c r="BX63" s="399"/>
      <c r="BY63" s="399"/>
      <c r="BZ63" s="399"/>
      <c r="CA63" s="399"/>
      <c r="CB63" s="399"/>
      <c r="CC63" s="399"/>
      <c r="CD63" s="399"/>
      <c r="CE63" s="399"/>
      <c r="CF63" s="399"/>
      <c r="CG63" s="399"/>
      <c r="CH63" s="399"/>
      <c r="CI63" s="399"/>
      <c r="CJ63" s="399">
        <v>-0.03</v>
      </c>
      <c r="CK63" s="399"/>
      <c r="CL63" s="399"/>
      <c r="CM63" s="399"/>
      <c r="CN63" s="399"/>
      <c r="CO63" s="399">
        <v>0</v>
      </c>
      <c r="CP63" s="399">
        <v>0</v>
      </c>
      <c r="CQ63" s="399">
        <v>30</v>
      </c>
      <c r="CR63" s="399"/>
      <c r="CS63" s="399"/>
      <c r="CT63" s="399"/>
      <c r="CU63" s="399"/>
      <c r="CV63" s="399"/>
      <c r="CW63" s="399"/>
      <c r="CX63" s="399"/>
      <c r="CY63" s="399"/>
      <c r="CZ63" s="399"/>
      <c r="DA63" s="399"/>
      <c r="DB63" s="399"/>
      <c r="DC63" s="399"/>
      <c r="DD63" s="399"/>
      <c r="DE63" s="399"/>
      <c r="DF63" s="399"/>
      <c r="DG63" s="399"/>
      <c r="DH63" s="399"/>
      <c r="DI63" s="399"/>
      <c r="DJ63" s="399"/>
      <c r="DK63" s="399">
        <v>0</v>
      </c>
      <c r="DL63" s="399"/>
      <c r="DM63" s="399"/>
      <c r="DN63" s="399"/>
      <c r="DO63" s="399"/>
      <c r="DP63" s="399"/>
      <c r="DQ63" s="399"/>
      <c r="DR63" s="399"/>
      <c r="DS63" s="399"/>
      <c r="DT63" s="399"/>
      <c r="DU63" s="399"/>
      <c r="DV63" s="399"/>
      <c r="DW63" s="399"/>
      <c r="DX63" s="399"/>
      <c r="DY63" s="399"/>
      <c r="DZ63" s="399"/>
      <c r="EA63" s="399"/>
      <c r="EB63" s="399"/>
      <c r="EC63" s="399"/>
      <c r="ED63" s="399"/>
      <c r="EE63" s="399"/>
      <c r="EF63" s="399"/>
      <c r="EG63" s="399"/>
      <c r="EH63" s="399"/>
      <c r="EI63" s="399"/>
      <c r="EJ63" s="399"/>
      <c r="EK63" s="399"/>
      <c r="EL63" s="399"/>
      <c r="EM63" s="399"/>
      <c r="EN63" s="399"/>
      <c r="EO63" s="399"/>
      <c r="EP63" s="399"/>
      <c r="EQ63" s="399"/>
      <c r="ER63" s="399"/>
      <c r="ES63" s="399"/>
      <c r="ET63" s="399"/>
      <c r="EU63" s="399"/>
      <c r="EV63" s="399">
        <v>202</v>
      </c>
      <c r="EW63" s="399"/>
      <c r="EX63" s="399"/>
      <c r="EY63" s="399"/>
      <c r="EZ63" s="399"/>
      <c r="FA63" s="399">
        <v>0</v>
      </c>
      <c r="FB63" s="399">
        <v>-17.698635468909799</v>
      </c>
      <c r="FC63" s="399"/>
      <c r="FD63" s="399">
        <v>-17.698635468909799</v>
      </c>
      <c r="FE63" s="399"/>
      <c r="FF63" s="399">
        <v>0</v>
      </c>
      <c r="FG63" s="399">
        <v>0</v>
      </c>
      <c r="FH63" s="399">
        <v>0</v>
      </c>
      <c r="FI63" s="399">
        <v>0</v>
      </c>
    </row>
    <row r="64" spans="1:165" customFormat="1">
      <c r="A64" s="399">
        <v>60</v>
      </c>
      <c r="B64" s="399" t="s">
        <v>956</v>
      </c>
      <c r="C64" s="399" t="s">
        <v>2409</v>
      </c>
      <c r="D64" s="399" t="s">
        <v>1823</v>
      </c>
      <c r="E64" s="399" t="s">
        <v>889</v>
      </c>
      <c r="F64" s="399" t="s">
        <v>889</v>
      </c>
      <c r="G64" s="399" t="s">
        <v>1239</v>
      </c>
      <c r="H64" s="399" t="s">
        <v>1239</v>
      </c>
      <c r="I64" s="399" t="s">
        <v>2410</v>
      </c>
      <c r="J64" s="399" t="s">
        <v>2400</v>
      </c>
      <c r="K64" s="788">
        <v>44501</v>
      </c>
      <c r="L64" s="399">
        <v>0</v>
      </c>
      <c r="M64" s="399">
        <v>0</v>
      </c>
      <c r="N64" s="399">
        <v>1.2999999999999999E-2</v>
      </c>
      <c r="O64" s="399">
        <v>1.2999999999999999E-2</v>
      </c>
      <c r="P64" s="399">
        <v>1.2999999999999999E-2</v>
      </c>
      <c r="Q64" s="399">
        <v>1.2999999999999999E-2</v>
      </c>
      <c r="R64" s="399"/>
      <c r="S64" s="399">
        <v>960.47</v>
      </c>
      <c r="T64" s="399">
        <v>286.42</v>
      </c>
      <c r="U64" s="399"/>
      <c r="V64" s="399">
        <v>16.209569999999999</v>
      </c>
      <c r="W64" s="399">
        <v>16.209569999999999</v>
      </c>
      <c r="X64" s="399">
        <v>12.166829999999997</v>
      </c>
      <c r="Y64" s="399">
        <v>0</v>
      </c>
      <c r="Z64" s="399">
        <v>0.79119818662691943</v>
      </c>
      <c r="AA64" s="399">
        <v>0</v>
      </c>
      <c r="AB64" s="399">
        <v>0</v>
      </c>
      <c r="AC64" s="399">
        <v>0</v>
      </c>
      <c r="AD64" s="399">
        <v>2.209016041922534</v>
      </c>
      <c r="AE64" s="399">
        <v>8.5325363526465399</v>
      </c>
      <c r="AF64" s="399">
        <v>3.7235034881699973</v>
      </c>
      <c r="AG64" s="399">
        <v>0</v>
      </c>
      <c r="AH64" s="399">
        <v>0</v>
      </c>
      <c r="AI64" s="399">
        <v>0</v>
      </c>
      <c r="AJ64" s="399">
        <v>0</v>
      </c>
      <c r="AK64" s="399">
        <v>0</v>
      </c>
      <c r="AL64" s="399">
        <v>0.12227655641218745</v>
      </c>
      <c r="AM64" s="399"/>
      <c r="AN64" s="399">
        <v>2.220188836312122E-2</v>
      </c>
      <c r="AO64" s="399">
        <v>0</v>
      </c>
      <c r="AP64" s="399">
        <v>0</v>
      </c>
      <c r="AQ64" s="399">
        <v>0</v>
      </c>
      <c r="AR64" s="399">
        <v>0</v>
      </c>
      <c r="AS64" s="399">
        <v>0</v>
      </c>
      <c r="AT64" s="399">
        <v>0</v>
      </c>
      <c r="AU64" s="399">
        <v>0</v>
      </c>
      <c r="AV64" s="399">
        <v>0</v>
      </c>
      <c r="AW64" s="399">
        <v>0</v>
      </c>
      <c r="AX64" s="399">
        <v>0</v>
      </c>
      <c r="AY64" s="399">
        <v>0</v>
      </c>
      <c r="AZ64" s="399">
        <v>0</v>
      </c>
      <c r="BA64" s="399"/>
      <c r="BB64" s="399">
        <v>0</v>
      </c>
      <c r="BC64" s="399">
        <v>0</v>
      </c>
      <c r="BD64" s="399">
        <v>0</v>
      </c>
      <c r="BE64" s="399">
        <v>0</v>
      </c>
      <c r="BF64" s="399">
        <v>0</v>
      </c>
      <c r="BG64" s="399">
        <v>0.4357901451823179</v>
      </c>
      <c r="BH64" s="399">
        <v>0</v>
      </c>
      <c r="BI64" s="399">
        <v>0</v>
      </c>
      <c r="BJ64" s="399">
        <v>0</v>
      </c>
      <c r="BK64" s="399">
        <v>0</v>
      </c>
      <c r="BL64" s="399">
        <v>0</v>
      </c>
      <c r="BM64" s="399"/>
      <c r="BN64" s="399"/>
      <c r="BO64" s="399"/>
      <c r="BP64" s="399"/>
      <c r="BQ64" s="399"/>
      <c r="BR64" s="399"/>
      <c r="BS64" s="399"/>
      <c r="BT64" s="399"/>
      <c r="BU64" s="399"/>
      <c r="BV64" s="399">
        <v>4.1592936333523154</v>
      </c>
      <c r="BW64" s="399"/>
      <c r="BX64" s="399"/>
      <c r="BY64" s="399"/>
      <c r="BZ64" s="399"/>
      <c r="CA64" s="399"/>
      <c r="CB64" s="399"/>
      <c r="CC64" s="399"/>
      <c r="CD64" s="399"/>
      <c r="CE64" s="399"/>
      <c r="CF64" s="399"/>
      <c r="CG64" s="399"/>
      <c r="CH64" s="399"/>
      <c r="CI64" s="399">
        <v>9.3590999999999998</v>
      </c>
      <c r="CJ64" s="399">
        <v>-6.8804700000000008</v>
      </c>
      <c r="CK64" s="399"/>
      <c r="CL64" s="399"/>
      <c r="CM64" s="399"/>
      <c r="CN64" s="399"/>
      <c r="CO64" s="399">
        <v>-3.2000800000000007</v>
      </c>
      <c r="CP64" s="399">
        <v>-0.84266000000000019</v>
      </c>
      <c r="CQ64" s="399">
        <v>30</v>
      </c>
      <c r="CR64" s="399">
        <v>-0.92934206621926307</v>
      </c>
      <c r="CS64" s="399">
        <v>0</v>
      </c>
      <c r="CT64" s="399">
        <v>0</v>
      </c>
      <c r="CU64" s="399">
        <v>0</v>
      </c>
      <c r="CV64" s="399">
        <v>0</v>
      </c>
      <c r="CW64" s="399">
        <v>0</v>
      </c>
      <c r="CX64" s="399">
        <v>0</v>
      </c>
      <c r="CY64" s="399">
        <v>0</v>
      </c>
      <c r="CZ64" s="399">
        <v>7.5806598909859968E-2</v>
      </c>
      <c r="DA64" s="399">
        <v>0</v>
      </c>
      <c r="DB64" s="399">
        <v>0</v>
      </c>
      <c r="DC64" s="399">
        <v>-0.84274800333146738</v>
      </c>
      <c r="DD64" s="399">
        <v>0</v>
      </c>
      <c r="DE64" s="399">
        <v>0</v>
      </c>
      <c r="DF64" s="399">
        <v>0</v>
      </c>
      <c r="DG64" s="399">
        <v>-9.8633256525947011E-2</v>
      </c>
      <c r="DH64" s="399">
        <v>0</v>
      </c>
      <c r="DI64" s="399">
        <v>-5.4890285347332424E-2</v>
      </c>
      <c r="DJ64" s="399"/>
      <c r="DK64" s="399">
        <v>0</v>
      </c>
      <c r="DL64" s="399">
        <v>0</v>
      </c>
      <c r="DM64" s="399">
        <v>0</v>
      </c>
      <c r="DN64" s="399">
        <v>0</v>
      </c>
      <c r="DO64" s="399">
        <v>-6.997679287659847E-3</v>
      </c>
      <c r="DP64" s="399">
        <v>-1.8794406367166304E-3</v>
      </c>
      <c r="DQ64" s="399">
        <v>0</v>
      </c>
      <c r="DR64" s="399">
        <v>0</v>
      </c>
      <c r="DS64" s="399"/>
      <c r="DT64" s="399"/>
      <c r="DU64" s="399"/>
      <c r="DV64" s="399">
        <v>8.5325363526465399</v>
      </c>
      <c r="DW64" s="399">
        <v>0</v>
      </c>
      <c r="DX64" s="399">
        <v>0</v>
      </c>
      <c r="DY64" s="399">
        <v>-3.2000800000000016</v>
      </c>
      <c r="DZ64" s="399">
        <v>-0.84266000000000041</v>
      </c>
      <c r="EA64" s="399">
        <v>0</v>
      </c>
      <c r="EB64" s="399">
        <v>0</v>
      </c>
      <c r="EC64" s="399">
        <v>-3.1135235216803769</v>
      </c>
      <c r="ED64" s="399">
        <v>0</v>
      </c>
      <c r="EE64" s="399">
        <v>0</v>
      </c>
      <c r="EF64" s="399">
        <v>0</v>
      </c>
      <c r="EG64" s="399">
        <v>0</v>
      </c>
      <c r="EH64" s="399">
        <v>0</v>
      </c>
      <c r="EI64" s="399">
        <v>0</v>
      </c>
      <c r="EJ64" s="399">
        <v>0</v>
      </c>
      <c r="EK64" s="399">
        <v>0</v>
      </c>
      <c r="EL64" s="399">
        <v>0</v>
      </c>
      <c r="EM64" s="399">
        <v>0</v>
      </c>
      <c r="EN64" s="399">
        <v>0</v>
      </c>
      <c r="EO64" s="399">
        <v>0</v>
      </c>
      <c r="EP64" s="399">
        <v>0.37307701583013025</v>
      </c>
      <c r="EQ64" s="399">
        <v>0</v>
      </c>
      <c r="ER64" s="399">
        <v>0</v>
      </c>
      <c r="ES64" s="399">
        <v>0</v>
      </c>
      <c r="ET64" s="399">
        <v>0</v>
      </c>
      <c r="EU64" s="399">
        <v>0</v>
      </c>
      <c r="EV64" s="399">
        <v>202</v>
      </c>
      <c r="EW64" s="399">
        <v>0</v>
      </c>
      <c r="EX64" s="399">
        <v>0</v>
      </c>
      <c r="EY64" s="399">
        <v>0</v>
      </c>
      <c r="EZ64" s="399"/>
      <c r="FA64" s="399">
        <v>0</v>
      </c>
      <c r="FB64" s="399">
        <v>-17.698635468909799</v>
      </c>
      <c r="FC64" s="399"/>
      <c r="FD64" s="399">
        <v>-17.698635468909799</v>
      </c>
      <c r="FE64" s="399"/>
      <c r="FF64" s="399">
        <v>0</v>
      </c>
      <c r="FG64" s="399">
        <v>0</v>
      </c>
      <c r="FH64" s="399">
        <v>0</v>
      </c>
      <c r="FI64" s="399">
        <v>0</v>
      </c>
    </row>
    <row r="65" spans="1:165" customFormat="1">
      <c r="A65" s="399">
        <v>65</v>
      </c>
      <c r="B65" s="399" t="s">
        <v>956</v>
      </c>
      <c r="C65" s="399" t="s">
        <v>2402</v>
      </c>
      <c r="D65" s="399" t="s">
        <v>2411</v>
      </c>
      <c r="E65" s="399" t="s">
        <v>894</v>
      </c>
      <c r="F65" s="399" t="s">
        <v>1239</v>
      </c>
      <c r="G65" s="399" t="s">
        <v>1239</v>
      </c>
      <c r="H65" s="399" t="s">
        <v>1239</v>
      </c>
      <c r="I65" s="399" t="s">
        <v>1239</v>
      </c>
      <c r="J65" s="399" t="s">
        <v>2400</v>
      </c>
      <c r="K65" s="788">
        <v>44501</v>
      </c>
      <c r="L65" s="399">
        <v>0</v>
      </c>
      <c r="M65" s="399">
        <v>0</v>
      </c>
      <c r="N65" s="399">
        <v>111.015</v>
      </c>
      <c r="O65" s="399">
        <v>111.015</v>
      </c>
      <c r="P65" s="399">
        <v>111.015</v>
      </c>
      <c r="Q65" s="399">
        <v>111.015</v>
      </c>
      <c r="R65" s="399"/>
      <c r="S65" s="399">
        <v>609.05999999999995</v>
      </c>
      <c r="T65" s="399">
        <v>286.42</v>
      </c>
      <c r="U65" s="399"/>
      <c r="V65" s="399">
        <v>99411.712199999994</v>
      </c>
      <c r="W65" s="399">
        <v>99411.712199999994</v>
      </c>
      <c r="X65" s="399">
        <v>75919.828049999996</v>
      </c>
      <c r="Y65" s="399">
        <v>0</v>
      </c>
      <c r="Z65" s="399">
        <v>6756.5282067990356</v>
      </c>
      <c r="AA65" s="399">
        <v>0</v>
      </c>
      <c r="AB65" s="399">
        <v>0</v>
      </c>
      <c r="AC65" s="399">
        <v>0</v>
      </c>
      <c r="AD65" s="399">
        <v>10840.853427272255</v>
      </c>
      <c r="AE65" s="399">
        <v>41876.189646552055</v>
      </c>
      <c r="AF65" s="399">
        <v>31797.287672245562</v>
      </c>
      <c r="AG65" s="399">
        <v>0</v>
      </c>
      <c r="AH65" s="399">
        <v>0</v>
      </c>
      <c r="AI65" s="399">
        <v>0</v>
      </c>
      <c r="AJ65" s="399">
        <v>0</v>
      </c>
      <c r="AK65" s="399">
        <v>0</v>
      </c>
      <c r="AL65" s="399">
        <v>1044.1947623153069</v>
      </c>
      <c r="AM65" s="399"/>
      <c r="AN65" s="399">
        <v>189.59558743322324</v>
      </c>
      <c r="AO65" s="399">
        <v>0</v>
      </c>
      <c r="AP65" s="399">
        <v>0</v>
      </c>
      <c r="AQ65" s="399">
        <v>0</v>
      </c>
      <c r="AR65" s="399">
        <v>0</v>
      </c>
      <c r="AS65" s="399">
        <v>0</v>
      </c>
      <c r="AT65" s="399">
        <v>0</v>
      </c>
      <c r="AU65" s="399">
        <v>0</v>
      </c>
      <c r="AV65" s="399">
        <v>0</v>
      </c>
      <c r="AW65" s="399">
        <v>0</v>
      </c>
      <c r="AX65" s="399">
        <v>0</v>
      </c>
      <c r="AY65" s="399">
        <v>0</v>
      </c>
      <c r="AZ65" s="399">
        <v>0</v>
      </c>
      <c r="BA65" s="399"/>
      <c r="BB65" s="399">
        <v>0</v>
      </c>
      <c r="BC65" s="399">
        <v>0</v>
      </c>
      <c r="BD65" s="399">
        <v>0</v>
      </c>
      <c r="BE65" s="399">
        <v>0</v>
      </c>
      <c r="BF65" s="399">
        <v>0</v>
      </c>
      <c r="BG65" s="399">
        <v>3721.4802282626943</v>
      </c>
      <c r="BH65" s="399">
        <v>0</v>
      </c>
      <c r="BI65" s="399">
        <v>312.37</v>
      </c>
      <c r="BJ65" s="399">
        <v>1906.78</v>
      </c>
      <c r="BK65" s="399">
        <v>2864.29</v>
      </c>
      <c r="BL65" s="399">
        <v>331</v>
      </c>
      <c r="BM65" s="399"/>
      <c r="BN65" s="399"/>
      <c r="BO65" s="399"/>
      <c r="BP65" s="399"/>
      <c r="BQ65" s="399"/>
      <c r="BR65" s="399">
        <v>9111.0010499999953</v>
      </c>
      <c r="BS65" s="399"/>
      <c r="BT65" s="399"/>
      <c r="BU65" s="399"/>
      <c r="BV65" s="399">
        <v>35518.767900508254</v>
      </c>
      <c r="BW65" s="399"/>
      <c r="BX65" s="399"/>
      <c r="BY65" s="399"/>
      <c r="BZ65" s="399"/>
      <c r="CA65" s="399"/>
      <c r="CB65" s="399"/>
      <c r="CC65" s="399"/>
      <c r="CD65" s="399"/>
      <c r="CE65" s="399"/>
      <c r="CF65" s="399"/>
      <c r="CG65" s="399"/>
      <c r="CH65" s="399"/>
      <c r="CI65" s="399">
        <v>66811.835999999996</v>
      </c>
      <c r="CJ65" s="399">
        <v>-20670.234300000011</v>
      </c>
      <c r="CK65" s="399"/>
      <c r="CL65" s="399"/>
      <c r="CM65" s="399"/>
      <c r="CN65" s="399"/>
      <c r="CO65" s="399">
        <v>-16295.891849999996</v>
      </c>
      <c r="CP65" s="399">
        <v>-7195.9923000000026</v>
      </c>
      <c r="CQ65" s="399">
        <v>30</v>
      </c>
      <c r="CR65" s="399">
        <v>-8211.5584415868216</v>
      </c>
      <c r="CS65" s="399">
        <v>0</v>
      </c>
      <c r="CT65" s="399">
        <v>0</v>
      </c>
      <c r="CU65" s="399">
        <v>0</v>
      </c>
      <c r="CV65" s="399">
        <v>0</v>
      </c>
      <c r="CW65" s="399">
        <v>0</v>
      </c>
      <c r="CX65" s="399">
        <v>0</v>
      </c>
      <c r="CY65" s="399">
        <v>0</v>
      </c>
      <c r="CZ65" s="399">
        <v>372.02456297545723</v>
      </c>
      <c r="DA65" s="399">
        <v>0</v>
      </c>
      <c r="DB65" s="399">
        <v>0</v>
      </c>
      <c r="DC65" s="399">
        <v>-7196.7438146032982</v>
      </c>
      <c r="DD65" s="399">
        <v>0</v>
      </c>
      <c r="DE65" s="399">
        <v>0</v>
      </c>
      <c r="DF65" s="399">
        <v>0</v>
      </c>
      <c r="DG65" s="399">
        <v>-842.29007486369301</v>
      </c>
      <c r="DH65" s="399">
        <v>0</v>
      </c>
      <c r="DI65" s="399">
        <v>-468.74192521800796</v>
      </c>
      <c r="DJ65" s="399"/>
      <c r="DK65" s="399">
        <v>0</v>
      </c>
      <c r="DL65" s="399">
        <v>0</v>
      </c>
      <c r="DM65" s="399">
        <v>0</v>
      </c>
      <c r="DN65" s="399">
        <v>0</v>
      </c>
      <c r="DO65" s="399">
        <v>-59.757489701504483</v>
      </c>
      <c r="DP65" s="399">
        <v>-16.04970017577665</v>
      </c>
      <c r="DQ65" s="399">
        <v>0</v>
      </c>
      <c r="DR65" s="399">
        <v>0</v>
      </c>
      <c r="DS65" s="399"/>
      <c r="DT65" s="399"/>
      <c r="DU65" s="399"/>
      <c r="DV65" s="399">
        <v>41876.189646552055</v>
      </c>
      <c r="DW65" s="399">
        <v>0</v>
      </c>
      <c r="DX65" s="399">
        <v>0</v>
      </c>
      <c r="DY65" s="399">
        <v>-16295.89185</v>
      </c>
      <c r="DZ65" s="399">
        <v>-7195.9923000000017</v>
      </c>
      <c r="EA65" s="399">
        <v>0</v>
      </c>
      <c r="EB65" s="399">
        <v>0</v>
      </c>
      <c r="EC65" s="399">
        <v>-15280.626542241094</v>
      </c>
      <c r="ED65" s="399">
        <v>0</v>
      </c>
      <c r="EE65" s="399">
        <v>0</v>
      </c>
      <c r="EF65" s="399">
        <v>0</v>
      </c>
      <c r="EG65" s="399">
        <v>0</v>
      </c>
      <c r="EH65" s="399">
        <v>0</v>
      </c>
      <c r="EI65" s="399">
        <v>0</v>
      </c>
      <c r="EJ65" s="399">
        <v>0</v>
      </c>
      <c r="EK65" s="399">
        <v>0</v>
      </c>
      <c r="EL65" s="399">
        <v>0</v>
      </c>
      <c r="EM65" s="399">
        <v>0</v>
      </c>
      <c r="EN65" s="399">
        <v>0</v>
      </c>
      <c r="EO65" s="399">
        <v>0</v>
      </c>
      <c r="EP65" s="399">
        <v>3185.9342240293781</v>
      </c>
      <c r="EQ65" s="399">
        <v>0</v>
      </c>
      <c r="ER65" s="399">
        <v>0</v>
      </c>
      <c r="ES65" s="399">
        <v>0</v>
      </c>
      <c r="ET65" s="399">
        <v>0</v>
      </c>
      <c r="EU65" s="399">
        <v>0</v>
      </c>
      <c r="EV65" s="399">
        <v>202</v>
      </c>
      <c r="EW65" s="399">
        <v>0</v>
      </c>
      <c r="EX65" s="399">
        <v>0</v>
      </c>
      <c r="EY65" s="399">
        <v>0</v>
      </c>
      <c r="EZ65" s="399"/>
      <c r="FA65" s="399">
        <v>0</v>
      </c>
      <c r="FB65" s="399">
        <v>-12.3890448282368</v>
      </c>
      <c r="FC65" s="399"/>
      <c r="FD65" s="399">
        <v>-17.698635468909799</v>
      </c>
      <c r="FE65" s="399"/>
      <c r="FF65" s="399">
        <v>0</v>
      </c>
      <c r="FG65" s="399">
        <v>0</v>
      </c>
      <c r="FH65" s="399">
        <v>0</v>
      </c>
      <c r="FI65" s="399">
        <v>0</v>
      </c>
    </row>
    <row r="66" spans="1:165" customFormat="1">
      <c r="A66" s="399">
        <v>66</v>
      </c>
      <c r="B66" s="399" t="s">
        <v>2404</v>
      </c>
      <c r="C66" s="399" t="s">
        <v>2402</v>
      </c>
      <c r="D66" s="399" t="s">
        <v>2411</v>
      </c>
      <c r="E66" s="399" t="s">
        <v>894</v>
      </c>
      <c r="F66" s="399" t="s">
        <v>1239</v>
      </c>
      <c r="G66" s="399" t="s">
        <v>1239</v>
      </c>
      <c r="H66" s="399" t="s">
        <v>1239</v>
      </c>
      <c r="I66" s="399" t="s">
        <v>1239</v>
      </c>
      <c r="J66" s="399" t="s">
        <v>2400</v>
      </c>
      <c r="K66" s="788">
        <v>44501</v>
      </c>
      <c r="L66" s="399">
        <v>0</v>
      </c>
      <c r="M66" s="399">
        <v>0</v>
      </c>
      <c r="N66" s="399">
        <v>0.28299999999999997</v>
      </c>
      <c r="O66" s="399">
        <v>0.28299999999999997</v>
      </c>
      <c r="P66" s="399">
        <v>0.28299999999999997</v>
      </c>
      <c r="Q66" s="399">
        <v>0.28299999999999997</v>
      </c>
      <c r="R66" s="399"/>
      <c r="S66" s="399">
        <v>609.05999999999995</v>
      </c>
      <c r="T66" s="399">
        <v>286.42</v>
      </c>
      <c r="U66" s="399"/>
      <c r="V66" s="399">
        <v>253.42083999999997</v>
      </c>
      <c r="W66" s="399">
        <v>253.42083999999997</v>
      </c>
      <c r="X66" s="399">
        <v>193.53520999999998</v>
      </c>
      <c r="Y66" s="399">
        <v>0</v>
      </c>
      <c r="Z66" s="399">
        <v>17.223775908878324</v>
      </c>
      <c r="AA66" s="399">
        <v>0</v>
      </c>
      <c r="AB66" s="399">
        <v>0</v>
      </c>
      <c r="AC66" s="399">
        <v>0</v>
      </c>
      <c r="AD66" s="399">
        <v>27.635558437310703</v>
      </c>
      <c r="AE66" s="399">
        <v>106.75099464013179</v>
      </c>
      <c r="AF66" s="399">
        <v>81.057806704008399</v>
      </c>
      <c r="AG66" s="399">
        <v>0</v>
      </c>
      <c r="AH66" s="399">
        <v>0</v>
      </c>
      <c r="AI66" s="399">
        <v>0</v>
      </c>
      <c r="AJ66" s="399">
        <v>0</v>
      </c>
      <c r="AK66" s="399">
        <v>0</v>
      </c>
      <c r="AL66" s="399">
        <v>2.6618665742037728</v>
      </c>
      <c r="AM66" s="399"/>
      <c r="AN66" s="399">
        <v>0.48331803128948497</v>
      </c>
      <c r="AO66" s="399">
        <v>0</v>
      </c>
      <c r="AP66" s="399">
        <v>0</v>
      </c>
      <c r="AQ66" s="399">
        <v>0</v>
      </c>
      <c r="AR66" s="399">
        <v>0</v>
      </c>
      <c r="AS66" s="399">
        <v>0</v>
      </c>
      <c r="AT66" s="399">
        <v>0</v>
      </c>
      <c r="AU66" s="399">
        <v>0</v>
      </c>
      <c r="AV66" s="399">
        <v>0</v>
      </c>
      <c r="AW66" s="399">
        <v>0</v>
      </c>
      <c r="AX66" s="399">
        <v>0</v>
      </c>
      <c r="AY66" s="399">
        <v>0</v>
      </c>
      <c r="AZ66" s="399">
        <v>0</v>
      </c>
      <c r="BA66" s="399"/>
      <c r="BB66" s="399">
        <v>0</v>
      </c>
      <c r="BC66" s="399">
        <v>0</v>
      </c>
      <c r="BD66" s="399">
        <v>0</v>
      </c>
      <c r="BE66" s="399">
        <v>0</v>
      </c>
      <c r="BF66" s="399">
        <v>0</v>
      </c>
      <c r="BG66" s="399">
        <v>9.4868162374304585</v>
      </c>
      <c r="BH66" s="399">
        <v>0</v>
      </c>
      <c r="BI66" s="399">
        <v>0.3</v>
      </c>
      <c r="BJ66" s="399">
        <v>4.09</v>
      </c>
      <c r="BK66" s="399">
        <v>0</v>
      </c>
      <c r="BL66" s="399">
        <v>3</v>
      </c>
      <c r="BM66" s="399"/>
      <c r="BN66" s="399"/>
      <c r="BO66" s="399"/>
      <c r="BP66" s="399"/>
      <c r="BQ66" s="399"/>
      <c r="BR66" s="399">
        <v>23.225809999999989</v>
      </c>
      <c r="BS66" s="399"/>
      <c r="BT66" s="399"/>
      <c r="BU66" s="399"/>
      <c r="BV66" s="399">
        <v>90.54462294143886</v>
      </c>
      <c r="BW66" s="399"/>
      <c r="BX66" s="399"/>
      <c r="BY66" s="399"/>
      <c r="BZ66" s="399"/>
      <c r="CA66" s="399"/>
      <c r="CB66" s="399"/>
      <c r="CC66" s="399"/>
      <c r="CD66" s="399"/>
      <c r="CE66" s="399"/>
      <c r="CF66" s="399"/>
      <c r="CG66" s="399"/>
      <c r="CH66" s="399"/>
      <c r="CI66" s="399">
        <v>168.50400000000002</v>
      </c>
      <c r="CJ66" s="399">
        <v>-54.53565999999995</v>
      </c>
      <c r="CK66" s="399"/>
      <c r="CL66" s="399"/>
      <c r="CM66" s="399"/>
      <c r="CN66" s="399"/>
      <c r="CO66" s="399">
        <v>-41.541569999999986</v>
      </c>
      <c r="CP66" s="399">
        <v>-18.344060000000006</v>
      </c>
      <c r="CQ66" s="399">
        <v>30</v>
      </c>
      <c r="CR66" s="399">
        <v>-20.932946349313795</v>
      </c>
      <c r="CS66" s="399">
        <v>0</v>
      </c>
      <c r="CT66" s="399">
        <v>0</v>
      </c>
      <c r="CU66" s="399">
        <v>0</v>
      </c>
      <c r="CV66" s="399">
        <v>0</v>
      </c>
      <c r="CW66" s="399">
        <v>0</v>
      </c>
      <c r="CX66" s="399">
        <v>0</v>
      </c>
      <c r="CY66" s="399">
        <v>0</v>
      </c>
      <c r="CZ66" s="399">
        <v>0.94836689926635742</v>
      </c>
      <c r="DA66" s="399">
        <v>0</v>
      </c>
      <c r="DB66" s="399">
        <v>0</v>
      </c>
      <c r="DC66" s="399">
        <v>-18.345975764831174</v>
      </c>
      <c r="DD66" s="399">
        <v>0</v>
      </c>
      <c r="DE66" s="399">
        <v>0</v>
      </c>
      <c r="DF66" s="399">
        <v>0</v>
      </c>
      <c r="DG66" s="399">
        <v>-2.147170122834078</v>
      </c>
      <c r="DH66" s="399">
        <v>0</v>
      </c>
      <c r="DI66" s="399">
        <v>-1.1949192887150062</v>
      </c>
      <c r="DJ66" s="399"/>
      <c r="DK66" s="399">
        <v>0</v>
      </c>
      <c r="DL66" s="399">
        <v>0</v>
      </c>
      <c r="DM66" s="399">
        <v>0</v>
      </c>
      <c r="DN66" s="399">
        <v>0</v>
      </c>
      <c r="DO66" s="399">
        <v>-0.15233409526213348</v>
      </c>
      <c r="DP66" s="399">
        <v>-4.0913976937754282E-2</v>
      </c>
      <c r="DQ66" s="399">
        <v>0</v>
      </c>
      <c r="DR66" s="399">
        <v>0</v>
      </c>
      <c r="DS66" s="399"/>
      <c r="DT66" s="399"/>
      <c r="DU66" s="399"/>
      <c r="DV66" s="399">
        <v>106.75099464013179</v>
      </c>
      <c r="DW66" s="399">
        <v>0</v>
      </c>
      <c r="DX66" s="399">
        <v>0</v>
      </c>
      <c r="DY66" s="399">
        <v>-41.541569999999979</v>
      </c>
      <c r="DZ66" s="399">
        <v>-18.344060000000006</v>
      </c>
      <c r="EA66" s="399">
        <v>0</v>
      </c>
      <c r="EB66" s="399">
        <v>0</v>
      </c>
      <c r="EC66" s="399">
        <v>-38.953450537803263</v>
      </c>
      <c r="ED66" s="399">
        <v>0</v>
      </c>
      <c r="EE66" s="399">
        <v>0</v>
      </c>
      <c r="EF66" s="399">
        <v>0</v>
      </c>
      <c r="EG66" s="399">
        <v>0</v>
      </c>
      <c r="EH66" s="399">
        <v>0</v>
      </c>
      <c r="EI66" s="399">
        <v>0</v>
      </c>
      <c r="EJ66" s="399">
        <v>0</v>
      </c>
      <c r="EK66" s="399">
        <v>0</v>
      </c>
      <c r="EL66" s="399">
        <v>0</v>
      </c>
      <c r="EM66" s="399">
        <v>0</v>
      </c>
      <c r="EN66" s="399">
        <v>0</v>
      </c>
      <c r="EO66" s="399">
        <v>0</v>
      </c>
      <c r="EP66" s="399">
        <v>8.1215996523020664</v>
      </c>
      <c r="EQ66" s="399">
        <v>0</v>
      </c>
      <c r="ER66" s="399">
        <v>0</v>
      </c>
      <c r="ES66" s="399">
        <v>0</v>
      </c>
      <c r="ET66" s="399">
        <v>0</v>
      </c>
      <c r="EU66" s="399">
        <v>0</v>
      </c>
      <c r="EV66" s="399">
        <v>202</v>
      </c>
      <c r="EW66" s="399">
        <v>0</v>
      </c>
      <c r="EX66" s="399">
        <v>0</v>
      </c>
      <c r="EY66" s="399">
        <v>0</v>
      </c>
      <c r="EZ66" s="399"/>
      <c r="FA66" s="399">
        <v>0</v>
      </c>
      <c r="FB66" s="399">
        <v>-12.3890448282368</v>
      </c>
      <c r="FC66" s="399"/>
      <c r="FD66" s="399">
        <v>-17.698635468909799</v>
      </c>
      <c r="FE66" s="399"/>
      <c r="FF66" s="399">
        <v>0</v>
      </c>
      <c r="FG66" s="399">
        <v>0</v>
      </c>
      <c r="FH66" s="399">
        <v>0</v>
      </c>
      <c r="FI66" s="399">
        <v>0</v>
      </c>
    </row>
    <row r="67" spans="1:165" customFormat="1">
      <c r="A67" s="399">
        <v>47</v>
      </c>
      <c r="B67" s="399" t="s">
        <v>956</v>
      </c>
      <c r="C67" s="399" t="s">
        <v>2402</v>
      </c>
      <c r="D67" s="399" t="s">
        <v>1826</v>
      </c>
      <c r="E67" s="399" t="s">
        <v>921</v>
      </c>
      <c r="F67" s="399" t="s">
        <v>2401</v>
      </c>
      <c r="G67" s="399" t="s">
        <v>1239</v>
      </c>
      <c r="H67" s="399" t="s">
        <v>1239</v>
      </c>
      <c r="I67" s="399" t="s">
        <v>1239</v>
      </c>
      <c r="J67" s="399" t="s">
        <v>2400</v>
      </c>
      <c r="K67" s="788">
        <v>44470</v>
      </c>
      <c r="L67" s="399">
        <v>0</v>
      </c>
      <c r="M67" s="399">
        <v>0</v>
      </c>
      <c r="N67" s="399">
        <v>28.202000000000002</v>
      </c>
      <c r="O67" s="399">
        <v>26.509879999999999</v>
      </c>
      <c r="P67" s="399">
        <v>28.202000000000002</v>
      </c>
      <c r="Q67" s="399">
        <v>26.509879999999999</v>
      </c>
      <c r="R67" s="399"/>
      <c r="S67" s="399">
        <v>609.05999999999995</v>
      </c>
      <c r="T67" s="399">
        <v>286.42</v>
      </c>
      <c r="U67" s="399"/>
      <c r="V67" s="399">
        <v>25254.326959999999</v>
      </c>
      <c r="W67" s="399">
        <v>25254.326959999999</v>
      </c>
      <c r="X67" s="399">
        <v>19286.50174</v>
      </c>
      <c r="Y67" s="399">
        <v>0</v>
      </c>
      <c r="Z67" s="399">
        <v>1716.4131737886448</v>
      </c>
      <c r="AA67" s="399">
        <v>0</v>
      </c>
      <c r="AB67" s="399">
        <v>0</v>
      </c>
      <c r="AC67" s="399">
        <v>0</v>
      </c>
      <c r="AD67" s="399">
        <v>2753.9859330354648</v>
      </c>
      <c r="AE67" s="399">
        <v>10638.132688484089</v>
      </c>
      <c r="AF67" s="399">
        <v>8077.7111825669444</v>
      </c>
      <c r="AG67" s="399">
        <v>0</v>
      </c>
      <c r="AH67" s="399">
        <v>0</v>
      </c>
      <c r="AI67" s="399">
        <v>0</v>
      </c>
      <c r="AJ67" s="399">
        <v>0</v>
      </c>
      <c r="AK67" s="399">
        <v>0</v>
      </c>
      <c r="AL67" s="399">
        <v>265.26488030280854</v>
      </c>
      <c r="AM67" s="399"/>
      <c r="AN67" s="399">
        <v>48.164435047441899</v>
      </c>
      <c r="AO67" s="399">
        <v>0</v>
      </c>
      <c r="AP67" s="399">
        <v>0</v>
      </c>
      <c r="AQ67" s="399">
        <v>0</v>
      </c>
      <c r="AR67" s="399">
        <v>0</v>
      </c>
      <c r="AS67" s="399">
        <v>0</v>
      </c>
      <c r="AT67" s="399">
        <v>0</v>
      </c>
      <c r="AU67" s="399">
        <v>0</v>
      </c>
      <c r="AV67" s="399">
        <v>0</v>
      </c>
      <c r="AW67" s="399">
        <v>0</v>
      </c>
      <c r="AX67" s="399">
        <v>0</v>
      </c>
      <c r="AY67" s="399">
        <v>0</v>
      </c>
      <c r="AZ67" s="399">
        <v>0</v>
      </c>
      <c r="BA67" s="399"/>
      <c r="BB67" s="399">
        <v>0</v>
      </c>
      <c r="BC67" s="399">
        <v>0</v>
      </c>
      <c r="BD67" s="399">
        <v>0</v>
      </c>
      <c r="BE67" s="399">
        <v>0</v>
      </c>
      <c r="BF67" s="399">
        <v>0</v>
      </c>
      <c r="BG67" s="399">
        <v>945.39643649474851</v>
      </c>
      <c r="BH67" s="399">
        <v>0</v>
      </c>
      <c r="BI67" s="399">
        <v>65.61</v>
      </c>
      <c r="BJ67" s="399">
        <v>302.99</v>
      </c>
      <c r="BK67" s="399">
        <v>5230.7</v>
      </c>
      <c r="BL67" s="399">
        <v>6</v>
      </c>
      <c r="BM67" s="399"/>
      <c r="BN67" s="399"/>
      <c r="BO67" s="399"/>
      <c r="BP67" s="399"/>
      <c r="BQ67" s="399">
        <v>1157.1901044000019</v>
      </c>
      <c r="BR67" s="399"/>
      <c r="BS67" s="399"/>
      <c r="BT67" s="399"/>
      <c r="BU67" s="399"/>
      <c r="BV67" s="399">
        <v>9023.1076190616932</v>
      </c>
      <c r="BW67" s="399"/>
      <c r="BX67" s="399"/>
      <c r="BY67" s="399"/>
      <c r="BZ67" s="399"/>
      <c r="CA67" s="399"/>
      <c r="CB67" s="399"/>
      <c r="CC67" s="399"/>
      <c r="CD67" s="399"/>
      <c r="CE67" s="399"/>
      <c r="CF67" s="399"/>
      <c r="CG67" s="399"/>
      <c r="CH67" s="399"/>
      <c r="CI67" s="399">
        <v>18129.393700000001</v>
      </c>
      <c r="CJ67" s="399">
        <v>-5609.7036423999962</v>
      </c>
      <c r="CK67" s="399"/>
      <c r="CL67" s="399"/>
      <c r="CM67" s="399"/>
      <c r="CN67" s="399"/>
      <c r="CO67" s="399">
        <v>-4139.7715799999996</v>
      </c>
      <c r="CP67" s="399">
        <v>-1828.0536400000008</v>
      </c>
      <c r="CQ67" s="399">
        <v>31</v>
      </c>
      <c r="CR67" s="399">
        <v>-2086.0457701178329</v>
      </c>
      <c r="CS67" s="399">
        <v>0</v>
      </c>
      <c r="CT67" s="399">
        <v>0</v>
      </c>
      <c r="CU67" s="399">
        <v>0</v>
      </c>
      <c r="CV67" s="399">
        <v>0</v>
      </c>
      <c r="CW67" s="399">
        <v>0</v>
      </c>
      <c r="CX67" s="399">
        <v>0</v>
      </c>
      <c r="CY67" s="399">
        <v>0</v>
      </c>
      <c r="CZ67" s="399">
        <v>94.508280187667424</v>
      </c>
      <c r="DA67" s="399">
        <v>0</v>
      </c>
      <c r="DB67" s="399">
        <v>0</v>
      </c>
      <c r="DC67" s="399">
        <v>-1828.2445530733885</v>
      </c>
      <c r="DD67" s="399">
        <v>0</v>
      </c>
      <c r="DE67" s="399">
        <v>0</v>
      </c>
      <c r="DF67" s="399">
        <v>0</v>
      </c>
      <c r="DG67" s="399">
        <v>-213.9734692726737</v>
      </c>
      <c r="DH67" s="399">
        <v>0</v>
      </c>
      <c r="DI67" s="399">
        <v>-119.07814056657435</v>
      </c>
      <c r="DJ67" s="399"/>
      <c r="DK67" s="399">
        <v>0</v>
      </c>
      <c r="DL67" s="399">
        <v>0</v>
      </c>
      <c r="DM67" s="399">
        <v>0</v>
      </c>
      <c r="DN67" s="399">
        <v>0</v>
      </c>
      <c r="DO67" s="399">
        <v>-15.180657790044876</v>
      </c>
      <c r="DP67" s="399">
        <v>-4.0772296028217241</v>
      </c>
      <c r="DQ67" s="399">
        <v>0</v>
      </c>
      <c r="DR67" s="399">
        <v>0</v>
      </c>
      <c r="DS67" s="399"/>
      <c r="DT67" s="399"/>
      <c r="DU67" s="399"/>
      <c r="DV67" s="399">
        <v>10638.132688484089</v>
      </c>
      <c r="DW67" s="399">
        <v>0</v>
      </c>
      <c r="DX67" s="399">
        <v>0</v>
      </c>
      <c r="DY67" s="399">
        <v>-4139.7715799999987</v>
      </c>
      <c r="DZ67" s="399">
        <v>-1828.0536400000001</v>
      </c>
      <c r="EA67" s="399">
        <v>0</v>
      </c>
      <c r="EB67" s="399">
        <v>0</v>
      </c>
      <c r="EC67" s="399">
        <v>-3881.8558730287205</v>
      </c>
      <c r="ED67" s="399">
        <v>0</v>
      </c>
      <c r="EE67" s="399">
        <v>0</v>
      </c>
      <c r="EF67" s="399">
        <v>0</v>
      </c>
      <c r="EG67" s="399">
        <v>0</v>
      </c>
      <c r="EH67" s="399">
        <v>0</v>
      </c>
      <c r="EI67" s="399">
        <v>0</v>
      </c>
      <c r="EJ67" s="399">
        <v>0</v>
      </c>
      <c r="EK67" s="399">
        <v>0</v>
      </c>
      <c r="EL67" s="399">
        <v>0</v>
      </c>
      <c r="EM67" s="399">
        <v>0</v>
      </c>
      <c r="EN67" s="399">
        <v>0</v>
      </c>
      <c r="EO67" s="399">
        <v>0</v>
      </c>
      <c r="EP67" s="399">
        <v>809.34753849548724</v>
      </c>
      <c r="EQ67" s="399">
        <v>0</v>
      </c>
      <c r="ER67" s="399">
        <v>0</v>
      </c>
      <c r="ES67" s="399">
        <v>0</v>
      </c>
      <c r="ET67" s="399">
        <v>0</v>
      </c>
      <c r="EU67" s="399">
        <v>0</v>
      </c>
      <c r="EV67" s="399">
        <v>202</v>
      </c>
      <c r="EW67" s="399">
        <v>0</v>
      </c>
      <c r="EX67" s="399">
        <v>0</v>
      </c>
      <c r="EY67" s="399">
        <v>0</v>
      </c>
      <c r="EZ67" s="399"/>
      <c r="FA67" s="399">
        <v>0</v>
      </c>
      <c r="FB67" s="399">
        <v>-17.698635468909799</v>
      </c>
      <c r="FC67" s="399"/>
      <c r="FD67" s="399">
        <v>-17.698635468909799</v>
      </c>
      <c r="FE67" s="399"/>
      <c r="FF67" s="399">
        <v>0</v>
      </c>
      <c r="FG67" s="399">
        <v>0</v>
      </c>
      <c r="FH67" s="399">
        <v>0</v>
      </c>
      <c r="FI67" s="399">
        <v>0</v>
      </c>
    </row>
    <row r="68" spans="1:165" customFormat="1">
      <c r="A68" s="399">
        <v>61</v>
      </c>
      <c r="B68" s="399" t="s">
        <v>956</v>
      </c>
      <c r="C68" s="399" t="s">
        <v>2402</v>
      </c>
      <c r="D68" s="399" t="s">
        <v>1826</v>
      </c>
      <c r="E68" s="399" t="s">
        <v>918</v>
      </c>
      <c r="F68" s="399" t="s">
        <v>1239</v>
      </c>
      <c r="G68" s="399" t="s">
        <v>1239</v>
      </c>
      <c r="H68" s="399" t="s">
        <v>1239</v>
      </c>
      <c r="I68" s="399" t="s">
        <v>1239</v>
      </c>
      <c r="J68" s="399" t="s">
        <v>2400</v>
      </c>
      <c r="K68" s="788">
        <v>44501</v>
      </c>
      <c r="L68" s="399">
        <v>0</v>
      </c>
      <c r="M68" s="399">
        <v>0</v>
      </c>
      <c r="N68" s="399">
        <v>15.157</v>
      </c>
      <c r="O68" s="399">
        <v>15.157</v>
      </c>
      <c r="P68" s="399">
        <v>15.157</v>
      </c>
      <c r="Q68" s="399">
        <v>15.157</v>
      </c>
      <c r="R68" s="399"/>
      <c r="S68" s="399">
        <v>609.05999999999995</v>
      </c>
      <c r="T68" s="399">
        <v>286.42</v>
      </c>
      <c r="U68" s="399"/>
      <c r="V68" s="399">
        <v>13572.790359999999</v>
      </c>
      <c r="W68" s="399">
        <v>13572.790359999999</v>
      </c>
      <c r="X68" s="399">
        <v>10365.417589999999</v>
      </c>
      <c r="Y68" s="399">
        <v>0</v>
      </c>
      <c r="Z68" s="399">
        <v>922.47622420801679</v>
      </c>
      <c r="AA68" s="399">
        <v>0</v>
      </c>
      <c r="AB68" s="399">
        <v>0</v>
      </c>
      <c r="AC68" s="399">
        <v>0</v>
      </c>
      <c r="AD68" s="399">
        <v>1480.1136368703828</v>
      </c>
      <c r="AE68" s="399">
        <v>5717.4022111677659</v>
      </c>
      <c r="AF68" s="399">
        <v>4341.3186438609737</v>
      </c>
      <c r="AG68" s="399">
        <v>0</v>
      </c>
      <c r="AH68" s="399">
        <v>0</v>
      </c>
      <c r="AI68" s="399">
        <v>0</v>
      </c>
      <c r="AJ68" s="399">
        <v>0</v>
      </c>
      <c r="AK68" s="399">
        <v>0</v>
      </c>
      <c r="AL68" s="399">
        <v>142.56505888765579</v>
      </c>
      <c r="AM68" s="399"/>
      <c r="AN68" s="399">
        <v>25.885693993832948</v>
      </c>
      <c r="AO68" s="399">
        <v>0</v>
      </c>
      <c r="AP68" s="399">
        <v>0</v>
      </c>
      <c r="AQ68" s="399">
        <v>0</v>
      </c>
      <c r="AR68" s="399">
        <v>0</v>
      </c>
      <c r="AS68" s="399">
        <v>0</v>
      </c>
      <c r="AT68" s="399">
        <v>0</v>
      </c>
      <c r="AU68" s="399">
        <v>0</v>
      </c>
      <c r="AV68" s="399">
        <v>0</v>
      </c>
      <c r="AW68" s="399">
        <v>0</v>
      </c>
      <c r="AX68" s="399">
        <v>0</v>
      </c>
      <c r="AY68" s="399">
        <v>0</v>
      </c>
      <c r="AZ68" s="399">
        <v>0</v>
      </c>
      <c r="BA68" s="399"/>
      <c r="BB68" s="399">
        <v>0</v>
      </c>
      <c r="BC68" s="399">
        <v>0</v>
      </c>
      <c r="BD68" s="399">
        <v>0</v>
      </c>
      <c r="BE68" s="399">
        <v>0</v>
      </c>
      <c r="BF68" s="399">
        <v>0</v>
      </c>
      <c r="BG68" s="399">
        <v>508.09778696372251</v>
      </c>
      <c r="BH68" s="399">
        <v>0</v>
      </c>
      <c r="BI68" s="399">
        <v>25.25</v>
      </c>
      <c r="BJ68" s="399">
        <v>249.67</v>
      </c>
      <c r="BK68" s="399">
        <v>2807.77</v>
      </c>
      <c r="BL68" s="399">
        <v>42</v>
      </c>
      <c r="BM68" s="399"/>
      <c r="BN68" s="399"/>
      <c r="BO68" s="399"/>
      <c r="BP68" s="399"/>
      <c r="BQ68" s="399"/>
      <c r="BR68" s="399"/>
      <c r="BS68" s="399"/>
      <c r="BT68" s="399"/>
      <c r="BU68" s="399"/>
      <c r="BV68" s="399">
        <v>4849.4164308246964</v>
      </c>
      <c r="BW68" s="399"/>
      <c r="BX68" s="399"/>
      <c r="BY68" s="399"/>
      <c r="BZ68" s="399"/>
      <c r="CA68" s="399"/>
      <c r="CB68" s="399"/>
      <c r="CC68" s="399"/>
      <c r="CD68" s="399"/>
      <c r="CE68" s="399"/>
      <c r="CF68" s="399"/>
      <c r="CG68" s="399"/>
      <c r="CH68" s="399"/>
      <c r="CI68" s="399">
        <v>10367.4692</v>
      </c>
      <c r="CJ68" s="399">
        <v>-3205.3511600000002</v>
      </c>
      <c r="CK68" s="399"/>
      <c r="CL68" s="399"/>
      <c r="CM68" s="399"/>
      <c r="CN68" s="399"/>
      <c r="CO68" s="399">
        <v>-2224.8960299999994</v>
      </c>
      <c r="CP68" s="399">
        <v>-982.47674000000029</v>
      </c>
      <c r="CQ68" s="399">
        <v>30</v>
      </c>
      <c r="CR68" s="399">
        <v>-1121.1331018252631</v>
      </c>
      <c r="CS68" s="399">
        <v>0</v>
      </c>
      <c r="CT68" s="399">
        <v>0</v>
      </c>
      <c r="CU68" s="399">
        <v>0</v>
      </c>
      <c r="CV68" s="399">
        <v>0</v>
      </c>
      <c r="CW68" s="399">
        <v>0</v>
      </c>
      <c r="CX68" s="399">
        <v>0</v>
      </c>
      <c r="CY68" s="399">
        <v>0</v>
      </c>
      <c r="CZ68" s="399">
        <v>50.792922587209205</v>
      </c>
      <c r="DA68" s="399">
        <v>0</v>
      </c>
      <c r="DB68" s="399">
        <v>0</v>
      </c>
      <c r="DC68" s="399">
        <v>-982.57934511500434</v>
      </c>
      <c r="DD68" s="399">
        <v>0</v>
      </c>
      <c r="DE68" s="399">
        <v>0</v>
      </c>
      <c r="DF68" s="399">
        <v>0</v>
      </c>
      <c r="DG68" s="399">
        <v>-114.99878993567535</v>
      </c>
      <c r="DH68" s="399">
        <v>0</v>
      </c>
      <c r="DI68" s="399">
        <v>-63.997850385347533</v>
      </c>
      <c r="DJ68" s="399"/>
      <c r="DK68" s="399">
        <v>0</v>
      </c>
      <c r="DL68" s="399">
        <v>0</v>
      </c>
      <c r="DM68" s="399">
        <v>0</v>
      </c>
      <c r="DN68" s="399">
        <v>0</v>
      </c>
      <c r="DO68" s="399">
        <v>-8.1587557663892767</v>
      </c>
      <c r="DP68" s="399">
        <v>-2.1912832100549196</v>
      </c>
      <c r="DQ68" s="399">
        <v>0</v>
      </c>
      <c r="DR68" s="399">
        <v>0</v>
      </c>
      <c r="DS68" s="399"/>
      <c r="DT68" s="399"/>
      <c r="DU68" s="399"/>
      <c r="DV68" s="399">
        <v>5717.4022111677659</v>
      </c>
      <c r="DW68" s="399">
        <v>0</v>
      </c>
      <c r="DX68" s="399">
        <v>0</v>
      </c>
      <c r="DY68" s="399">
        <v>-2224.8960299999999</v>
      </c>
      <c r="DZ68" s="399">
        <v>-982.47674000000052</v>
      </c>
      <c r="EA68" s="399">
        <v>0</v>
      </c>
      <c r="EB68" s="399">
        <v>0</v>
      </c>
      <c r="EC68" s="399">
        <v>-2086.2807413480004</v>
      </c>
      <c r="ED68" s="399">
        <v>0</v>
      </c>
      <c r="EE68" s="399">
        <v>0</v>
      </c>
      <c r="EF68" s="399">
        <v>0</v>
      </c>
      <c r="EG68" s="399">
        <v>0</v>
      </c>
      <c r="EH68" s="399">
        <v>0</v>
      </c>
      <c r="EI68" s="399">
        <v>0</v>
      </c>
      <c r="EJ68" s="399">
        <v>0</v>
      </c>
      <c r="EK68" s="399">
        <v>0</v>
      </c>
      <c r="EL68" s="399">
        <v>0</v>
      </c>
      <c r="EM68" s="399">
        <v>0</v>
      </c>
      <c r="EN68" s="399">
        <v>0</v>
      </c>
      <c r="EO68" s="399">
        <v>0</v>
      </c>
      <c r="EP68" s="399">
        <v>434.97910222594498</v>
      </c>
      <c r="EQ68" s="399">
        <v>0</v>
      </c>
      <c r="ER68" s="399">
        <v>0</v>
      </c>
      <c r="ES68" s="399">
        <v>0</v>
      </c>
      <c r="ET68" s="399">
        <v>0</v>
      </c>
      <c r="EU68" s="399">
        <v>0</v>
      </c>
      <c r="EV68" s="399">
        <v>202</v>
      </c>
      <c r="EW68" s="399">
        <v>0</v>
      </c>
      <c r="EX68" s="399">
        <v>0</v>
      </c>
      <c r="EY68" s="399">
        <v>0</v>
      </c>
      <c r="EZ68" s="399"/>
      <c r="FA68" s="399">
        <v>0</v>
      </c>
      <c r="FB68" s="399">
        <v>-17.698635468909799</v>
      </c>
      <c r="FC68" s="399"/>
      <c r="FD68" s="399">
        <v>-17.698635468909799</v>
      </c>
      <c r="FE68" s="399"/>
      <c r="FF68" s="399">
        <v>0</v>
      </c>
      <c r="FG68" s="399">
        <v>0</v>
      </c>
      <c r="FH68" s="399">
        <v>0</v>
      </c>
      <c r="FI68" s="399">
        <v>0</v>
      </c>
    </row>
    <row r="69" spans="1:165" customFormat="1">
      <c r="A69" s="399">
        <v>67</v>
      </c>
      <c r="B69" s="399" t="s">
        <v>956</v>
      </c>
      <c r="C69" s="399" t="s">
        <v>2402</v>
      </c>
      <c r="D69" s="399" t="s">
        <v>1826</v>
      </c>
      <c r="E69" s="399" t="s">
        <v>2412</v>
      </c>
      <c r="F69" s="399" t="s">
        <v>1239</v>
      </c>
      <c r="G69" s="399" t="s">
        <v>1239</v>
      </c>
      <c r="H69" s="399" t="s">
        <v>1239</v>
      </c>
      <c r="I69" s="399" t="s">
        <v>1239</v>
      </c>
      <c r="J69" s="399" t="s">
        <v>2400</v>
      </c>
      <c r="K69" s="788">
        <v>44501</v>
      </c>
      <c r="L69" s="399">
        <v>0</v>
      </c>
      <c r="M69" s="399">
        <v>0</v>
      </c>
      <c r="N69" s="399">
        <v>5.7809999999999997</v>
      </c>
      <c r="O69" s="399">
        <v>5.7809999999999997</v>
      </c>
      <c r="P69" s="399">
        <v>5.7809999999999997</v>
      </c>
      <c r="Q69" s="399">
        <v>5.7809999999999997</v>
      </c>
      <c r="R69" s="399"/>
      <c r="S69" s="399">
        <v>609.05999999999995</v>
      </c>
      <c r="T69" s="399">
        <v>286.42</v>
      </c>
      <c r="U69" s="399"/>
      <c r="V69" s="399">
        <v>5176.7698799999998</v>
      </c>
      <c r="W69" s="399">
        <v>5176.7698799999998</v>
      </c>
      <c r="X69" s="399">
        <v>3953.4524699999997</v>
      </c>
      <c r="Y69" s="399">
        <v>0</v>
      </c>
      <c r="Z69" s="399">
        <v>351.83974745309393</v>
      </c>
      <c r="AA69" s="399">
        <v>0</v>
      </c>
      <c r="AB69" s="399">
        <v>0</v>
      </c>
      <c r="AC69" s="399">
        <v>0</v>
      </c>
      <c r="AD69" s="399">
        <v>564.52707889078863</v>
      </c>
      <c r="AE69" s="399">
        <v>2180.662544221208</v>
      </c>
      <c r="AF69" s="399">
        <v>1655.8133588546734</v>
      </c>
      <c r="AG69" s="399">
        <v>0</v>
      </c>
      <c r="AH69" s="399">
        <v>0</v>
      </c>
      <c r="AI69" s="399">
        <v>0</v>
      </c>
      <c r="AJ69" s="399">
        <v>0</v>
      </c>
      <c r="AK69" s="399">
        <v>0</v>
      </c>
      <c r="AL69" s="399">
        <v>54.375444047604283</v>
      </c>
      <c r="AM69" s="399"/>
      <c r="AN69" s="399">
        <v>9.8730089713233671</v>
      </c>
      <c r="AO69" s="399">
        <v>0</v>
      </c>
      <c r="AP69" s="399">
        <v>0</v>
      </c>
      <c r="AQ69" s="399">
        <v>0</v>
      </c>
      <c r="AR69" s="399">
        <v>0</v>
      </c>
      <c r="AS69" s="399">
        <v>0</v>
      </c>
      <c r="AT69" s="399">
        <v>0</v>
      </c>
      <c r="AU69" s="399">
        <v>0</v>
      </c>
      <c r="AV69" s="399">
        <v>0</v>
      </c>
      <c r="AW69" s="399">
        <v>0</v>
      </c>
      <c r="AX69" s="399">
        <v>0</v>
      </c>
      <c r="AY69" s="399">
        <v>0</v>
      </c>
      <c r="AZ69" s="399">
        <v>0</v>
      </c>
      <c r="BA69" s="399"/>
      <c r="BB69" s="399">
        <v>0</v>
      </c>
      <c r="BC69" s="399">
        <v>0</v>
      </c>
      <c r="BD69" s="399">
        <v>0</v>
      </c>
      <c r="BE69" s="399">
        <v>0</v>
      </c>
      <c r="BF69" s="399">
        <v>0</v>
      </c>
      <c r="BG69" s="399">
        <v>193.79252533069075</v>
      </c>
      <c r="BH69" s="399">
        <v>0</v>
      </c>
      <c r="BI69" s="399">
        <v>21.16</v>
      </c>
      <c r="BJ69" s="399">
        <v>107.08</v>
      </c>
      <c r="BK69" s="399">
        <v>568.65</v>
      </c>
      <c r="BL69" s="399">
        <v>10</v>
      </c>
      <c r="BM69" s="399"/>
      <c r="BN69" s="399"/>
      <c r="BO69" s="399"/>
      <c r="BP69" s="399"/>
      <c r="BQ69" s="399"/>
      <c r="BR69" s="399"/>
      <c r="BS69" s="399"/>
      <c r="BT69" s="399"/>
      <c r="BU69" s="399"/>
      <c r="BV69" s="399">
        <v>1849.6058841853642</v>
      </c>
      <c r="BW69" s="399"/>
      <c r="BX69" s="399"/>
      <c r="BY69" s="399"/>
      <c r="BZ69" s="399"/>
      <c r="CA69" s="399"/>
      <c r="CB69" s="399"/>
      <c r="CC69" s="399"/>
      <c r="CD69" s="399"/>
      <c r="CE69" s="399"/>
      <c r="CF69" s="399"/>
      <c r="CG69" s="399"/>
      <c r="CH69" s="399"/>
      <c r="CI69" s="399">
        <v>3952.7685999999999</v>
      </c>
      <c r="CJ69" s="399">
        <v>-1224.0312800000006</v>
      </c>
      <c r="CK69" s="399"/>
      <c r="CL69" s="399"/>
      <c r="CM69" s="399"/>
      <c r="CN69" s="399"/>
      <c r="CO69" s="399">
        <v>-848.59298999999976</v>
      </c>
      <c r="CP69" s="399">
        <v>-374.72442000000012</v>
      </c>
      <c r="CQ69" s="399">
        <v>30</v>
      </c>
      <c r="CR69" s="399">
        <v>-427.60905599075249</v>
      </c>
      <c r="CS69" s="399">
        <v>0</v>
      </c>
      <c r="CT69" s="399">
        <v>0</v>
      </c>
      <c r="CU69" s="399">
        <v>0</v>
      </c>
      <c r="CV69" s="399">
        <v>0</v>
      </c>
      <c r="CW69" s="399">
        <v>0</v>
      </c>
      <c r="CX69" s="399">
        <v>0</v>
      </c>
      <c r="CY69" s="399">
        <v>0</v>
      </c>
      <c r="CZ69" s="399">
        <v>19.372823479359795</v>
      </c>
      <c r="DA69" s="399">
        <v>0</v>
      </c>
      <c r="DB69" s="399">
        <v>0</v>
      </c>
      <c r="DC69" s="399">
        <v>-374.76355440455472</v>
      </c>
      <c r="DD69" s="399">
        <v>0</v>
      </c>
      <c r="DE69" s="399">
        <v>0</v>
      </c>
      <c r="DF69" s="399">
        <v>0</v>
      </c>
      <c r="DG69" s="399">
        <v>-43.861450459730747</v>
      </c>
      <c r="DH69" s="399">
        <v>0</v>
      </c>
      <c r="DI69" s="399">
        <v>-24.409287660994494</v>
      </c>
      <c r="DJ69" s="399"/>
      <c r="DK69" s="399">
        <v>0</v>
      </c>
      <c r="DL69" s="399">
        <v>0</v>
      </c>
      <c r="DM69" s="399">
        <v>0</v>
      </c>
      <c r="DN69" s="399">
        <v>0</v>
      </c>
      <c r="DO69" s="399">
        <v>-3.1118141509201251</v>
      </c>
      <c r="DP69" s="399">
        <v>-0.83577279391221815</v>
      </c>
      <c r="DQ69" s="399">
        <v>0</v>
      </c>
      <c r="DR69" s="399">
        <v>0</v>
      </c>
      <c r="DS69" s="399"/>
      <c r="DT69" s="399"/>
      <c r="DU69" s="399"/>
      <c r="DV69" s="399">
        <v>2180.662544221208</v>
      </c>
      <c r="DW69" s="399">
        <v>0</v>
      </c>
      <c r="DX69" s="399">
        <v>0</v>
      </c>
      <c r="DY69" s="399">
        <v>-848.59298999999965</v>
      </c>
      <c r="DZ69" s="399">
        <v>-374.72442000000024</v>
      </c>
      <c r="EA69" s="399">
        <v>0</v>
      </c>
      <c r="EB69" s="399">
        <v>0</v>
      </c>
      <c r="EC69" s="399">
        <v>-795.72401964325309</v>
      </c>
      <c r="ED69" s="399">
        <v>0</v>
      </c>
      <c r="EE69" s="399">
        <v>0</v>
      </c>
      <c r="EF69" s="399">
        <v>0</v>
      </c>
      <c r="EG69" s="399">
        <v>0</v>
      </c>
      <c r="EH69" s="399">
        <v>0</v>
      </c>
      <c r="EI69" s="399">
        <v>0</v>
      </c>
      <c r="EJ69" s="399">
        <v>0</v>
      </c>
      <c r="EK69" s="399">
        <v>0</v>
      </c>
      <c r="EL69" s="399">
        <v>0</v>
      </c>
      <c r="EM69" s="399">
        <v>0</v>
      </c>
      <c r="EN69" s="399">
        <v>0</v>
      </c>
      <c r="EO69" s="399">
        <v>0</v>
      </c>
      <c r="EP69" s="399">
        <v>165.90447911646024</v>
      </c>
      <c r="EQ69" s="399">
        <v>0</v>
      </c>
      <c r="ER69" s="399">
        <v>0</v>
      </c>
      <c r="ES69" s="399">
        <v>0</v>
      </c>
      <c r="ET69" s="399">
        <v>0</v>
      </c>
      <c r="EU69" s="399">
        <v>0</v>
      </c>
      <c r="EV69" s="399">
        <v>202</v>
      </c>
      <c r="EW69" s="399">
        <v>0</v>
      </c>
      <c r="EX69" s="399">
        <v>0</v>
      </c>
      <c r="EY69" s="399">
        <v>0</v>
      </c>
      <c r="EZ69" s="399"/>
      <c r="FA69" s="399">
        <v>0</v>
      </c>
      <c r="FB69" s="399">
        <v>-17.698635468909799</v>
      </c>
      <c r="FC69" s="399"/>
      <c r="FD69" s="399">
        <v>-17.698635468909799</v>
      </c>
      <c r="FE69" s="399"/>
      <c r="FF69" s="399">
        <v>0</v>
      </c>
      <c r="FG69" s="399">
        <v>0</v>
      </c>
      <c r="FH69" s="399">
        <v>0</v>
      </c>
      <c r="FI69" s="399">
        <v>0</v>
      </c>
    </row>
    <row r="70" spans="1:165" customFormat="1">
      <c r="A70" s="399">
        <v>69</v>
      </c>
      <c r="B70" s="399" t="s">
        <v>956</v>
      </c>
      <c r="C70" s="399" t="s">
        <v>2402</v>
      </c>
      <c r="D70" s="399" t="s">
        <v>1826</v>
      </c>
      <c r="E70" s="399" t="s">
        <v>921</v>
      </c>
      <c r="F70" s="399" t="s">
        <v>2401</v>
      </c>
      <c r="G70" s="399" t="s">
        <v>1239</v>
      </c>
      <c r="H70" s="399" t="s">
        <v>1239</v>
      </c>
      <c r="I70" s="399" t="s">
        <v>1239</v>
      </c>
      <c r="J70" s="399" t="s">
        <v>2400</v>
      </c>
      <c r="K70" s="788">
        <v>44501</v>
      </c>
      <c r="L70" s="399">
        <v>0</v>
      </c>
      <c r="M70" s="399">
        <v>0</v>
      </c>
      <c r="N70" s="399">
        <v>26.925000000000001</v>
      </c>
      <c r="O70" s="399">
        <v>25.3095</v>
      </c>
      <c r="P70" s="399">
        <v>26.925000000000001</v>
      </c>
      <c r="Q70" s="399">
        <v>25.3095</v>
      </c>
      <c r="R70" s="399"/>
      <c r="S70" s="399">
        <v>609.05999999999995</v>
      </c>
      <c r="T70" s="399">
        <v>286.42</v>
      </c>
      <c r="U70" s="399"/>
      <c r="V70" s="399">
        <v>24110.798999999999</v>
      </c>
      <c r="W70" s="399">
        <v>24110.798999999999</v>
      </c>
      <c r="X70" s="399">
        <v>18413.19975</v>
      </c>
      <c r="Y70" s="399">
        <v>0</v>
      </c>
      <c r="Z70" s="399">
        <v>1638.6931673022927</v>
      </c>
      <c r="AA70" s="399">
        <v>0</v>
      </c>
      <c r="AB70" s="399">
        <v>0</v>
      </c>
      <c r="AC70" s="399">
        <v>0</v>
      </c>
      <c r="AD70" s="399">
        <v>2629.2841375427238</v>
      </c>
      <c r="AE70" s="399">
        <v>10156.432970620313</v>
      </c>
      <c r="AF70" s="399">
        <v>7711.9485706905534</v>
      </c>
      <c r="AG70" s="399">
        <v>0</v>
      </c>
      <c r="AH70" s="399">
        <v>0</v>
      </c>
      <c r="AI70" s="399">
        <v>0</v>
      </c>
      <c r="AJ70" s="399">
        <v>0</v>
      </c>
      <c r="AK70" s="399">
        <v>0</v>
      </c>
      <c r="AL70" s="399">
        <v>253.25356010754979</v>
      </c>
      <c r="AM70" s="399"/>
      <c r="AN70" s="399">
        <v>45.983526475156836</v>
      </c>
      <c r="AO70" s="399">
        <v>0</v>
      </c>
      <c r="AP70" s="399">
        <v>0</v>
      </c>
      <c r="AQ70" s="399">
        <v>0</v>
      </c>
      <c r="AR70" s="399">
        <v>0</v>
      </c>
      <c r="AS70" s="399">
        <v>0</v>
      </c>
      <c r="AT70" s="399">
        <v>0</v>
      </c>
      <c r="AU70" s="399">
        <v>0</v>
      </c>
      <c r="AV70" s="399">
        <v>0</v>
      </c>
      <c r="AW70" s="399">
        <v>0</v>
      </c>
      <c r="AX70" s="399">
        <v>0</v>
      </c>
      <c r="AY70" s="399">
        <v>0</v>
      </c>
      <c r="AZ70" s="399">
        <v>0</v>
      </c>
      <c r="BA70" s="399"/>
      <c r="BB70" s="399">
        <v>0</v>
      </c>
      <c r="BC70" s="399">
        <v>0</v>
      </c>
      <c r="BD70" s="399">
        <v>0</v>
      </c>
      <c r="BE70" s="399">
        <v>0</v>
      </c>
      <c r="BF70" s="399">
        <v>0</v>
      </c>
      <c r="BG70" s="399">
        <v>902.58843531030084</v>
      </c>
      <c r="BH70" s="399">
        <v>0</v>
      </c>
      <c r="BI70" s="399">
        <v>7.73</v>
      </c>
      <c r="BJ70" s="399">
        <v>358.14</v>
      </c>
      <c r="BK70" s="399">
        <v>4965.6400000000003</v>
      </c>
      <c r="BL70" s="399">
        <v>6</v>
      </c>
      <c r="BM70" s="399"/>
      <c r="BN70" s="399"/>
      <c r="BO70" s="399"/>
      <c r="BP70" s="399"/>
      <c r="BQ70" s="399">
        <v>1104.7919850000005</v>
      </c>
      <c r="BR70" s="399"/>
      <c r="BS70" s="399"/>
      <c r="BT70" s="399"/>
      <c r="BU70" s="399"/>
      <c r="BV70" s="399">
        <v>8614.5370060008536</v>
      </c>
      <c r="BW70" s="399"/>
      <c r="BX70" s="399"/>
      <c r="BY70" s="399"/>
      <c r="BZ70" s="399"/>
      <c r="CA70" s="399"/>
      <c r="CB70" s="399"/>
      <c r="CC70" s="399"/>
      <c r="CD70" s="399"/>
      <c r="CE70" s="399"/>
      <c r="CF70" s="399"/>
      <c r="CG70" s="399"/>
      <c r="CH70" s="399"/>
      <c r="CI70" s="399">
        <v>17308.7497</v>
      </c>
      <c r="CJ70" s="399">
        <v>-5355.4313599999987</v>
      </c>
      <c r="CK70" s="399"/>
      <c r="CL70" s="399"/>
      <c r="CM70" s="399"/>
      <c r="CN70" s="399"/>
      <c r="CO70" s="399">
        <v>-3952.320749999999</v>
      </c>
      <c r="CP70" s="399">
        <v>-1745.2785000000006</v>
      </c>
      <c r="CQ70" s="399">
        <v>30</v>
      </c>
      <c r="CR70" s="399">
        <v>-1991.5886235168691</v>
      </c>
      <c r="CS70" s="399">
        <v>0</v>
      </c>
      <c r="CT70" s="399">
        <v>0</v>
      </c>
      <c r="CU70" s="399">
        <v>0</v>
      </c>
      <c r="CV70" s="399">
        <v>0</v>
      </c>
      <c r="CW70" s="399">
        <v>0</v>
      </c>
      <c r="CX70" s="399">
        <v>0</v>
      </c>
      <c r="CY70" s="399">
        <v>0</v>
      </c>
      <c r="CZ70" s="399">
        <v>90.228900221719414</v>
      </c>
      <c r="DA70" s="399">
        <v>0</v>
      </c>
      <c r="DB70" s="399">
        <v>0</v>
      </c>
      <c r="DC70" s="399">
        <v>-1745.4607684384437</v>
      </c>
      <c r="DD70" s="399">
        <v>0</v>
      </c>
      <c r="DE70" s="399">
        <v>0</v>
      </c>
      <c r="DF70" s="399">
        <v>0</v>
      </c>
      <c r="DG70" s="399">
        <v>-204.28464861239422</v>
      </c>
      <c r="DH70" s="399">
        <v>0</v>
      </c>
      <c r="DI70" s="399">
        <v>-113.68622561360962</v>
      </c>
      <c r="DJ70" s="399"/>
      <c r="DK70" s="399">
        <v>0</v>
      </c>
      <c r="DL70" s="399">
        <v>0</v>
      </c>
      <c r="DM70" s="399">
        <v>0</v>
      </c>
      <c r="DN70" s="399">
        <v>0</v>
      </c>
      <c r="DO70" s="399">
        <v>-14.493270370787798</v>
      </c>
      <c r="DP70" s="399">
        <v>-3.8926107033534834</v>
      </c>
      <c r="DQ70" s="399">
        <v>0</v>
      </c>
      <c r="DR70" s="399">
        <v>0</v>
      </c>
      <c r="DS70" s="399"/>
      <c r="DT70" s="399"/>
      <c r="DU70" s="399"/>
      <c r="DV70" s="399">
        <v>10156.432970620313</v>
      </c>
      <c r="DW70" s="399">
        <v>0</v>
      </c>
      <c r="DX70" s="399">
        <v>0</v>
      </c>
      <c r="DY70" s="399">
        <v>-3952.3207500000008</v>
      </c>
      <c r="DZ70" s="399">
        <v>-1745.2785000000003</v>
      </c>
      <c r="EA70" s="399">
        <v>0</v>
      </c>
      <c r="EB70" s="399">
        <v>0</v>
      </c>
      <c r="EC70" s="399">
        <v>-3706.0835891531906</v>
      </c>
      <c r="ED70" s="399">
        <v>0</v>
      </c>
      <c r="EE70" s="399">
        <v>0</v>
      </c>
      <c r="EF70" s="399">
        <v>0</v>
      </c>
      <c r="EG70" s="399">
        <v>0</v>
      </c>
      <c r="EH70" s="399">
        <v>0</v>
      </c>
      <c r="EI70" s="399">
        <v>0</v>
      </c>
      <c r="EJ70" s="399">
        <v>0</v>
      </c>
      <c r="EK70" s="399">
        <v>0</v>
      </c>
      <c r="EL70" s="399">
        <v>0</v>
      </c>
      <c r="EM70" s="399">
        <v>0</v>
      </c>
      <c r="EN70" s="399">
        <v>0</v>
      </c>
      <c r="EO70" s="399">
        <v>0</v>
      </c>
      <c r="EP70" s="399">
        <v>772.69989624817367</v>
      </c>
      <c r="EQ70" s="399">
        <v>0</v>
      </c>
      <c r="ER70" s="399">
        <v>0</v>
      </c>
      <c r="ES70" s="399">
        <v>0</v>
      </c>
      <c r="ET70" s="399">
        <v>0</v>
      </c>
      <c r="EU70" s="399">
        <v>0</v>
      </c>
      <c r="EV70" s="399">
        <v>202</v>
      </c>
      <c r="EW70" s="399">
        <v>0</v>
      </c>
      <c r="EX70" s="399">
        <v>0</v>
      </c>
      <c r="EY70" s="399">
        <v>0</v>
      </c>
      <c r="EZ70" s="399"/>
      <c r="FA70" s="399">
        <v>0</v>
      </c>
      <c r="FB70" s="399">
        <v>-17.698635468909799</v>
      </c>
      <c r="FC70" s="399"/>
      <c r="FD70" s="399">
        <v>-17.698635468909799</v>
      </c>
      <c r="FE70" s="399"/>
      <c r="FF70" s="399">
        <v>0</v>
      </c>
      <c r="FG70" s="399">
        <v>0</v>
      </c>
      <c r="FH70" s="399">
        <v>0</v>
      </c>
      <c r="FI70" s="399">
        <v>0</v>
      </c>
    </row>
    <row r="71" spans="1:165" customFormat="1">
      <c r="A71" s="399">
        <v>68</v>
      </c>
      <c r="B71" s="399" t="s">
        <v>956</v>
      </c>
      <c r="C71" s="399" t="s">
        <v>2402</v>
      </c>
      <c r="D71" s="399" t="s">
        <v>2413</v>
      </c>
      <c r="E71" s="399" t="s">
        <v>2414</v>
      </c>
      <c r="F71" s="399" t="s">
        <v>2415</v>
      </c>
      <c r="G71" s="399" t="s">
        <v>1239</v>
      </c>
      <c r="H71" s="399" t="s">
        <v>1239</v>
      </c>
      <c r="I71" s="399" t="s">
        <v>1239</v>
      </c>
      <c r="J71" s="399" t="s">
        <v>2400</v>
      </c>
      <c r="K71" s="788">
        <v>44501</v>
      </c>
      <c r="L71" s="399">
        <v>0</v>
      </c>
      <c r="M71" s="399">
        <v>0</v>
      </c>
      <c r="N71" s="399">
        <v>45.448</v>
      </c>
      <c r="O71" s="399">
        <v>45.448</v>
      </c>
      <c r="P71" s="399">
        <v>45.448</v>
      </c>
      <c r="Q71" s="399">
        <v>45.448</v>
      </c>
      <c r="R71" s="399"/>
      <c r="S71" s="399">
        <v>334.98</v>
      </c>
      <c r="T71" s="399">
        <v>157.53</v>
      </c>
      <c r="U71" s="399"/>
      <c r="V71" s="399">
        <v>22383.59448</v>
      </c>
      <c r="W71" s="399">
        <v>22383.59448</v>
      </c>
      <c r="X71" s="399">
        <v>17094.356240000001</v>
      </c>
      <c r="Y71" s="399">
        <v>0</v>
      </c>
      <c r="Z71" s="399">
        <v>1521.3158732462396</v>
      </c>
      <c r="AA71" s="399">
        <v>0</v>
      </c>
      <c r="AB71" s="399">
        <v>0</v>
      </c>
      <c r="AC71" s="399">
        <v>0</v>
      </c>
      <c r="AD71" s="399">
        <v>2440.9522011391978</v>
      </c>
      <c r="AE71" s="399">
        <v>9428.9419166876178</v>
      </c>
      <c r="AF71" s="399">
        <v>7159.5525070532585</v>
      </c>
      <c r="AG71" s="399">
        <v>0</v>
      </c>
      <c r="AH71" s="399">
        <v>0</v>
      </c>
      <c r="AI71" s="399">
        <v>0</v>
      </c>
      <c r="AJ71" s="399">
        <v>0</v>
      </c>
      <c r="AK71" s="399">
        <v>0</v>
      </c>
      <c r="AL71" s="399">
        <v>235.11336266935413</v>
      </c>
      <c r="AM71" s="399"/>
      <c r="AN71" s="399">
        <v>42.689790944609484</v>
      </c>
      <c r="AO71" s="399">
        <v>0</v>
      </c>
      <c r="AP71" s="399">
        <v>0</v>
      </c>
      <c r="AQ71" s="399">
        <v>0</v>
      </c>
      <c r="AR71" s="399">
        <v>0</v>
      </c>
      <c r="AS71" s="399">
        <v>0</v>
      </c>
      <c r="AT71" s="399">
        <v>0</v>
      </c>
      <c r="AU71" s="399">
        <v>0</v>
      </c>
      <c r="AV71" s="399">
        <v>0</v>
      </c>
      <c r="AW71" s="399">
        <v>0</v>
      </c>
      <c r="AX71" s="399">
        <v>0</v>
      </c>
      <c r="AY71" s="399">
        <v>0</v>
      </c>
      <c r="AZ71" s="399">
        <v>0</v>
      </c>
      <c r="BA71" s="399"/>
      <c r="BB71" s="399">
        <v>0</v>
      </c>
      <c r="BC71" s="399">
        <v>0</v>
      </c>
      <c r="BD71" s="399">
        <v>0</v>
      </c>
      <c r="BE71" s="399">
        <v>0</v>
      </c>
      <c r="BF71" s="399">
        <v>0</v>
      </c>
      <c r="BG71" s="399">
        <v>837.93729115656242</v>
      </c>
      <c r="BH71" s="399">
        <v>0</v>
      </c>
      <c r="BI71" s="399">
        <v>8.6300000000000008</v>
      </c>
      <c r="BJ71" s="399">
        <v>399.11</v>
      </c>
      <c r="BK71" s="399">
        <v>5258.54</v>
      </c>
      <c r="BL71" s="399">
        <v>3</v>
      </c>
      <c r="BM71" s="399"/>
      <c r="BN71" s="399"/>
      <c r="BO71" s="399"/>
      <c r="BP71" s="399"/>
      <c r="BQ71" s="399"/>
      <c r="BR71" s="399"/>
      <c r="BS71" s="399"/>
      <c r="BT71" s="399"/>
      <c r="BU71" s="399"/>
      <c r="BV71" s="399">
        <v>7997.4897982098209</v>
      </c>
      <c r="BW71" s="399"/>
      <c r="BX71" s="399"/>
      <c r="BY71" s="399"/>
      <c r="BZ71" s="399"/>
      <c r="CA71" s="399"/>
      <c r="CB71" s="399"/>
      <c r="CC71" s="399"/>
      <c r="CD71" s="399"/>
      <c r="CE71" s="399"/>
      <c r="CF71" s="399"/>
      <c r="CG71" s="399"/>
      <c r="CH71" s="399"/>
      <c r="CI71" s="399">
        <v>17095.108500000002</v>
      </c>
      <c r="CJ71" s="399">
        <v>-5288.5159800000001</v>
      </c>
      <c r="CK71" s="399"/>
      <c r="CL71" s="399"/>
      <c r="CM71" s="399"/>
      <c r="CN71" s="399"/>
      <c r="CO71" s="399">
        <v>-3669.0170400000006</v>
      </c>
      <c r="CP71" s="399">
        <v>-1620.2212000000002</v>
      </c>
      <c r="CQ71" s="399">
        <v>30</v>
      </c>
      <c r="CR71" s="399">
        <v>-1848.9339227066921</v>
      </c>
      <c r="CS71" s="399">
        <v>0</v>
      </c>
      <c r="CT71" s="399">
        <v>0</v>
      </c>
      <c r="CU71" s="399">
        <v>0</v>
      </c>
      <c r="CV71" s="399">
        <v>0</v>
      </c>
      <c r="CW71" s="399">
        <v>0</v>
      </c>
      <c r="CX71" s="399">
        <v>0</v>
      </c>
      <c r="CY71" s="399">
        <v>0</v>
      </c>
      <c r="CZ71" s="399">
        <v>83.765930603599827</v>
      </c>
      <c r="DA71" s="399">
        <v>0</v>
      </c>
      <c r="DB71" s="399">
        <v>0</v>
      </c>
      <c r="DC71" s="399">
        <v>-1620.4358608057555</v>
      </c>
      <c r="DD71" s="399">
        <v>0</v>
      </c>
      <c r="DE71" s="399">
        <v>0</v>
      </c>
      <c r="DF71" s="399">
        <v>0</v>
      </c>
      <c r="DG71" s="399">
        <v>-189.65202564809317</v>
      </c>
      <c r="DH71" s="399">
        <v>0</v>
      </c>
      <c r="DI71" s="399">
        <v>-105.543040665852</v>
      </c>
      <c r="DJ71" s="399"/>
      <c r="DK71" s="399">
        <v>0</v>
      </c>
      <c r="DL71" s="399">
        <v>0</v>
      </c>
      <c r="DM71" s="399">
        <v>0</v>
      </c>
      <c r="DN71" s="399">
        <v>0</v>
      </c>
      <c r="DO71" s="399">
        <v>-13.455137734312615</v>
      </c>
      <c r="DP71" s="399">
        <v>-3.6137884562786269</v>
      </c>
      <c r="DQ71" s="399">
        <v>0</v>
      </c>
      <c r="DR71" s="399">
        <v>0</v>
      </c>
      <c r="DS71" s="399"/>
      <c r="DT71" s="399"/>
      <c r="DU71" s="399"/>
      <c r="DV71" s="399">
        <v>9428.9419166876178</v>
      </c>
      <c r="DW71" s="399">
        <v>0</v>
      </c>
      <c r="DX71" s="399">
        <v>0</v>
      </c>
      <c r="DY71" s="399">
        <v>-3669.0170400000006</v>
      </c>
      <c r="DZ71" s="399">
        <v>-1620.2212000000009</v>
      </c>
      <c r="EA71" s="399">
        <v>0</v>
      </c>
      <c r="EB71" s="399">
        <v>0</v>
      </c>
      <c r="EC71" s="399">
        <v>-3440.6220177496589</v>
      </c>
      <c r="ED71" s="399">
        <v>0</v>
      </c>
      <c r="EE71" s="399">
        <v>0</v>
      </c>
      <c r="EF71" s="399">
        <v>0</v>
      </c>
      <c r="EG71" s="399">
        <v>0</v>
      </c>
      <c r="EH71" s="399">
        <v>0</v>
      </c>
      <c r="EI71" s="399">
        <v>0</v>
      </c>
      <c r="EJ71" s="399">
        <v>0</v>
      </c>
      <c r="EK71" s="399">
        <v>0</v>
      </c>
      <c r="EL71" s="399">
        <v>0</v>
      </c>
      <c r="EM71" s="399">
        <v>0</v>
      </c>
      <c r="EN71" s="399">
        <v>0</v>
      </c>
      <c r="EO71" s="399">
        <v>0</v>
      </c>
      <c r="EP71" s="399">
        <v>717.35248603817433</v>
      </c>
      <c r="EQ71" s="399">
        <v>0</v>
      </c>
      <c r="ER71" s="399">
        <v>0</v>
      </c>
      <c r="ES71" s="399">
        <v>0</v>
      </c>
      <c r="ET71" s="399">
        <v>0</v>
      </c>
      <c r="EU71" s="399">
        <v>0</v>
      </c>
      <c r="EV71" s="399">
        <v>202</v>
      </c>
      <c r="EW71" s="399">
        <v>0</v>
      </c>
      <c r="EX71" s="399">
        <v>0</v>
      </c>
      <c r="EY71" s="399">
        <v>0</v>
      </c>
      <c r="EZ71" s="399"/>
      <c r="FA71" s="399">
        <v>0</v>
      </c>
      <c r="FB71" s="399">
        <v>-9.7342495079003708</v>
      </c>
      <c r="FC71" s="399"/>
      <c r="FD71" s="399">
        <v>-9.7342495079003708</v>
      </c>
      <c r="FE71" s="399"/>
      <c r="FF71" s="399">
        <v>0</v>
      </c>
      <c r="FG71" s="399">
        <v>0</v>
      </c>
      <c r="FH71" s="399">
        <v>0</v>
      </c>
      <c r="FI71" s="399">
        <v>0</v>
      </c>
    </row>
    <row r="72" spans="1:165" customFormat="1">
      <c r="A72" s="399">
        <v>70</v>
      </c>
      <c r="B72" s="399" t="s">
        <v>956</v>
      </c>
      <c r="C72" s="399" t="s">
        <v>2399</v>
      </c>
      <c r="D72" s="399" t="s">
        <v>533</v>
      </c>
      <c r="E72" s="399" t="s">
        <v>921</v>
      </c>
      <c r="F72" s="399" t="s">
        <v>2401</v>
      </c>
      <c r="G72" s="399" t="s">
        <v>1239</v>
      </c>
      <c r="H72" s="399" t="s">
        <v>1239</v>
      </c>
      <c r="I72" s="399" t="s">
        <v>893</v>
      </c>
      <c r="J72" s="399" t="s">
        <v>2400</v>
      </c>
      <c r="K72" s="788">
        <v>44501</v>
      </c>
      <c r="L72" s="399">
        <v>0</v>
      </c>
      <c r="M72" s="399">
        <v>0</v>
      </c>
      <c r="N72" s="399">
        <v>19.634</v>
      </c>
      <c r="O72" s="399">
        <v>18.455960000000001</v>
      </c>
      <c r="P72" s="399">
        <v>19.634</v>
      </c>
      <c r="Q72" s="399">
        <v>18.455960000000001</v>
      </c>
      <c r="R72" s="399"/>
      <c r="S72" s="399">
        <v>3305.85</v>
      </c>
      <c r="T72" s="399">
        <v>286.42</v>
      </c>
      <c r="U72" s="399"/>
      <c r="V72" s="399">
        <v>70530.629180000004</v>
      </c>
      <c r="W72" s="399">
        <v>70530.629180000004</v>
      </c>
      <c r="X72" s="399">
        <v>51266.337399999997</v>
      </c>
      <c r="Y72" s="399">
        <v>0</v>
      </c>
      <c r="Z72" s="399">
        <v>1039.6088554402043</v>
      </c>
      <c r="AA72" s="399">
        <v>0</v>
      </c>
      <c r="AB72" s="399">
        <v>0</v>
      </c>
      <c r="AC72" s="399">
        <v>0</v>
      </c>
      <c r="AD72" s="399">
        <v>12801.074883748568</v>
      </c>
      <c r="AE72" s="399">
        <v>50133.233034378492</v>
      </c>
      <c r="AF72" s="399">
        <v>5623.6359605176722</v>
      </c>
      <c r="AG72" s="399">
        <v>0</v>
      </c>
      <c r="AH72" s="399">
        <v>0</v>
      </c>
      <c r="AI72" s="399">
        <v>0</v>
      </c>
      <c r="AJ72" s="399">
        <v>0</v>
      </c>
      <c r="AK72" s="399">
        <v>0</v>
      </c>
      <c r="AL72" s="399">
        <v>184.6752237382222</v>
      </c>
      <c r="AM72" s="399"/>
      <c r="AN72" s="399">
        <v>26.900296547589154</v>
      </c>
      <c r="AO72" s="399">
        <v>0</v>
      </c>
      <c r="AP72" s="399">
        <v>0</v>
      </c>
      <c r="AQ72" s="399">
        <v>0</v>
      </c>
      <c r="AR72" s="399">
        <v>0</v>
      </c>
      <c r="AS72" s="399">
        <v>0</v>
      </c>
      <c r="AT72" s="399">
        <v>0</v>
      </c>
      <c r="AU72" s="399">
        <v>0</v>
      </c>
      <c r="AV72" s="399">
        <v>0</v>
      </c>
      <c r="AW72" s="399">
        <v>0</v>
      </c>
      <c r="AX72" s="399">
        <v>0</v>
      </c>
      <c r="AY72" s="399">
        <v>0</v>
      </c>
      <c r="AZ72" s="399">
        <v>0</v>
      </c>
      <c r="BA72" s="399"/>
      <c r="BB72" s="399">
        <v>0</v>
      </c>
      <c r="BC72" s="399">
        <v>0</v>
      </c>
      <c r="BD72" s="399">
        <v>0</v>
      </c>
      <c r="BE72" s="399">
        <v>0</v>
      </c>
      <c r="BF72" s="399">
        <v>0</v>
      </c>
      <c r="BG72" s="399">
        <v>231.43176081913433</v>
      </c>
      <c r="BH72" s="399">
        <v>0</v>
      </c>
      <c r="BI72" s="399">
        <v>0</v>
      </c>
      <c r="BJ72" s="399">
        <v>0</v>
      </c>
      <c r="BK72" s="399">
        <v>0</v>
      </c>
      <c r="BL72" s="399">
        <v>0</v>
      </c>
      <c r="BM72" s="399"/>
      <c r="BN72" s="399"/>
      <c r="BO72" s="399"/>
      <c r="BP72" s="399"/>
      <c r="BQ72" s="399">
        <v>3075.9802439999985</v>
      </c>
      <c r="BR72" s="399"/>
      <c r="BS72" s="399"/>
      <c r="BT72" s="399"/>
      <c r="BU72" s="399"/>
      <c r="BV72" s="399">
        <v>5855.0677213368062</v>
      </c>
      <c r="BW72" s="399"/>
      <c r="BX72" s="399"/>
      <c r="BY72" s="399"/>
      <c r="BZ72" s="399"/>
      <c r="CA72" s="399"/>
      <c r="CB72" s="399"/>
      <c r="CC72" s="399"/>
      <c r="CD72" s="399"/>
      <c r="CE72" s="399"/>
      <c r="CF72" s="399"/>
      <c r="CG72" s="399"/>
      <c r="CH72" s="399"/>
      <c r="CI72" s="399">
        <v>48200.906000000003</v>
      </c>
      <c r="CJ72" s="399">
        <v>-18097.915429200002</v>
      </c>
      <c r="CK72" s="399"/>
      <c r="CL72" s="399"/>
      <c r="CM72" s="399"/>
      <c r="CN72" s="399"/>
      <c r="CO72" s="399">
        <v>-17991.615899999997</v>
      </c>
      <c r="CP72" s="399">
        <v>-1272.6758800000005</v>
      </c>
      <c r="CQ72" s="399">
        <v>30</v>
      </c>
      <c r="CR72" s="399">
        <v>-970.86578705598004</v>
      </c>
      <c r="CS72" s="399">
        <v>0</v>
      </c>
      <c r="CT72" s="399">
        <v>0</v>
      </c>
      <c r="CU72" s="399">
        <v>0</v>
      </c>
      <c r="CV72" s="399">
        <v>0</v>
      </c>
      <c r="CW72" s="399">
        <v>0</v>
      </c>
      <c r="CX72" s="399">
        <v>0</v>
      </c>
      <c r="CY72" s="399">
        <v>0</v>
      </c>
      <c r="CZ72" s="399">
        <v>439.2933011400728</v>
      </c>
      <c r="DA72" s="399">
        <v>0</v>
      </c>
      <c r="DB72" s="399">
        <v>0</v>
      </c>
      <c r="DC72" s="399">
        <v>-1272.8087921084643</v>
      </c>
      <c r="DD72" s="399">
        <v>0</v>
      </c>
      <c r="DE72" s="399">
        <v>0</v>
      </c>
      <c r="DF72" s="399">
        <v>0</v>
      </c>
      <c r="DG72" s="399">
        <v>-52.380414026057281</v>
      </c>
      <c r="DH72" s="399">
        <v>0</v>
      </c>
      <c r="DI72" s="399">
        <v>-72.12406156794566</v>
      </c>
      <c r="DJ72" s="399"/>
      <c r="DK72" s="399">
        <v>0</v>
      </c>
      <c r="DL72" s="399">
        <v>0</v>
      </c>
      <c r="DM72" s="399">
        <v>0</v>
      </c>
      <c r="DN72" s="399">
        <v>0</v>
      </c>
      <c r="DO72" s="399">
        <v>-10.568648856454899</v>
      </c>
      <c r="DP72" s="399">
        <v>-2.2771716371318433</v>
      </c>
      <c r="DQ72" s="399">
        <v>0</v>
      </c>
      <c r="DR72" s="399">
        <v>0</v>
      </c>
      <c r="DS72" s="399"/>
      <c r="DT72" s="399"/>
      <c r="DU72" s="399"/>
      <c r="DV72" s="399">
        <v>50133.233034378492</v>
      </c>
      <c r="DW72" s="399">
        <v>0</v>
      </c>
      <c r="DX72" s="399">
        <v>0</v>
      </c>
      <c r="DY72" s="399">
        <v>-17991.615899999997</v>
      </c>
      <c r="DZ72" s="399">
        <v>-1272.6758800000007</v>
      </c>
      <c r="EA72" s="399">
        <v>0</v>
      </c>
      <c r="EB72" s="399">
        <v>0</v>
      </c>
      <c r="EC72" s="399">
        <v>-18293.622648558292</v>
      </c>
      <c r="ED72" s="399">
        <v>0</v>
      </c>
      <c r="EE72" s="399">
        <v>0</v>
      </c>
      <c r="EF72" s="399">
        <v>0</v>
      </c>
      <c r="EG72" s="399">
        <v>0</v>
      </c>
      <c r="EH72" s="399">
        <v>0</v>
      </c>
      <c r="EI72" s="399">
        <v>0</v>
      </c>
      <c r="EJ72" s="399">
        <v>0</v>
      </c>
      <c r="EK72" s="399">
        <v>0</v>
      </c>
      <c r="EL72" s="399">
        <v>0</v>
      </c>
      <c r="EM72" s="399">
        <v>0</v>
      </c>
      <c r="EN72" s="399">
        <v>0</v>
      </c>
      <c r="EO72" s="399">
        <v>0</v>
      </c>
      <c r="EP72" s="399">
        <v>490.21114554335679</v>
      </c>
      <c r="EQ72" s="399">
        <v>0</v>
      </c>
      <c r="ER72" s="399">
        <v>0</v>
      </c>
      <c r="ES72" s="399">
        <v>0</v>
      </c>
      <c r="ET72" s="399">
        <v>0</v>
      </c>
      <c r="EU72" s="399">
        <v>0</v>
      </c>
      <c r="EV72" s="399">
        <v>202</v>
      </c>
      <c r="EW72" s="399">
        <v>0</v>
      </c>
      <c r="EX72" s="399">
        <v>0</v>
      </c>
      <c r="EY72" s="399">
        <v>0</v>
      </c>
      <c r="EZ72" s="399"/>
      <c r="FA72" s="399">
        <v>0</v>
      </c>
      <c r="FB72" s="399">
        <v>-17.698635468909799</v>
      </c>
      <c r="FC72" s="399"/>
      <c r="FD72" s="399">
        <v>-17.698635468909799</v>
      </c>
      <c r="FE72" s="399"/>
      <c r="FF72" s="399">
        <v>0</v>
      </c>
      <c r="FG72" s="399">
        <v>0</v>
      </c>
      <c r="FH72" s="399">
        <v>0</v>
      </c>
      <c r="FI72" s="399">
        <v>0</v>
      </c>
    </row>
    <row r="73" spans="1:165" customFormat="1">
      <c r="A73" s="399">
        <v>71</v>
      </c>
      <c r="B73" s="399" t="s">
        <v>956</v>
      </c>
      <c r="C73" s="399" t="s">
        <v>2399</v>
      </c>
      <c r="D73" s="399" t="s">
        <v>533</v>
      </c>
      <c r="E73" s="399" t="s">
        <v>921</v>
      </c>
      <c r="F73" s="399" t="s">
        <v>2401</v>
      </c>
      <c r="G73" s="399" t="s">
        <v>1239</v>
      </c>
      <c r="H73" s="399" t="s">
        <v>1239</v>
      </c>
      <c r="I73" s="399" t="s">
        <v>2326</v>
      </c>
      <c r="J73" s="399" t="s">
        <v>2400</v>
      </c>
      <c r="K73" s="788">
        <v>44501</v>
      </c>
      <c r="L73" s="399">
        <v>0</v>
      </c>
      <c r="M73" s="399">
        <v>0</v>
      </c>
      <c r="N73" s="399">
        <v>214.208</v>
      </c>
      <c r="O73" s="399">
        <v>201.35552000000001</v>
      </c>
      <c r="P73" s="399">
        <v>214.208</v>
      </c>
      <c r="Q73" s="399">
        <v>201.35552000000001</v>
      </c>
      <c r="R73" s="399"/>
      <c r="S73" s="399">
        <v>100.48</v>
      </c>
      <c r="T73" s="399">
        <v>286.42</v>
      </c>
      <c r="U73" s="399"/>
      <c r="V73" s="399">
        <v>82877.075199999992</v>
      </c>
      <c r="W73" s="399">
        <v>82877.075199999992</v>
      </c>
      <c r="X73" s="399">
        <v>67492.656640000001</v>
      </c>
      <c r="Y73" s="399">
        <v>0</v>
      </c>
      <c r="Z73" s="399">
        <v>11342.18873923476</v>
      </c>
      <c r="AA73" s="399">
        <v>0</v>
      </c>
      <c r="AB73" s="399">
        <v>0</v>
      </c>
      <c r="AC73" s="399">
        <v>0</v>
      </c>
      <c r="AD73" s="399">
        <v>0</v>
      </c>
      <c r="AE73" s="399">
        <v>0</v>
      </c>
      <c r="AF73" s="399">
        <v>61354.171937993757</v>
      </c>
      <c r="AG73" s="399">
        <v>0</v>
      </c>
      <c r="AH73" s="399">
        <v>0</v>
      </c>
      <c r="AI73" s="399">
        <v>0</v>
      </c>
      <c r="AJ73" s="399">
        <v>0</v>
      </c>
      <c r="AK73" s="399">
        <v>0</v>
      </c>
      <c r="AL73" s="399">
        <v>2014.8166612262962</v>
      </c>
      <c r="AM73" s="399"/>
      <c r="AN73" s="399">
        <v>293.48368762687062</v>
      </c>
      <c r="AO73" s="399">
        <v>0</v>
      </c>
      <c r="AP73" s="399">
        <v>0</v>
      </c>
      <c r="AQ73" s="399">
        <v>0</v>
      </c>
      <c r="AR73" s="399">
        <v>0</v>
      </c>
      <c r="AS73" s="399">
        <v>0</v>
      </c>
      <c r="AT73" s="399">
        <v>0</v>
      </c>
      <c r="AU73" s="399">
        <v>0</v>
      </c>
      <c r="AV73" s="399">
        <v>0</v>
      </c>
      <c r="AW73" s="399">
        <v>0</v>
      </c>
      <c r="AX73" s="399">
        <v>0</v>
      </c>
      <c r="AY73" s="399">
        <v>0</v>
      </c>
      <c r="AZ73" s="399">
        <v>0</v>
      </c>
      <c r="BA73" s="399"/>
      <c r="BB73" s="399">
        <v>0</v>
      </c>
      <c r="BC73" s="399">
        <v>0</v>
      </c>
      <c r="BD73" s="399">
        <v>0</v>
      </c>
      <c r="BE73" s="399">
        <v>0</v>
      </c>
      <c r="BF73" s="399">
        <v>0</v>
      </c>
      <c r="BG73" s="399">
        <v>2524.9330050700378</v>
      </c>
      <c r="BH73" s="399">
        <v>0</v>
      </c>
      <c r="BI73" s="399">
        <v>0</v>
      </c>
      <c r="BJ73" s="399">
        <v>0</v>
      </c>
      <c r="BK73" s="399">
        <v>0</v>
      </c>
      <c r="BL73" s="399">
        <v>0</v>
      </c>
      <c r="BM73" s="399"/>
      <c r="BN73" s="399"/>
      <c r="BO73" s="399"/>
      <c r="BP73" s="399"/>
      <c r="BQ73" s="399">
        <v>4049.5593983999952</v>
      </c>
      <c r="BR73" s="399"/>
      <c r="BS73" s="399"/>
      <c r="BT73" s="399"/>
      <c r="BU73" s="399"/>
      <c r="BV73" s="399">
        <v>63879.104943063794</v>
      </c>
      <c r="BW73" s="399"/>
      <c r="BX73" s="399"/>
      <c r="BY73" s="399"/>
      <c r="BZ73" s="399"/>
      <c r="CA73" s="399"/>
      <c r="CB73" s="399"/>
      <c r="CC73" s="399"/>
      <c r="CD73" s="399"/>
      <c r="CE73" s="399"/>
      <c r="CF73" s="399"/>
      <c r="CG73" s="399"/>
      <c r="CH73" s="399"/>
      <c r="CI73" s="399">
        <v>63444.508800000011</v>
      </c>
      <c r="CJ73" s="399">
        <v>-14459.971887999985</v>
      </c>
      <c r="CK73" s="399"/>
      <c r="CL73" s="399"/>
      <c r="CM73" s="399"/>
      <c r="CN73" s="399"/>
      <c r="CO73" s="399">
        <v>-1499.4559999999999</v>
      </c>
      <c r="CP73" s="399">
        <v>-13884.962560000005</v>
      </c>
      <c r="CQ73" s="399">
        <v>30</v>
      </c>
      <c r="CR73" s="399">
        <v>-15384.911783859643</v>
      </c>
      <c r="CS73" s="399">
        <v>0</v>
      </c>
      <c r="CT73" s="399">
        <v>0</v>
      </c>
      <c r="CU73" s="399">
        <v>0</v>
      </c>
      <c r="CV73" s="399">
        <v>0</v>
      </c>
      <c r="CW73" s="399">
        <v>0</v>
      </c>
      <c r="CX73" s="399">
        <v>0</v>
      </c>
      <c r="CY73" s="399">
        <v>0</v>
      </c>
      <c r="CZ73" s="399">
        <v>0</v>
      </c>
      <c r="DA73" s="399">
        <v>0</v>
      </c>
      <c r="DB73" s="399">
        <v>0</v>
      </c>
      <c r="DC73" s="399">
        <v>-13886.412638278998</v>
      </c>
      <c r="DD73" s="399">
        <v>0</v>
      </c>
      <c r="DE73" s="399">
        <v>0</v>
      </c>
      <c r="DF73" s="399">
        <v>0</v>
      </c>
      <c r="DG73" s="399">
        <v>-571.47314493703152</v>
      </c>
      <c r="DH73" s="399">
        <v>0</v>
      </c>
      <c r="DI73" s="399">
        <v>-786.87740553868389</v>
      </c>
      <c r="DJ73" s="399"/>
      <c r="DK73" s="399">
        <v>0</v>
      </c>
      <c r="DL73" s="399">
        <v>0</v>
      </c>
      <c r="DM73" s="399">
        <v>0</v>
      </c>
      <c r="DN73" s="399">
        <v>0</v>
      </c>
      <c r="DO73" s="399">
        <v>-115.30452960392631</v>
      </c>
      <c r="DP73" s="399">
        <v>-24.844065501005332</v>
      </c>
      <c r="DQ73" s="399">
        <v>0</v>
      </c>
      <c r="DR73" s="399">
        <v>0</v>
      </c>
      <c r="DS73" s="399"/>
      <c r="DT73" s="399"/>
      <c r="DU73" s="399"/>
      <c r="DV73" s="399">
        <v>0</v>
      </c>
      <c r="DW73" s="399">
        <v>0</v>
      </c>
      <c r="DX73" s="399">
        <v>0</v>
      </c>
      <c r="DY73" s="399">
        <v>-1499.4559999999983</v>
      </c>
      <c r="DZ73" s="399">
        <v>-13884.96256</v>
      </c>
      <c r="EA73" s="399">
        <v>0</v>
      </c>
      <c r="EB73" s="399">
        <v>0</v>
      </c>
      <c r="EC73" s="399">
        <v>0</v>
      </c>
      <c r="ED73" s="399">
        <v>0</v>
      </c>
      <c r="EE73" s="399">
        <v>0</v>
      </c>
      <c r="EF73" s="399">
        <v>0</v>
      </c>
      <c r="EG73" s="399">
        <v>0</v>
      </c>
      <c r="EH73" s="399">
        <v>0</v>
      </c>
      <c r="EI73" s="399">
        <v>0</v>
      </c>
      <c r="EJ73" s="399">
        <v>0</v>
      </c>
      <c r="EK73" s="399">
        <v>0</v>
      </c>
      <c r="EL73" s="399">
        <v>0</v>
      </c>
      <c r="EM73" s="399">
        <v>0</v>
      </c>
      <c r="EN73" s="399">
        <v>0</v>
      </c>
      <c r="EO73" s="399">
        <v>0</v>
      </c>
      <c r="EP73" s="399">
        <v>5348.2300633875611</v>
      </c>
      <c r="EQ73" s="399">
        <v>0</v>
      </c>
      <c r="ER73" s="399">
        <v>0</v>
      </c>
      <c r="ES73" s="399">
        <v>0</v>
      </c>
      <c r="ET73" s="399">
        <v>0</v>
      </c>
      <c r="EU73" s="399">
        <v>0</v>
      </c>
      <c r="EV73" s="399">
        <v>202</v>
      </c>
      <c r="EW73" s="399">
        <v>0</v>
      </c>
      <c r="EX73" s="399">
        <v>0</v>
      </c>
      <c r="EY73" s="399">
        <v>0</v>
      </c>
      <c r="EZ73" s="399"/>
      <c r="FA73" s="399">
        <v>0</v>
      </c>
      <c r="FB73" s="399">
        <v>-17.698635468909799</v>
      </c>
      <c r="FC73" s="399"/>
      <c r="FD73" s="399">
        <v>-17.698635468909799</v>
      </c>
      <c r="FE73" s="399"/>
      <c r="FF73" s="399">
        <v>0</v>
      </c>
      <c r="FG73" s="399">
        <v>0</v>
      </c>
      <c r="FH73" s="399">
        <v>0</v>
      </c>
      <c r="FI73" s="399">
        <v>0</v>
      </c>
    </row>
    <row r="74" spans="1:165" customFormat="1">
      <c r="A74" s="399">
        <v>72</v>
      </c>
      <c r="B74" s="399" t="s">
        <v>956</v>
      </c>
      <c r="C74" s="399" t="s">
        <v>2399</v>
      </c>
      <c r="D74" s="399" t="s">
        <v>533</v>
      </c>
      <c r="E74" s="399" t="s">
        <v>921</v>
      </c>
      <c r="F74" s="399" t="s">
        <v>2401</v>
      </c>
      <c r="G74" s="399" t="s">
        <v>1239</v>
      </c>
      <c r="H74" s="399" t="s">
        <v>1239</v>
      </c>
      <c r="I74" s="399" t="s">
        <v>1239</v>
      </c>
      <c r="J74" s="399" t="s">
        <v>2400</v>
      </c>
      <c r="K74" s="788">
        <v>44501</v>
      </c>
      <c r="L74" s="399">
        <v>906</v>
      </c>
      <c r="M74" s="399">
        <v>851.64</v>
      </c>
      <c r="N74" s="399">
        <v>0</v>
      </c>
      <c r="O74" s="399">
        <v>0</v>
      </c>
      <c r="P74" s="399">
        <v>0</v>
      </c>
      <c r="Q74" s="399">
        <v>0</v>
      </c>
      <c r="R74" s="399">
        <v>39.21</v>
      </c>
      <c r="S74" s="399"/>
      <c r="T74" s="399"/>
      <c r="U74" s="399">
        <v>35524.26</v>
      </c>
      <c r="V74" s="399"/>
      <c r="W74" s="399">
        <v>35524.26</v>
      </c>
      <c r="X74" s="399">
        <v>27035.040000000001</v>
      </c>
      <c r="Y74" s="399">
        <v>0</v>
      </c>
      <c r="Z74" s="399">
        <v>0</v>
      </c>
      <c r="AA74" s="399">
        <v>0</v>
      </c>
      <c r="AB74" s="399">
        <v>0</v>
      </c>
      <c r="AC74" s="399">
        <v>0</v>
      </c>
      <c r="AD74" s="399">
        <v>11191.120345902509</v>
      </c>
      <c r="AE74" s="399">
        <v>24336.964054092437</v>
      </c>
      <c r="AF74" s="399"/>
      <c r="AG74" s="399"/>
      <c r="AH74" s="399"/>
      <c r="AI74" s="399">
        <v>0</v>
      </c>
      <c r="AJ74" s="399">
        <v>0</v>
      </c>
      <c r="AK74" s="399">
        <v>0</v>
      </c>
      <c r="AL74" s="399">
        <v>0</v>
      </c>
      <c r="AM74" s="399"/>
      <c r="AN74" s="399">
        <v>0</v>
      </c>
      <c r="AO74" s="399">
        <v>0</v>
      </c>
      <c r="AP74" s="399">
        <v>0</v>
      </c>
      <c r="AQ74" s="399">
        <v>0</v>
      </c>
      <c r="AR74" s="399">
        <v>0</v>
      </c>
      <c r="AS74" s="399"/>
      <c r="AT74" s="399"/>
      <c r="AU74" s="399">
        <v>0</v>
      </c>
      <c r="AV74" s="399">
        <v>0</v>
      </c>
      <c r="AW74" s="399">
        <v>0</v>
      </c>
      <c r="AX74" s="399"/>
      <c r="AY74" s="399"/>
      <c r="AZ74" s="399">
        <v>0</v>
      </c>
      <c r="BA74" s="399"/>
      <c r="BB74" s="399">
        <v>0</v>
      </c>
      <c r="BC74" s="399">
        <v>0</v>
      </c>
      <c r="BD74" s="399">
        <v>0</v>
      </c>
      <c r="BE74" s="399">
        <v>0</v>
      </c>
      <c r="BF74" s="399"/>
      <c r="BG74" s="399">
        <v>0</v>
      </c>
      <c r="BH74" s="399">
        <v>0</v>
      </c>
      <c r="BI74" s="399">
        <v>62.51</v>
      </c>
      <c r="BJ74" s="399">
        <v>2885.53</v>
      </c>
      <c r="BK74" s="399">
        <v>36934.31</v>
      </c>
      <c r="BL74" s="399">
        <v>3</v>
      </c>
      <c r="BM74" s="399"/>
      <c r="BN74" s="399"/>
      <c r="BO74" s="399"/>
      <c r="BP74" s="399"/>
      <c r="BQ74" s="399">
        <v>1622.1024000000004</v>
      </c>
      <c r="BR74" s="399"/>
      <c r="BS74" s="399"/>
      <c r="BT74" s="399"/>
      <c r="BU74" s="399"/>
      <c r="BV74" s="399">
        <v>0</v>
      </c>
      <c r="BW74" s="399"/>
      <c r="BX74" s="399"/>
      <c r="BY74" s="399"/>
      <c r="BZ74" s="399"/>
      <c r="CA74" s="399"/>
      <c r="CB74" s="399"/>
      <c r="CC74" s="399"/>
      <c r="CD74" s="399"/>
      <c r="CE74" s="399"/>
      <c r="CF74" s="399"/>
      <c r="CG74" s="399"/>
      <c r="CH74" s="399"/>
      <c r="CI74" s="399">
        <v>25412.937600000001</v>
      </c>
      <c r="CJ74" s="399">
        <v>-7979.8968000000059</v>
      </c>
      <c r="CK74" s="399"/>
      <c r="CL74" s="399"/>
      <c r="CM74" s="399"/>
      <c r="CN74" s="399"/>
      <c r="CO74" s="399">
        <v>-8489.2200000000012</v>
      </c>
      <c r="CP74" s="399">
        <v>0</v>
      </c>
      <c r="CQ74" s="399">
        <v>30</v>
      </c>
      <c r="CR74" s="399">
        <v>384.04464038004153</v>
      </c>
      <c r="CS74" s="399">
        <v>0</v>
      </c>
      <c r="CT74" s="399">
        <v>0</v>
      </c>
      <c r="CU74" s="399">
        <v>0</v>
      </c>
      <c r="CV74" s="399">
        <v>0</v>
      </c>
      <c r="CW74" s="399"/>
      <c r="CX74" s="399"/>
      <c r="CY74" s="399"/>
      <c r="CZ74" s="399">
        <v>384.04464038004153</v>
      </c>
      <c r="DA74" s="399">
        <v>0</v>
      </c>
      <c r="DB74" s="399">
        <v>0</v>
      </c>
      <c r="DC74" s="399"/>
      <c r="DD74" s="399"/>
      <c r="DE74" s="399">
        <v>0</v>
      </c>
      <c r="DF74" s="399">
        <v>0</v>
      </c>
      <c r="DG74" s="399">
        <v>0</v>
      </c>
      <c r="DH74" s="399">
        <v>0</v>
      </c>
      <c r="DI74" s="399">
        <v>0</v>
      </c>
      <c r="DJ74" s="399"/>
      <c r="DK74" s="399">
        <v>0</v>
      </c>
      <c r="DL74" s="399">
        <v>0</v>
      </c>
      <c r="DM74" s="399"/>
      <c r="DN74" s="399">
        <v>0</v>
      </c>
      <c r="DO74" s="399">
        <v>0</v>
      </c>
      <c r="DP74" s="399">
        <v>0</v>
      </c>
      <c r="DQ74" s="399">
        <v>0</v>
      </c>
      <c r="DR74" s="399">
        <v>0</v>
      </c>
      <c r="DS74" s="399"/>
      <c r="DT74" s="399"/>
      <c r="DU74" s="399">
        <v>24336.964054092437</v>
      </c>
      <c r="DV74" s="399"/>
      <c r="DW74" s="399">
        <v>0</v>
      </c>
      <c r="DX74" s="399">
        <v>0</v>
      </c>
      <c r="DY74" s="399">
        <v>-8489.2200000000012</v>
      </c>
      <c r="DZ74" s="399"/>
      <c r="EA74" s="399">
        <v>0</v>
      </c>
      <c r="EB74" s="399"/>
      <c r="EC74" s="399">
        <v>-8880.5610544165629</v>
      </c>
      <c r="ED74" s="399"/>
      <c r="EE74" s="399">
        <v>0</v>
      </c>
      <c r="EF74" s="399">
        <v>0</v>
      </c>
      <c r="EG74" s="399"/>
      <c r="EH74" s="399">
        <v>0</v>
      </c>
      <c r="EI74" s="399">
        <v>0</v>
      </c>
      <c r="EJ74" s="399">
        <v>0</v>
      </c>
      <c r="EK74" s="399">
        <v>0</v>
      </c>
      <c r="EL74" s="399">
        <v>0</v>
      </c>
      <c r="EM74" s="399"/>
      <c r="EN74" s="399"/>
      <c r="EO74" s="399">
        <v>0</v>
      </c>
      <c r="EP74" s="399">
        <v>0</v>
      </c>
      <c r="EQ74" s="399"/>
      <c r="ER74" s="399">
        <v>0</v>
      </c>
      <c r="ES74" s="399"/>
      <c r="ET74" s="399">
        <v>0</v>
      </c>
      <c r="EU74" s="399"/>
      <c r="EV74" s="399">
        <v>202</v>
      </c>
      <c r="EW74" s="399"/>
      <c r="EX74" s="399"/>
      <c r="EY74" s="399"/>
      <c r="EZ74" s="399"/>
      <c r="FA74" s="399">
        <v>0</v>
      </c>
      <c r="FB74" s="399">
        <v>-17.698635468909799</v>
      </c>
      <c r="FC74" s="399"/>
      <c r="FD74" s="399">
        <v>-17.698635468909799</v>
      </c>
      <c r="FE74" s="399"/>
      <c r="FF74" s="399">
        <v>0</v>
      </c>
      <c r="FG74" s="399">
        <v>0</v>
      </c>
      <c r="FH74" s="399">
        <v>0</v>
      </c>
      <c r="FI74" s="399">
        <v>0</v>
      </c>
    </row>
    <row r="75" spans="1:165" customFormat="1">
      <c r="A75" s="399">
        <v>84</v>
      </c>
      <c r="B75" s="399" t="s">
        <v>956</v>
      </c>
      <c r="C75" s="399" t="s">
        <v>2399</v>
      </c>
      <c r="D75" s="399" t="s">
        <v>533</v>
      </c>
      <c r="E75" s="399" t="s">
        <v>918</v>
      </c>
      <c r="F75" s="399" t="s">
        <v>1239</v>
      </c>
      <c r="G75" s="399" t="s">
        <v>1239</v>
      </c>
      <c r="H75" s="399" t="s">
        <v>1239</v>
      </c>
      <c r="I75" s="399" t="s">
        <v>893</v>
      </c>
      <c r="J75" s="399" t="s">
        <v>2400</v>
      </c>
      <c r="K75" s="788">
        <v>44531</v>
      </c>
      <c r="L75" s="399">
        <v>0</v>
      </c>
      <c r="M75" s="399">
        <v>0</v>
      </c>
      <c r="N75" s="399">
        <v>1.032</v>
      </c>
      <c r="O75" s="399">
        <v>1.032</v>
      </c>
      <c r="P75" s="399">
        <v>1.032</v>
      </c>
      <c r="Q75" s="399">
        <v>1.032</v>
      </c>
      <c r="R75" s="399"/>
      <c r="S75" s="399">
        <v>3305.85</v>
      </c>
      <c r="T75" s="399">
        <v>286.42</v>
      </c>
      <c r="U75" s="399"/>
      <c r="V75" s="399">
        <v>3707.22264</v>
      </c>
      <c r="W75" s="399">
        <v>3707.22264</v>
      </c>
      <c r="X75" s="399">
        <v>2694.6552000000001</v>
      </c>
      <c r="Y75" s="399">
        <v>0</v>
      </c>
      <c r="Z75" s="399">
        <v>54.643798452393341</v>
      </c>
      <c r="AA75" s="399">
        <v>0</v>
      </c>
      <c r="AB75" s="399">
        <v>0</v>
      </c>
      <c r="AC75" s="399">
        <v>0</v>
      </c>
      <c r="AD75" s="399">
        <v>672.84859325804837</v>
      </c>
      <c r="AE75" s="399">
        <v>2635.0971015319651</v>
      </c>
      <c r="AF75" s="399">
        <v>295.58889229164907</v>
      </c>
      <c r="AG75" s="399">
        <v>0</v>
      </c>
      <c r="AH75" s="399">
        <v>0</v>
      </c>
      <c r="AI75" s="399">
        <v>0</v>
      </c>
      <c r="AJ75" s="399">
        <v>0</v>
      </c>
      <c r="AK75" s="399">
        <v>0</v>
      </c>
      <c r="AL75" s="399">
        <v>9.7068774013367278</v>
      </c>
      <c r="AM75" s="399"/>
      <c r="AN75" s="399">
        <v>1.4139302249725989</v>
      </c>
      <c r="AO75" s="399">
        <v>0</v>
      </c>
      <c r="AP75" s="399">
        <v>0</v>
      </c>
      <c r="AQ75" s="399">
        <v>0</v>
      </c>
      <c r="AR75" s="399">
        <v>0</v>
      </c>
      <c r="AS75" s="399">
        <v>0</v>
      </c>
      <c r="AT75" s="399">
        <v>0</v>
      </c>
      <c r="AU75" s="399">
        <v>0</v>
      </c>
      <c r="AV75" s="399">
        <v>0</v>
      </c>
      <c r="AW75" s="399">
        <v>0</v>
      </c>
      <c r="AX75" s="399">
        <v>0</v>
      </c>
      <c r="AY75" s="399">
        <v>0</v>
      </c>
      <c r="AZ75" s="399">
        <v>0</v>
      </c>
      <c r="BA75" s="399"/>
      <c r="BB75" s="399">
        <v>0</v>
      </c>
      <c r="BC75" s="399">
        <v>0</v>
      </c>
      <c r="BD75" s="399">
        <v>0</v>
      </c>
      <c r="BE75" s="399">
        <v>0</v>
      </c>
      <c r="BF75" s="399">
        <v>0</v>
      </c>
      <c r="BG75" s="399">
        <v>12.16448900709721</v>
      </c>
      <c r="BH75" s="399">
        <v>0</v>
      </c>
      <c r="BI75" s="399">
        <v>0</v>
      </c>
      <c r="BJ75" s="399">
        <v>0</v>
      </c>
      <c r="BK75" s="399">
        <v>0</v>
      </c>
      <c r="BL75" s="399">
        <v>0</v>
      </c>
      <c r="BM75" s="399"/>
      <c r="BN75" s="399"/>
      <c r="BO75" s="399"/>
      <c r="BP75" s="399"/>
      <c r="BQ75" s="399"/>
      <c r="BR75" s="399"/>
      <c r="BS75" s="399"/>
      <c r="BT75" s="399"/>
      <c r="BU75" s="399"/>
      <c r="BV75" s="399">
        <v>307.75338129874626</v>
      </c>
      <c r="BW75" s="399"/>
      <c r="BX75" s="399"/>
      <c r="BY75" s="399"/>
      <c r="BZ75" s="399"/>
      <c r="CA75" s="399"/>
      <c r="CB75" s="399"/>
      <c r="CC75" s="399"/>
      <c r="CD75" s="399"/>
      <c r="CE75" s="399"/>
      <c r="CF75" s="399"/>
      <c r="CG75" s="399"/>
      <c r="CH75" s="399"/>
      <c r="CI75" s="399">
        <v>2689.433</v>
      </c>
      <c r="CJ75" s="399">
        <v>-1017.8196400000006</v>
      </c>
      <c r="CK75" s="399"/>
      <c r="CL75" s="399"/>
      <c r="CM75" s="399"/>
      <c r="CN75" s="399"/>
      <c r="CO75" s="399">
        <v>-945.67319999999995</v>
      </c>
      <c r="CP75" s="399">
        <v>-66.894240000000025</v>
      </c>
      <c r="CQ75" s="399"/>
      <c r="CR75" s="399">
        <v>-51.030533372811192</v>
      </c>
      <c r="CS75" s="399">
        <v>0</v>
      </c>
      <c r="CT75" s="399">
        <v>0</v>
      </c>
      <c r="CU75" s="399">
        <v>0</v>
      </c>
      <c r="CV75" s="399">
        <v>0</v>
      </c>
      <c r="CW75" s="399">
        <v>0</v>
      </c>
      <c r="CX75" s="399">
        <v>0</v>
      </c>
      <c r="CY75" s="399">
        <v>0</v>
      </c>
      <c r="CZ75" s="399">
        <v>23.090082855075707</v>
      </c>
      <c r="DA75" s="399">
        <v>0</v>
      </c>
      <c r="DB75" s="399">
        <v>0</v>
      </c>
      <c r="DC75" s="399">
        <v>-66.901226110621138</v>
      </c>
      <c r="DD75" s="399">
        <v>0</v>
      </c>
      <c r="DE75" s="399">
        <v>0</v>
      </c>
      <c r="DF75" s="399">
        <v>0</v>
      </c>
      <c r="DG75" s="399">
        <v>-2.753213164657792</v>
      </c>
      <c r="DH75" s="399">
        <v>0</v>
      </c>
      <c r="DI75" s="399">
        <v>-3.7909764458653399</v>
      </c>
      <c r="DJ75" s="399"/>
      <c r="DK75" s="399">
        <v>0</v>
      </c>
      <c r="DL75" s="399">
        <v>0</v>
      </c>
      <c r="DM75" s="399">
        <v>0</v>
      </c>
      <c r="DN75" s="399">
        <v>0</v>
      </c>
      <c r="DO75" s="399">
        <v>-0.5555080788357678</v>
      </c>
      <c r="DP75" s="399">
        <v>-0.11969242790669576</v>
      </c>
      <c r="DQ75" s="399">
        <v>0</v>
      </c>
      <c r="DR75" s="399">
        <v>0</v>
      </c>
      <c r="DS75" s="399"/>
      <c r="DT75" s="399"/>
      <c r="DU75" s="399"/>
      <c r="DV75" s="399">
        <v>2635.0971015319651</v>
      </c>
      <c r="DW75" s="399">
        <v>0</v>
      </c>
      <c r="DX75" s="399">
        <v>0</v>
      </c>
      <c r="DY75" s="399">
        <v>-945.67320000000018</v>
      </c>
      <c r="DZ75" s="399">
        <v>-66.894239999999996</v>
      </c>
      <c r="EA75" s="399">
        <v>0</v>
      </c>
      <c r="EB75" s="399">
        <v>0</v>
      </c>
      <c r="EC75" s="399">
        <v>-961.54724321646904</v>
      </c>
      <c r="ED75" s="399">
        <v>0</v>
      </c>
      <c r="EE75" s="399">
        <v>0</v>
      </c>
      <c r="EF75" s="399">
        <v>0</v>
      </c>
      <c r="EG75" s="399">
        <v>0</v>
      </c>
      <c r="EH75" s="399">
        <v>0</v>
      </c>
      <c r="EI75" s="399">
        <v>0</v>
      </c>
      <c r="EJ75" s="399">
        <v>0</v>
      </c>
      <c r="EK75" s="399">
        <v>0</v>
      </c>
      <c r="EL75" s="399">
        <v>0</v>
      </c>
      <c r="EM75" s="399">
        <v>0</v>
      </c>
      <c r="EN75" s="399">
        <v>0</v>
      </c>
      <c r="EO75" s="399">
        <v>0</v>
      </c>
      <c r="EP75" s="399">
        <v>25.766420607148021</v>
      </c>
      <c r="EQ75" s="399">
        <v>0</v>
      </c>
      <c r="ER75" s="399">
        <v>0</v>
      </c>
      <c r="ES75" s="399">
        <v>0</v>
      </c>
      <c r="ET75" s="399">
        <v>0</v>
      </c>
      <c r="EU75" s="399">
        <v>0</v>
      </c>
      <c r="EV75" s="399">
        <v>202</v>
      </c>
      <c r="EW75" s="399">
        <v>0</v>
      </c>
      <c r="EX75" s="399">
        <v>0</v>
      </c>
      <c r="EY75" s="399">
        <v>0</v>
      </c>
      <c r="EZ75" s="399"/>
      <c r="FA75" s="399">
        <v>0</v>
      </c>
      <c r="FB75" s="399">
        <v>-17.698635468909799</v>
      </c>
      <c r="FC75" s="399"/>
      <c r="FD75" s="399">
        <v>-17.698635468909799</v>
      </c>
      <c r="FE75" s="399"/>
      <c r="FF75" s="399">
        <v>0</v>
      </c>
      <c r="FG75" s="399">
        <v>0</v>
      </c>
      <c r="FH75" s="399">
        <v>0</v>
      </c>
      <c r="FI75" s="399">
        <v>0</v>
      </c>
    </row>
    <row r="76" spans="1:165" customFormat="1">
      <c r="A76" s="399">
        <v>85</v>
      </c>
      <c r="B76" s="399" t="s">
        <v>956</v>
      </c>
      <c r="C76" s="399" t="s">
        <v>2399</v>
      </c>
      <c r="D76" s="399" t="s">
        <v>533</v>
      </c>
      <c r="E76" s="399" t="s">
        <v>918</v>
      </c>
      <c r="F76" s="399" t="s">
        <v>1239</v>
      </c>
      <c r="G76" s="399" t="s">
        <v>1239</v>
      </c>
      <c r="H76" s="399" t="s">
        <v>1239</v>
      </c>
      <c r="I76" s="399" t="s">
        <v>2326</v>
      </c>
      <c r="J76" s="399" t="s">
        <v>2400</v>
      </c>
      <c r="K76" s="788">
        <v>44531</v>
      </c>
      <c r="L76" s="399">
        <v>0</v>
      </c>
      <c r="M76" s="399">
        <v>0</v>
      </c>
      <c r="N76" s="399">
        <v>18.707999999999998</v>
      </c>
      <c r="O76" s="399">
        <v>18.707999999999998</v>
      </c>
      <c r="P76" s="399">
        <v>18.707999999999998</v>
      </c>
      <c r="Q76" s="399">
        <v>18.707999999999998</v>
      </c>
      <c r="R76" s="399"/>
      <c r="S76" s="399">
        <v>100.48</v>
      </c>
      <c r="T76" s="399">
        <v>286.42</v>
      </c>
      <c r="U76" s="399"/>
      <c r="V76" s="399">
        <v>7238.1252000000004</v>
      </c>
      <c r="W76" s="399">
        <v>7238.1252000000004</v>
      </c>
      <c r="X76" s="399">
        <v>5894.5166399999998</v>
      </c>
      <c r="Y76" s="399">
        <v>0</v>
      </c>
      <c r="Z76" s="399">
        <v>990.57769520094428</v>
      </c>
      <c r="AA76" s="399">
        <v>0</v>
      </c>
      <c r="AB76" s="399">
        <v>0</v>
      </c>
      <c r="AC76" s="399">
        <v>0</v>
      </c>
      <c r="AD76" s="399">
        <v>0</v>
      </c>
      <c r="AE76" s="399">
        <v>0</v>
      </c>
      <c r="AF76" s="399">
        <v>5358.4079428218702</v>
      </c>
      <c r="AG76" s="399">
        <v>0</v>
      </c>
      <c r="AH76" s="399">
        <v>0</v>
      </c>
      <c r="AI76" s="399">
        <v>0</v>
      </c>
      <c r="AJ76" s="399">
        <v>0</v>
      </c>
      <c r="AK76" s="399">
        <v>0</v>
      </c>
      <c r="AL76" s="399">
        <v>175.9653705660925</v>
      </c>
      <c r="AM76" s="399"/>
      <c r="AN76" s="399">
        <v>25.631595589910251</v>
      </c>
      <c r="AO76" s="399">
        <v>0</v>
      </c>
      <c r="AP76" s="399">
        <v>0</v>
      </c>
      <c r="AQ76" s="399">
        <v>0</v>
      </c>
      <c r="AR76" s="399">
        <v>0</v>
      </c>
      <c r="AS76" s="399">
        <v>0</v>
      </c>
      <c r="AT76" s="399">
        <v>0</v>
      </c>
      <c r="AU76" s="399">
        <v>0</v>
      </c>
      <c r="AV76" s="399">
        <v>0</v>
      </c>
      <c r="AW76" s="399">
        <v>0</v>
      </c>
      <c r="AX76" s="399">
        <v>0</v>
      </c>
      <c r="AY76" s="399">
        <v>0</v>
      </c>
      <c r="AZ76" s="399">
        <v>0</v>
      </c>
      <c r="BA76" s="399"/>
      <c r="BB76" s="399">
        <v>0</v>
      </c>
      <c r="BC76" s="399">
        <v>0</v>
      </c>
      <c r="BD76" s="399">
        <v>0</v>
      </c>
      <c r="BE76" s="399">
        <v>0</v>
      </c>
      <c r="BF76" s="399">
        <v>0</v>
      </c>
      <c r="BG76" s="399">
        <v>220.51672514028544</v>
      </c>
      <c r="BH76" s="399">
        <v>0</v>
      </c>
      <c r="BI76" s="399">
        <v>0</v>
      </c>
      <c r="BJ76" s="399">
        <v>0</v>
      </c>
      <c r="BK76" s="399">
        <v>0</v>
      </c>
      <c r="BL76" s="399">
        <v>0</v>
      </c>
      <c r="BM76" s="399"/>
      <c r="BN76" s="399"/>
      <c r="BO76" s="399"/>
      <c r="BP76" s="399"/>
      <c r="BQ76" s="399"/>
      <c r="BR76" s="399"/>
      <c r="BS76" s="399"/>
      <c r="BT76" s="399"/>
      <c r="BU76" s="399"/>
      <c r="BV76" s="399">
        <v>5578.9246679621556</v>
      </c>
      <c r="BW76" s="399"/>
      <c r="BX76" s="399"/>
      <c r="BY76" s="399"/>
      <c r="BZ76" s="399"/>
      <c r="CA76" s="399"/>
      <c r="CB76" s="399"/>
      <c r="CC76" s="399"/>
      <c r="CD76" s="399"/>
      <c r="CE76" s="399"/>
      <c r="CF76" s="399"/>
      <c r="CG76" s="399"/>
      <c r="CH76" s="399"/>
      <c r="CI76" s="399">
        <v>5895.1468000000004</v>
      </c>
      <c r="CJ76" s="399">
        <v>-1343.0083999999997</v>
      </c>
      <c r="CK76" s="399"/>
      <c r="CL76" s="399"/>
      <c r="CM76" s="399"/>
      <c r="CN76" s="399"/>
      <c r="CO76" s="399">
        <v>-130.95599999999999</v>
      </c>
      <c r="CP76" s="399">
        <v>-1212.6525600000002</v>
      </c>
      <c r="CQ76" s="399"/>
      <c r="CR76" s="399">
        <v>-1343.6516360380838</v>
      </c>
      <c r="CS76" s="399">
        <v>0</v>
      </c>
      <c r="CT76" s="399">
        <v>0</v>
      </c>
      <c r="CU76" s="399">
        <v>0</v>
      </c>
      <c r="CV76" s="399">
        <v>0</v>
      </c>
      <c r="CW76" s="399">
        <v>0</v>
      </c>
      <c r="CX76" s="399">
        <v>0</v>
      </c>
      <c r="CY76" s="399">
        <v>0</v>
      </c>
      <c r="CZ76" s="399">
        <v>0</v>
      </c>
      <c r="DA76" s="399">
        <v>0</v>
      </c>
      <c r="DB76" s="399">
        <v>0</v>
      </c>
      <c r="DC76" s="399">
        <v>-1212.7792035634684</v>
      </c>
      <c r="DD76" s="399">
        <v>0</v>
      </c>
      <c r="DE76" s="399">
        <v>0</v>
      </c>
      <c r="DF76" s="399">
        <v>0</v>
      </c>
      <c r="DG76" s="399">
        <v>-49.909992136063948</v>
      </c>
      <c r="DH76" s="399">
        <v>0</v>
      </c>
      <c r="DI76" s="399">
        <v>-68.722468361675055</v>
      </c>
      <c r="DJ76" s="399"/>
      <c r="DK76" s="399">
        <v>0</v>
      </c>
      <c r="DL76" s="399">
        <v>0</v>
      </c>
      <c r="DM76" s="399">
        <v>0</v>
      </c>
      <c r="DN76" s="399">
        <v>0</v>
      </c>
      <c r="DO76" s="399">
        <v>-10.070198777964634</v>
      </c>
      <c r="DP76" s="399">
        <v>-2.1697731989132407</v>
      </c>
      <c r="DQ76" s="399">
        <v>0</v>
      </c>
      <c r="DR76" s="399">
        <v>0</v>
      </c>
      <c r="DS76" s="399"/>
      <c r="DT76" s="399"/>
      <c r="DU76" s="399"/>
      <c r="DV76" s="399">
        <v>0</v>
      </c>
      <c r="DW76" s="399">
        <v>0</v>
      </c>
      <c r="DX76" s="399">
        <v>0</v>
      </c>
      <c r="DY76" s="399">
        <v>-130.9559999999999</v>
      </c>
      <c r="DZ76" s="399">
        <v>-1212.6525600000004</v>
      </c>
      <c r="EA76" s="399">
        <v>0</v>
      </c>
      <c r="EB76" s="399">
        <v>0</v>
      </c>
      <c r="EC76" s="399">
        <v>0</v>
      </c>
      <c r="ED76" s="399">
        <v>0</v>
      </c>
      <c r="EE76" s="399">
        <v>0</v>
      </c>
      <c r="EF76" s="399">
        <v>0</v>
      </c>
      <c r="EG76" s="399">
        <v>0</v>
      </c>
      <c r="EH76" s="399">
        <v>0</v>
      </c>
      <c r="EI76" s="399">
        <v>0</v>
      </c>
      <c r="EJ76" s="399">
        <v>0</v>
      </c>
      <c r="EK76" s="399">
        <v>0</v>
      </c>
      <c r="EL76" s="399">
        <v>0</v>
      </c>
      <c r="EM76" s="399">
        <v>0</v>
      </c>
      <c r="EN76" s="399">
        <v>0</v>
      </c>
      <c r="EO76" s="399">
        <v>0</v>
      </c>
      <c r="EP76" s="399">
        <v>467.09127589004368</v>
      </c>
      <c r="EQ76" s="399">
        <v>0</v>
      </c>
      <c r="ER76" s="399">
        <v>0</v>
      </c>
      <c r="ES76" s="399">
        <v>0</v>
      </c>
      <c r="ET76" s="399">
        <v>0</v>
      </c>
      <c r="EU76" s="399">
        <v>0</v>
      </c>
      <c r="EV76" s="399">
        <v>202</v>
      </c>
      <c r="EW76" s="399">
        <v>0</v>
      </c>
      <c r="EX76" s="399">
        <v>0</v>
      </c>
      <c r="EY76" s="399">
        <v>0</v>
      </c>
      <c r="EZ76" s="399"/>
      <c r="FA76" s="399">
        <v>0</v>
      </c>
      <c r="FB76" s="399">
        <v>-17.698635468909799</v>
      </c>
      <c r="FC76" s="399"/>
      <c r="FD76" s="399">
        <v>-17.698635468909799</v>
      </c>
      <c r="FE76" s="399"/>
      <c r="FF76" s="399">
        <v>0</v>
      </c>
      <c r="FG76" s="399">
        <v>0</v>
      </c>
      <c r="FH76" s="399">
        <v>0</v>
      </c>
      <c r="FI76" s="399">
        <v>0</v>
      </c>
    </row>
    <row r="77" spans="1:165" customFormat="1">
      <c r="A77" s="399">
        <v>86</v>
      </c>
      <c r="B77" s="399" t="s">
        <v>956</v>
      </c>
      <c r="C77" s="399" t="s">
        <v>2399</v>
      </c>
      <c r="D77" s="399" t="s">
        <v>533</v>
      </c>
      <c r="E77" s="399" t="s">
        <v>918</v>
      </c>
      <c r="F77" s="399" t="s">
        <v>1239</v>
      </c>
      <c r="G77" s="399" t="s">
        <v>1239</v>
      </c>
      <c r="H77" s="399" t="s">
        <v>1239</v>
      </c>
      <c r="I77" s="399" t="s">
        <v>1239</v>
      </c>
      <c r="J77" s="399" t="s">
        <v>2400</v>
      </c>
      <c r="K77" s="788">
        <v>44531</v>
      </c>
      <c r="L77" s="399">
        <v>200</v>
      </c>
      <c r="M77" s="399">
        <v>200</v>
      </c>
      <c r="N77" s="399">
        <v>0</v>
      </c>
      <c r="O77" s="399">
        <v>0</v>
      </c>
      <c r="P77" s="399">
        <v>0</v>
      </c>
      <c r="Q77" s="399">
        <v>0</v>
      </c>
      <c r="R77" s="399">
        <v>39.21</v>
      </c>
      <c r="S77" s="399"/>
      <c r="T77" s="399"/>
      <c r="U77" s="399">
        <v>7842</v>
      </c>
      <c r="V77" s="399"/>
      <c r="W77" s="399">
        <v>7842</v>
      </c>
      <c r="X77" s="399">
        <v>5968</v>
      </c>
      <c r="Y77" s="399">
        <v>0</v>
      </c>
      <c r="Z77" s="399">
        <v>0</v>
      </c>
      <c r="AA77" s="399">
        <v>0</v>
      </c>
      <c r="AB77" s="399">
        <v>0</v>
      </c>
      <c r="AC77" s="399">
        <v>0</v>
      </c>
      <c r="AD77" s="399">
        <v>2470.4459924729599</v>
      </c>
      <c r="AE77" s="399">
        <v>5372.3982459365207</v>
      </c>
      <c r="AF77" s="399"/>
      <c r="AG77" s="399"/>
      <c r="AH77" s="399"/>
      <c r="AI77" s="399">
        <v>0</v>
      </c>
      <c r="AJ77" s="399">
        <v>0</v>
      </c>
      <c r="AK77" s="399">
        <v>0</v>
      </c>
      <c r="AL77" s="399">
        <v>0</v>
      </c>
      <c r="AM77" s="399"/>
      <c r="AN77" s="399">
        <v>0</v>
      </c>
      <c r="AO77" s="399">
        <v>0</v>
      </c>
      <c r="AP77" s="399">
        <v>0</v>
      </c>
      <c r="AQ77" s="399">
        <v>0</v>
      </c>
      <c r="AR77" s="399">
        <v>0</v>
      </c>
      <c r="AS77" s="399"/>
      <c r="AT77" s="399"/>
      <c r="AU77" s="399">
        <v>0</v>
      </c>
      <c r="AV77" s="399">
        <v>0</v>
      </c>
      <c r="AW77" s="399">
        <v>0</v>
      </c>
      <c r="AX77" s="399"/>
      <c r="AY77" s="399"/>
      <c r="AZ77" s="399">
        <v>0</v>
      </c>
      <c r="BA77" s="399"/>
      <c r="BB77" s="399">
        <v>0</v>
      </c>
      <c r="BC77" s="399">
        <v>0</v>
      </c>
      <c r="BD77" s="399">
        <v>0</v>
      </c>
      <c r="BE77" s="399">
        <v>0</v>
      </c>
      <c r="BF77" s="399"/>
      <c r="BG77" s="399">
        <v>0</v>
      </c>
      <c r="BH77" s="399">
        <v>0</v>
      </c>
      <c r="BI77" s="399">
        <v>117.11</v>
      </c>
      <c r="BJ77" s="399">
        <v>540.54</v>
      </c>
      <c r="BK77" s="399">
        <v>3397.67</v>
      </c>
      <c r="BL77" s="399">
        <v>1</v>
      </c>
      <c r="BM77" s="399"/>
      <c r="BN77" s="399"/>
      <c r="BO77" s="399"/>
      <c r="BP77" s="399"/>
      <c r="BQ77" s="399"/>
      <c r="BR77" s="399"/>
      <c r="BS77" s="399"/>
      <c r="BT77" s="399"/>
      <c r="BU77" s="399"/>
      <c r="BV77" s="399">
        <v>0</v>
      </c>
      <c r="BW77" s="399"/>
      <c r="BX77" s="399"/>
      <c r="BY77" s="399"/>
      <c r="BZ77" s="399"/>
      <c r="CA77" s="399"/>
      <c r="CB77" s="399"/>
      <c r="CC77" s="399"/>
      <c r="CD77" s="399"/>
      <c r="CE77" s="399"/>
      <c r="CF77" s="399"/>
      <c r="CG77" s="399"/>
      <c r="CH77" s="399"/>
      <c r="CI77" s="399">
        <v>5968</v>
      </c>
      <c r="CJ77" s="399">
        <v>-1874.0300000000007</v>
      </c>
      <c r="CK77" s="399"/>
      <c r="CL77" s="399"/>
      <c r="CM77" s="399"/>
      <c r="CN77" s="399"/>
      <c r="CO77" s="399">
        <v>-1874.0000000000002</v>
      </c>
      <c r="CP77" s="399">
        <v>0</v>
      </c>
      <c r="CQ77" s="399"/>
      <c r="CR77" s="399">
        <v>84.77806630906025</v>
      </c>
      <c r="CS77" s="399">
        <v>0</v>
      </c>
      <c r="CT77" s="399">
        <v>0</v>
      </c>
      <c r="CU77" s="399">
        <v>0</v>
      </c>
      <c r="CV77" s="399">
        <v>0</v>
      </c>
      <c r="CW77" s="399"/>
      <c r="CX77" s="399"/>
      <c r="CY77" s="399"/>
      <c r="CZ77" s="399">
        <v>84.77806630906025</v>
      </c>
      <c r="DA77" s="399">
        <v>0</v>
      </c>
      <c r="DB77" s="399">
        <v>0</v>
      </c>
      <c r="DC77" s="399"/>
      <c r="DD77" s="399"/>
      <c r="DE77" s="399">
        <v>0</v>
      </c>
      <c r="DF77" s="399">
        <v>0</v>
      </c>
      <c r="DG77" s="399">
        <v>0</v>
      </c>
      <c r="DH77" s="399">
        <v>0</v>
      </c>
      <c r="DI77" s="399">
        <v>0</v>
      </c>
      <c r="DJ77" s="399"/>
      <c r="DK77" s="399">
        <v>0</v>
      </c>
      <c r="DL77" s="399">
        <v>0</v>
      </c>
      <c r="DM77" s="399"/>
      <c r="DN77" s="399">
        <v>0</v>
      </c>
      <c r="DO77" s="399">
        <v>0</v>
      </c>
      <c r="DP77" s="399">
        <v>0</v>
      </c>
      <c r="DQ77" s="399">
        <v>0</v>
      </c>
      <c r="DR77" s="399">
        <v>0</v>
      </c>
      <c r="DS77" s="399"/>
      <c r="DT77" s="399"/>
      <c r="DU77" s="399">
        <v>5372.3982459365207</v>
      </c>
      <c r="DV77" s="399"/>
      <c r="DW77" s="399">
        <v>0</v>
      </c>
      <c r="DX77" s="399">
        <v>0</v>
      </c>
      <c r="DY77" s="399">
        <v>-1874</v>
      </c>
      <c r="DZ77" s="399"/>
      <c r="EA77" s="399">
        <v>0</v>
      </c>
      <c r="EB77" s="399"/>
      <c r="EC77" s="399">
        <v>-1960.3887537343408</v>
      </c>
      <c r="ED77" s="399"/>
      <c r="EE77" s="399">
        <v>0</v>
      </c>
      <c r="EF77" s="399">
        <v>0</v>
      </c>
      <c r="EG77" s="399"/>
      <c r="EH77" s="399">
        <v>0</v>
      </c>
      <c r="EI77" s="399">
        <v>0</v>
      </c>
      <c r="EJ77" s="399">
        <v>0</v>
      </c>
      <c r="EK77" s="399">
        <v>0</v>
      </c>
      <c r="EL77" s="399">
        <v>0</v>
      </c>
      <c r="EM77" s="399"/>
      <c r="EN77" s="399"/>
      <c r="EO77" s="399">
        <v>0</v>
      </c>
      <c r="EP77" s="399">
        <v>0</v>
      </c>
      <c r="EQ77" s="399"/>
      <c r="ER77" s="399">
        <v>0</v>
      </c>
      <c r="ES77" s="399"/>
      <c r="ET77" s="399">
        <v>0</v>
      </c>
      <c r="EU77" s="399"/>
      <c r="EV77" s="399">
        <v>202</v>
      </c>
      <c r="EW77" s="399"/>
      <c r="EX77" s="399"/>
      <c r="EY77" s="399"/>
      <c r="EZ77" s="399"/>
      <c r="FA77" s="399">
        <v>0</v>
      </c>
      <c r="FB77" s="399">
        <v>-17.698635468909799</v>
      </c>
      <c r="FC77" s="399"/>
      <c r="FD77" s="399">
        <v>-17.698635468909799</v>
      </c>
      <c r="FE77" s="399"/>
      <c r="FF77" s="399">
        <v>0</v>
      </c>
      <c r="FG77" s="399">
        <v>0</v>
      </c>
      <c r="FH77" s="399">
        <v>0</v>
      </c>
      <c r="FI77" s="399">
        <v>0</v>
      </c>
    </row>
    <row r="78" spans="1:165" customFormat="1">
      <c r="A78" s="399">
        <v>92</v>
      </c>
      <c r="B78" s="399" t="s">
        <v>956</v>
      </c>
      <c r="C78" s="399" t="s">
        <v>2399</v>
      </c>
      <c r="D78" s="399" t="s">
        <v>533</v>
      </c>
      <c r="E78" s="399" t="s">
        <v>921</v>
      </c>
      <c r="F78" s="399" t="s">
        <v>2401</v>
      </c>
      <c r="G78" s="399" t="s">
        <v>1239</v>
      </c>
      <c r="H78" s="399" t="s">
        <v>1239</v>
      </c>
      <c r="I78" s="399" t="s">
        <v>893</v>
      </c>
      <c r="J78" s="399" t="s">
        <v>2400</v>
      </c>
      <c r="K78" s="788">
        <v>44531</v>
      </c>
      <c r="L78" s="399">
        <v>0</v>
      </c>
      <c r="M78" s="399">
        <v>0</v>
      </c>
      <c r="N78" s="399">
        <v>22.725999999999999</v>
      </c>
      <c r="O78" s="399">
        <v>21.362439999999999</v>
      </c>
      <c r="P78" s="399">
        <v>22.725999999999999</v>
      </c>
      <c r="Q78" s="399">
        <v>21.362439999999999</v>
      </c>
      <c r="R78" s="399"/>
      <c r="S78" s="399">
        <v>3305.85</v>
      </c>
      <c r="T78" s="399">
        <v>286.42</v>
      </c>
      <c r="U78" s="399"/>
      <c r="V78" s="399">
        <v>81637.928019999992</v>
      </c>
      <c r="W78" s="399">
        <v>81637.928019999992</v>
      </c>
      <c r="X78" s="399">
        <v>59339.858599999992</v>
      </c>
      <c r="Y78" s="399">
        <v>0</v>
      </c>
      <c r="Z78" s="399">
        <v>1203.3284531289642</v>
      </c>
      <c r="AA78" s="399">
        <v>0</v>
      </c>
      <c r="AB78" s="399">
        <v>0</v>
      </c>
      <c r="AC78" s="399">
        <v>0</v>
      </c>
      <c r="AD78" s="399">
        <v>14817.012723238766</v>
      </c>
      <c r="AE78" s="399">
        <v>58028.310784317284</v>
      </c>
      <c r="AF78" s="399">
        <v>6509.2569440116431</v>
      </c>
      <c r="AG78" s="399">
        <v>0</v>
      </c>
      <c r="AH78" s="399">
        <v>0</v>
      </c>
      <c r="AI78" s="399">
        <v>0</v>
      </c>
      <c r="AJ78" s="399">
        <v>0</v>
      </c>
      <c r="AK78" s="399">
        <v>0</v>
      </c>
      <c r="AL78" s="399">
        <v>213.75823238641323</v>
      </c>
      <c r="AM78" s="399"/>
      <c r="AN78" s="399">
        <v>31.136606872797753</v>
      </c>
      <c r="AO78" s="399">
        <v>0</v>
      </c>
      <c r="AP78" s="399">
        <v>0</v>
      </c>
      <c r="AQ78" s="399">
        <v>0</v>
      </c>
      <c r="AR78" s="399">
        <v>0</v>
      </c>
      <c r="AS78" s="399">
        <v>0</v>
      </c>
      <c r="AT78" s="399">
        <v>0</v>
      </c>
      <c r="AU78" s="399">
        <v>0</v>
      </c>
      <c r="AV78" s="399">
        <v>0</v>
      </c>
      <c r="AW78" s="399">
        <v>0</v>
      </c>
      <c r="AX78" s="399">
        <v>0</v>
      </c>
      <c r="AY78" s="399">
        <v>0</v>
      </c>
      <c r="AZ78" s="399">
        <v>0</v>
      </c>
      <c r="BA78" s="399"/>
      <c r="BB78" s="399">
        <v>0</v>
      </c>
      <c r="BC78" s="399">
        <v>0</v>
      </c>
      <c r="BD78" s="399">
        <v>0</v>
      </c>
      <c r="BE78" s="399">
        <v>0</v>
      </c>
      <c r="BF78" s="399">
        <v>0</v>
      </c>
      <c r="BG78" s="399">
        <v>267.87807865822788</v>
      </c>
      <c r="BH78" s="399">
        <v>0</v>
      </c>
      <c r="BI78" s="399">
        <v>0</v>
      </c>
      <c r="BJ78" s="399">
        <v>0</v>
      </c>
      <c r="BK78" s="399">
        <v>0</v>
      </c>
      <c r="BL78" s="399">
        <v>0</v>
      </c>
      <c r="BM78" s="399"/>
      <c r="BN78" s="399"/>
      <c r="BO78" s="399"/>
      <c r="BP78" s="399"/>
      <c r="BQ78" s="399">
        <v>3560.3915159999988</v>
      </c>
      <c r="BR78" s="399"/>
      <c r="BS78" s="399"/>
      <c r="BT78" s="399"/>
      <c r="BU78" s="399"/>
      <c r="BV78" s="399">
        <v>6777.1350226698705</v>
      </c>
      <c r="BW78" s="399"/>
      <c r="BX78" s="399"/>
      <c r="BY78" s="399"/>
      <c r="BZ78" s="399"/>
      <c r="CA78" s="399"/>
      <c r="CB78" s="399"/>
      <c r="CC78" s="399"/>
      <c r="CD78" s="399"/>
      <c r="CE78" s="399"/>
      <c r="CF78" s="399"/>
      <c r="CG78" s="399"/>
      <c r="CH78" s="399"/>
      <c r="CI78" s="399">
        <v>55773.096000000005</v>
      </c>
      <c r="CJ78" s="399">
        <v>-20966.586338799985</v>
      </c>
      <c r="CK78" s="399"/>
      <c r="CL78" s="399"/>
      <c r="CM78" s="399"/>
      <c r="CN78" s="399"/>
      <c r="CO78" s="399">
        <v>-20824.970099999999</v>
      </c>
      <c r="CP78" s="399">
        <v>-1473.0993200000005</v>
      </c>
      <c r="CQ78" s="399"/>
      <c r="CR78" s="399">
        <v>-1123.7595944093991</v>
      </c>
      <c r="CS78" s="399">
        <v>0</v>
      </c>
      <c r="CT78" s="399">
        <v>0</v>
      </c>
      <c r="CU78" s="399">
        <v>0</v>
      </c>
      <c r="CV78" s="399">
        <v>0</v>
      </c>
      <c r="CW78" s="399">
        <v>0</v>
      </c>
      <c r="CX78" s="399">
        <v>0</v>
      </c>
      <c r="CY78" s="399">
        <v>0</v>
      </c>
      <c r="CZ78" s="399">
        <v>508.47405326012631</v>
      </c>
      <c r="DA78" s="399">
        <v>0</v>
      </c>
      <c r="DB78" s="399">
        <v>0</v>
      </c>
      <c r="DC78" s="399">
        <v>-1473.2531633623794</v>
      </c>
      <c r="DD78" s="399">
        <v>0</v>
      </c>
      <c r="DE78" s="399">
        <v>0</v>
      </c>
      <c r="DF78" s="399">
        <v>0</v>
      </c>
      <c r="DG78" s="399">
        <v>-60.629382151175378</v>
      </c>
      <c r="DH78" s="399">
        <v>0</v>
      </c>
      <c r="DI78" s="399">
        <v>-83.482297198387187</v>
      </c>
      <c r="DJ78" s="399"/>
      <c r="DK78" s="399">
        <v>0</v>
      </c>
      <c r="DL78" s="399">
        <v>0</v>
      </c>
      <c r="DM78" s="399">
        <v>0</v>
      </c>
      <c r="DN78" s="399">
        <v>0</v>
      </c>
      <c r="DO78" s="399">
        <v>-12.233019960873662</v>
      </c>
      <c r="DP78" s="399">
        <v>-2.6357849967127578</v>
      </c>
      <c r="DQ78" s="399">
        <v>0</v>
      </c>
      <c r="DR78" s="399">
        <v>0</v>
      </c>
      <c r="DS78" s="399"/>
      <c r="DT78" s="399"/>
      <c r="DU78" s="399"/>
      <c r="DV78" s="399">
        <v>58028.310784317284</v>
      </c>
      <c r="DW78" s="399">
        <v>0</v>
      </c>
      <c r="DX78" s="399">
        <v>0</v>
      </c>
      <c r="DY78" s="399">
        <v>-20824.970099999999</v>
      </c>
      <c r="DZ78" s="399">
        <v>-1473.0993200000003</v>
      </c>
      <c r="EA78" s="399">
        <v>0</v>
      </c>
      <c r="EB78" s="399">
        <v>0</v>
      </c>
      <c r="EC78" s="399">
        <v>-21174.537450908407</v>
      </c>
      <c r="ED78" s="399">
        <v>0</v>
      </c>
      <c r="EE78" s="399">
        <v>0</v>
      </c>
      <c r="EF78" s="399">
        <v>0</v>
      </c>
      <c r="EG78" s="399">
        <v>0</v>
      </c>
      <c r="EH78" s="399">
        <v>0</v>
      </c>
      <c r="EI78" s="399">
        <v>0</v>
      </c>
      <c r="EJ78" s="399">
        <v>0</v>
      </c>
      <c r="EK78" s="399">
        <v>0</v>
      </c>
      <c r="EL78" s="399">
        <v>0</v>
      </c>
      <c r="EM78" s="399">
        <v>0</v>
      </c>
      <c r="EN78" s="399">
        <v>0</v>
      </c>
      <c r="EO78" s="399">
        <v>0</v>
      </c>
      <c r="EP78" s="399">
        <v>567.41053751748632</v>
      </c>
      <c r="EQ78" s="399">
        <v>0</v>
      </c>
      <c r="ER78" s="399">
        <v>0</v>
      </c>
      <c r="ES78" s="399">
        <v>0</v>
      </c>
      <c r="ET78" s="399">
        <v>0</v>
      </c>
      <c r="EU78" s="399">
        <v>0</v>
      </c>
      <c r="EV78" s="399">
        <v>202</v>
      </c>
      <c r="EW78" s="399">
        <v>0</v>
      </c>
      <c r="EX78" s="399">
        <v>0</v>
      </c>
      <c r="EY78" s="399">
        <v>0</v>
      </c>
      <c r="EZ78" s="399"/>
      <c r="FA78" s="399">
        <v>0</v>
      </c>
      <c r="FB78" s="399">
        <v>-17.698635468909799</v>
      </c>
      <c r="FC78" s="399"/>
      <c r="FD78" s="399">
        <v>-17.698635468909799</v>
      </c>
      <c r="FE78" s="399"/>
      <c r="FF78" s="399">
        <v>0</v>
      </c>
      <c r="FG78" s="399">
        <v>0</v>
      </c>
      <c r="FH78" s="399">
        <v>0</v>
      </c>
      <c r="FI78" s="399">
        <v>0</v>
      </c>
    </row>
    <row r="79" spans="1:165" customFormat="1">
      <c r="A79" s="399">
        <v>73</v>
      </c>
      <c r="B79" s="399" t="s">
        <v>956</v>
      </c>
      <c r="C79" s="399" t="s">
        <v>2402</v>
      </c>
      <c r="D79" s="399" t="s">
        <v>1823</v>
      </c>
      <c r="E79" s="399" t="s">
        <v>889</v>
      </c>
      <c r="F79" s="399" t="s">
        <v>889</v>
      </c>
      <c r="G79" s="399" t="s">
        <v>1239</v>
      </c>
      <c r="H79" s="399" t="s">
        <v>1239</v>
      </c>
      <c r="I79" s="399" t="s">
        <v>1239</v>
      </c>
      <c r="J79" s="399" t="s">
        <v>2400</v>
      </c>
      <c r="K79" s="788">
        <v>44531</v>
      </c>
      <c r="L79" s="399">
        <v>0</v>
      </c>
      <c r="M79" s="399">
        <v>0</v>
      </c>
      <c r="N79" s="399">
        <v>442.464</v>
      </c>
      <c r="O79" s="399">
        <v>442.464</v>
      </c>
      <c r="P79" s="399">
        <v>442.464</v>
      </c>
      <c r="Q79" s="399">
        <v>442.464</v>
      </c>
      <c r="R79" s="399"/>
      <c r="S79" s="399">
        <v>609.05999999999995</v>
      </c>
      <c r="T79" s="399">
        <v>286.42</v>
      </c>
      <c r="U79" s="399"/>
      <c r="V79" s="399">
        <v>396217.66271999996</v>
      </c>
      <c r="W79" s="399">
        <v>396217.66271999996</v>
      </c>
      <c r="X79" s="399">
        <v>302587.85567999998</v>
      </c>
      <c r="Y79" s="399">
        <v>0</v>
      </c>
      <c r="Z79" s="399">
        <v>26928.978034437947</v>
      </c>
      <c r="AA79" s="399">
        <v>0</v>
      </c>
      <c r="AB79" s="399">
        <v>0</v>
      </c>
      <c r="AC79" s="399">
        <v>0</v>
      </c>
      <c r="AD79" s="399">
        <v>43207.560877760581</v>
      </c>
      <c r="AE79" s="399">
        <v>166902.72824187731</v>
      </c>
      <c r="AF79" s="399">
        <v>126732.01902997306</v>
      </c>
      <c r="AG79" s="399">
        <v>0</v>
      </c>
      <c r="AH79" s="399">
        <v>0</v>
      </c>
      <c r="AI79" s="399">
        <v>0</v>
      </c>
      <c r="AJ79" s="399">
        <v>0</v>
      </c>
      <c r="AK79" s="399">
        <v>0</v>
      </c>
      <c r="AL79" s="399">
        <v>4161.7672504893935</v>
      </c>
      <c r="AM79" s="399"/>
      <c r="AN79" s="399">
        <v>755.65664097692832</v>
      </c>
      <c r="AO79" s="399">
        <v>0</v>
      </c>
      <c r="AP79" s="399">
        <v>0</v>
      </c>
      <c r="AQ79" s="399">
        <v>0</v>
      </c>
      <c r="AR79" s="399">
        <v>0</v>
      </c>
      <c r="AS79" s="399">
        <v>0</v>
      </c>
      <c r="AT79" s="399">
        <v>0</v>
      </c>
      <c r="AU79" s="399">
        <v>0</v>
      </c>
      <c r="AV79" s="399">
        <v>0</v>
      </c>
      <c r="AW79" s="399">
        <v>0</v>
      </c>
      <c r="AX79" s="399">
        <v>0</v>
      </c>
      <c r="AY79" s="399">
        <v>0</v>
      </c>
      <c r="AZ79" s="399">
        <v>0</v>
      </c>
      <c r="BA79" s="399"/>
      <c r="BB79" s="399">
        <v>0</v>
      </c>
      <c r="BC79" s="399">
        <v>0</v>
      </c>
      <c r="BD79" s="399">
        <v>0</v>
      </c>
      <c r="BE79" s="399">
        <v>0</v>
      </c>
      <c r="BF79" s="399">
        <v>0</v>
      </c>
      <c r="BG79" s="399">
        <v>14832.419292149933</v>
      </c>
      <c r="BH79" s="399">
        <v>0</v>
      </c>
      <c r="BI79" s="399">
        <v>1562</v>
      </c>
      <c r="BJ79" s="399">
        <v>8014.89</v>
      </c>
      <c r="BK79" s="399">
        <v>75019.14</v>
      </c>
      <c r="BL79" s="399">
        <v>3261</v>
      </c>
      <c r="BM79" s="399"/>
      <c r="BN79" s="399"/>
      <c r="BO79" s="399"/>
      <c r="BP79" s="399"/>
      <c r="BQ79" s="399"/>
      <c r="BR79" s="399"/>
      <c r="BS79" s="399"/>
      <c r="BT79" s="399"/>
      <c r="BU79" s="399"/>
      <c r="BV79" s="399">
        <v>141564.43832212299</v>
      </c>
      <c r="BW79" s="399"/>
      <c r="BX79" s="399"/>
      <c r="BY79" s="399"/>
      <c r="BZ79" s="399"/>
      <c r="CA79" s="399"/>
      <c r="CB79" s="399"/>
      <c r="CC79" s="399"/>
      <c r="CD79" s="399"/>
      <c r="CE79" s="399"/>
      <c r="CF79" s="399"/>
      <c r="CG79" s="399"/>
      <c r="CH79" s="399"/>
      <c r="CI79" s="399">
        <v>302585.1202</v>
      </c>
      <c r="CJ79" s="399">
        <v>-93632.572519999987</v>
      </c>
      <c r="CK79" s="399"/>
      <c r="CL79" s="399"/>
      <c r="CM79" s="399"/>
      <c r="CN79" s="399"/>
      <c r="CO79" s="399">
        <v>-64949.290559999987</v>
      </c>
      <c r="CP79" s="399">
        <v>-28680.516480000009</v>
      </c>
      <c r="CQ79" s="399"/>
      <c r="CR79" s="399">
        <v>-32728.180825098127</v>
      </c>
      <c r="CS79" s="399">
        <v>0</v>
      </c>
      <c r="CT79" s="399">
        <v>0</v>
      </c>
      <c r="CU79" s="399">
        <v>0</v>
      </c>
      <c r="CV79" s="399">
        <v>0</v>
      </c>
      <c r="CW79" s="399">
        <v>0</v>
      </c>
      <c r="CX79" s="399">
        <v>0</v>
      </c>
      <c r="CY79" s="399">
        <v>0</v>
      </c>
      <c r="CZ79" s="399">
        <v>1482.7498647243483</v>
      </c>
      <c r="DA79" s="399">
        <v>0</v>
      </c>
      <c r="DB79" s="399">
        <v>0</v>
      </c>
      <c r="DC79" s="399">
        <v>-28683.511734311876</v>
      </c>
      <c r="DD79" s="399">
        <v>0</v>
      </c>
      <c r="DE79" s="399">
        <v>0</v>
      </c>
      <c r="DF79" s="399">
        <v>0</v>
      </c>
      <c r="DG79" s="399">
        <v>-3357.0511704228174</v>
      </c>
      <c r="DH79" s="399">
        <v>0</v>
      </c>
      <c r="DI79" s="399">
        <v>-1868.2288627632406</v>
      </c>
      <c r="DJ79" s="399"/>
      <c r="DK79" s="399">
        <v>0</v>
      </c>
      <c r="DL79" s="399">
        <v>0</v>
      </c>
      <c r="DM79" s="399">
        <v>0</v>
      </c>
      <c r="DN79" s="399">
        <v>0</v>
      </c>
      <c r="DO79" s="399">
        <v>-238.17085910270271</v>
      </c>
      <c r="DP79" s="399">
        <v>-63.968063221860575</v>
      </c>
      <c r="DQ79" s="399">
        <v>0</v>
      </c>
      <c r="DR79" s="399">
        <v>0</v>
      </c>
      <c r="DS79" s="399"/>
      <c r="DT79" s="399"/>
      <c r="DU79" s="399"/>
      <c r="DV79" s="399">
        <v>166902.72824187731</v>
      </c>
      <c r="DW79" s="399">
        <v>0</v>
      </c>
      <c r="DX79" s="399">
        <v>0</v>
      </c>
      <c r="DY79" s="399">
        <v>-64949.290559999965</v>
      </c>
      <c r="DZ79" s="399">
        <v>-28680.516480000006</v>
      </c>
      <c r="EA79" s="399">
        <v>0</v>
      </c>
      <c r="EB79" s="399">
        <v>0</v>
      </c>
      <c r="EC79" s="399">
        <v>-60902.825225295353</v>
      </c>
      <c r="ED79" s="399">
        <v>0</v>
      </c>
      <c r="EE79" s="399">
        <v>0</v>
      </c>
      <c r="EF79" s="399">
        <v>0</v>
      </c>
      <c r="EG79" s="399">
        <v>0</v>
      </c>
      <c r="EH79" s="399">
        <v>0</v>
      </c>
      <c r="EI79" s="399">
        <v>0</v>
      </c>
      <c r="EJ79" s="399">
        <v>0</v>
      </c>
      <c r="EK79" s="399">
        <v>0</v>
      </c>
      <c r="EL79" s="399">
        <v>0</v>
      </c>
      <c r="EM79" s="399">
        <v>0</v>
      </c>
      <c r="EN79" s="399">
        <v>0</v>
      </c>
      <c r="EO79" s="399">
        <v>0</v>
      </c>
      <c r="EP79" s="399">
        <v>12697.934517866366</v>
      </c>
      <c r="EQ79" s="399">
        <v>0</v>
      </c>
      <c r="ER79" s="399">
        <v>0</v>
      </c>
      <c r="ES79" s="399">
        <v>0</v>
      </c>
      <c r="ET79" s="399">
        <v>0</v>
      </c>
      <c r="EU79" s="399">
        <v>0</v>
      </c>
      <c r="EV79" s="399">
        <v>202</v>
      </c>
      <c r="EW79" s="399">
        <v>0</v>
      </c>
      <c r="EX79" s="399">
        <v>0</v>
      </c>
      <c r="EY79" s="399">
        <v>0</v>
      </c>
      <c r="EZ79" s="399"/>
      <c r="FA79" s="399">
        <v>0</v>
      </c>
      <c r="FB79" s="399">
        <v>-17.698635468909799</v>
      </c>
      <c r="FC79" s="399"/>
      <c r="FD79" s="399">
        <v>-17.698635468909799</v>
      </c>
      <c r="FE79" s="399"/>
      <c r="FF79" s="399">
        <v>0</v>
      </c>
      <c r="FG79" s="399">
        <v>0</v>
      </c>
      <c r="FH79" s="399">
        <v>0</v>
      </c>
      <c r="FI79" s="399">
        <v>0</v>
      </c>
    </row>
    <row r="80" spans="1:165" customFormat="1">
      <c r="A80" s="399">
        <v>74</v>
      </c>
      <c r="B80" s="399" t="s">
        <v>2403</v>
      </c>
      <c r="C80" s="399" t="s">
        <v>2402</v>
      </c>
      <c r="D80" s="399" t="s">
        <v>1823</v>
      </c>
      <c r="E80" s="399" t="s">
        <v>889</v>
      </c>
      <c r="F80" s="399" t="s">
        <v>889</v>
      </c>
      <c r="G80" s="399" t="s">
        <v>1239</v>
      </c>
      <c r="H80" s="399" t="s">
        <v>1239</v>
      </c>
      <c r="I80" s="399" t="s">
        <v>1239</v>
      </c>
      <c r="J80" s="399" t="s">
        <v>2400</v>
      </c>
      <c r="K80" s="788">
        <v>44531</v>
      </c>
      <c r="L80" s="399">
        <v>0</v>
      </c>
      <c r="M80" s="399">
        <v>0</v>
      </c>
      <c r="N80" s="399">
        <v>1.28</v>
      </c>
      <c r="O80" s="399">
        <v>1.28</v>
      </c>
      <c r="P80" s="399">
        <v>1.28</v>
      </c>
      <c r="Q80" s="399">
        <v>1.28</v>
      </c>
      <c r="R80" s="399"/>
      <c r="S80" s="399">
        <v>609.05999999999995</v>
      </c>
      <c r="T80" s="399">
        <v>286.42</v>
      </c>
      <c r="U80" s="399"/>
      <c r="V80" s="399">
        <v>1146.2143999999998</v>
      </c>
      <c r="W80" s="399">
        <v>1146.2143999999998</v>
      </c>
      <c r="X80" s="399">
        <v>875.35360000000003</v>
      </c>
      <c r="Y80" s="399">
        <v>0</v>
      </c>
      <c r="Z80" s="399">
        <v>77.902590683265913</v>
      </c>
      <c r="AA80" s="399">
        <v>0</v>
      </c>
      <c r="AB80" s="399">
        <v>0</v>
      </c>
      <c r="AC80" s="399">
        <v>0</v>
      </c>
      <c r="AD80" s="399">
        <v>124.99475194260673</v>
      </c>
      <c r="AE80" s="399">
        <v>482.8313538493594</v>
      </c>
      <c r="AF80" s="399">
        <v>366.62188191212283</v>
      </c>
      <c r="AG80" s="399">
        <v>0</v>
      </c>
      <c r="AH80" s="399">
        <v>0</v>
      </c>
      <c r="AI80" s="399">
        <v>0</v>
      </c>
      <c r="AJ80" s="399">
        <v>0</v>
      </c>
      <c r="AK80" s="399">
        <v>0</v>
      </c>
      <c r="AL80" s="399">
        <v>12.039537862123073</v>
      </c>
      <c r="AM80" s="399"/>
      <c r="AN80" s="399">
        <v>2.1860320849842432</v>
      </c>
      <c r="AO80" s="399">
        <v>0</v>
      </c>
      <c r="AP80" s="399">
        <v>0</v>
      </c>
      <c r="AQ80" s="399">
        <v>0</v>
      </c>
      <c r="AR80" s="399">
        <v>0</v>
      </c>
      <c r="AS80" s="399">
        <v>0</v>
      </c>
      <c r="AT80" s="399">
        <v>0</v>
      </c>
      <c r="AU80" s="399">
        <v>0</v>
      </c>
      <c r="AV80" s="399">
        <v>0</v>
      </c>
      <c r="AW80" s="399">
        <v>0</v>
      </c>
      <c r="AX80" s="399">
        <v>0</v>
      </c>
      <c r="AY80" s="399">
        <v>0</v>
      </c>
      <c r="AZ80" s="399">
        <v>0</v>
      </c>
      <c r="BA80" s="399"/>
      <c r="BB80" s="399">
        <v>0</v>
      </c>
      <c r="BC80" s="399">
        <v>0</v>
      </c>
      <c r="BD80" s="399">
        <v>0</v>
      </c>
      <c r="BE80" s="399">
        <v>0</v>
      </c>
      <c r="BF80" s="399">
        <v>0</v>
      </c>
      <c r="BG80" s="399">
        <v>42.908568141028226</v>
      </c>
      <c r="BH80" s="399">
        <v>0</v>
      </c>
      <c r="BI80" s="399">
        <v>8.77</v>
      </c>
      <c r="BJ80" s="399">
        <v>33.78</v>
      </c>
      <c r="BK80" s="399">
        <v>377.16</v>
      </c>
      <c r="BL80" s="399">
        <v>0</v>
      </c>
      <c r="BM80" s="399"/>
      <c r="BN80" s="399"/>
      <c r="BO80" s="399"/>
      <c r="BP80" s="399"/>
      <c r="BQ80" s="399"/>
      <c r="BR80" s="399"/>
      <c r="BS80" s="399"/>
      <c r="BT80" s="399"/>
      <c r="BU80" s="399"/>
      <c r="BV80" s="399">
        <v>409.53045005315107</v>
      </c>
      <c r="BW80" s="399"/>
      <c r="BX80" s="399"/>
      <c r="BY80" s="399"/>
      <c r="BZ80" s="399"/>
      <c r="CA80" s="399"/>
      <c r="CB80" s="399"/>
      <c r="CC80" s="399"/>
      <c r="CD80" s="399"/>
      <c r="CE80" s="399"/>
      <c r="CF80" s="399"/>
      <c r="CG80" s="399"/>
      <c r="CH80" s="399"/>
      <c r="CI80" s="399">
        <v>875.35360000000003</v>
      </c>
      <c r="CJ80" s="399">
        <v>-270.89079999999979</v>
      </c>
      <c r="CK80" s="399"/>
      <c r="CL80" s="399"/>
      <c r="CM80" s="399"/>
      <c r="CN80" s="399"/>
      <c r="CO80" s="399">
        <v>-187.89119999999997</v>
      </c>
      <c r="CP80" s="399">
        <v>-82.969600000000028</v>
      </c>
      <c r="CQ80" s="399"/>
      <c r="CR80" s="399">
        <v>-94.679050625871582</v>
      </c>
      <c r="CS80" s="399">
        <v>0</v>
      </c>
      <c r="CT80" s="399">
        <v>0</v>
      </c>
      <c r="CU80" s="399">
        <v>0</v>
      </c>
      <c r="CV80" s="399">
        <v>0</v>
      </c>
      <c r="CW80" s="399">
        <v>0</v>
      </c>
      <c r="CX80" s="399">
        <v>0</v>
      </c>
      <c r="CY80" s="399">
        <v>0</v>
      </c>
      <c r="CZ80" s="399">
        <v>4.2894333253036763</v>
      </c>
      <c r="DA80" s="399">
        <v>0</v>
      </c>
      <c r="DB80" s="399">
        <v>0</v>
      </c>
      <c r="DC80" s="399">
        <v>-82.978264943406032</v>
      </c>
      <c r="DD80" s="399">
        <v>0</v>
      </c>
      <c r="DE80" s="399">
        <v>0</v>
      </c>
      <c r="DF80" s="399">
        <v>0</v>
      </c>
      <c r="DG80" s="399">
        <v>-9.7115821810163254</v>
      </c>
      <c r="DH80" s="399">
        <v>0</v>
      </c>
      <c r="DI80" s="399">
        <v>-5.4045819418911805</v>
      </c>
      <c r="DJ80" s="399"/>
      <c r="DK80" s="399">
        <v>0</v>
      </c>
      <c r="DL80" s="399">
        <v>0</v>
      </c>
      <c r="DM80" s="399">
        <v>0</v>
      </c>
      <c r="DN80" s="399">
        <v>0</v>
      </c>
      <c r="DO80" s="399">
        <v>-0.68900226832343137</v>
      </c>
      <c r="DP80" s="399">
        <v>-0.18505261653825267</v>
      </c>
      <c r="DQ80" s="399">
        <v>0</v>
      </c>
      <c r="DR80" s="399">
        <v>0</v>
      </c>
      <c r="DS80" s="399"/>
      <c r="DT80" s="399"/>
      <c r="DU80" s="399"/>
      <c r="DV80" s="399">
        <v>482.8313538493594</v>
      </c>
      <c r="DW80" s="399">
        <v>0</v>
      </c>
      <c r="DX80" s="399">
        <v>0</v>
      </c>
      <c r="DY80" s="399">
        <v>-187.89119999999991</v>
      </c>
      <c r="DZ80" s="399">
        <v>-82.969600000000014</v>
      </c>
      <c r="EA80" s="399">
        <v>0</v>
      </c>
      <c r="EB80" s="399">
        <v>0</v>
      </c>
      <c r="EC80" s="399">
        <v>-176.18521798017025</v>
      </c>
      <c r="ED80" s="399">
        <v>0</v>
      </c>
      <c r="EE80" s="399">
        <v>0</v>
      </c>
      <c r="EF80" s="399">
        <v>0</v>
      </c>
      <c r="EG80" s="399">
        <v>0</v>
      </c>
      <c r="EH80" s="399">
        <v>0</v>
      </c>
      <c r="EI80" s="399">
        <v>0</v>
      </c>
      <c r="EJ80" s="399">
        <v>0</v>
      </c>
      <c r="EK80" s="399">
        <v>0</v>
      </c>
      <c r="EL80" s="399">
        <v>0</v>
      </c>
      <c r="EM80" s="399">
        <v>0</v>
      </c>
      <c r="EN80" s="399">
        <v>0</v>
      </c>
      <c r="EO80" s="399">
        <v>0</v>
      </c>
      <c r="EP80" s="399">
        <v>36.733736943274366</v>
      </c>
      <c r="EQ80" s="399">
        <v>0</v>
      </c>
      <c r="ER80" s="399">
        <v>0</v>
      </c>
      <c r="ES80" s="399">
        <v>0</v>
      </c>
      <c r="ET80" s="399">
        <v>0</v>
      </c>
      <c r="EU80" s="399">
        <v>0</v>
      </c>
      <c r="EV80" s="399">
        <v>202</v>
      </c>
      <c r="EW80" s="399">
        <v>0</v>
      </c>
      <c r="EX80" s="399">
        <v>0</v>
      </c>
      <c r="EY80" s="399">
        <v>0</v>
      </c>
      <c r="EZ80" s="399"/>
      <c r="FA80" s="399">
        <v>0</v>
      </c>
      <c r="FB80" s="399">
        <v>-17.698635468909799</v>
      </c>
      <c r="FC80" s="399"/>
      <c r="FD80" s="399">
        <v>-17.698635468909799</v>
      </c>
      <c r="FE80" s="399"/>
      <c r="FF80" s="399">
        <v>0</v>
      </c>
      <c r="FG80" s="399">
        <v>0</v>
      </c>
      <c r="FH80" s="399">
        <v>0</v>
      </c>
      <c r="FI80" s="399">
        <v>0</v>
      </c>
    </row>
    <row r="81" spans="1:165" customFormat="1">
      <c r="A81" s="399">
        <v>75</v>
      </c>
      <c r="B81" s="399" t="s">
        <v>2404</v>
      </c>
      <c r="C81" s="399" t="s">
        <v>2402</v>
      </c>
      <c r="D81" s="399" t="s">
        <v>1823</v>
      </c>
      <c r="E81" s="399" t="s">
        <v>889</v>
      </c>
      <c r="F81" s="399" t="s">
        <v>889</v>
      </c>
      <c r="G81" s="399" t="s">
        <v>1239</v>
      </c>
      <c r="H81" s="399" t="s">
        <v>1239</v>
      </c>
      <c r="I81" s="399" t="s">
        <v>1239</v>
      </c>
      <c r="J81" s="399" t="s">
        <v>2400</v>
      </c>
      <c r="K81" s="788">
        <v>44531</v>
      </c>
      <c r="L81" s="399">
        <v>0</v>
      </c>
      <c r="M81" s="399">
        <v>0</v>
      </c>
      <c r="N81" s="399">
        <v>2.3849999999999998</v>
      </c>
      <c r="O81" s="399">
        <v>2.3849999999999998</v>
      </c>
      <c r="P81" s="399">
        <v>2.3849999999999998</v>
      </c>
      <c r="Q81" s="399">
        <v>2.3849999999999998</v>
      </c>
      <c r="R81" s="399"/>
      <c r="S81" s="399">
        <v>609.05999999999995</v>
      </c>
      <c r="T81" s="399">
        <v>286.42</v>
      </c>
      <c r="U81" s="399"/>
      <c r="V81" s="399">
        <v>2135.7197999999999</v>
      </c>
      <c r="W81" s="399">
        <v>2135.7197999999999</v>
      </c>
      <c r="X81" s="399">
        <v>1631.0299499999996</v>
      </c>
      <c r="Y81" s="399">
        <v>0</v>
      </c>
      <c r="Z81" s="399">
        <v>145.15443654655405</v>
      </c>
      <c r="AA81" s="399">
        <v>0</v>
      </c>
      <c r="AB81" s="399">
        <v>0</v>
      </c>
      <c r="AC81" s="399">
        <v>0</v>
      </c>
      <c r="AD81" s="399">
        <v>232.90037764306018</v>
      </c>
      <c r="AE81" s="399">
        <v>899.65060853962655</v>
      </c>
      <c r="AF81" s="399">
        <v>683.11967840657258</v>
      </c>
      <c r="AG81" s="399">
        <v>0</v>
      </c>
      <c r="AH81" s="399">
        <v>0</v>
      </c>
      <c r="AI81" s="399">
        <v>0</v>
      </c>
      <c r="AJ81" s="399">
        <v>0</v>
      </c>
      <c r="AK81" s="399">
        <v>0</v>
      </c>
      <c r="AL81" s="399">
        <v>22.433045157159004</v>
      </c>
      <c r="AM81" s="399"/>
      <c r="AN81" s="399">
        <v>4.0731925958495463</v>
      </c>
      <c r="AO81" s="399">
        <v>0</v>
      </c>
      <c r="AP81" s="399">
        <v>0</v>
      </c>
      <c r="AQ81" s="399">
        <v>0</v>
      </c>
      <c r="AR81" s="399">
        <v>0</v>
      </c>
      <c r="AS81" s="399">
        <v>0</v>
      </c>
      <c r="AT81" s="399">
        <v>0</v>
      </c>
      <c r="AU81" s="399">
        <v>0</v>
      </c>
      <c r="AV81" s="399">
        <v>0</v>
      </c>
      <c r="AW81" s="399">
        <v>0</v>
      </c>
      <c r="AX81" s="399">
        <v>0</v>
      </c>
      <c r="AY81" s="399">
        <v>0</v>
      </c>
      <c r="AZ81" s="399">
        <v>0</v>
      </c>
      <c r="BA81" s="399"/>
      <c r="BB81" s="399">
        <v>0</v>
      </c>
      <c r="BC81" s="399">
        <v>0</v>
      </c>
      <c r="BD81" s="399">
        <v>0</v>
      </c>
      <c r="BE81" s="399">
        <v>0</v>
      </c>
      <c r="BF81" s="399">
        <v>0</v>
      </c>
      <c r="BG81" s="399">
        <v>79.950730481525241</v>
      </c>
      <c r="BH81" s="399">
        <v>0</v>
      </c>
      <c r="BI81" s="399">
        <v>8.17</v>
      </c>
      <c r="BJ81" s="399">
        <v>35.020000000000003</v>
      </c>
      <c r="BK81" s="399">
        <v>1770.88</v>
      </c>
      <c r="BL81" s="399">
        <v>29</v>
      </c>
      <c r="BM81" s="399"/>
      <c r="BN81" s="399"/>
      <c r="BO81" s="399"/>
      <c r="BP81" s="399"/>
      <c r="BQ81" s="399"/>
      <c r="BR81" s="399"/>
      <c r="BS81" s="399"/>
      <c r="BT81" s="399"/>
      <c r="BU81" s="399"/>
      <c r="BV81" s="399">
        <v>763.07040888809786</v>
      </c>
      <c r="BW81" s="399"/>
      <c r="BX81" s="399"/>
      <c r="BY81" s="399"/>
      <c r="BZ81" s="399"/>
      <c r="CA81" s="399"/>
      <c r="CB81" s="399"/>
      <c r="CC81" s="399"/>
      <c r="CD81" s="399"/>
      <c r="CE81" s="399"/>
      <c r="CF81" s="399"/>
      <c r="CG81" s="399"/>
      <c r="CH81" s="399"/>
      <c r="CI81" s="399">
        <v>1634.4493</v>
      </c>
      <c r="CJ81" s="399">
        <v>-501.3004999999996</v>
      </c>
      <c r="CK81" s="399"/>
      <c r="CL81" s="399"/>
      <c r="CM81" s="399"/>
      <c r="CN81" s="399"/>
      <c r="CO81" s="399">
        <v>-350.0941499999999</v>
      </c>
      <c r="CP81" s="399">
        <v>-154.59570000000005</v>
      </c>
      <c r="CQ81" s="399"/>
      <c r="CR81" s="399">
        <v>-176.41369979898741</v>
      </c>
      <c r="CS81" s="399">
        <v>0</v>
      </c>
      <c r="CT81" s="399">
        <v>0</v>
      </c>
      <c r="CU81" s="399">
        <v>0</v>
      </c>
      <c r="CV81" s="399">
        <v>0</v>
      </c>
      <c r="CW81" s="399">
        <v>0</v>
      </c>
      <c r="CX81" s="399">
        <v>0</v>
      </c>
      <c r="CY81" s="399">
        <v>0</v>
      </c>
      <c r="CZ81" s="399">
        <v>7.9924206881634632</v>
      </c>
      <c r="DA81" s="399">
        <v>0</v>
      </c>
      <c r="DB81" s="399">
        <v>0</v>
      </c>
      <c r="DC81" s="399">
        <v>-154.61184522658073</v>
      </c>
      <c r="DD81" s="399">
        <v>0</v>
      </c>
      <c r="DE81" s="399">
        <v>0</v>
      </c>
      <c r="DF81" s="399">
        <v>0</v>
      </c>
      <c r="DG81" s="399">
        <v>-18.095408985721818</v>
      </c>
      <c r="DH81" s="399">
        <v>0</v>
      </c>
      <c r="DI81" s="399">
        <v>-10.070256196414448</v>
      </c>
      <c r="DJ81" s="399"/>
      <c r="DK81" s="399">
        <v>0</v>
      </c>
      <c r="DL81" s="399">
        <v>0</v>
      </c>
      <c r="DM81" s="399">
        <v>0</v>
      </c>
      <c r="DN81" s="399">
        <v>0</v>
      </c>
      <c r="DO81" s="399">
        <v>-1.283805007774518</v>
      </c>
      <c r="DP81" s="399">
        <v>-0.3448050706591661</v>
      </c>
      <c r="DQ81" s="399">
        <v>0</v>
      </c>
      <c r="DR81" s="399">
        <v>0</v>
      </c>
      <c r="DS81" s="399"/>
      <c r="DT81" s="399"/>
      <c r="DU81" s="399"/>
      <c r="DV81" s="399">
        <v>899.65060853962655</v>
      </c>
      <c r="DW81" s="399">
        <v>0</v>
      </c>
      <c r="DX81" s="399">
        <v>0</v>
      </c>
      <c r="DY81" s="399">
        <v>-350.0941499999999</v>
      </c>
      <c r="DZ81" s="399">
        <v>-154.59569999999997</v>
      </c>
      <c r="EA81" s="399">
        <v>0</v>
      </c>
      <c r="EB81" s="399">
        <v>0</v>
      </c>
      <c r="EC81" s="399">
        <v>-328.28261318961404</v>
      </c>
      <c r="ED81" s="399">
        <v>0</v>
      </c>
      <c r="EE81" s="399">
        <v>0</v>
      </c>
      <c r="EF81" s="399">
        <v>0</v>
      </c>
      <c r="EG81" s="399">
        <v>0</v>
      </c>
      <c r="EH81" s="399">
        <v>0</v>
      </c>
      <c r="EI81" s="399">
        <v>0</v>
      </c>
      <c r="EJ81" s="399">
        <v>0</v>
      </c>
      <c r="EK81" s="399">
        <v>0</v>
      </c>
      <c r="EL81" s="399">
        <v>0</v>
      </c>
      <c r="EM81" s="399">
        <v>0</v>
      </c>
      <c r="EN81" s="399">
        <v>0</v>
      </c>
      <c r="EO81" s="399">
        <v>0</v>
      </c>
      <c r="EP81" s="399">
        <v>68.445283288835441</v>
      </c>
      <c r="EQ81" s="399">
        <v>0</v>
      </c>
      <c r="ER81" s="399">
        <v>0</v>
      </c>
      <c r="ES81" s="399">
        <v>0</v>
      </c>
      <c r="ET81" s="399">
        <v>0</v>
      </c>
      <c r="EU81" s="399">
        <v>0</v>
      </c>
      <c r="EV81" s="399">
        <v>202</v>
      </c>
      <c r="EW81" s="399">
        <v>0</v>
      </c>
      <c r="EX81" s="399">
        <v>0</v>
      </c>
      <c r="EY81" s="399">
        <v>0</v>
      </c>
      <c r="EZ81" s="399"/>
      <c r="FA81" s="399">
        <v>0</v>
      </c>
      <c r="FB81" s="399">
        <v>-17.698635468909799</v>
      </c>
      <c r="FC81" s="399"/>
      <c r="FD81" s="399">
        <v>-17.698635468909799</v>
      </c>
      <c r="FE81" s="399"/>
      <c r="FF81" s="399">
        <v>0</v>
      </c>
      <c r="FG81" s="399">
        <v>0</v>
      </c>
      <c r="FH81" s="399">
        <v>0</v>
      </c>
      <c r="FI81" s="399">
        <v>0</v>
      </c>
    </row>
    <row r="82" spans="1:165" customFormat="1">
      <c r="A82" s="399">
        <v>76</v>
      </c>
      <c r="B82" s="399" t="s">
        <v>956</v>
      </c>
      <c r="C82" s="399" t="s">
        <v>2402</v>
      </c>
      <c r="D82" s="399" t="s">
        <v>1823</v>
      </c>
      <c r="E82" s="399" t="s">
        <v>889</v>
      </c>
      <c r="F82" s="399" t="s">
        <v>2405</v>
      </c>
      <c r="G82" s="399" t="s">
        <v>1239</v>
      </c>
      <c r="H82" s="399" t="s">
        <v>1239</v>
      </c>
      <c r="I82" s="399" t="s">
        <v>1239</v>
      </c>
      <c r="J82" s="399" t="s">
        <v>2400</v>
      </c>
      <c r="K82" s="788">
        <v>44531</v>
      </c>
      <c r="L82" s="399">
        <v>0</v>
      </c>
      <c r="M82" s="399">
        <v>0</v>
      </c>
      <c r="N82" s="399">
        <v>3.66</v>
      </c>
      <c r="O82" s="399">
        <v>3.66</v>
      </c>
      <c r="P82" s="399">
        <v>3.66</v>
      </c>
      <c r="Q82" s="399">
        <v>3.66</v>
      </c>
      <c r="R82" s="399"/>
      <c r="S82" s="399">
        <v>510.09</v>
      </c>
      <c r="T82" s="399">
        <v>286.42</v>
      </c>
      <c r="U82" s="399"/>
      <c r="V82" s="399">
        <v>2915.2266</v>
      </c>
      <c r="W82" s="399">
        <v>2915.2266</v>
      </c>
      <c r="X82" s="399">
        <v>2158.1922</v>
      </c>
      <c r="Y82" s="399">
        <v>0</v>
      </c>
      <c r="Z82" s="399">
        <v>0</v>
      </c>
      <c r="AA82" s="399">
        <v>0</v>
      </c>
      <c r="AB82" s="399">
        <v>0</v>
      </c>
      <c r="AC82" s="399">
        <v>0</v>
      </c>
      <c r="AD82" s="399">
        <v>357.40686883589115</v>
      </c>
      <c r="AE82" s="399">
        <v>1380.595902413012</v>
      </c>
      <c r="AF82" s="399">
        <v>1048.3094435924763</v>
      </c>
      <c r="AG82" s="399">
        <v>0</v>
      </c>
      <c r="AH82" s="399">
        <v>0</v>
      </c>
      <c r="AI82" s="399">
        <v>0</v>
      </c>
      <c r="AJ82" s="399">
        <v>0</v>
      </c>
      <c r="AK82" s="399">
        <v>0</v>
      </c>
      <c r="AL82" s="399">
        <v>0</v>
      </c>
      <c r="AM82" s="399"/>
      <c r="AN82" s="399">
        <v>6.2506854930018205</v>
      </c>
      <c r="AO82" s="399">
        <v>0</v>
      </c>
      <c r="AP82" s="399">
        <v>0</v>
      </c>
      <c r="AQ82" s="399">
        <v>0</v>
      </c>
      <c r="AR82" s="399">
        <v>0</v>
      </c>
      <c r="AS82" s="399">
        <v>0</v>
      </c>
      <c r="AT82" s="399">
        <v>0</v>
      </c>
      <c r="AU82" s="399">
        <v>0</v>
      </c>
      <c r="AV82" s="399">
        <v>0</v>
      </c>
      <c r="AW82" s="399">
        <v>0</v>
      </c>
      <c r="AX82" s="399">
        <v>0</v>
      </c>
      <c r="AY82" s="399">
        <v>0</v>
      </c>
      <c r="AZ82" s="399">
        <v>0</v>
      </c>
      <c r="BA82" s="399"/>
      <c r="BB82" s="399">
        <v>0</v>
      </c>
      <c r="BC82" s="399">
        <v>0</v>
      </c>
      <c r="BD82" s="399">
        <v>0</v>
      </c>
      <c r="BE82" s="399">
        <v>0</v>
      </c>
      <c r="BF82" s="399">
        <v>0</v>
      </c>
      <c r="BG82" s="399">
        <v>122.69168702825259</v>
      </c>
      <c r="BH82" s="399">
        <v>0</v>
      </c>
      <c r="BI82" s="399">
        <v>3.68</v>
      </c>
      <c r="BJ82" s="399">
        <v>19.59</v>
      </c>
      <c r="BK82" s="399">
        <v>431.66</v>
      </c>
      <c r="BL82" s="399">
        <v>0</v>
      </c>
      <c r="BM82" s="399"/>
      <c r="BN82" s="399"/>
      <c r="BO82" s="399"/>
      <c r="BP82" s="399"/>
      <c r="BQ82" s="399"/>
      <c r="BR82" s="399"/>
      <c r="BS82" s="399"/>
      <c r="BT82" s="399">
        <v>1402.8414</v>
      </c>
      <c r="BU82" s="399"/>
      <c r="BV82" s="399">
        <v>1171.0011306207289</v>
      </c>
      <c r="BW82" s="399"/>
      <c r="BX82" s="399"/>
      <c r="BY82" s="399"/>
      <c r="BZ82" s="399"/>
      <c r="CA82" s="399"/>
      <c r="CB82" s="399"/>
      <c r="CC82" s="399"/>
      <c r="CD82" s="399"/>
      <c r="CE82" s="399"/>
      <c r="CF82" s="399"/>
      <c r="CG82" s="399"/>
      <c r="CH82" s="399"/>
      <c r="CI82" s="399">
        <v>755.35079999999994</v>
      </c>
      <c r="CJ82" s="399">
        <v>-265.01400000000012</v>
      </c>
      <c r="CK82" s="399"/>
      <c r="CL82" s="399"/>
      <c r="CM82" s="399"/>
      <c r="CN82" s="399"/>
      <c r="CO82" s="399">
        <v>-519.79319999999996</v>
      </c>
      <c r="CP82" s="399">
        <v>-237.24120000000008</v>
      </c>
      <c r="CQ82" s="399"/>
      <c r="CR82" s="399">
        <v>-253.29906803226913</v>
      </c>
      <c r="CS82" s="399">
        <v>0</v>
      </c>
      <c r="CT82" s="399">
        <v>0</v>
      </c>
      <c r="CU82" s="399">
        <v>0</v>
      </c>
      <c r="CV82" s="399">
        <v>0</v>
      </c>
      <c r="CW82" s="399">
        <v>0</v>
      </c>
      <c r="CX82" s="399">
        <v>0</v>
      </c>
      <c r="CY82" s="399">
        <v>0</v>
      </c>
      <c r="CZ82" s="399">
        <v>12.265098414540148</v>
      </c>
      <c r="DA82" s="399">
        <v>0</v>
      </c>
      <c r="DB82" s="399">
        <v>0</v>
      </c>
      <c r="DC82" s="399">
        <v>-237.26597632255164</v>
      </c>
      <c r="DD82" s="399">
        <v>0</v>
      </c>
      <c r="DE82" s="399">
        <v>0</v>
      </c>
      <c r="DF82" s="399">
        <v>0</v>
      </c>
      <c r="DG82" s="399">
        <v>-27.769055298843554</v>
      </c>
      <c r="DH82" s="399">
        <v>0</v>
      </c>
      <c r="DI82" s="399">
        <v>0</v>
      </c>
      <c r="DJ82" s="399"/>
      <c r="DK82" s="399">
        <v>0</v>
      </c>
      <c r="DL82" s="399">
        <v>0</v>
      </c>
      <c r="DM82" s="399">
        <v>0</v>
      </c>
      <c r="DN82" s="399">
        <v>0</v>
      </c>
      <c r="DO82" s="399">
        <v>0</v>
      </c>
      <c r="DP82" s="399">
        <v>-0.52913482541406598</v>
      </c>
      <c r="DQ82" s="399">
        <v>0</v>
      </c>
      <c r="DR82" s="399">
        <v>0</v>
      </c>
      <c r="DS82" s="399"/>
      <c r="DT82" s="399"/>
      <c r="DU82" s="399"/>
      <c r="DV82" s="399">
        <v>1380.595902413012</v>
      </c>
      <c r="DW82" s="399">
        <v>0</v>
      </c>
      <c r="DX82" s="399">
        <v>0</v>
      </c>
      <c r="DY82" s="399">
        <v>-519.79320000000007</v>
      </c>
      <c r="DZ82" s="399">
        <v>-237.24120000000016</v>
      </c>
      <c r="EA82" s="399">
        <v>0</v>
      </c>
      <c r="EB82" s="399">
        <v>0</v>
      </c>
      <c r="EC82" s="399">
        <v>-503.77960766204933</v>
      </c>
      <c r="ED82" s="399">
        <v>0</v>
      </c>
      <c r="EE82" s="399">
        <v>0</v>
      </c>
      <c r="EF82" s="399">
        <v>0</v>
      </c>
      <c r="EG82" s="399">
        <v>0</v>
      </c>
      <c r="EH82" s="399">
        <v>0</v>
      </c>
      <c r="EI82" s="399">
        <v>0</v>
      </c>
      <c r="EJ82" s="399">
        <v>0</v>
      </c>
      <c r="EK82" s="399">
        <v>0</v>
      </c>
      <c r="EL82" s="399">
        <v>0</v>
      </c>
      <c r="EM82" s="399">
        <v>0</v>
      </c>
      <c r="EN82" s="399">
        <v>0</v>
      </c>
      <c r="EO82" s="399">
        <v>0</v>
      </c>
      <c r="EP82" s="399">
        <v>0</v>
      </c>
      <c r="EQ82" s="399">
        <v>0</v>
      </c>
      <c r="ER82" s="399">
        <v>0</v>
      </c>
      <c r="ES82" s="399">
        <v>0</v>
      </c>
      <c r="ET82" s="399">
        <v>0</v>
      </c>
      <c r="EU82" s="399">
        <v>0</v>
      </c>
      <c r="EV82" s="399">
        <v>202</v>
      </c>
      <c r="EW82" s="399">
        <v>0</v>
      </c>
      <c r="EX82" s="399">
        <v>0</v>
      </c>
      <c r="EY82" s="399">
        <v>0</v>
      </c>
      <c r="EZ82" s="399"/>
      <c r="FA82" s="399">
        <v>0</v>
      </c>
      <c r="FB82" s="399">
        <v>-17.698635468909799</v>
      </c>
      <c r="FC82" s="399"/>
      <c r="FD82" s="399">
        <v>-17.698635468909799</v>
      </c>
      <c r="FE82" s="399"/>
      <c r="FF82" s="399">
        <v>0</v>
      </c>
      <c r="FG82" s="399">
        <v>0</v>
      </c>
      <c r="FH82" s="399">
        <v>0</v>
      </c>
      <c r="FI82" s="399">
        <v>0</v>
      </c>
    </row>
    <row r="83" spans="1:165" s="818" customFormat="1">
      <c r="A83" s="399">
        <v>77</v>
      </c>
      <c r="B83" s="399" t="s">
        <v>956</v>
      </c>
      <c r="C83" s="399" t="s">
        <v>2402</v>
      </c>
      <c r="D83" s="399" t="s">
        <v>1823</v>
      </c>
      <c r="E83" s="399" t="s">
        <v>889</v>
      </c>
      <c r="F83" s="399" t="s">
        <v>2406</v>
      </c>
      <c r="G83" s="399" t="s">
        <v>1239</v>
      </c>
      <c r="H83" s="399" t="s">
        <v>1239</v>
      </c>
      <c r="I83" s="399" t="s">
        <v>1239</v>
      </c>
      <c r="J83" s="399" t="s">
        <v>2400</v>
      </c>
      <c r="K83" s="788">
        <v>44531</v>
      </c>
      <c r="L83" s="399">
        <v>0</v>
      </c>
      <c r="M83" s="399">
        <v>0</v>
      </c>
      <c r="N83" s="399">
        <v>7.7610000000000001</v>
      </c>
      <c r="O83" s="399">
        <v>7.7610000000000001</v>
      </c>
      <c r="P83" s="399">
        <v>7.7610000000000001</v>
      </c>
      <c r="Q83" s="399">
        <v>7.7610000000000001</v>
      </c>
      <c r="R83" s="399"/>
      <c r="S83" s="399">
        <v>510.09</v>
      </c>
      <c r="T83" s="399">
        <v>286.42</v>
      </c>
      <c r="U83" s="399"/>
      <c r="V83" s="399">
        <v>6181.7141099999999</v>
      </c>
      <c r="W83" s="399">
        <v>6181.7141099999999</v>
      </c>
      <c r="X83" s="399">
        <v>4576.4288699999997</v>
      </c>
      <c r="Y83" s="399">
        <v>0</v>
      </c>
      <c r="Z83" s="399">
        <v>0</v>
      </c>
      <c r="AA83" s="399">
        <v>0</v>
      </c>
      <c r="AB83" s="399">
        <v>0</v>
      </c>
      <c r="AC83" s="399">
        <v>0</v>
      </c>
      <c r="AD83" s="399">
        <v>757.87833580200845</v>
      </c>
      <c r="AE83" s="399">
        <v>2927.542294706936</v>
      </c>
      <c r="AF83" s="399">
        <v>2222.9315824374885</v>
      </c>
      <c r="AG83" s="399">
        <v>0</v>
      </c>
      <c r="AH83" s="399">
        <v>0</v>
      </c>
      <c r="AI83" s="399">
        <v>0</v>
      </c>
      <c r="AJ83" s="399">
        <v>0</v>
      </c>
      <c r="AK83" s="399">
        <v>0</v>
      </c>
      <c r="AL83" s="399">
        <v>0</v>
      </c>
      <c r="AM83" s="399"/>
      <c r="AN83" s="399">
        <v>13.254527352783368</v>
      </c>
      <c r="AO83" s="399">
        <v>0</v>
      </c>
      <c r="AP83" s="399">
        <v>0</v>
      </c>
      <c r="AQ83" s="399">
        <v>0</v>
      </c>
      <c r="AR83" s="399">
        <v>0</v>
      </c>
      <c r="AS83" s="399">
        <v>0</v>
      </c>
      <c r="AT83" s="399">
        <v>0</v>
      </c>
      <c r="AU83" s="399">
        <v>0</v>
      </c>
      <c r="AV83" s="399">
        <v>0</v>
      </c>
      <c r="AW83" s="399">
        <v>0</v>
      </c>
      <c r="AX83" s="399">
        <v>0</v>
      </c>
      <c r="AY83" s="399">
        <v>0</v>
      </c>
      <c r="AZ83" s="399">
        <v>0</v>
      </c>
      <c r="BA83" s="399"/>
      <c r="BB83" s="399">
        <v>0</v>
      </c>
      <c r="BC83" s="399">
        <v>0</v>
      </c>
      <c r="BD83" s="399">
        <v>0</v>
      </c>
      <c r="BE83" s="399">
        <v>0</v>
      </c>
      <c r="BF83" s="399">
        <v>0</v>
      </c>
      <c r="BG83" s="399">
        <v>260.16671667384378</v>
      </c>
      <c r="BH83" s="399">
        <v>0</v>
      </c>
      <c r="BI83" s="399">
        <v>14.16</v>
      </c>
      <c r="BJ83" s="399">
        <v>73.56</v>
      </c>
      <c r="BK83" s="399">
        <v>1006.9</v>
      </c>
      <c r="BL83" s="399">
        <v>27</v>
      </c>
      <c r="BM83" s="399"/>
      <c r="BN83" s="399"/>
      <c r="BO83" s="399"/>
      <c r="BP83" s="399"/>
      <c r="BQ83" s="399"/>
      <c r="BR83" s="399"/>
      <c r="BS83" s="399"/>
      <c r="BT83" s="399">
        <v>1830.58707</v>
      </c>
      <c r="BU83" s="399"/>
      <c r="BV83" s="399">
        <v>2483.0982991113324</v>
      </c>
      <c r="BW83" s="399"/>
      <c r="BX83" s="399"/>
      <c r="BY83" s="399"/>
      <c r="BZ83" s="399"/>
      <c r="CA83" s="399"/>
      <c r="CB83" s="399"/>
      <c r="CC83" s="399"/>
      <c r="CD83" s="399"/>
      <c r="CE83" s="399"/>
      <c r="CF83" s="399"/>
      <c r="CG83" s="399"/>
      <c r="CH83" s="399"/>
      <c r="CI83" s="399">
        <v>2745.4880000000003</v>
      </c>
      <c r="CJ83" s="399">
        <v>-963.60151000000042</v>
      </c>
      <c r="CK83" s="399"/>
      <c r="CL83" s="399"/>
      <c r="CM83" s="399"/>
      <c r="CN83" s="399"/>
      <c r="CO83" s="399">
        <v>-1102.2172199999998</v>
      </c>
      <c r="CP83" s="399">
        <v>-503.06802000000016</v>
      </c>
      <c r="CQ83" s="399"/>
      <c r="CR83" s="399">
        <v>-537.1185975405574</v>
      </c>
      <c r="CS83" s="399">
        <v>0</v>
      </c>
      <c r="CT83" s="399">
        <v>0</v>
      </c>
      <c r="CU83" s="399">
        <v>0</v>
      </c>
      <c r="CV83" s="399">
        <v>0</v>
      </c>
      <c r="CW83" s="399">
        <v>0</v>
      </c>
      <c r="CX83" s="399">
        <v>0</v>
      </c>
      <c r="CY83" s="399">
        <v>0</v>
      </c>
      <c r="CZ83" s="399">
        <v>26.008040654438901</v>
      </c>
      <c r="DA83" s="399">
        <v>0</v>
      </c>
      <c r="DB83" s="399">
        <v>0</v>
      </c>
      <c r="DC83" s="399">
        <v>-503.12055798888605</v>
      </c>
      <c r="DD83" s="399">
        <v>0</v>
      </c>
      <c r="DE83" s="399">
        <v>0</v>
      </c>
      <c r="DF83" s="399">
        <v>0</v>
      </c>
      <c r="DG83" s="399">
        <v>-58.884054145990348</v>
      </c>
      <c r="DH83" s="399">
        <v>0</v>
      </c>
      <c r="DI83" s="399">
        <v>0</v>
      </c>
      <c r="DJ83" s="399"/>
      <c r="DK83" s="399">
        <v>0</v>
      </c>
      <c r="DL83" s="399">
        <v>0</v>
      </c>
      <c r="DM83" s="399">
        <v>0</v>
      </c>
      <c r="DN83" s="399">
        <v>0</v>
      </c>
      <c r="DO83" s="399">
        <v>0</v>
      </c>
      <c r="DP83" s="399">
        <v>-1.1220260601198273</v>
      </c>
      <c r="DQ83" s="399">
        <v>0</v>
      </c>
      <c r="DR83" s="399">
        <v>0</v>
      </c>
      <c r="DS83" s="399"/>
      <c r="DT83" s="399"/>
      <c r="DU83" s="399"/>
      <c r="DV83" s="399">
        <v>2927.542294706936</v>
      </c>
      <c r="DW83" s="399">
        <v>0</v>
      </c>
      <c r="DX83" s="399">
        <v>0</v>
      </c>
      <c r="DY83" s="399">
        <v>-1102.21722</v>
      </c>
      <c r="DZ83" s="399">
        <v>-503.06801999999993</v>
      </c>
      <c r="EA83" s="399">
        <v>0</v>
      </c>
      <c r="EB83" s="399">
        <v>0</v>
      </c>
      <c r="EC83" s="399">
        <v>-1068.2605287063291</v>
      </c>
      <c r="ED83" s="399">
        <v>0</v>
      </c>
      <c r="EE83" s="399">
        <v>0</v>
      </c>
      <c r="EF83" s="399">
        <v>0</v>
      </c>
      <c r="EG83" s="399">
        <v>0</v>
      </c>
      <c r="EH83" s="399">
        <v>0</v>
      </c>
      <c r="EI83" s="399">
        <v>0</v>
      </c>
      <c r="EJ83" s="399">
        <v>0</v>
      </c>
      <c r="EK83" s="399">
        <v>0</v>
      </c>
      <c r="EL83" s="399">
        <v>0</v>
      </c>
      <c r="EM83" s="399">
        <v>0</v>
      </c>
      <c r="EN83" s="399">
        <v>0</v>
      </c>
      <c r="EO83" s="399">
        <v>0</v>
      </c>
      <c r="EP83" s="399">
        <v>0</v>
      </c>
      <c r="EQ83" s="399">
        <v>0</v>
      </c>
      <c r="ER83" s="399">
        <v>0</v>
      </c>
      <c r="ES83" s="399">
        <v>0</v>
      </c>
      <c r="ET83" s="399">
        <v>0</v>
      </c>
      <c r="EU83" s="399">
        <v>0</v>
      </c>
      <c r="EV83" s="399">
        <v>202</v>
      </c>
      <c r="EW83" s="399">
        <v>0</v>
      </c>
      <c r="EX83" s="399">
        <v>0</v>
      </c>
      <c r="EY83" s="399">
        <v>0</v>
      </c>
      <c r="EZ83" s="399"/>
      <c r="FA83" s="399">
        <v>0</v>
      </c>
      <c r="FB83" s="399">
        <v>-17.698635468909799</v>
      </c>
      <c r="FC83" s="399"/>
      <c r="FD83" s="399">
        <v>-17.698635468909799</v>
      </c>
      <c r="FE83" s="399"/>
      <c r="FF83" s="399">
        <v>0</v>
      </c>
      <c r="FG83" s="399">
        <v>0</v>
      </c>
      <c r="FH83" s="399">
        <v>0</v>
      </c>
      <c r="FI83" s="399">
        <v>0</v>
      </c>
    </row>
    <row r="84" spans="1:165" s="818" customFormat="1">
      <c r="A84" s="399">
        <v>78</v>
      </c>
      <c r="B84" s="399" t="s">
        <v>956</v>
      </c>
      <c r="C84" s="399" t="s">
        <v>2402</v>
      </c>
      <c r="D84" s="399" t="s">
        <v>1823</v>
      </c>
      <c r="E84" s="399" t="s">
        <v>889</v>
      </c>
      <c r="F84" s="399" t="s">
        <v>2407</v>
      </c>
      <c r="G84" s="399" t="s">
        <v>1239</v>
      </c>
      <c r="H84" s="399" t="s">
        <v>1239</v>
      </c>
      <c r="I84" s="399" t="s">
        <v>1239</v>
      </c>
      <c r="J84" s="399" t="s">
        <v>2400</v>
      </c>
      <c r="K84" s="788">
        <v>44531</v>
      </c>
      <c r="L84" s="399">
        <v>0</v>
      </c>
      <c r="M84" s="399">
        <v>0</v>
      </c>
      <c r="N84" s="399">
        <v>6.6680000000000001</v>
      </c>
      <c r="O84" s="399">
        <v>6.6680000000000001</v>
      </c>
      <c r="P84" s="399">
        <v>6.6680000000000001</v>
      </c>
      <c r="Q84" s="399">
        <v>6.6680000000000001</v>
      </c>
      <c r="R84" s="399"/>
      <c r="S84" s="399">
        <v>510.09</v>
      </c>
      <c r="T84" s="399">
        <v>286.42</v>
      </c>
      <c r="U84" s="399"/>
      <c r="V84" s="399">
        <v>5311.1286799999998</v>
      </c>
      <c r="W84" s="399">
        <v>5311.1286799999998</v>
      </c>
      <c r="X84" s="399">
        <v>3931.9195599999998</v>
      </c>
      <c r="Y84" s="399">
        <v>0</v>
      </c>
      <c r="Z84" s="399">
        <v>0</v>
      </c>
      <c r="AA84" s="399">
        <v>0</v>
      </c>
      <c r="AB84" s="399">
        <v>0</v>
      </c>
      <c r="AC84" s="399">
        <v>0</v>
      </c>
      <c r="AD84" s="399">
        <v>651.14453590101698</v>
      </c>
      <c r="AE84" s="399">
        <v>2515.2495839590065</v>
      </c>
      <c r="AF84" s="399">
        <v>1909.870866085965</v>
      </c>
      <c r="AG84" s="399">
        <v>0</v>
      </c>
      <c r="AH84" s="399">
        <v>0</v>
      </c>
      <c r="AI84" s="399">
        <v>0</v>
      </c>
      <c r="AJ84" s="399">
        <v>0</v>
      </c>
      <c r="AK84" s="399">
        <v>0</v>
      </c>
      <c r="AL84" s="399">
        <v>0</v>
      </c>
      <c r="AM84" s="399"/>
      <c r="AN84" s="399">
        <v>11.387860892714793</v>
      </c>
      <c r="AO84" s="399">
        <v>0</v>
      </c>
      <c r="AP84" s="399">
        <v>0</v>
      </c>
      <c r="AQ84" s="399">
        <v>0</v>
      </c>
      <c r="AR84" s="399">
        <v>0</v>
      </c>
      <c r="AS84" s="399">
        <v>0</v>
      </c>
      <c r="AT84" s="399">
        <v>0</v>
      </c>
      <c r="AU84" s="399">
        <v>0</v>
      </c>
      <c r="AV84" s="399">
        <v>0</v>
      </c>
      <c r="AW84" s="399">
        <v>0</v>
      </c>
      <c r="AX84" s="399">
        <v>0</v>
      </c>
      <c r="AY84" s="399">
        <v>0</v>
      </c>
      <c r="AZ84" s="399">
        <v>0</v>
      </c>
      <c r="BA84" s="399"/>
      <c r="BB84" s="399">
        <v>0</v>
      </c>
      <c r="BC84" s="399">
        <v>0</v>
      </c>
      <c r="BD84" s="399">
        <v>0</v>
      </c>
      <c r="BE84" s="399">
        <v>0</v>
      </c>
      <c r="BF84" s="399">
        <v>0</v>
      </c>
      <c r="BG84" s="399">
        <v>223.52682215966891</v>
      </c>
      <c r="BH84" s="399">
        <v>0</v>
      </c>
      <c r="BI84" s="399">
        <v>19.100000000000001</v>
      </c>
      <c r="BJ84" s="399">
        <v>98.81</v>
      </c>
      <c r="BK84" s="399">
        <v>1199.53</v>
      </c>
      <c r="BL84" s="399">
        <v>73</v>
      </c>
      <c r="BM84" s="399"/>
      <c r="BN84" s="399"/>
      <c r="BO84" s="399"/>
      <c r="BP84" s="399"/>
      <c r="BQ84" s="399"/>
      <c r="BR84" s="399"/>
      <c r="BS84" s="399"/>
      <c r="BT84" s="399">
        <v>393.21195999999998</v>
      </c>
      <c r="BU84" s="399"/>
      <c r="BV84" s="399">
        <v>2133.3976882456341</v>
      </c>
      <c r="BW84" s="399"/>
      <c r="BX84" s="399"/>
      <c r="BY84" s="399"/>
      <c r="BZ84" s="399"/>
      <c r="CA84" s="399"/>
      <c r="CB84" s="399"/>
      <c r="CC84" s="399"/>
      <c r="CD84" s="399"/>
      <c r="CE84" s="399"/>
      <c r="CF84" s="399"/>
      <c r="CG84" s="399"/>
      <c r="CH84" s="399"/>
      <c r="CI84" s="399">
        <v>3539.7689999999998</v>
      </c>
      <c r="CJ84" s="399">
        <v>-1240.2834800000005</v>
      </c>
      <c r="CK84" s="399"/>
      <c r="CL84" s="399"/>
      <c r="CM84" s="399"/>
      <c r="CN84" s="399"/>
      <c r="CO84" s="399">
        <v>-946.98935999999992</v>
      </c>
      <c r="CP84" s="399">
        <v>-432.21976000000018</v>
      </c>
      <c r="CQ84" s="399"/>
      <c r="CR84" s="399">
        <v>-461.47491410906332</v>
      </c>
      <c r="CS84" s="399">
        <v>0</v>
      </c>
      <c r="CT84" s="399">
        <v>0</v>
      </c>
      <c r="CU84" s="399">
        <v>0</v>
      </c>
      <c r="CV84" s="399">
        <v>0</v>
      </c>
      <c r="CW84" s="399">
        <v>0</v>
      </c>
      <c r="CX84" s="399">
        <v>0</v>
      </c>
      <c r="CY84" s="399">
        <v>0</v>
      </c>
      <c r="CZ84" s="399">
        <v>22.345266729003811</v>
      </c>
      <c r="DA84" s="399">
        <v>0</v>
      </c>
      <c r="DB84" s="399">
        <v>0</v>
      </c>
      <c r="DC84" s="399">
        <v>-432.26489893955568</v>
      </c>
      <c r="DD84" s="399">
        <v>0</v>
      </c>
      <c r="DE84" s="399">
        <v>0</v>
      </c>
      <c r="DF84" s="399">
        <v>0</v>
      </c>
      <c r="DG84" s="399">
        <v>-50.5912734242319</v>
      </c>
      <c r="DH84" s="399">
        <v>0</v>
      </c>
      <c r="DI84" s="399">
        <v>0</v>
      </c>
      <c r="DJ84" s="399"/>
      <c r="DK84" s="399">
        <v>0</v>
      </c>
      <c r="DL84" s="399">
        <v>0</v>
      </c>
      <c r="DM84" s="399">
        <v>0</v>
      </c>
      <c r="DN84" s="399">
        <v>0</v>
      </c>
      <c r="DO84" s="399">
        <v>0</v>
      </c>
      <c r="DP84" s="399">
        <v>-0.96400847427896075</v>
      </c>
      <c r="DQ84" s="399">
        <v>0</v>
      </c>
      <c r="DR84" s="399">
        <v>0</v>
      </c>
      <c r="DS84" s="399"/>
      <c r="DT84" s="399"/>
      <c r="DU84" s="399"/>
      <c r="DV84" s="399">
        <v>2515.2495839590065</v>
      </c>
      <c r="DW84" s="399">
        <v>0</v>
      </c>
      <c r="DX84" s="399">
        <v>0</v>
      </c>
      <c r="DY84" s="399">
        <v>-946.98936000000003</v>
      </c>
      <c r="DZ84" s="399">
        <v>-432.21976000000018</v>
      </c>
      <c r="EA84" s="399">
        <v>0</v>
      </c>
      <c r="EB84" s="399">
        <v>0</v>
      </c>
      <c r="EC84" s="399">
        <v>-917.81486991544944</v>
      </c>
      <c r="ED84" s="399">
        <v>0</v>
      </c>
      <c r="EE84" s="399">
        <v>0</v>
      </c>
      <c r="EF84" s="399">
        <v>0</v>
      </c>
      <c r="EG84" s="399">
        <v>0</v>
      </c>
      <c r="EH84" s="399">
        <v>0</v>
      </c>
      <c r="EI84" s="399">
        <v>0</v>
      </c>
      <c r="EJ84" s="399">
        <v>0</v>
      </c>
      <c r="EK84" s="399">
        <v>0</v>
      </c>
      <c r="EL84" s="399">
        <v>0</v>
      </c>
      <c r="EM84" s="399">
        <v>0</v>
      </c>
      <c r="EN84" s="399">
        <v>0</v>
      </c>
      <c r="EO84" s="399">
        <v>0</v>
      </c>
      <c r="EP84" s="399">
        <v>0</v>
      </c>
      <c r="EQ84" s="399">
        <v>0</v>
      </c>
      <c r="ER84" s="399">
        <v>0</v>
      </c>
      <c r="ES84" s="399">
        <v>0</v>
      </c>
      <c r="ET84" s="399">
        <v>0</v>
      </c>
      <c r="EU84" s="399">
        <v>0</v>
      </c>
      <c r="EV84" s="399">
        <v>202</v>
      </c>
      <c r="EW84" s="399">
        <v>0</v>
      </c>
      <c r="EX84" s="399">
        <v>0</v>
      </c>
      <c r="EY84" s="399">
        <v>0</v>
      </c>
      <c r="EZ84" s="399"/>
      <c r="FA84" s="399">
        <v>0</v>
      </c>
      <c r="FB84" s="399">
        <v>-17.698635468909799</v>
      </c>
      <c r="FC84" s="399"/>
      <c r="FD84" s="399">
        <v>-17.698635468909799</v>
      </c>
      <c r="FE84" s="399"/>
      <c r="FF84" s="399">
        <v>0</v>
      </c>
      <c r="FG84" s="399">
        <v>0</v>
      </c>
      <c r="FH84" s="399">
        <v>0</v>
      </c>
      <c r="FI84" s="399">
        <v>0</v>
      </c>
    </row>
    <row r="85" spans="1:165" s="818" customFormat="1">
      <c r="A85" s="399">
        <v>79</v>
      </c>
      <c r="B85" s="399" t="s">
        <v>956</v>
      </c>
      <c r="C85" s="399" t="s">
        <v>2402</v>
      </c>
      <c r="D85" s="399" t="s">
        <v>1823</v>
      </c>
      <c r="E85" s="399" t="s">
        <v>889</v>
      </c>
      <c r="F85" s="399" t="s">
        <v>2408</v>
      </c>
      <c r="G85" s="399" t="s">
        <v>1239</v>
      </c>
      <c r="H85" s="399" t="s">
        <v>1239</v>
      </c>
      <c r="I85" s="399" t="s">
        <v>1239</v>
      </c>
      <c r="J85" s="399" t="s">
        <v>2400</v>
      </c>
      <c r="K85" s="788">
        <v>44531</v>
      </c>
      <c r="L85" s="399">
        <v>0</v>
      </c>
      <c r="M85" s="399">
        <v>0</v>
      </c>
      <c r="N85" s="399">
        <v>1.5940000000000001</v>
      </c>
      <c r="O85" s="399">
        <v>1.5940000000000001</v>
      </c>
      <c r="P85" s="399">
        <v>1.5940000000000001</v>
      </c>
      <c r="Q85" s="399">
        <v>1.5940000000000001</v>
      </c>
      <c r="R85" s="399"/>
      <c r="S85" s="399">
        <v>510.09</v>
      </c>
      <c r="T85" s="399">
        <v>286.42</v>
      </c>
      <c r="U85" s="399"/>
      <c r="V85" s="399">
        <v>1269.6369400000001</v>
      </c>
      <c r="W85" s="399">
        <v>1269.6369400000001</v>
      </c>
      <c r="X85" s="399">
        <v>939.93398000000002</v>
      </c>
      <c r="Y85" s="399">
        <v>0</v>
      </c>
      <c r="Z85" s="399">
        <v>0</v>
      </c>
      <c r="AA85" s="399">
        <v>0</v>
      </c>
      <c r="AB85" s="399">
        <v>0</v>
      </c>
      <c r="AC85" s="399">
        <v>0</v>
      </c>
      <c r="AD85" s="399">
        <v>155.65752702852745</v>
      </c>
      <c r="AE85" s="399">
        <v>601.27592034053032</v>
      </c>
      <c r="AF85" s="399">
        <v>456.55881231869051</v>
      </c>
      <c r="AG85" s="399">
        <v>0</v>
      </c>
      <c r="AH85" s="399">
        <v>0</v>
      </c>
      <c r="AI85" s="399">
        <v>0</v>
      </c>
      <c r="AJ85" s="399">
        <v>0</v>
      </c>
      <c r="AK85" s="399">
        <v>0</v>
      </c>
      <c r="AL85" s="399">
        <v>0</v>
      </c>
      <c r="AM85" s="399"/>
      <c r="AN85" s="399">
        <v>2.7222930808319403</v>
      </c>
      <c r="AO85" s="399">
        <v>0</v>
      </c>
      <c r="AP85" s="399">
        <v>0</v>
      </c>
      <c r="AQ85" s="399">
        <v>0</v>
      </c>
      <c r="AR85" s="399">
        <v>0</v>
      </c>
      <c r="AS85" s="399">
        <v>0</v>
      </c>
      <c r="AT85" s="399">
        <v>0</v>
      </c>
      <c r="AU85" s="399">
        <v>0</v>
      </c>
      <c r="AV85" s="399">
        <v>0</v>
      </c>
      <c r="AW85" s="399">
        <v>0</v>
      </c>
      <c r="AX85" s="399">
        <v>0</v>
      </c>
      <c r="AY85" s="399">
        <v>0</v>
      </c>
      <c r="AZ85" s="399">
        <v>0</v>
      </c>
      <c r="BA85" s="399"/>
      <c r="BB85" s="399">
        <v>0</v>
      </c>
      <c r="BC85" s="399">
        <v>0</v>
      </c>
      <c r="BD85" s="399">
        <v>0</v>
      </c>
      <c r="BE85" s="399">
        <v>0</v>
      </c>
      <c r="BF85" s="399">
        <v>0</v>
      </c>
      <c r="BG85" s="399">
        <v>53.434576263124214</v>
      </c>
      <c r="BH85" s="399">
        <v>0</v>
      </c>
      <c r="BI85" s="399">
        <v>5.88</v>
      </c>
      <c r="BJ85" s="399">
        <v>28.54</v>
      </c>
      <c r="BK85" s="399">
        <v>395.47</v>
      </c>
      <c r="BL85" s="399">
        <v>22</v>
      </c>
      <c r="BM85" s="399"/>
      <c r="BN85" s="399"/>
      <c r="BO85" s="399"/>
      <c r="BP85" s="399"/>
      <c r="BQ85" s="399"/>
      <c r="BR85" s="399"/>
      <c r="BS85" s="399"/>
      <c r="BT85" s="399"/>
      <c r="BU85" s="399"/>
      <c r="BV85" s="399">
        <v>509.99338858181471</v>
      </c>
      <c r="BW85" s="399"/>
      <c r="BX85" s="399"/>
      <c r="BY85" s="399"/>
      <c r="BZ85" s="399"/>
      <c r="CA85" s="399"/>
      <c r="CB85" s="399"/>
      <c r="CC85" s="399"/>
      <c r="CD85" s="399"/>
      <c r="CE85" s="399"/>
      <c r="CF85" s="399"/>
      <c r="CG85" s="399"/>
      <c r="CH85" s="399"/>
      <c r="CI85" s="399">
        <v>937.57529999999997</v>
      </c>
      <c r="CJ85" s="399">
        <v>-332.0916400000001</v>
      </c>
      <c r="CK85" s="399"/>
      <c r="CL85" s="399"/>
      <c r="CM85" s="399"/>
      <c r="CN85" s="399"/>
      <c r="CO85" s="399">
        <v>-226.37987999999999</v>
      </c>
      <c r="CP85" s="399">
        <v>-103.32308000000003</v>
      </c>
      <c r="CQ85" s="399"/>
      <c r="CR85" s="399">
        <v>-110.31658864574786</v>
      </c>
      <c r="CS85" s="399">
        <v>0</v>
      </c>
      <c r="CT85" s="399">
        <v>0</v>
      </c>
      <c r="CU85" s="399">
        <v>0</v>
      </c>
      <c r="CV85" s="399">
        <v>0</v>
      </c>
      <c r="CW85" s="399">
        <v>0</v>
      </c>
      <c r="CX85" s="399">
        <v>0</v>
      </c>
      <c r="CY85" s="399">
        <v>0</v>
      </c>
      <c r="CZ85" s="399">
        <v>5.341684937917222</v>
      </c>
      <c r="DA85" s="399">
        <v>0</v>
      </c>
      <c r="DB85" s="399">
        <v>0</v>
      </c>
      <c r="DC85" s="399">
        <v>-103.33387056233533</v>
      </c>
      <c r="DD85" s="399">
        <v>0</v>
      </c>
      <c r="DE85" s="399">
        <v>0</v>
      </c>
      <c r="DF85" s="399">
        <v>0</v>
      </c>
      <c r="DG85" s="399">
        <v>-12.093954684796891</v>
      </c>
      <c r="DH85" s="399">
        <v>0</v>
      </c>
      <c r="DI85" s="399">
        <v>0</v>
      </c>
      <c r="DJ85" s="399"/>
      <c r="DK85" s="399">
        <v>0</v>
      </c>
      <c r="DL85" s="399">
        <v>0</v>
      </c>
      <c r="DM85" s="399">
        <v>0</v>
      </c>
      <c r="DN85" s="399">
        <v>0</v>
      </c>
      <c r="DO85" s="399">
        <v>0</v>
      </c>
      <c r="DP85" s="399">
        <v>-0.23044833653279273</v>
      </c>
      <c r="DQ85" s="399">
        <v>0</v>
      </c>
      <c r="DR85" s="399">
        <v>0</v>
      </c>
      <c r="DS85" s="399"/>
      <c r="DT85" s="399"/>
      <c r="DU85" s="399"/>
      <c r="DV85" s="399">
        <v>601.27592034053032</v>
      </c>
      <c r="DW85" s="399">
        <v>0</v>
      </c>
      <c r="DX85" s="399">
        <v>0</v>
      </c>
      <c r="DY85" s="399">
        <v>-226.37988000000007</v>
      </c>
      <c r="DZ85" s="399">
        <v>-103.32308</v>
      </c>
      <c r="EA85" s="399">
        <v>0</v>
      </c>
      <c r="EB85" s="399">
        <v>0</v>
      </c>
      <c r="EC85" s="399">
        <v>-219.40565426593071</v>
      </c>
      <c r="ED85" s="399">
        <v>0</v>
      </c>
      <c r="EE85" s="399">
        <v>0</v>
      </c>
      <c r="EF85" s="399">
        <v>0</v>
      </c>
      <c r="EG85" s="399">
        <v>0</v>
      </c>
      <c r="EH85" s="399">
        <v>0</v>
      </c>
      <c r="EI85" s="399">
        <v>0</v>
      </c>
      <c r="EJ85" s="399">
        <v>0</v>
      </c>
      <c r="EK85" s="399">
        <v>0</v>
      </c>
      <c r="EL85" s="399">
        <v>0</v>
      </c>
      <c r="EM85" s="399">
        <v>0</v>
      </c>
      <c r="EN85" s="399">
        <v>0</v>
      </c>
      <c r="EO85" s="399">
        <v>0</v>
      </c>
      <c r="EP85" s="399">
        <v>0</v>
      </c>
      <c r="EQ85" s="399">
        <v>0</v>
      </c>
      <c r="ER85" s="399">
        <v>0</v>
      </c>
      <c r="ES85" s="399">
        <v>0</v>
      </c>
      <c r="ET85" s="399">
        <v>0</v>
      </c>
      <c r="EU85" s="399">
        <v>0</v>
      </c>
      <c r="EV85" s="399">
        <v>202</v>
      </c>
      <c r="EW85" s="399">
        <v>0</v>
      </c>
      <c r="EX85" s="399">
        <v>0</v>
      </c>
      <c r="EY85" s="399">
        <v>0</v>
      </c>
      <c r="EZ85" s="399"/>
      <c r="FA85" s="399">
        <v>0</v>
      </c>
      <c r="FB85" s="399">
        <v>-17.698635468909799</v>
      </c>
      <c r="FC85" s="399"/>
      <c r="FD85" s="399">
        <v>-17.698635468909799</v>
      </c>
      <c r="FE85" s="399"/>
      <c r="FF85" s="399">
        <v>0</v>
      </c>
      <c r="FG85" s="399">
        <v>0</v>
      </c>
      <c r="FH85" s="399">
        <v>0</v>
      </c>
      <c r="FI85" s="399">
        <v>0</v>
      </c>
    </row>
    <row r="86" spans="1:165" s="818" customFormat="1">
      <c r="A86" s="399">
        <v>80</v>
      </c>
      <c r="B86" s="399" t="s">
        <v>956</v>
      </c>
      <c r="C86" s="399" t="s">
        <v>2409</v>
      </c>
      <c r="D86" s="399" t="s">
        <v>1823</v>
      </c>
      <c r="E86" s="399" t="s">
        <v>889</v>
      </c>
      <c r="F86" s="399" t="s">
        <v>889</v>
      </c>
      <c r="G86" s="399" t="s">
        <v>1239</v>
      </c>
      <c r="H86" s="399" t="s">
        <v>1239</v>
      </c>
      <c r="I86" s="399" t="s">
        <v>2326</v>
      </c>
      <c r="J86" s="399" t="s">
        <v>2400</v>
      </c>
      <c r="K86" s="788">
        <v>44531</v>
      </c>
      <c r="L86" s="399">
        <v>0</v>
      </c>
      <c r="M86" s="399">
        <v>0</v>
      </c>
      <c r="N86" s="399">
        <v>0.06</v>
      </c>
      <c r="O86" s="399">
        <v>0.06</v>
      </c>
      <c r="P86" s="399">
        <v>0.06</v>
      </c>
      <c r="Q86" s="399">
        <v>0.06</v>
      </c>
      <c r="R86" s="399"/>
      <c r="S86" s="399">
        <v>409.62</v>
      </c>
      <c r="T86" s="399">
        <v>286.42</v>
      </c>
      <c r="U86" s="399"/>
      <c r="V86" s="399">
        <v>41.7624</v>
      </c>
      <c r="W86" s="399">
        <v>41.7624</v>
      </c>
      <c r="X86" s="399">
        <v>32.450400000000002</v>
      </c>
      <c r="Y86" s="399">
        <v>0</v>
      </c>
      <c r="Z86" s="399">
        <v>3.6516839382780897</v>
      </c>
      <c r="AA86" s="399">
        <v>0</v>
      </c>
      <c r="AB86" s="399">
        <v>0</v>
      </c>
      <c r="AC86" s="399">
        <v>0</v>
      </c>
      <c r="AD86" s="399">
        <v>3.398592775010898</v>
      </c>
      <c r="AE86" s="399">
        <v>13.1269723177221</v>
      </c>
      <c r="AF86" s="399">
        <v>17.185400714630759</v>
      </c>
      <c r="AG86" s="399">
        <v>0</v>
      </c>
      <c r="AH86" s="399">
        <v>0</v>
      </c>
      <c r="AI86" s="399">
        <v>0</v>
      </c>
      <c r="AJ86" s="399">
        <v>0</v>
      </c>
      <c r="AK86" s="399">
        <v>0</v>
      </c>
      <c r="AL86" s="399">
        <v>0.56435333728701897</v>
      </c>
      <c r="AM86" s="399"/>
      <c r="AN86" s="399">
        <v>0.10247025398363639</v>
      </c>
      <c r="AO86" s="399">
        <v>0</v>
      </c>
      <c r="AP86" s="399">
        <v>0</v>
      </c>
      <c r="AQ86" s="399">
        <v>0</v>
      </c>
      <c r="AR86" s="399">
        <v>0</v>
      </c>
      <c r="AS86" s="399">
        <v>0</v>
      </c>
      <c r="AT86" s="399">
        <v>0</v>
      </c>
      <c r="AU86" s="399">
        <v>0</v>
      </c>
      <c r="AV86" s="399">
        <v>0</v>
      </c>
      <c r="AW86" s="399">
        <v>0</v>
      </c>
      <c r="AX86" s="399">
        <v>0</v>
      </c>
      <c r="AY86" s="399">
        <v>0</v>
      </c>
      <c r="AZ86" s="399">
        <v>0</v>
      </c>
      <c r="BA86" s="399"/>
      <c r="BB86" s="399">
        <v>0</v>
      </c>
      <c r="BC86" s="399">
        <v>0</v>
      </c>
      <c r="BD86" s="399">
        <v>0</v>
      </c>
      <c r="BE86" s="399">
        <v>0</v>
      </c>
      <c r="BF86" s="399">
        <v>0</v>
      </c>
      <c r="BG86" s="399">
        <v>2.0113391316106979</v>
      </c>
      <c r="BH86" s="399">
        <v>0</v>
      </c>
      <c r="BI86" s="399">
        <v>0</v>
      </c>
      <c r="BJ86" s="399">
        <v>0</v>
      </c>
      <c r="BK86" s="399">
        <v>0</v>
      </c>
      <c r="BL86" s="399">
        <v>0</v>
      </c>
      <c r="BM86" s="399"/>
      <c r="BN86" s="399"/>
      <c r="BO86" s="399"/>
      <c r="BP86" s="399"/>
      <c r="BQ86" s="399"/>
      <c r="BR86" s="399"/>
      <c r="BS86" s="399"/>
      <c r="BT86" s="399"/>
      <c r="BU86" s="399"/>
      <c r="BV86" s="399">
        <v>19.196739846241456</v>
      </c>
      <c r="BW86" s="399"/>
      <c r="BX86" s="399"/>
      <c r="BY86" s="399"/>
      <c r="BZ86" s="399"/>
      <c r="CA86" s="399"/>
      <c r="CB86" s="399"/>
      <c r="CC86" s="399"/>
      <c r="CD86" s="399"/>
      <c r="CE86" s="399"/>
      <c r="CF86" s="399"/>
      <c r="CG86" s="399"/>
      <c r="CH86" s="399"/>
      <c r="CI86" s="399">
        <v>32.450400000000002</v>
      </c>
      <c r="CJ86" s="399">
        <v>-9.3419999999999987</v>
      </c>
      <c r="CK86" s="399"/>
      <c r="CL86" s="399"/>
      <c r="CM86" s="399"/>
      <c r="CN86" s="399"/>
      <c r="CO86" s="399">
        <v>-5.4227999999999996</v>
      </c>
      <c r="CP86" s="399">
        <v>-3.8892000000000011</v>
      </c>
      <c r="CQ86" s="399"/>
      <c r="CR86" s="399">
        <v>-4.5225184917316064</v>
      </c>
      <c r="CS86" s="399">
        <v>0</v>
      </c>
      <c r="CT86" s="399">
        <v>0</v>
      </c>
      <c r="CU86" s="399">
        <v>0</v>
      </c>
      <c r="CV86" s="399">
        <v>0</v>
      </c>
      <c r="CW86" s="399">
        <v>0</v>
      </c>
      <c r="CX86" s="399">
        <v>0</v>
      </c>
      <c r="CY86" s="399">
        <v>0</v>
      </c>
      <c r="CZ86" s="399">
        <v>0.11662919347973366</v>
      </c>
      <c r="DA86" s="399">
        <v>0</v>
      </c>
      <c r="DB86" s="399">
        <v>0</v>
      </c>
      <c r="DC86" s="399">
        <v>-3.8896061692221586</v>
      </c>
      <c r="DD86" s="399">
        <v>0</v>
      </c>
      <c r="DE86" s="399">
        <v>0</v>
      </c>
      <c r="DF86" s="399">
        <v>0</v>
      </c>
      <c r="DG86" s="399">
        <v>-0.45523041473514003</v>
      </c>
      <c r="DH86" s="399">
        <v>0</v>
      </c>
      <c r="DI86" s="399">
        <v>-0.25333977852614975</v>
      </c>
      <c r="DJ86" s="399"/>
      <c r="DK86" s="399">
        <v>0</v>
      </c>
      <c r="DL86" s="399">
        <v>0</v>
      </c>
      <c r="DM86" s="399">
        <v>0</v>
      </c>
      <c r="DN86" s="399">
        <v>0</v>
      </c>
      <c r="DO86" s="399">
        <v>-3.229698132766079E-2</v>
      </c>
      <c r="DP86" s="399">
        <v>-8.6743414002305869E-3</v>
      </c>
      <c r="DQ86" s="399">
        <v>0</v>
      </c>
      <c r="DR86" s="399">
        <v>0</v>
      </c>
      <c r="DS86" s="399"/>
      <c r="DT86" s="399"/>
      <c r="DU86" s="399"/>
      <c r="DV86" s="399">
        <v>13.1269723177221</v>
      </c>
      <c r="DW86" s="399">
        <v>0</v>
      </c>
      <c r="DX86" s="399">
        <v>0</v>
      </c>
      <c r="DY86" s="399">
        <v>-5.4227999999999987</v>
      </c>
      <c r="DZ86" s="399">
        <v>-3.8892000000000024</v>
      </c>
      <c r="EA86" s="399">
        <v>0</v>
      </c>
      <c r="EB86" s="399">
        <v>0</v>
      </c>
      <c r="EC86" s="399">
        <v>-4.7900337473508596</v>
      </c>
      <c r="ED86" s="399">
        <v>0</v>
      </c>
      <c r="EE86" s="399">
        <v>0</v>
      </c>
      <c r="EF86" s="399">
        <v>0</v>
      </c>
      <c r="EG86" s="399">
        <v>0</v>
      </c>
      <c r="EH86" s="399">
        <v>0</v>
      </c>
      <c r="EI86" s="399">
        <v>0</v>
      </c>
      <c r="EJ86" s="399">
        <v>0</v>
      </c>
      <c r="EK86" s="399">
        <v>0</v>
      </c>
      <c r="EL86" s="399">
        <v>0</v>
      </c>
      <c r="EM86" s="399">
        <v>0</v>
      </c>
      <c r="EN86" s="399">
        <v>0</v>
      </c>
      <c r="EO86" s="399">
        <v>0</v>
      </c>
      <c r="EP86" s="399">
        <v>1.7218939192159859</v>
      </c>
      <c r="EQ86" s="399">
        <v>0</v>
      </c>
      <c r="ER86" s="399">
        <v>0</v>
      </c>
      <c r="ES86" s="399">
        <v>0</v>
      </c>
      <c r="ET86" s="399">
        <v>0</v>
      </c>
      <c r="EU86" s="399">
        <v>0</v>
      </c>
      <c r="EV86" s="399">
        <v>202</v>
      </c>
      <c r="EW86" s="399">
        <v>0</v>
      </c>
      <c r="EX86" s="399">
        <v>0</v>
      </c>
      <c r="EY86" s="399">
        <v>0</v>
      </c>
      <c r="EZ86" s="399"/>
      <c r="FA86" s="399">
        <v>0</v>
      </c>
      <c r="FB86" s="399">
        <v>-17.698635468909799</v>
      </c>
      <c r="FC86" s="399"/>
      <c r="FD86" s="399">
        <v>-17.698635468909799</v>
      </c>
      <c r="FE86" s="399"/>
      <c r="FF86" s="399">
        <v>0</v>
      </c>
      <c r="FG86" s="399">
        <v>0</v>
      </c>
      <c r="FH86" s="399">
        <v>0</v>
      </c>
      <c r="FI86" s="399">
        <v>0</v>
      </c>
    </row>
    <row r="87" spans="1:165" s="818" customFormat="1">
      <c r="A87" s="399">
        <v>81</v>
      </c>
      <c r="B87" s="399" t="s">
        <v>956</v>
      </c>
      <c r="C87" s="399" t="s">
        <v>2409</v>
      </c>
      <c r="D87" s="399" t="s">
        <v>1823</v>
      </c>
      <c r="E87" s="399" t="s">
        <v>889</v>
      </c>
      <c r="F87" s="399" t="s">
        <v>889</v>
      </c>
      <c r="G87" s="399" t="s">
        <v>1239</v>
      </c>
      <c r="H87" s="399" t="s">
        <v>1239</v>
      </c>
      <c r="I87" s="399" t="s">
        <v>1239</v>
      </c>
      <c r="J87" s="399" t="s">
        <v>2400</v>
      </c>
      <c r="K87" s="788">
        <v>44531</v>
      </c>
      <c r="L87" s="399">
        <v>0</v>
      </c>
      <c r="M87" s="399">
        <v>0</v>
      </c>
      <c r="N87" s="399">
        <v>0</v>
      </c>
      <c r="O87" s="399">
        <v>0</v>
      </c>
      <c r="P87" s="399">
        <v>0</v>
      </c>
      <c r="Q87" s="399">
        <v>0</v>
      </c>
      <c r="R87" s="399"/>
      <c r="S87" s="399"/>
      <c r="T87" s="399"/>
      <c r="U87" s="399"/>
      <c r="V87" s="399"/>
      <c r="W87" s="399"/>
      <c r="X87" s="399"/>
      <c r="Y87" s="399"/>
      <c r="Z87" s="399"/>
      <c r="AA87" s="399">
        <v>0</v>
      </c>
      <c r="AB87" s="399"/>
      <c r="AC87" s="399"/>
      <c r="AD87" s="399"/>
      <c r="AE87" s="399"/>
      <c r="AF87" s="399"/>
      <c r="AG87" s="399"/>
      <c r="AH87" s="399"/>
      <c r="AI87" s="399"/>
      <c r="AJ87" s="399"/>
      <c r="AK87" s="399"/>
      <c r="AL87" s="399"/>
      <c r="AM87" s="399"/>
      <c r="AN87" s="399"/>
      <c r="AO87" s="399"/>
      <c r="AP87" s="399"/>
      <c r="AQ87" s="399"/>
      <c r="AR87" s="399"/>
      <c r="AS87" s="399"/>
      <c r="AT87" s="399"/>
      <c r="AU87" s="399"/>
      <c r="AV87" s="399"/>
      <c r="AW87" s="399"/>
      <c r="AX87" s="399"/>
      <c r="AY87" s="399"/>
      <c r="AZ87" s="399">
        <v>0</v>
      </c>
      <c r="BA87" s="399"/>
      <c r="BB87" s="399"/>
      <c r="BC87" s="399"/>
      <c r="BD87" s="399"/>
      <c r="BE87" s="399"/>
      <c r="BF87" s="399"/>
      <c r="BG87" s="399"/>
      <c r="BH87" s="399"/>
      <c r="BI87" s="399">
        <v>0.32</v>
      </c>
      <c r="BJ87" s="399">
        <v>1.51</v>
      </c>
      <c r="BK87" s="399">
        <v>0</v>
      </c>
      <c r="BL87" s="399">
        <v>1</v>
      </c>
      <c r="BM87" s="399"/>
      <c r="BN87" s="399"/>
      <c r="BO87" s="399"/>
      <c r="BP87" s="399"/>
      <c r="BQ87" s="399"/>
      <c r="BR87" s="399"/>
      <c r="BS87" s="399"/>
      <c r="BT87" s="399"/>
      <c r="BU87" s="399"/>
      <c r="BV87" s="399"/>
      <c r="BW87" s="399"/>
      <c r="BX87" s="399"/>
      <c r="BY87" s="399"/>
      <c r="BZ87" s="399"/>
      <c r="CA87" s="399"/>
      <c r="CB87" s="399"/>
      <c r="CC87" s="399"/>
      <c r="CD87" s="399"/>
      <c r="CE87" s="399"/>
      <c r="CF87" s="399"/>
      <c r="CG87" s="399"/>
      <c r="CH87" s="399"/>
      <c r="CI87" s="399"/>
      <c r="CJ87" s="399">
        <v>-0.03</v>
      </c>
      <c r="CK87" s="399"/>
      <c r="CL87" s="399"/>
      <c r="CM87" s="399"/>
      <c r="CN87" s="399"/>
      <c r="CO87" s="399">
        <v>0</v>
      </c>
      <c r="CP87" s="399">
        <v>0</v>
      </c>
      <c r="CQ87" s="399"/>
      <c r="CR87" s="399"/>
      <c r="CS87" s="399"/>
      <c r="CT87" s="399"/>
      <c r="CU87" s="399"/>
      <c r="CV87" s="399"/>
      <c r="CW87" s="399"/>
      <c r="CX87" s="399"/>
      <c r="CY87" s="399"/>
      <c r="CZ87" s="399"/>
      <c r="DA87" s="399"/>
      <c r="DB87" s="399"/>
      <c r="DC87" s="399"/>
      <c r="DD87" s="399"/>
      <c r="DE87" s="399"/>
      <c r="DF87" s="399"/>
      <c r="DG87" s="399"/>
      <c r="DH87" s="399"/>
      <c r="DI87" s="399"/>
      <c r="DJ87" s="399"/>
      <c r="DK87" s="399">
        <v>0</v>
      </c>
      <c r="DL87" s="399"/>
      <c r="DM87" s="399"/>
      <c r="DN87" s="399"/>
      <c r="DO87" s="399"/>
      <c r="DP87" s="399"/>
      <c r="DQ87" s="399"/>
      <c r="DR87" s="399"/>
      <c r="DS87" s="399"/>
      <c r="DT87" s="399"/>
      <c r="DU87" s="399"/>
      <c r="DV87" s="399"/>
      <c r="DW87" s="399"/>
      <c r="DX87" s="399"/>
      <c r="DY87" s="399"/>
      <c r="DZ87" s="399"/>
      <c r="EA87" s="399"/>
      <c r="EB87" s="399"/>
      <c r="EC87" s="399"/>
      <c r="ED87" s="399"/>
      <c r="EE87" s="399"/>
      <c r="EF87" s="399"/>
      <c r="EG87" s="399"/>
      <c r="EH87" s="399"/>
      <c r="EI87" s="399"/>
      <c r="EJ87" s="399"/>
      <c r="EK87" s="399"/>
      <c r="EL87" s="399"/>
      <c r="EM87" s="399"/>
      <c r="EN87" s="399"/>
      <c r="EO87" s="399"/>
      <c r="EP87" s="399"/>
      <c r="EQ87" s="399"/>
      <c r="ER87" s="399"/>
      <c r="ES87" s="399"/>
      <c r="ET87" s="399"/>
      <c r="EU87" s="399"/>
      <c r="EV87" s="399">
        <v>202</v>
      </c>
      <c r="EW87" s="399"/>
      <c r="EX87" s="399"/>
      <c r="EY87" s="399"/>
      <c r="EZ87" s="399"/>
      <c r="FA87" s="399">
        <v>0</v>
      </c>
      <c r="FB87" s="399">
        <v>-17.698635468909799</v>
      </c>
      <c r="FC87" s="399"/>
      <c r="FD87" s="399">
        <v>-17.698635468909799</v>
      </c>
      <c r="FE87" s="399"/>
      <c r="FF87" s="399">
        <v>0</v>
      </c>
      <c r="FG87" s="399">
        <v>0</v>
      </c>
      <c r="FH87" s="399">
        <v>0</v>
      </c>
      <c r="FI87" s="399">
        <v>0</v>
      </c>
    </row>
    <row r="88" spans="1:165" s="818" customFormat="1">
      <c r="A88" s="399">
        <v>82</v>
      </c>
      <c r="B88" s="399" t="s">
        <v>956</v>
      </c>
      <c r="C88" s="399" t="s">
        <v>2409</v>
      </c>
      <c r="D88" s="399" t="s">
        <v>1823</v>
      </c>
      <c r="E88" s="399" t="s">
        <v>889</v>
      </c>
      <c r="F88" s="399" t="s">
        <v>889</v>
      </c>
      <c r="G88" s="399" t="s">
        <v>1239</v>
      </c>
      <c r="H88" s="399" t="s">
        <v>1239</v>
      </c>
      <c r="I88" s="399" t="s">
        <v>2410</v>
      </c>
      <c r="J88" s="399" t="s">
        <v>2400</v>
      </c>
      <c r="K88" s="788">
        <v>44531</v>
      </c>
      <c r="L88" s="399">
        <v>0</v>
      </c>
      <c r="M88" s="399">
        <v>0</v>
      </c>
      <c r="N88" s="399">
        <v>7.0000000000000001E-3</v>
      </c>
      <c r="O88" s="399">
        <v>7.0000000000000001E-3</v>
      </c>
      <c r="P88" s="399">
        <v>7.0000000000000001E-3</v>
      </c>
      <c r="Q88" s="399">
        <v>7.0000000000000001E-3</v>
      </c>
      <c r="R88" s="399"/>
      <c r="S88" s="399">
        <v>960.47</v>
      </c>
      <c r="T88" s="399">
        <v>286.42</v>
      </c>
      <c r="U88" s="399"/>
      <c r="V88" s="399">
        <v>8.7282299999999999</v>
      </c>
      <c r="W88" s="399">
        <v>8.7282299999999999</v>
      </c>
      <c r="X88" s="399">
        <v>6.5513699999999995</v>
      </c>
      <c r="Y88" s="399">
        <v>0</v>
      </c>
      <c r="Z88" s="399">
        <v>0.42602979279911046</v>
      </c>
      <c r="AA88" s="399">
        <v>0</v>
      </c>
      <c r="AB88" s="399">
        <v>0</v>
      </c>
      <c r="AC88" s="399">
        <v>0</v>
      </c>
      <c r="AD88" s="399">
        <v>1.1894701764198259</v>
      </c>
      <c r="AE88" s="399">
        <v>4.5944426514250596</v>
      </c>
      <c r="AF88" s="399">
        <v>2.0049634167069219</v>
      </c>
      <c r="AG88" s="399">
        <v>0</v>
      </c>
      <c r="AH88" s="399">
        <v>0</v>
      </c>
      <c r="AI88" s="399">
        <v>0</v>
      </c>
      <c r="AJ88" s="399">
        <v>0</v>
      </c>
      <c r="AK88" s="399">
        <v>0</v>
      </c>
      <c r="AL88" s="399">
        <v>6.5841222683485551E-2</v>
      </c>
      <c r="AM88" s="399"/>
      <c r="AN88" s="399">
        <v>1.1954862964757581E-2</v>
      </c>
      <c r="AO88" s="399">
        <v>0</v>
      </c>
      <c r="AP88" s="399">
        <v>0</v>
      </c>
      <c r="AQ88" s="399">
        <v>0</v>
      </c>
      <c r="AR88" s="399">
        <v>0</v>
      </c>
      <c r="AS88" s="399">
        <v>0</v>
      </c>
      <c r="AT88" s="399">
        <v>0</v>
      </c>
      <c r="AU88" s="399">
        <v>0</v>
      </c>
      <c r="AV88" s="399">
        <v>0</v>
      </c>
      <c r="AW88" s="399">
        <v>0</v>
      </c>
      <c r="AX88" s="399">
        <v>0</v>
      </c>
      <c r="AY88" s="399">
        <v>0</v>
      </c>
      <c r="AZ88" s="399">
        <v>0</v>
      </c>
      <c r="BA88" s="399"/>
      <c r="BB88" s="399">
        <v>0</v>
      </c>
      <c r="BC88" s="399">
        <v>0</v>
      </c>
      <c r="BD88" s="399">
        <v>0</v>
      </c>
      <c r="BE88" s="399">
        <v>0</v>
      </c>
      <c r="BF88" s="399">
        <v>0</v>
      </c>
      <c r="BG88" s="399">
        <v>0.23465623202124811</v>
      </c>
      <c r="BH88" s="399">
        <v>0</v>
      </c>
      <c r="BI88" s="399">
        <v>0</v>
      </c>
      <c r="BJ88" s="399">
        <v>0</v>
      </c>
      <c r="BK88" s="399">
        <v>0</v>
      </c>
      <c r="BL88" s="399">
        <v>0</v>
      </c>
      <c r="BM88" s="399"/>
      <c r="BN88" s="399"/>
      <c r="BO88" s="399"/>
      <c r="BP88" s="399"/>
      <c r="BQ88" s="399"/>
      <c r="BR88" s="399"/>
      <c r="BS88" s="399"/>
      <c r="BT88" s="399"/>
      <c r="BU88" s="399"/>
      <c r="BV88" s="399">
        <v>2.2396196487281701</v>
      </c>
      <c r="BW88" s="399"/>
      <c r="BX88" s="399"/>
      <c r="BY88" s="399"/>
      <c r="BZ88" s="399"/>
      <c r="CA88" s="399"/>
      <c r="CB88" s="399"/>
      <c r="CC88" s="399"/>
      <c r="CD88" s="399"/>
      <c r="CE88" s="399"/>
      <c r="CF88" s="399"/>
      <c r="CG88" s="399"/>
      <c r="CH88" s="399"/>
      <c r="CI88" s="399">
        <v>9.3590999999999998</v>
      </c>
      <c r="CJ88" s="399">
        <v>0.60087000000000046</v>
      </c>
      <c r="CK88" s="399"/>
      <c r="CL88" s="399"/>
      <c r="CM88" s="399"/>
      <c r="CN88" s="399"/>
      <c r="CO88" s="399">
        <v>-1.7231200000000007</v>
      </c>
      <c r="CP88" s="399">
        <v>-0.45374000000000014</v>
      </c>
      <c r="CQ88" s="399"/>
      <c r="CR88" s="399">
        <v>-0.50041495873344966</v>
      </c>
      <c r="CS88" s="399">
        <v>0</v>
      </c>
      <c r="CT88" s="399">
        <v>0</v>
      </c>
      <c r="CU88" s="399">
        <v>0</v>
      </c>
      <c r="CV88" s="399">
        <v>0</v>
      </c>
      <c r="CW88" s="399">
        <v>0</v>
      </c>
      <c r="CX88" s="399">
        <v>0</v>
      </c>
      <c r="CY88" s="399">
        <v>0</v>
      </c>
      <c r="CZ88" s="399">
        <v>4.0818937874540051E-2</v>
      </c>
      <c r="DA88" s="399">
        <v>0</v>
      </c>
      <c r="DB88" s="399">
        <v>0</v>
      </c>
      <c r="DC88" s="399">
        <v>-0.45378738640925187</v>
      </c>
      <c r="DD88" s="399">
        <v>0</v>
      </c>
      <c r="DE88" s="399">
        <v>0</v>
      </c>
      <c r="DF88" s="399">
        <v>0</v>
      </c>
      <c r="DG88" s="399">
        <v>-5.3110215052433019E-2</v>
      </c>
      <c r="DH88" s="399">
        <v>0</v>
      </c>
      <c r="DI88" s="399">
        <v>-2.9556307494717438E-2</v>
      </c>
      <c r="DJ88" s="399"/>
      <c r="DK88" s="399">
        <v>0</v>
      </c>
      <c r="DL88" s="399">
        <v>0</v>
      </c>
      <c r="DM88" s="399">
        <v>0</v>
      </c>
      <c r="DN88" s="399">
        <v>0</v>
      </c>
      <c r="DO88" s="399">
        <v>-3.7679811548937611E-3</v>
      </c>
      <c r="DP88" s="399">
        <v>-1.012006496693571E-3</v>
      </c>
      <c r="DQ88" s="399">
        <v>0</v>
      </c>
      <c r="DR88" s="399">
        <v>0</v>
      </c>
      <c r="DS88" s="399"/>
      <c r="DT88" s="399"/>
      <c r="DU88" s="399"/>
      <c r="DV88" s="399">
        <v>4.5944426514250596</v>
      </c>
      <c r="DW88" s="399">
        <v>0</v>
      </c>
      <c r="DX88" s="399">
        <v>0</v>
      </c>
      <c r="DY88" s="399">
        <v>-1.7231200000000007</v>
      </c>
      <c r="DZ88" s="399">
        <v>-0.45374000000000003</v>
      </c>
      <c r="EA88" s="399">
        <v>0</v>
      </c>
      <c r="EB88" s="399">
        <v>0</v>
      </c>
      <c r="EC88" s="399">
        <v>-1.6765126655202023</v>
      </c>
      <c r="ED88" s="399">
        <v>0</v>
      </c>
      <c r="EE88" s="399">
        <v>0</v>
      </c>
      <c r="EF88" s="399">
        <v>0</v>
      </c>
      <c r="EG88" s="399">
        <v>0</v>
      </c>
      <c r="EH88" s="399">
        <v>0</v>
      </c>
      <c r="EI88" s="399">
        <v>0</v>
      </c>
      <c r="EJ88" s="399">
        <v>0</v>
      </c>
      <c r="EK88" s="399">
        <v>0</v>
      </c>
      <c r="EL88" s="399">
        <v>0</v>
      </c>
      <c r="EM88" s="399">
        <v>0</v>
      </c>
      <c r="EN88" s="399">
        <v>0</v>
      </c>
      <c r="EO88" s="399">
        <v>0</v>
      </c>
      <c r="EP88" s="399">
        <v>0.20088762390853168</v>
      </c>
      <c r="EQ88" s="399">
        <v>0</v>
      </c>
      <c r="ER88" s="399">
        <v>0</v>
      </c>
      <c r="ES88" s="399">
        <v>0</v>
      </c>
      <c r="ET88" s="399">
        <v>0</v>
      </c>
      <c r="EU88" s="399">
        <v>0</v>
      </c>
      <c r="EV88" s="399">
        <v>202</v>
      </c>
      <c r="EW88" s="399">
        <v>0</v>
      </c>
      <c r="EX88" s="399">
        <v>0</v>
      </c>
      <c r="EY88" s="399">
        <v>0</v>
      </c>
      <c r="EZ88" s="399"/>
      <c r="FA88" s="399">
        <v>0</v>
      </c>
      <c r="FB88" s="399">
        <v>-17.698635468909799</v>
      </c>
      <c r="FC88" s="399"/>
      <c r="FD88" s="399">
        <v>-17.698635468909799</v>
      </c>
      <c r="FE88" s="399"/>
      <c r="FF88" s="399">
        <v>0</v>
      </c>
      <c r="FG88" s="399">
        <v>0</v>
      </c>
      <c r="FH88" s="399">
        <v>0</v>
      </c>
      <c r="FI88" s="399">
        <v>0</v>
      </c>
    </row>
    <row r="89" spans="1:165" s="818" customFormat="1">
      <c r="A89" s="399">
        <v>87</v>
      </c>
      <c r="B89" s="399" t="s">
        <v>956</v>
      </c>
      <c r="C89" s="399" t="s">
        <v>2402</v>
      </c>
      <c r="D89" s="399" t="s">
        <v>2411</v>
      </c>
      <c r="E89" s="399" t="s">
        <v>894</v>
      </c>
      <c r="F89" s="399" t="s">
        <v>1239</v>
      </c>
      <c r="G89" s="399" t="s">
        <v>1239</v>
      </c>
      <c r="H89" s="399" t="s">
        <v>1239</v>
      </c>
      <c r="I89" s="399" t="s">
        <v>1239</v>
      </c>
      <c r="J89" s="399" t="s">
        <v>2400</v>
      </c>
      <c r="K89" s="788">
        <v>44531</v>
      </c>
      <c r="L89" s="399">
        <v>0</v>
      </c>
      <c r="M89" s="399">
        <v>0</v>
      </c>
      <c r="N89" s="399">
        <v>115.242</v>
      </c>
      <c r="O89" s="399">
        <v>115.242</v>
      </c>
      <c r="P89" s="399">
        <v>115.242</v>
      </c>
      <c r="Q89" s="399">
        <v>115.242</v>
      </c>
      <c r="R89" s="399"/>
      <c r="S89" s="399">
        <v>609.05999999999995</v>
      </c>
      <c r="T89" s="399">
        <v>286.42</v>
      </c>
      <c r="U89" s="399"/>
      <c r="V89" s="399">
        <v>103196.90616000001</v>
      </c>
      <c r="W89" s="399">
        <v>103196.90616000001</v>
      </c>
      <c r="X89" s="399">
        <v>78810.546539999996</v>
      </c>
      <c r="Y89" s="399">
        <v>0</v>
      </c>
      <c r="Z89" s="399">
        <v>7013.789340250727</v>
      </c>
      <c r="AA89" s="399">
        <v>0</v>
      </c>
      <c r="AB89" s="399">
        <v>0</v>
      </c>
      <c r="AC89" s="399">
        <v>0</v>
      </c>
      <c r="AD89" s="399">
        <v>11253.629065132722</v>
      </c>
      <c r="AE89" s="399">
        <v>43470.664750240525</v>
      </c>
      <c r="AF89" s="399">
        <v>33007.999152591299</v>
      </c>
      <c r="AG89" s="399">
        <v>0</v>
      </c>
      <c r="AH89" s="399">
        <v>0</v>
      </c>
      <c r="AI89" s="399">
        <v>0</v>
      </c>
      <c r="AJ89" s="399">
        <v>0</v>
      </c>
      <c r="AK89" s="399">
        <v>0</v>
      </c>
      <c r="AL89" s="399">
        <v>1083.9534549271775</v>
      </c>
      <c r="AM89" s="399"/>
      <c r="AN89" s="399">
        <v>196.81461682637044</v>
      </c>
      <c r="AO89" s="399">
        <v>0</v>
      </c>
      <c r="AP89" s="399">
        <v>0</v>
      </c>
      <c r="AQ89" s="399">
        <v>0</v>
      </c>
      <c r="AR89" s="399">
        <v>0</v>
      </c>
      <c r="AS89" s="399">
        <v>0</v>
      </c>
      <c r="AT89" s="399">
        <v>0</v>
      </c>
      <c r="AU89" s="399">
        <v>0</v>
      </c>
      <c r="AV89" s="399">
        <v>0</v>
      </c>
      <c r="AW89" s="399">
        <v>0</v>
      </c>
      <c r="AX89" s="399">
        <v>0</v>
      </c>
      <c r="AY89" s="399">
        <v>0</v>
      </c>
      <c r="AZ89" s="399">
        <v>0</v>
      </c>
      <c r="BA89" s="399"/>
      <c r="BB89" s="399">
        <v>0</v>
      </c>
      <c r="BC89" s="399">
        <v>0</v>
      </c>
      <c r="BD89" s="399">
        <v>0</v>
      </c>
      <c r="BE89" s="399">
        <v>0</v>
      </c>
      <c r="BF89" s="399">
        <v>0</v>
      </c>
      <c r="BG89" s="399">
        <v>3863.1790700846682</v>
      </c>
      <c r="BH89" s="399">
        <v>0</v>
      </c>
      <c r="BI89" s="399">
        <v>367.88</v>
      </c>
      <c r="BJ89" s="399">
        <v>1883.22</v>
      </c>
      <c r="BK89" s="399">
        <v>2887</v>
      </c>
      <c r="BL89" s="399">
        <v>333</v>
      </c>
      <c r="BM89" s="399"/>
      <c r="BN89" s="399"/>
      <c r="BO89" s="399"/>
      <c r="BP89" s="399"/>
      <c r="BQ89" s="399"/>
      <c r="BR89" s="399">
        <v>9457.9109399999961</v>
      </c>
      <c r="BS89" s="399"/>
      <c r="BT89" s="399"/>
      <c r="BU89" s="399"/>
      <c r="BV89" s="399">
        <v>36871.178222675968</v>
      </c>
      <c r="BW89" s="399"/>
      <c r="BX89" s="399"/>
      <c r="BY89" s="399"/>
      <c r="BZ89" s="399"/>
      <c r="CA89" s="399"/>
      <c r="CB89" s="399"/>
      <c r="CC89" s="399"/>
      <c r="CD89" s="399"/>
      <c r="CE89" s="399"/>
      <c r="CF89" s="399"/>
      <c r="CG89" s="399"/>
      <c r="CH89" s="399"/>
      <c r="CI89" s="399">
        <v>69351.432000000001</v>
      </c>
      <c r="CJ89" s="399">
        <v>-21461.598840000006</v>
      </c>
      <c r="CK89" s="399"/>
      <c r="CL89" s="399"/>
      <c r="CM89" s="399"/>
      <c r="CN89" s="399"/>
      <c r="CO89" s="399">
        <v>-16916.373179999995</v>
      </c>
      <c r="CP89" s="399">
        <v>-7469.9864400000024</v>
      </c>
      <c r="CQ89" s="399"/>
      <c r="CR89" s="399">
        <v>-8524.2212126770974</v>
      </c>
      <c r="CS89" s="399">
        <v>0</v>
      </c>
      <c r="CT89" s="399">
        <v>0</v>
      </c>
      <c r="CU89" s="399">
        <v>0</v>
      </c>
      <c r="CV89" s="399">
        <v>0</v>
      </c>
      <c r="CW89" s="399">
        <v>0</v>
      </c>
      <c r="CX89" s="399">
        <v>0</v>
      </c>
      <c r="CY89" s="399">
        <v>0</v>
      </c>
      <c r="CZ89" s="399">
        <v>386.18974630831872</v>
      </c>
      <c r="DA89" s="399">
        <v>0</v>
      </c>
      <c r="DB89" s="399">
        <v>0</v>
      </c>
      <c r="DC89" s="399">
        <v>-7470.7665692249975</v>
      </c>
      <c r="DD89" s="399">
        <v>0</v>
      </c>
      <c r="DE89" s="399">
        <v>0</v>
      </c>
      <c r="DF89" s="399">
        <v>0</v>
      </c>
      <c r="DG89" s="399">
        <v>-874.36105758178383</v>
      </c>
      <c r="DH89" s="399">
        <v>0</v>
      </c>
      <c r="DI89" s="399">
        <v>-486.5897126151749</v>
      </c>
      <c r="DJ89" s="399"/>
      <c r="DK89" s="399">
        <v>0</v>
      </c>
      <c r="DL89" s="399">
        <v>0</v>
      </c>
      <c r="DM89" s="399">
        <v>0</v>
      </c>
      <c r="DN89" s="399">
        <v>0</v>
      </c>
      <c r="DO89" s="399">
        <v>-62.032812036038194</v>
      </c>
      <c r="DP89" s="399">
        <v>-16.66080752742289</v>
      </c>
      <c r="DQ89" s="399">
        <v>0</v>
      </c>
      <c r="DR89" s="399">
        <v>0</v>
      </c>
      <c r="DS89" s="399"/>
      <c r="DT89" s="399"/>
      <c r="DU89" s="399"/>
      <c r="DV89" s="399">
        <v>43470.664750240525</v>
      </c>
      <c r="DW89" s="399">
        <v>0</v>
      </c>
      <c r="DX89" s="399">
        <v>0</v>
      </c>
      <c r="DY89" s="399">
        <v>-16916.373180000002</v>
      </c>
      <c r="DZ89" s="399">
        <v>-7469.9864400000042</v>
      </c>
      <c r="EA89" s="399">
        <v>0</v>
      </c>
      <c r="EB89" s="399">
        <v>0</v>
      </c>
      <c r="EC89" s="399">
        <v>-15862.450695680294</v>
      </c>
      <c r="ED89" s="399">
        <v>0</v>
      </c>
      <c r="EE89" s="399">
        <v>0</v>
      </c>
      <c r="EF89" s="399">
        <v>0</v>
      </c>
      <c r="EG89" s="399">
        <v>0</v>
      </c>
      <c r="EH89" s="399">
        <v>0</v>
      </c>
      <c r="EI89" s="399">
        <v>0</v>
      </c>
      <c r="EJ89" s="399">
        <v>0</v>
      </c>
      <c r="EK89" s="399">
        <v>0</v>
      </c>
      <c r="EL89" s="399">
        <v>0</v>
      </c>
      <c r="EM89" s="399">
        <v>0</v>
      </c>
      <c r="EN89" s="399">
        <v>0</v>
      </c>
      <c r="EO89" s="399">
        <v>0</v>
      </c>
      <c r="EP89" s="399">
        <v>3307.2416506381442</v>
      </c>
      <c r="EQ89" s="399">
        <v>0</v>
      </c>
      <c r="ER89" s="399">
        <v>0</v>
      </c>
      <c r="ES89" s="399">
        <v>0</v>
      </c>
      <c r="ET89" s="399">
        <v>0</v>
      </c>
      <c r="EU89" s="399">
        <v>0</v>
      </c>
      <c r="EV89" s="399">
        <v>202</v>
      </c>
      <c r="EW89" s="399">
        <v>0</v>
      </c>
      <c r="EX89" s="399">
        <v>0</v>
      </c>
      <c r="EY89" s="399">
        <v>0</v>
      </c>
      <c r="EZ89" s="399"/>
      <c r="FA89" s="399">
        <v>0</v>
      </c>
      <c r="FB89" s="399">
        <v>-12.3890448282368</v>
      </c>
      <c r="FC89" s="399"/>
      <c r="FD89" s="399">
        <v>-17.698635468909799</v>
      </c>
      <c r="FE89" s="399"/>
      <c r="FF89" s="399">
        <v>0</v>
      </c>
      <c r="FG89" s="399">
        <v>0</v>
      </c>
      <c r="FH89" s="399">
        <v>0</v>
      </c>
      <c r="FI89" s="399">
        <v>0</v>
      </c>
    </row>
    <row r="90" spans="1:165" s="818" customFormat="1">
      <c r="A90" s="399">
        <v>88</v>
      </c>
      <c r="B90" s="399" t="s">
        <v>2404</v>
      </c>
      <c r="C90" s="399" t="s">
        <v>2402</v>
      </c>
      <c r="D90" s="399" t="s">
        <v>2411</v>
      </c>
      <c r="E90" s="399" t="s">
        <v>894</v>
      </c>
      <c r="F90" s="399" t="s">
        <v>1239</v>
      </c>
      <c r="G90" s="399" t="s">
        <v>1239</v>
      </c>
      <c r="H90" s="399" t="s">
        <v>1239</v>
      </c>
      <c r="I90" s="399" t="s">
        <v>1239</v>
      </c>
      <c r="J90" s="399" t="s">
        <v>2400</v>
      </c>
      <c r="K90" s="788">
        <v>44531</v>
      </c>
      <c r="L90" s="399">
        <v>0</v>
      </c>
      <c r="M90" s="399">
        <v>0</v>
      </c>
      <c r="N90" s="399">
        <v>1.2270000000000001</v>
      </c>
      <c r="O90" s="399">
        <v>1.2270000000000001</v>
      </c>
      <c r="P90" s="399">
        <v>1.2270000000000001</v>
      </c>
      <c r="Q90" s="399">
        <v>1.2270000000000001</v>
      </c>
      <c r="R90" s="399"/>
      <c r="S90" s="399">
        <v>609.05999999999995</v>
      </c>
      <c r="T90" s="399">
        <v>286.42</v>
      </c>
      <c r="U90" s="399"/>
      <c r="V90" s="399">
        <v>1098.75396</v>
      </c>
      <c r="W90" s="399">
        <v>1098.75396</v>
      </c>
      <c r="X90" s="399">
        <v>839.10849000000007</v>
      </c>
      <c r="Y90" s="399">
        <v>0</v>
      </c>
      <c r="Z90" s="399">
        <v>74.676936537786943</v>
      </c>
      <c r="AA90" s="399">
        <v>0</v>
      </c>
      <c r="AB90" s="399">
        <v>0</v>
      </c>
      <c r="AC90" s="399">
        <v>0</v>
      </c>
      <c r="AD90" s="399">
        <v>119.81918799498318</v>
      </c>
      <c r="AE90" s="399">
        <v>462.83911810403436</v>
      </c>
      <c r="AF90" s="399">
        <v>351.44144461419904</v>
      </c>
      <c r="AG90" s="399">
        <v>0</v>
      </c>
      <c r="AH90" s="399">
        <v>0</v>
      </c>
      <c r="AI90" s="399">
        <v>0</v>
      </c>
      <c r="AJ90" s="399">
        <v>0</v>
      </c>
      <c r="AK90" s="399">
        <v>0</v>
      </c>
      <c r="AL90" s="399">
        <v>11.541025747519539</v>
      </c>
      <c r="AM90" s="399"/>
      <c r="AN90" s="399">
        <v>2.0955166939653647</v>
      </c>
      <c r="AO90" s="399">
        <v>0</v>
      </c>
      <c r="AP90" s="399">
        <v>0</v>
      </c>
      <c r="AQ90" s="399">
        <v>0</v>
      </c>
      <c r="AR90" s="399">
        <v>0</v>
      </c>
      <c r="AS90" s="399">
        <v>0</v>
      </c>
      <c r="AT90" s="399">
        <v>0</v>
      </c>
      <c r="AU90" s="399">
        <v>0</v>
      </c>
      <c r="AV90" s="399">
        <v>0</v>
      </c>
      <c r="AW90" s="399">
        <v>0</v>
      </c>
      <c r="AX90" s="399">
        <v>0</v>
      </c>
      <c r="AY90" s="399">
        <v>0</v>
      </c>
      <c r="AZ90" s="399">
        <v>0</v>
      </c>
      <c r="BA90" s="399"/>
      <c r="BB90" s="399">
        <v>0</v>
      </c>
      <c r="BC90" s="399">
        <v>0</v>
      </c>
      <c r="BD90" s="399">
        <v>0</v>
      </c>
      <c r="BE90" s="399">
        <v>0</v>
      </c>
      <c r="BF90" s="399">
        <v>0</v>
      </c>
      <c r="BG90" s="399">
        <v>41.131885241438781</v>
      </c>
      <c r="BH90" s="399">
        <v>0</v>
      </c>
      <c r="BI90" s="399">
        <v>2.97</v>
      </c>
      <c r="BJ90" s="399">
        <v>11.31</v>
      </c>
      <c r="BK90" s="399">
        <v>0</v>
      </c>
      <c r="BL90" s="399">
        <v>3</v>
      </c>
      <c r="BM90" s="399"/>
      <c r="BN90" s="399"/>
      <c r="BO90" s="399"/>
      <c r="BP90" s="399"/>
      <c r="BQ90" s="399"/>
      <c r="BR90" s="399">
        <v>100.69988999999997</v>
      </c>
      <c r="BS90" s="399"/>
      <c r="BT90" s="399"/>
      <c r="BU90" s="399"/>
      <c r="BV90" s="399">
        <v>392.57332985563784</v>
      </c>
      <c r="BW90" s="399"/>
      <c r="BX90" s="399"/>
      <c r="BY90" s="399"/>
      <c r="BZ90" s="399"/>
      <c r="CA90" s="399"/>
      <c r="CB90" s="399"/>
      <c r="CC90" s="399"/>
      <c r="CD90" s="399"/>
      <c r="CE90" s="399"/>
      <c r="CF90" s="399"/>
      <c r="CG90" s="399"/>
      <c r="CH90" s="399"/>
      <c r="CI90" s="399">
        <v>740.21400000000006</v>
      </c>
      <c r="CJ90" s="399">
        <v>-226.71654000000001</v>
      </c>
      <c r="CK90" s="399"/>
      <c r="CL90" s="399"/>
      <c r="CM90" s="399"/>
      <c r="CN90" s="399"/>
      <c r="CO90" s="399">
        <v>-180.11132999999998</v>
      </c>
      <c r="CP90" s="399">
        <v>-79.534140000000036</v>
      </c>
      <c r="CQ90" s="399"/>
      <c r="CR90" s="399">
        <v>-90.758746185894097</v>
      </c>
      <c r="CS90" s="399">
        <v>0</v>
      </c>
      <c r="CT90" s="399">
        <v>0</v>
      </c>
      <c r="CU90" s="399">
        <v>0</v>
      </c>
      <c r="CV90" s="399">
        <v>0</v>
      </c>
      <c r="CW90" s="399">
        <v>0</v>
      </c>
      <c r="CX90" s="399">
        <v>0</v>
      </c>
      <c r="CY90" s="399">
        <v>0</v>
      </c>
      <c r="CZ90" s="399">
        <v>4.1118239766778117</v>
      </c>
      <c r="DA90" s="399">
        <v>0</v>
      </c>
      <c r="DB90" s="399">
        <v>0</v>
      </c>
      <c r="DC90" s="399">
        <v>-79.542446160593158</v>
      </c>
      <c r="DD90" s="399">
        <v>0</v>
      </c>
      <c r="DE90" s="399">
        <v>0</v>
      </c>
      <c r="DF90" s="399">
        <v>0</v>
      </c>
      <c r="DG90" s="399">
        <v>-9.3094619813336195</v>
      </c>
      <c r="DH90" s="399">
        <v>0</v>
      </c>
      <c r="DI90" s="399">
        <v>-5.1807984708597559</v>
      </c>
      <c r="DJ90" s="399"/>
      <c r="DK90" s="399">
        <v>0</v>
      </c>
      <c r="DL90" s="399">
        <v>0</v>
      </c>
      <c r="DM90" s="399">
        <v>0</v>
      </c>
      <c r="DN90" s="399">
        <v>0</v>
      </c>
      <c r="DO90" s="399">
        <v>-0.66047326815066398</v>
      </c>
      <c r="DP90" s="399">
        <v>-0.17739028163471571</v>
      </c>
      <c r="DQ90" s="399">
        <v>0</v>
      </c>
      <c r="DR90" s="399">
        <v>0</v>
      </c>
      <c r="DS90" s="399"/>
      <c r="DT90" s="399"/>
      <c r="DU90" s="399"/>
      <c r="DV90" s="399">
        <v>462.83911810403436</v>
      </c>
      <c r="DW90" s="399">
        <v>0</v>
      </c>
      <c r="DX90" s="399">
        <v>0</v>
      </c>
      <c r="DY90" s="399">
        <v>-180.11132999999995</v>
      </c>
      <c r="DZ90" s="399">
        <v>-79.534140000000036</v>
      </c>
      <c r="EA90" s="399">
        <v>0</v>
      </c>
      <c r="EB90" s="399">
        <v>0</v>
      </c>
      <c r="EC90" s="399">
        <v>-168.89004879817884</v>
      </c>
      <c r="ED90" s="399">
        <v>0</v>
      </c>
      <c r="EE90" s="399">
        <v>0</v>
      </c>
      <c r="EF90" s="399">
        <v>0</v>
      </c>
      <c r="EG90" s="399">
        <v>0</v>
      </c>
      <c r="EH90" s="399">
        <v>0</v>
      </c>
      <c r="EI90" s="399">
        <v>0</v>
      </c>
      <c r="EJ90" s="399">
        <v>0</v>
      </c>
      <c r="EK90" s="399">
        <v>0</v>
      </c>
      <c r="EL90" s="399">
        <v>0</v>
      </c>
      <c r="EM90" s="399">
        <v>0</v>
      </c>
      <c r="EN90" s="399">
        <v>0</v>
      </c>
      <c r="EO90" s="399">
        <v>0</v>
      </c>
      <c r="EP90" s="399">
        <v>35.212730647966914</v>
      </c>
      <c r="EQ90" s="399">
        <v>0</v>
      </c>
      <c r="ER90" s="399">
        <v>0</v>
      </c>
      <c r="ES90" s="399">
        <v>0</v>
      </c>
      <c r="ET90" s="399">
        <v>0</v>
      </c>
      <c r="EU90" s="399">
        <v>0</v>
      </c>
      <c r="EV90" s="399">
        <v>202</v>
      </c>
      <c r="EW90" s="399">
        <v>0</v>
      </c>
      <c r="EX90" s="399">
        <v>0</v>
      </c>
      <c r="EY90" s="399">
        <v>0</v>
      </c>
      <c r="EZ90" s="399"/>
      <c r="FA90" s="399">
        <v>0</v>
      </c>
      <c r="FB90" s="399">
        <v>-12.3890448282368</v>
      </c>
      <c r="FC90" s="399"/>
      <c r="FD90" s="399">
        <v>-17.698635468909799</v>
      </c>
      <c r="FE90" s="399"/>
      <c r="FF90" s="399">
        <v>0</v>
      </c>
      <c r="FG90" s="399">
        <v>0</v>
      </c>
      <c r="FH90" s="399">
        <v>0</v>
      </c>
      <c r="FI90" s="399">
        <v>0</v>
      </c>
    </row>
    <row r="91" spans="1:165" s="818" customFormat="1">
      <c r="A91" s="399">
        <v>83</v>
      </c>
      <c r="B91" s="399" t="s">
        <v>956</v>
      </c>
      <c r="C91" s="399" t="s">
        <v>2402</v>
      </c>
      <c r="D91" s="399" t="s">
        <v>1826</v>
      </c>
      <c r="E91" s="399" t="s">
        <v>918</v>
      </c>
      <c r="F91" s="399" t="s">
        <v>1239</v>
      </c>
      <c r="G91" s="399" t="s">
        <v>1239</v>
      </c>
      <c r="H91" s="399" t="s">
        <v>1239</v>
      </c>
      <c r="I91" s="399" t="s">
        <v>1239</v>
      </c>
      <c r="J91" s="399" t="s">
        <v>2400</v>
      </c>
      <c r="K91" s="788">
        <v>44531</v>
      </c>
      <c r="L91" s="399">
        <v>0</v>
      </c>
      <c r="M91" s="399">
        <v>0</v>
      </c>
      <c r="N91" s="399">
        <v>16.385000000000002</v>
      </c>
      <c r="O91" s="399">
        <v>16.385000000000002</v>
      </c>
      <c r="P91" s="399">
        <v>16.385000000000002</v>
      </c>
      <c r="Q91" s="399">
        <v>16.385000000000002</v>
      </c>
      <c r="R91" s="399"/>
      <c r="S91" s="399">
        <v>609.05999999999995</v>
      </c>
      <c r="T91" s="399">
        <v>286.42</v>
      </c>
      <c r="U91" s="399"/>
      <c r="V91" s="399">
        <v>14672.4398</v>
      </c>
      <c r="W91" s="399">
        <v>14672.4398</v>
      </c>
      <c r="X91" s="399">
        <v>11205.20995</v>
      </c>
      <c r="Y91" s="399">
        <v>0</v>
      </c>
      <c r="Z91" s="399">
        <v>997.21402214477519</v>
      </c>
      <c r="AA91" s="399">
        <v>0</v>
      </c>
      <c r="AB91" s="399">
        <v>0</v>
      </c>
      <c r="AC91" s="399">
        <v>0</v>
      </c>
      <c r="AD91" s="399">
        <v>1600.0304770153214</v>
      </c>
      <c r="AE91" s="399">
        <v>6180.6185412669956</v>
      </c>
      <c r="AF91" s="399">
        <v>4693.0465118204165</v>
      </c>
      <c r="AG91" s="399">
        <v>0</v>
      </c>
      <c r="AH91" s="399">
        <v>0</v>
      </c>
      <c r="AI91" s="399">
        <v>0</v>
      </c>
      <c r="AJ91" s="399">
        <v>0</v>
      </c>
      <c r="AK91" s="399">
        <v>0</v>
      </c>
      <c r="AL91" s="399">
        <v>154.11549052413014</v>
      </c>
      <c r="AM91" s="399"/>
      <c r="AN91" s="399">
        <v>27.98291852536471</v>
      </c>
      <c r="AO91" s="399">
        <v>0</v>
      </c>
      <c r="AP91" s="399">
        <v>0</v>
      </c>
      <c r="AQ91" s="399">
        <v>0</v>
      </c>
      <c r="AR91" s="399">
        <v>0</v>
      </c>
      <c r="AS91" s="399">
        <v>0</v>
      </c>
      <c r="AT91" s="399">
        <v>0</v>
      </c>
      <c r="AU91" s="399">
        <v>0</v>
      </c>
      <c r="AV91" s="399">
        <v>0</v>
      </c>
      <c r="AW91" s="399">
        <v>0</v>
      </c>
      <c r="AX91" s="399">
        <v>0</v>
      </c>
      <c r="AY91" s="399">
        <v>0</v>
      </c>
      <c r="AZ91" s="399">
        <v>0</v>
      </c>
      <c r="BA91" s="399"/>
      <c r="BB91" s="399">
        <v>0</v>
      </c>
      <c r="BC91" s="399">
        <v>0</v>
      </c>
      <c r="BD91" s="399">
        <v>0</v>
      </c>
      <c r="BE91" s="399">
        <v>0</v>
      </c>
      <c r="BF91" s="399">
        <v>0</v>
      </c>
      <c r="BG91" s="399">
        <v>549.26319452402151</v>
      </c>
      <c r="BH91" s="399">
        <v>0</v>
      </c>
      <c r="BI91" s="399">
        <v>47.39</v>
      </c>
      <c r="BJ91" s="399">
        <v>219.14</v>
      </c>
      <c r="BK91" s="399">
        <v>3028.51</v>
      </c>
      <c r="BL91" s="399">
        <v>43</v>
      </c>
      <c r="BM91" s="399"/>
      <c r="BN91" s="399"/>
      <c r="BO91" s="399"/>
      <c r="BP91" s="399"/>
      <c r="BQ91" s="399"/>
      <c r="BR91" s="399"/>
      <c r="BS91" s="399"/>
      <c r="BT91" s="399"/>
      <c r="BU91" s="399"/>
      <c r="BV91" s="399">
        <v>5242.3097063444384</v>
      </c>
      <c r="BW91" s="399"/>
      <c r="BX91" s="399"/>
      <c r="BY91" s="399"/>
      <c r="BZ91" s="399"/>
      <c r="CA91" s="399"/>
      <c r="CB91" s="399"/>
      <c r="CC91" s="399"/>
      <c r="CD91" s="399"/>
      <c r="CE91" s="399"/>
      <c r="CF91" s="399"/>
      <c r="CG91" s="399"/>
      <c r="CH91" s="399"/>
      <c r="CI91" s="399">
        <v>11208.629300000001</v>
      </c>
      <c r="CJ91" s="399">
        <v>-3463.8405000000002</v>
      </c>
      <c r="CK91" s="399"/>
      <c r="CL91" s="399"/>
      <c r="CM91" s="399"/>
      <c r="CN91" s="399"/>
      <c r="CO91" s="399">
        <v>-2405.1541499999998</v>
      </c>
      <c r="CP91" s="399">
        <v>-1062.0757000000006</v>
      </c>
      <c r="CQ91" s="399"/>
      <c r="CR91" s="399">
        <v>-1211.9658160194585</v>
      </c>
      <c r="CS91" s="399">
        <v>0</v>
      </c>
      <c r="CT91" s="399">
        <v>0</v>
      </c>
      <c r="CU91" s="399">
        <v>0</v>
      </c>
      <c r="CV91" s="399">
        <v>0</v>
      </c>
      <c r="CW91" s="399">
        <v>0</v>
      </c>
      <c r="CX91" s="399">
        <v>0</v>
      </c>
      <c r="CY91" s="399">
        <v>0</v>
      </c>
      <c r="CZ91" s="399">
        <v>54.908097683672395</v>
      </c>
      <c r="DA91" s="399">
        <v>0</v>
      </c>
      <c r="DB91" s="399">
        <v>0</v>
      </c>
      <c r="DC91" s="399">
        <v>-1062.1866180450843</v>
      </c>
      <c r="DD91" s="399">
        <v>0</v>
      </c>
      <c r="DE91" s="399">
        <v>0</v>
      </c>
      <c r="DF91" s="399">
        <v>0</v>
      </c>
      <c r="DG91" s="399">
        <v>-124.31583909058787</v>
      </c>
      <c r="DH91" s="399">
        <v>0</v>
      </c>
      <c r="DI91" s="399">
        <v>-69.182871185849422</v>
      </c>
      <c r="DJ91" s="399"/>
      <c r="DK91" s="399">
        <v>0</v>
      </c>
      <c r="DL91" s="399">
        <v>0</v>
      </c>
      <c r="DM91" s="399">
        <v>0</v>
      </c>
      <c r="DN91" s="399">
        <v>0</v>
      </c>
      <c r="DO91" s="399">
        <v>-8.8197673175620537</v>
      </c>
      <c r="DP91" s="399">
        <v>-2.3688180640463052</v>
      </c>
      <c r="DQ91" s="399">
        <v>0</v>
      </c>
      <c r="DR91" s="399">
        <v>0</v>
      </c>
      <c r="DS91" s="399"/>
      <c r="DT91" s="399"/>
      <c r="DU91" s="399"/>
      <c r="DV91" s="399">
        <v>6180.6185412669956</v>
      </c>
      <c r="DW91" s="399">
        <v>0</v>
      </c>
      <c r="DX91" s="399">
        <v>0</v>
      </c>
      <c r="DY91" s="399">
        <v>-2405.1541499999994</v>
      </c>
      <c r="DZ91" s="399">
        <v>-1062.0757000000003</v>
      </c>
      <c r="EA91" s="399">
        <v>0</v>
      </c>
      <c r="EB91" s="399">
        <v>0</v>
      </c>
      <c r="EC91" s="399">
        <v>-2255.3084348477264</v>
      </c>
      <c r="ED91" s="399">
        <v>0</v>
      </c>
      <c r="EE91" s="399">
        <v>0</v>
      </c>
      <c r="EF91" s="399">
        <v>0</v>
      </c>
      <c r="EG91" s="399">
        <v>0</v>
      </c>
      <c r="EH91" s="399">
        <v>0</v>
      </c>
      <c r="EI91" s="399">
        <v>0</v>
      </c>
      <c r="EJ91" s="399">
        <v>0</v>
      </c>
      <c r="EK91" s="399">
        <v>0</v>
      </c>
      <c r="EL91" s="399">
        <v>0</v>
      </c>
      <c r="EM91" s="399">
        <v>0</v>
      </c>
      <c r="EN91" s="399">
        <v>0</v>
      </c>
      <c r="EO91" s="399">
        <v>0</v>
      </c>
      <c r="EP91" s="399">
        <v>470.22053110589889</v>
      </c>
      <c r="EQ91" s="399">
        <v>0</v>
      </c>
      <c r="ER91" s="399">
        <v>0</v>
      </c>
      <c r="ES91" s="399">
        <v>0</v>
      </c>
      <c r="ET91" s="399">
        <v>0</v>
      </c>
      <c r="EU91" s="399">
        <v>0</v>
      </c>
      <c r="EV91" s="399">
        <v>202</v>
      </c>
      <c r="EW91" s="399">
        <v>0</v>
      </c>
      <c r="EX91" s="399">
        <v>0</v>
      </c>
      <c r="EY91" s="399">
        <v>0</v>
      </c>
      <c r="EZ91" s="399"/>
      <c r="FA91" s="399">
        <v>0</v>
      </c>
      <c r="FB91" s="399">
        <v>-17.698635468909799</v>
      </c>
      <c r="FC91" s="399"/>
      <c r="FD91" s="399">
        <v>-17.698635468909799</v>
      </c>
      <c r="FE91" s="399"/>
      <c r="FF91" s="399">
        <v>0</v>
      </c>
      <c r="FG91" s="399">
        <v>0</v>
      </c>
      <c r="FH91" s="399">
        <v>0</v>
      </c>
      <c r="FI91" s="399">
        <v>0</v>
      </c>
    </row>
    <row r="92" spans="1:165" s="818" customFormat="1">
      <c r="A92" s="399">
        <v>89</v>
      </c>
      <c r="B92" s="399" t="s">
        <v>956</v>
      </c>
      <c r="C92" s="399" t="s">
        <v>2402</v>
      </c>
      <c r="D92" s="399" t="s">
        <v>1826</v>
      </c>
      <c r="E92" s="399" t="s">
        <v>2412</v>
      </c>
      <c r="F92" s="399" t="s">
        <v>1239</v>
      </c>
      <c r="G92" s="399" t="s">
        <v>1239</v>
      </c>
      <c r="H92" s="399" t="s">
        <v>1239</v>
      </c>
      <c r="I92" s="399" t="s">
        <v>1239</v>
      </c>
      <c r="J92" s="399" t="s">
        <v>2400</v>
      </c>
      <c r="K92" s="788">
        <v>44531</v>
      </c>
      <c r="L92" s="399">
        <v>0</v>
      </c>
      <c r="M92" s="399">
        <v>0</v>
      </c>
      <c r="N92" s="399">
        <v>6.4459999999999997</v>
      </c>
      <c r="O92" s="399">
        <v>6.4459999999999997</v>
      </c>
      <c r="P92" s="399">
        <v>6.4459999999999997</v>
      </c>
      <c r="Q92" s="399">
        <v>6.4459999999999997</v>
      </c>
      <c r="R92" s="399"/>
      <c r="S92" s="399">
        <v>609.05999999999995</v>
      </c>
      <c r="T92" s="399">
        <v>286.42</v>
      </c>
      <c r="U92" s="399"/>
      <c r="V92" s="399">
        <v>5772.264079999999</v>
      </c>
      <c r="W92" s="399">
        <v>5772.264079999999</v>
      </c>
      <c r="X92" s="399">
        <v>4408.2260200000001</v>
      </c>
      <c r="Y92" s="399">
        <v>0</v>
      </c>
      <c r="Z92" s="399">
        <v>392.31257776900941</v>
      </c>
      <c r="AA92" s="399">
        <v>0</v>
      </c>
      <c r="AB92" s="399">
        <v>0</v>
      </c>
      <c r="AC92" s="399">
        <v>0</v>
      </c>
      <c r="AD92" s="399">
        <v>629.46575861097108</v>
      </c>
      <c r="AE92" s="399">
        <v>2431.508521025758</v>
      </c>
      <c r="AF92" s="399">
        <v>1846.284883441831</v>
      </c>
      <c r="AG92" s="399">
        <v>0</v>
      </c>
      <c r="AH92" s="399">
        <v>0</v>
      </c>
      <c r="AI92" s="399">
        <v>0</v>
      </c>
      <c r="AJ92" s="399">
        <v>0</v>
      </c>
      <c r="AK92" s="399">
        <v>0</v>
      </c>
      <c r="AL92" s="399">
        <v>60.630360202535407</v>
      </c>
      <c r="AM92" s="399"/>
      <c r="AN92" s="399">
        <v>11.008720952975336</v>
      </c>
      <c r="AO92" s="399">
        <v>0</v>
      </c>
      <c r="AP92" s="399">
        <v>0</v>
      </c>
      <c r="AQ92" s="399">
        <v>0</v>
      </c>
      <c r="AR92" s="399">
        <v>0</v>
      </c>
      <c r="AS92" s="399">
        <v>0</v>
      </c>
      <c r="AT92" s="399">
        <v>0</v>
      </c>
      <c r="AU92" s="399">
        <v>0</v>
      </c>
      <c r="AV92" s="399">
        <v>0</v>
      </c>
      <c r="AW92" s="399">
        <v>0</v>
      </c>
      <c r="AX92" s="399">
        <v>0</v>
      </c>
      <c r="AY92" s="399">
        <v>0</v>
      </c>
      <c r="AZ92" s="399">
        <v>0</v>
      </c>
      <c r="BA92" s="399"/>
      <c r="BB92" s="399">
        <v>0</v>
      </c>
      <c r="BC92" s="399">
        <v>0</v>
      </c>
      <c r="BD92" s="399">
        <v>0</v>
      </c>
      <c r="BE92" s="399">
        <v>0</v>
      </c>
      <c r="BF92" s="399">
        <v>0</v>
      </c>
      <c r="BG92" s="399">
        <v>216.08486737270934</v>
      </c>
      <c r="BH92" s="399">
        <v>0</v>
      </c>
      <c r="BI92" s="399">
        <v>22.36</v>
      </c>
      <c r="BJ92" s="399">
        <v>124.7</v>
      </c>
      <c r="BK92" s="399">
        <v>574.04</v>
      </c>
      <c r="BL92" s="399">
        <v>10</v>
      </c>
      <c r="BM92" s="399"/>
      <c r="BN92" s="399"/>
      <c r="BO92" s="399"/>
      <c r="BP92" s="399"/>
      <c r="BQ92" s="399"/>
      <c r="BR92" s="399"/>
      <c r="BS92" s="399"/>
      <c r="BT92" s="399"/>
      <c r="BU92" s="399"/>
      <c r="BV92" s="399">
        <v>2062.3697508145401</v>
      </c>
      <c r="BW92" s="399"/>
      <c r="BX92" s="399"/>
      <c r="BY92" s="399"/>
      <c r="BZ92" s="399"/>
      <c r="CA92" s="399"/>
      <c r="CB92" s="399"/>
      <c r="CC92" s="399"/>
      <c r="CD92" s="399"/>
      <c r="CE92" s="399"/>
      <c r="CF92" s="399"/>
      <c r="CG92" s="399"/>
      <c r="CH92" s="399"/>
      <c r="CI92" s="399">
        <v>4410.9615000000003</v>
      </c>
      <c r="CJ92" s="399">
        <v>-1361.3325799999993</v>
      </c>
      <c r="CK92" s="399"/>
      <c r="CL92" s="399"/>
      <c r="CM92" s="399"/>
      <c r="CN92" s="399"/>
      <c r="CO92" s="399">
        <v>-946.20833999999968</v>
      </c>
      <c r="CP92" s="399">
        <v>-417.82972000000012</v>
      </c>
      <c r="CQ92" s="399"/>
      <c r="CR92" s="399">
        <v>-476.79778151122446</v>
      </c>
      <c r="CS92" s="399">
        <v>0</v>
      </c>
      <c r="CT92" s="399">
        <v>0</v>
      </c>
      <c r="CU92" s="399">
        <v>0</v>
      </c>
      <c r="CV92" s="399">
        <v>0</v>
      </c>
      <c r="CW92" s="399">
        <v>0</v>
      </c>
      <c r="CX92" s="399">
        <v>0</v>
      </c>
      <c r="CY92" s="399">
        <v>0</v>
      </c>
      <c r="CZ92" s="399">
        <v>21.601318136646455</v>
      </c>
      <c r="DA92" s="399">
        <v>0</v>
      </c>
      <c r="DB92" s="399">
        <v>0</v>
      </c>
      <c r="DC92" s="399">
        <v>-417.8733561134336</v>
      </c>
      <c r="DD92" s="399">
        <v>0</v>
      </c>
      <c r="DE92" s="399">
        <v>0</v>
      </c>
      <c r="DF92" s="399">
        <v>0</v>
      </c>
      <c r="DG92" s="399">
        <v>-48.906920889711898</v>
      </c>
      <c r="DH92" s="399">
        <v>0</v>
      </c>
      <c r="DI92" s="399">
        <v>-27.217136872992626</v>
      </c>
      <c r="DJ92" s="399"/>
      <c r="DK92" s="399">
        <v>0</v>
      </c>
      <c r="DL92" s="399">
        <v>0</v>
      </c>
      <c r="DM92" s="399">
        <v>0</v>
      </c>
      <c r="DN92" s="399">
        <v>0</v>
      </c>
      <c r="DO92" s="399">
        <v>-3.4697723606350266</v>
      </c>
      <c r="DP92" s="399">
        <v>-0.93191341109810644</v>
      </c>
      <c r="DQ92" s="399">
        <v>0</v>
      </c>
      <c r="DR92" s="399">
        <v>0</v>
      </c>
      <c r="DS92" s="399"/>
      <c r="DT92" s="399"/>
      <c r="DU92" s="399"/>
      <c r="DV92" s="399">
        <v>2431.508521025758</v>
      </c>
      <c r="DW92" s="399">
        <v>0</v>
      </c>
      <c r="DX92" s="399">
        <v>0</v>
      </c>
      <c r="DY92" s="399">
        <v>-946.20833999999968</v>
      </c>
      <c r="DZ92" s="399">
        <v>-417.82972000000018</v>
      </c>
      <c r="EA92" s="399">
        <v>0</v>
      </c>
      <c r="EB92" s="399">
        <v>0</v>
      </c>
      <c r="EC92" s="399">
        <v>-887.25774617201341</v>
      </c>
      <c r="ED92" s="399">
        <v>0</v>
      </c>
      <c r="EE92" s="399">
        <v>0</v>
      </c>
      <c r="EF92" s="399">
        <v>0</v>
      </c>
      <c r="EG92" s="399">
        <v>0</v>
      </c>
      <c r="EH92" s="399">
        <v>0</v>
      </c>
      <c r="EI92" s="399">
        <v>0</v>
      </c>
      <c r="EJ92" s="399">
        <v>0</v>
      </c>
      <c r="EK92" s="399">
        <v>0</v>
      </c>
      <c r="EL92" s="399">
        <v>0</v>
      </c>
      <c r="EM92" s="399">
        <v>0</v>
      </c>
      <c r="EN92" s="399">
        <v>0</v>
      </c>
      <c r="EO92" s="399">
        <v>0</v>
      </c>
      <c r="EP92" s="399">
        <v>184.98880338777076</v>
      </c>
      <c r="EQ92" s="399">
        <v>0</v>
      </c>
      <c r="ER92" s="399">
        <v>0</v>
      </c>
      <c r="ES92" s="399">
        <v>0</v>
      </c>
      <c r="ET92" s="399">
        <v>0</v>
      </c>
      <c r="EU92" s="399">
        <v>0</v>
      </c>
      <c r="EV92" s="399">
        <v>202</v>
      </c>
      <c r="EW92" s="399">
        <v>0</v>
      </c>
      <c r="EX92" s="399">
        <v>0</v>
      </c>
      <c r="EY92" s="399">
        <v>0</v>
      </c>
      <c r="EZ92" s="399"/>
      <c r="FA92" s="399">
        <v>0</v>
      </c>
      <c r="FB92" s="399">
        <v>-17.698635468909799</v>
      </c>
      <c r="FC92" s="399"/>
      <c r="FD92" s="399">
        <v>-17.698635468909799</v>
      </c>
      <c r="FE92" s="399"/>
      <c r="FF92" s="399">
        <v>0</v>
      </c>
      <c r="FG92" s="399">
        <v>0</v>
      </c>
      <c r="FH92" s="399">
        <v>0</v>
      </c>
      <c r="FI92" s="399">
        <v>0</v>
      </c>
    </row>
    <row r="93" spans="1:165" s="818" customFormat="1">
      <c r="A93" s="399">
        <v>91</v>
      </c>
      <c r="B93" s="399" t="s">
        <v>956</v>
      </c>
      <c r="C93" s="399" t="s">
        <v>2402</v>
      </c>
      <c r="D93" s="399" t="s">
        <v>1826</v>
      </c>
      <c r="E93" s="399" t="s">
        <v>921</v>
      </c>
      <c r="F93" s="399" t="s">
        <v>2401</v>
      </c>
      <c r="G93" s="399" t="s">
        <v>1239</v>
      </c>
      <c r="H93" s="399" t="s">
        <v>1239</v>
      </c>
      <c r="I93" s="399" t="s">
        <v>1239</v>
      </c>
      <c r="J93" s="399" t="s">
        <v>2400</v>
      </c>
      <c r="K93" s="788">
        <v>44531</v>
      </c>
      <c r="L93" s="399">
        <v>0</v>
      </c>
      <c r="M93" s="399">
        <v>0</v>
      </c>
      <c r="N93" s="399">
        <v>27.533000000000001</v>
      </c>
      <c r="O93" s="399">
        <v>25.881019999999999</v>
      </c>
      <c r="P93" s="399">
        <v>27.533000000000001</v>
      </c>
      <c r="Q93" s="399">
        <v>25.881019999999999</v>
      </c>
      <c r="R93" s="399"/>
      <c r="S93" s="399">
        <v>609.05999999999995</v>
      </c>
      <c r="T93" s="399">
        <v>286.42</v>
      </c>
      <c r="U93" s="399"/>
      <c r="V93" s="399">
        <v>24655.250840000001</v>
      </c>
      <c r="W93" s="399">
        <v>24655.250840000001</v>
      </c>
      <c r="X93" s="399">
        <v>18828.992709999999</v>
      </c>
      <c r="Y93" s="399">
        <v>0</v>
      </c>
      <c r="Z93" s="399">
        <v>1675.6968978768441</v>
      </c>
      <c r="AA93" s="399">
        <v>0</v>
      </c>
      <c r="AB93" s="399">
        <v>0</v>
      </c>
      <c r="AC93" s="399">
        <v>0</v>
      </c>
      <c r="AD93" s="399">
        <v>2688.6566447154619</v>
      </c>
      <c r="AE93" s="399">
        <v>10385.777863698759</v>
      </c>
      <c r="AF93" s="399">
        <v>7886.0939645988119</v>
      </c>
      <c r="AG93" s="399">
        <v>0</v>
      </c>
      <c r="AH93" s="399">
        <v>0</v>
      </c>
      <c r="AI93" s="399">
        <v>0</v>
      </c>
      <c r="AJ93" s="399">
        <v>0</v>
      </c>
      <c r="AK93" s="399">
        <v>0</v>
      </c>
      <c r="AL93" s="399">
        <v>258.97234059205823</v>
      </c>
      <c r="AM93" s="399"/>
      <c r="AN93" s="399">
        <v>47.021891715524355</v>
      </c>
      <c r="AO93" s="399">
        <v>0</v>
      </c>
      <c r="AP93" s="399">
        <v>0</v>
      </c>
      <c r="AQ93" s="399">
        <v>0</v>
      </c>
      <c r="AR93" s="399">
        <v>0</v>
      </c>
      <c r="AS93" s="399">
        <v>0</v>
      </c>
      <c r="AT93" s="399">
        <v>0</v>
      </c>
      <c r="AU93" s="399">
        <v>0</v>
      </c>
      <c r="AV93" s="399">
        <v>0</v>
      </c>
      <c r="AW93" s="399">
        <v>0</v>
      </c>
      <c r="AX93" s="399">
        <v>0</v>
      </c>
      <c r="AY93" s="399">
        <v>0</v>
      </c>
      <c r="AZ93" s="399">
        <v>0</v>
      </c>
      <c r="BA93" s="399"/>
      <c r="BB93" s="399">
        <v>0</v>
      </c>
      <c r="BC93" s="399">
        <v>0</v>
      </c>
      <c r="BD93" s="399">
        <v>0</v>
      </c>
      <c r="BE93" s="399">
        <v>0</v>
      </c>
      <c r="BF93" s="399">
        <v>0</v>
      </c>
      <c r="BG93" s="399">
        <v>922.97000517728918</v>
      </c>
      <c r="BH93" s="399">
        <v>0</v>
      </c>
      <c r="BI93" s="399">
        <v>9.2200000000000006</v>
      </c>
      <c r="BJ93" s="399">
        <v>363.67</v>
      </c>
      <c r="BK93" s="399">
        <v>5077.49</v>
      </c>
      <c r="BL93" s="399">
        <v>6</v>
      </c>
      <c r="BM93" s="399"/>
      <c r="BN93" s="399"/>
      <c r="BO93" s="399"/>
      <c r="BP93" s="399"/>
      <c r="BQ93" s="399">
        <v>1129.7395626000011</v>
      </c>
      <c r="BR93" s="399"/>
      <c r="BS93" s="399"/>
      <c r="BT93" s="399"/>
      <c r="BU93" s="399"/>
      <c r="BV93" s="399">
        <v>8809.0639697761017</v>
      </c>
      <c r="BW93" s="399"/>
      <c r="BX93" s="399"/>
      <c r="BY93" s="399"/>
      <c r="BZ93" s="399"/>
      <c r="CA93" s="399"/>
      <c r="CB93" s="399"/>
      <c r="CC93" s="399"/>
      <c r="CD93" s="399"/>
      <c r="CE93" s="399"/>
      <c r="CF93" s="399"/>
      <c r="CG93" s="399"/>
      <c r="CH93" s="399"/>
      <c r="CI93" s="399">
        <v>17698.5556</v>
      </c>
      <c r="CJ93" s="399">
        <v>-5477.4101895999956</v>
      </c>
      <c r="CK93" s="399"/>
      <c r="CL93" s="399"/>
      <c r="CM93" s="399"/>
      <c r="CN93" s="399"/>
      <c r="CO93" s="399">
        <v>-4041.5690699999991</v>
      </c>
      <c r="CP93" s="399">
        <v>-1784.6890600000006</v>
      </c>
      <c r="CQ93" s="399"/>
      <c r="CR93" s="399">
        <v>-2036.5611725641575</v>
      </c>
      <c r="CS93" s="399">
        <v>0</v>
      </c>
      <c r="CT93" s="399">
        <v>0</v>
      </c>
      <c r="CU93" s="399">
        <v>0</v>
      </c>
      <c r="CV93" s="399">
        <v>0</v>
      </c>
      <c r="CW93" s="399">
        <v>0</v>
      </c>
      <c r="CX93" s="399">
        <v>0</v>
      </c>
      <c r="CY93" s="399">
        <v>0</v>
      </c>
      <c r="CZ93" s="399">
        <v>92.266381051239023</v>
      </c>
      <c r="DA93" s="399">
        <v>0</v>
      </c>
      <c r="DB93" s="399">
        <v>0</v>
      </c>
      <c r="DC93" s="399">
        <v>-1784.875444286562</v>
      </c>
      <c r="DD93" s="399">
        <v>0</v>
      </c>
      <c r="DE93" s="399">
        <v>0</v>
      </c>
      <c r="DF93" s="399">
        <v>0</v>
      </c>
      <c r="DG93" s="399">
        <v>-208.8976501483769</v>
      </c>
      <c r="DH93" s="399">
        <v>0</v>
      </c>
      <c r="DI93" s="399">
        <v>-116.25340203600786</v>
      </c>
      <c r="DJ93" s="399"/>
      <c r="DK93" s="399">
        <v>0</v>
      </c>
      <c r="DL93" s="399">
        <v>0</v>
      </c>
      <c r="DM93" s="399">
        <v>0</v>
      </c>
      <c r="DN93" s="399">
        <v>0</v>
      </c>
      <c r="DO93" s="399">
        <v>-14.820546448241402</v>
      </c>
      <c r="DP93" s="399">
        <v>-3.9805106962091514</v>
      </c>
      <c r="DQ93" s="399">
        <v>0</v>
      </c>
      <c r="DR93" s="399">
        <v>0</v>
      </c>
      <c r="DS93" s="399"/>
      <c r="DT93" s="399"/>
      <c r="DU93" s="399"/>
      <c r="DV93" s="399">
        <v>10385.777863698759</v>
      </c>
      <c r="DW93" s="399">
        <v>0</v>
      </c>
      <c r="DX93" s="399">
        <v>0</v>
      </c>
      <c r="DY93" s="399">
        <v>-4041.5690699999996</v>
      </c>
      <c r="DZ93" s="399">
        <v>-1784.6890600000015</v>
      </c>
      <c r="EA93" s="399">
        <v>0</v>
      </c>
      <c r="EB93" s="399">
        <v>0</v>
      </c>
      <c r="EC93" s="399">
        <v>-3789.7715676937705</v>
      </c>
      <c r="ED93" s="399">
        <v>0</v>
      </c>
      <c r="EE93" s="399">
        <v>0</v>
      </c>
      <c r="EF93" s="399">
        <v>0</v>
      </c>
      <c r="EG93" s="399">
        <v>0</v>
      </c>
      <c r="EH93" s="399">
        <v>0</v>
      </c>
      <c r="EI93" s="399">
        <v>0</v>
      </c>
      <c r="EJ93" s="399">
        <v>0</v>
      </c>
      <c r="EK93" s="399">
        <v>0</v>
      </c>
      <c r="EL93" s="399">
        <v>0</v>
      </c>
      <c r="EM93" s="399">
        <v>0</v>
      </c>
      <c r="EN93" s="399">
        <v>0</v>
      </c>
      <c r="EO93" s="399">
        <v>0</v>
      </c>
      <c r="EP93" s="399">
        <v>790.148421296229</v>
      </c>
      <c r="EQ93" s="399">
        <v>0</v>
      </c>
      <c r="ER93" s="399">
        <v>0</v>
      </c>
      <c r="ES93" s="399">
        <v>0</v>
      </c>
      <c r="ET93" s="399">
        <v>0</v>
      </c>
      <c r="EU93" s="399">
        <v>0</v>
      </c>
      <c r="EV93" s="399">
        <v>202</v>
      </c>
      <c r="EW93" s="399">
        <v>0</v>
      </c>
      <c r="EX93" s="399">
        <v>0</v>
      </c>
      <c r="EY93" s="399">
        <v>0</v>
      </c>
      <c r="EZ93" s="399"/>
      <c r="FA93" s="399">
        <v>0</v>
      </c>
      <c r="FB93" s="399">
        <v>-17.698635468909799</v>
      </c>
      <c r="FC93" s="399"/>
      <c r="FD93" s="399">
        <v>-17.698635468909799</v>
      </c>
      <c r="FE93" s="399"/>
      <c r="FF93" s="399">
        <v>0</v>
      </c>
      <c r="FG93" s="399">
        <v>0</v>
      </c>
      <c r="FH93" s="399">
        <v>0</v>
      </c>
      <c r="FI93" s="399">
        <v>0</v>
      </c>
    </row>
    <row r="94" spans="1:165" s="818" customFormat="1">
      <c r="A94" s="399">
        <v>90</v>
      </c>
      <c r="B94" s="399" t="s">
        <v>956</v>
      </c>
      <c r="C94" s="399" t="s">
        <v>2402</v>
      </c>
      <c r="D94" s="399" t="s">
        <v>2413</v>
      </c>
      <c r="E94" s="399" t="s">
        <v>2414</v>
      </c>
      <c r="F94" s="399" t="s">
        <v>2415</v>
      </c>
      <c r="G94" s="399" t="s">
        <v>1239</v>
      </c>
      <c r="H94" s="399" t="s">
        <v>1239</v>
      </c>
      <c r="I94" s="399" t="s">
        <v>1239</v>
      </c>
      <c r="J94" s="399" t="s">
        <v>2400</v>
      </c>
      <c r="K94" s="788">
        <v>44531</v>
      </c>
      <c r="L94" s="399">
        <v>0</v>
      </c>
      <c r="M94" s="399">
        <v>0</v>
      </c>
      <c r="N94" s="399">
        <v>46.963999999999999</v>
      </c>
      <c r="O94" s="399">
        <v>46.963999999999999</v>
      </c>
      <c r="P94" s="399">
        <v>46.963999999999999</v>
      </c>
      <c r="Q94" s="399">
        <v>46.963999999999999</v>
      </c>
      <c r="R94" s="399"/>
      <c r="S94" s="399">
        <v>334.98</v>
      </c>
      <c r="T94" s="399">
        <v>157.53</v>
      </c>
      <c r="U94" s="399"/>
      <c r="V94" s="399">
        <v>23130.23964</v>
      </c>
      <c r="W94" s="399">
        <v>23130.23964</v>
      </c>
      <c r="X94" s="399">
        <v>17664.569319999999</v>
      </c>
      <c r="Y94" s="399">
        <v>0</v>
      </c>
      <c r="Z94" s="399">
        <v>1572.0621077085107</v>
      </c>
      <c r="AA94" s="399">
        <v>0</v>
      </c>
      <c r="AB94" s="399">
        <v>0</v>
      </c>
      <c r="AC94" s="399">
        <v>0</v>
      </c>
      <c r="AD94" s="399">
        <v>2522.3745637718112</v>
      </c>
      <c r="AE94" s="399">
        <v>9743.4612782810527</v>
      </c>
      <c r="AF94" s="399">
        <v>7398.3722923175765</v>
      </c>
      <c r="AG94" s="399">
        <v>0</v>
      </c>
      <c r="AH94" s="399">
        <v>0</v>
      </c>
      <c r="AI94" s="399">
        <v>0</v>
      </c>
      <c r="AJ94" s="399">
        <v>0</v>
      </c>
      <c r="AK94" s="399">
        <v>0</v>
      </c>
      <c r="AL94" s="399">
        <v>242.95599287985272</v>
      </c>
      <c r="AM94" s="399"/>
      <c r="AN94" s="399">
        <v>44.113785907468746</v>
      </c>
      <c r="AO94" s="399">
        <v>0</v>
      </c>
      <c r="AP94" s="399">
        <v>0</v>
      </c>
      <c r="AQ94" s="399">
        <v>0</v>
      </c>
      <c r="AR94" s="399">
        <v>0</v>
      </c>
      <c r="AS94" s="399">
        <v>0</v>
      </c>
      <c r="AT94" s="399">
        <v>0</v>
      </c>
      <c r="AU94" s="399">
        <v>0</v>
      </c>
      <c r="AV94" s="399">
        <v>0</v>
      </c>
      <c r="AW94" s="399">
        <v>0</v>
      </c>
      <c r="AX94" s="399">
        <v>0</v>
      </c>
      <c r="AY94" s="399">
        <v>0</v>
      </c>
      <c r="AZ94" s="399">
        <v>0</v>
      </c>
      <c r="BA94" s="399"/>
      <c r="BB94" s="399">
        <v>0</v>
      </c>
      <c r="BC94" s="399">
        <v>0</v>
      </c>
      <c r="BD94" s="399">
        <v>0</v>
      </c>
      <c r="BE94" s="399">
        <v>0</v>
      </c>
      <c r="BF94" s="399">
        <v>0</v>
      </c>
      <c r="BG94" s="399">
        <v>865.88820062217917</v>
      </c>
      <c r="BH94" s="399">
        <v>0</v>
      </c>
      <c r="BI94" s="399">
        <v>75.67</v>
      </c>
      <c r="BJ94" s="399">
        <v>282.64</v>
      </c>
      <c r="BK94" s="399">
        <v>5420.12</v>
      </c>
      <c r="BL94" s="399">
        <v>3</v>
      </c>
      <c r="BM94" s="399"/>
      <c r="BN94" s="399"/>
      <c r="BO94" s="399"/>
      <c r="BP94" s="399"/>
      <c r="BQ94" s="399"/>
      <c r="BR94" s="399"/>
      <c r="BS94" s="399"/>
      <c r="BT94" s="399"/>
      <c r="BU94" s="399"/>
      <c r="BV94" s="399">
        <v>8264.2604929397548</v>
      </c>
      <c r="BW94" s="399"/>
      <c r="BX94" s="399"/>
      <c r="BY94" s="399"/>
      <c r="BZ94" s="399"/>
      <c r="CA94" s="399"/>
      <c r="CB94" s="399"/>
      <c r="CC94" s="399"/>
      <c r="CD94" s="399"/>
      <c r="CE94" s="399"/>
      <c r="CF94" s="399"/>
      <c r="CG94" s="399"/>
      <c r="CH94" s="399"/>
      <c r="CI94" s="399">
        <v>17663.0648</v>
      </c>
      <c r="CJ94" s="399">
        <v>-5467.2048399999985</v>
      </c>
      <c r="CK94" s="399"/>
      <c r="CL94" s="399"/>
      <c r="CM94" s="399"/>
      <c r="CN94" s="399"/>
      <c r="CO94" s="399">
        <v>-3791.4037200000007</v>
      </c>
      <c r="CP94" s="399">
        <v>-1674.2666000000002</v>
      </c>
      <c r="CQ94" s="399"/>
      <c r="CR94" s="399">
        <v>-1910.6084480284517</v>
      </c>
      <c r="CS94" s="399">
        <v>0</v>
      </c>
      <c r="CT94" s="399">
        <v>0</v>
      </c>
      <c r="CU94" s="399">
        <v>0</v>
      </c>
      <c r="CV94" s="399">
        <v>0</v>
      </c>
      <c r="CW94" s="399">
        <v>0</v>
      </c>
      <c r="CX94" s="399">
        <v>0</v>
      </c>
      <c r="CY94" s="399">
        <v>0</v>
      </c>
      <c r="CZ94" s="399">
        <v>86.560094280660905</v>
      </c>
      <c r="DA94" s="399">
        <v>0</v>
      </c>
      <c r="DB94" s="399">
        <v>0</v>
      </c>
      <c r="DC94" s="399">
        <v>-1674.4884212040461</v>
      </c>
      <c r="DD94" s="399">
        <v>0</v>
      </c>
      <c r="DE94" s="399">
        <v>0</v>
      </c>
      <c r="DF94" s="399">
        <v>0</v>
      </c>
      <c r="DG94" s="399">
        <v>-195.97821097819588</v>
      </c>
      <c r="DH94" s="399">
        <v>0</v>
      </c>
      <c r="DI94" s="399">
        <v>-109.06361912143711</v>
      </c>
      <c r="DJ94" s="399"/>
      <c r="DK94" s="399">
        <v>0</v>
      </c>
      <c r="DL94" s="399">
        <v>0</v>
      </c>
      <c r="DM94" s="399">
        <v>0</v>
      </c>
      <c r="DN94" s="399">
        <v>0</v>
      </c>
      <c r="DO94" s="399">
        <v>-13.903958118162649</v>
      </c>
      <c r="DP94" s="399">
        <v>-3.7343328872704902</v>
      </c>
      <c r="DQ94" s="399">
        <v>0</v>
      </c>
      <c r="DR94" s="399">
        <v>0</v>
      </c>
      <c r="DS94" s="399"/>
      <c r="DT94" s="399"/>
      <c r="DU94" s="399"/>
      <c r="DV94" s="399">
        <v>9743.4612782810527</v>
      </c>
      <c r="DW94" s="399">
        <v>0</v>
      </c>
      <c r="DX94" s="399">
        <v>0</v>
      </c>
      <c r="DY94" s="399">
        <v>-3791.4037200000002</v>
      </c>
      <c r="DZ94" s="399">
        <v>-1674.2665999999999</v>
      </c>
      <c r="EA94" s="399">
        <v>0</v>
      </c>
      <c r="EB94" s="399">
        <v>0</v>
      </c>
      <c r="EC94" s="399">
        <v>-3555.3901698995551</v>
      </c>
      <c r="ED94" s="399">
        <v>0</v>
      </c>
      <c r="EE94" s="399">
        <v>0</v>
      </c>
      <c r="EF94" s="399">
        <v>0</v>
      </c>
      <c r="EG94" s="399">
        <v>0</v>
      </c>
      <c r="EH94" s="399">
        <v>0</v>
      </c>
      <c r="EI94" s="399">
        <v>0</v>
      </c>
      <c r="EJ94" s="399">
        <v>0</v>
      </c>
      <c r="EK94" s="399">
        <v>0</v>
      </c>
      <c r="EL94" s="399">
        <v>0</v>
      </c>
      <c r="EM94" s="399">
        <v>0</v>
      </c>
      <c r="EN94" s="399">
        <v>0</v>
      </c>
      <c r="EO94" s="399">
        <v>0</v>
      </c>
      <c r="EP94" s="399">
        <v>741.28107186887905</v>
      </c>
      <c r="EQ94" s="399">
        <v>0</v>
      </c>
      <c r="ER94" s="399">
        <v>0</v>
      </c>
      <c r="ES94" s="399">
        <v>0</v>
      </c>
      <c r="ET94" s="399">
        <v>0</v>
      </c>
      <c r="EU94" s="399">
        <v>0</v>
      </c>
      <c r="EV94" s="399">
        <v>202</v>
      </c>
      <c r="EW94" s="399">
        <v>0</v>
      </c>
      <c r="EX94" s="399">
        <v>0</v>
      </c>
      <c r="EY94" s="399">
        <v>0</v>
      </c>
      <c r="EZ94" s="399"/>
      <c r="FA94" s="399">
        <v>0</v>
      </c>
      <c r="FB94" s="399">
        <v>-9.7342495079003708</v>
      </c>
      <c r="FC94" s="399"/>
      <c r="FD94" s="399">
        <v>-9.7342495079003708</v>
      </c>
      <c r="FE94" s="399"/>
      <c r="FF94" s="399">
        <v>0</v>
      </c>
      <c r="FG94" s="399">
        <v>0</v>
      </c>
      <c r="FH94" s="399">
        <v>0</v>
      </c>
      <c r="FI94" s="399">
        <v>0</v>
      </c>
    </row>
    <row r="95" spans="1:165" s="818" customFormat="1">
      <c r="A95" s="399">
        <v>93</v>
      </c>
      <c r="B95" s="399" t="s">
        <v>956</v>
      </c>
      <c r="C95" s="399" t="s">
        <v>2399</v>
      </c>
      <c r="D95" s="399" t="s">
        <v>533</v>
      </c>
      <c r="E95" s="399" t="s">
        <v>921</v>
      </c>
      <c r="F95" s="399" t="s">
        <v>2401</v>
      </c>
      <c r="G95" s="399" t="s">
        <v>1239</v>
      </c>
      <c r="H95" s="399" t="s">
        <v>1239</v>
      </c>
      <c r="I95" s="399" t="s">
        <v>2326</v>
      </c>
      <c r="J95" s="399" t="s">
        <v>2400</v>
      </c>
      <c r="K95" s="788">
        <v>44531</v>
      </c>
      <c r="L95" s="399">
        <v>0</v>
      </c>
      <c r="M95" s="399">
        <v>0</v>
      </c>
      <c r="N95" s="399">
        <v>220.203</v>
      </c>
      <c r="O95" s="399">
        <v>206.99082000000001</v>
      </c>
      <c r="P95" s="399">
        <v>220.203</v>
      </c>
      <c r="Q95" s="399">
        <v>206.99082000000001</v>
      </c>
      <c r="R95" s="399"/>
      <c r="S95" s="399">
        <v>100.48</v>
      </c>
      <c r="T95" s="399">
        <v>286.42</v>
      </c>
      <c r="U95" s="399"/>
      <c r="V95" s="399">
        <v>85196.540700000012</v>
      </c>
      <c r="W95" s="399">
        <v>85196.540700000012</v>
      </c>
      <c r="X95" s="399">
        <v>69381.561239999995</v>
      </c>
      <c r="Y95" s="399">
        <v>0</v>
      </c>
      <c r="Z95" s="399">
        <v>11659.620494779429</v>
      </c>
      <c r="AA95" s="399">
        <v>0</v>
      </c>
      <c r="AB95" s="399">
        <v>0</v>
      </c>
      <c r="AC95" s="399">
        <v>0</v>
      </c>
      <c r="AD95" s="399">
        <v>0</v>
      </c>
      <c r="AE95" s="399">
        <v>0</v>
      </c>
      <c r="AF95" s="399">
        <v>63071.279892730614</v>
      </c>
      <c r="AG95" s="399">
        <v>0</v>
      </c>
      <c r="AH95" s="399">
        <v>0</v>
      </c>
      <c r="AI95" s="399">
        <v>0</v>
      </c>
      <c r="AJ95" s="399">
        <v>0</v>
      </c>
      <c r="AK95" s="399">
        <v>0</v>
      </c>
      <c r="AL95" s="399">
        <v>2071.2049655102242</v>
      </c>
      <c r="AM95" s="399"/>
      <c r="AN95" s="399">
        <v>301.6973617535283</v>
      </c>
      <c r="AO95" s="399">
        <v>0</v>
      </c>
      <c r="AP95" s="399">
        <v>0</v>
      </c>
      <c r="AQ95" s="399">
        <v>0</v>
      </c>
      <c r="AR95" s="399">
        <v>0</v>
      </c>
      <c r="AS95" s="399">
        <v>0</v>
      </c>
      <c r="AT95" s="399">
        <v>0</v>
      </c>
      <c r="AU95" s="399">
        <v>0</v>
      </c>
      <c r="AV95" s="399">
        <v>0</v>
      </c>
      <c r="AW95" s="399">
        <v>0</v>
      </c>
      <c r="AX95" s="399">
        <v>0</v>
      </c>
      <c r="AY95" s="399">
        <v>0</v>
      </c>
      <c r="AZ95" s="399">
        <v>0</v>
      </c>
      <c r="BA95" s="399"/>
      <c r="BB95" s="399">
        <v>0</v>
      </c>
      <c r="BC95" s="399">
        <v>0</v>
      </c>
      <c r="BD95" s="399">
        <v>0</v>
      </c>
      <c r="BE95" s="399">
        <v>0</v>
      </c>
      <c r="BF95" s="399">
        <v>0</v>
      </c>
      <c r="BG95" s="399">
        <v>2595.5978418893669</v>
      </c>
      <c r="BH95" s="399">
        <v>0</v>
      </c>
      <c r="BI95" s="399">
        <v>0</v>
      </c>
      <c r="BJ95" s="399">
        <v>0</v>
      </c>
      <c r="BK95" s="399">
        <v>0</v>
      </c>
      <c r="BL95" s="399">
        <v>0</v>
      </c>
      <c r="BM95" s="399"/>
      <c r="BN95" s="399"/>
      <c r="BO95" s="399"/>
      <c r="BP95" s="399"/>
      <c r="BQ95" s="399">
        <v>4162.8936743999966</v>
      </c>
      <c r="BR95" s="399"/>
      <c r="BS95" s="399"/>
      <c r="BT95" s="399"/>
      <c r="BU95" s="399"/>
      <c r="BV95" s="399">
        <v>65666.877734619979</v>
      </c>
      <c r="BW95" s="399"/>
      <c r="BX95" s="399"/>
      <c r="BY95" s="399"/>
      <c r="BZ95" s="399"/>
      <c r="CA95" s="399"/>
      <c r="CB95" s="399"/>
      <c r="CC95" s="399"/>
      <c r="CD95" s="399"/>
      <c r="CE95" s="399"/>
      <c r="CF95" s="399"/>
      <c r="CG95" s="399"/>
      <c r="CH95" s="399"/>
      <c r="CI95" s="399">
        <v>65218.409200000009</v>
      </c>
      <c r="CJ95" s="399">
        <v>-14866.369057999997</v>
      </c>
      <c r="CK95" s="399"/>
      <c r="CL95" s="399"/>
      <c r="CM95" s="399"/>
      <c r="CN95" s="399"/>
      <c r="CO95" s="399">
        <v>-1541.421</v>
      </c>
      <c r="CP95" s="399">
        <v>-14273.558460000006</v>
      </c>
      <c r="CQ95" s="399"/>
      <c r="CR95" s="399">
        <v>-15815.486487625327</v>
      </c>
      <c r="CS95" s="399">
        <v>0</v>
      </c>
      <c r="CT95" s="399">
        <v>0</v>
      </c>
      <c r="CU95" s="399">
        <v>0</v>
      </c>
      <c r="CV95" s="399">
        <v>0</v>
      </c>
      <c r="CW95" s="399">
        <v>0</v>
      </c>
      <c r="CX95" s="399">
        <v>0</v>
      </c>
      <c r="CY95" s="399">
        <v>0</v>
      </c>
      <c r="CZ95" s="399">
        <v>0</v>
      </c>
      <c r="DA95" s="399">
        <v>0</v>
      </c>
      <c r="DB95" s="399">
        <v>0</v>
      </c>
      <c r="DC95" s="399">
        <v>-14275.049121353775</v>
      </c>
      <c r="DD95" s="399">
        <v>0</v>
      </c>
      <c r="DE95" s="399">
        <v>0</v>
      </c>
      <c r="DF95" s="399">
        <v>0</v>
      </c>
      <c r="DG95" s="399">
        <v>-587.46685900885632</v>
      </c>
      <c r="DH95" s="399">
        <v>0</v>
      </c>
      <c r="DI95" s="399">
        <v>-808.89959913651546</v>
      </c>
      <c r="DJ95" s="399"/>
      <c r="DK95" s="399">
        <v>0</v>
      </c>
      <c r="DL95" s="399">
        <v>0</v>
      </c>
      <c r="DM95" s="399">
        <v>0</v>
      </c>
      <c r="DN95" s="399">
        <v>0</v>
      </c>
      <c r="DO95" s="399">
        <v>-118.5315363215816</v>
      </c>
      <c r="DP95" s="399">
        <v>-25.539371804591212</v>
      </c>
      <c r="DQ95" s="399">
        <v>0</v>
      </c>
      <c r="DR95" s="399">
        <v>0</v>
      </c>
      <c r="DS95" s="399"/>
      <c r="DT95" s="399"/>
      <c r="DU95" s="399"/>
      <c r="DV95" s="399">
        <v>0</v>
      </c>
      <c r="DW95" s="399">
        <v>0</v>
      </c>
      <c r="DX95" s="399">
        <v>0</v>
      </c>
      <c r="DY95" s="399">
        <v>-1541.4210000000021</v>
      </c>
      <c r="DZ95" s="399">
        <v>-14273.558460000007</v>
      </c>
      <c r="EA95" s="399">
        <v>0</v>
      </c>
      <c r="EB95" s="399">
        <v>0</v>
      </c>
      <c r="EC95" s="399">
        <v>0</v>
      </c>
      <c r="ED95" s="399">
        <v>0</v>
      </c>
      <c r="EE95" s="399">
        <v>0</v>
      </c>
      <c r="EF95" s="399">
        <v>0</v>
      </c>
      <c r="EG95" s="399">
        <v>0</v>
      </c>
      <c r="EH95" s="399">
        <v>0</v>
      </c>
      <c r="EI95" s="399">
        <v>0</v>
      </c>
      <c r="EJ95" s="399">
        <v>0</v>
      </c>
      <c r="EK95" s="399">
        <v>0</v>
      </c>
      <c r="EL95" s="399">
        <v>0</v>
      </c>
      <c r="EM95" s="399">
        <v>0</v>
      </c>
      <c r="EN95" s="399">
        <v>0</v>
      </c>
      <c r="EO95" s="399">
        <v>0</v>
      </c>
      <c r="EP95" s="399">
        <v>5497.9099970502084</v>
      </c>
      <c r="EQ95" s="399">
        <v>0</v>
      </c>
      <c r="ER95" s="399">
        <v>0</v>
      </c>
      <c r="ES95" s="399">
        <v>0</v>
      </c>
      <c r="ET95" s="399">
        <v>0</v>
      </c>
      <c r="EU95" s="399">
        <v>0</v>
      </c>
      <c r="EV95" s="399">
        <v>202</v>
      </c>
      <c r="EW95" s="399">
        <v>0</v>
      </c>
      <c r="EX95" s="399">
        <v>0</v>
      </c>
      <c r="EY95" s="399">
        <v>0</v>
      </c>
      <c r="EZ95" s="399"/>
      <c r="FA95" s="399">
        <v>0</v>
      </c>
      <c r="FB95" s="399">
        <v>-17.698635468909799</v>
      </c>
      <c r="FC95" s="399"/>
      <c r="FD95" s="399">
        <v>-17.698635468909799</v>
      </c>
      <c r="FE95" s="399"/>
      <c r="FF95" s="399">
        <v>0</v>
      </c>
      <c r="FG95" s="399">
        <v>0</v>
      </c>
      <c r="FH95" s="399">
        <v>0</v>
      </c>
      <c r="FI95" s="399">
        <v>0</v>
      </c>
    </row>
    <row r="96" spans="1:165" s="818" customFormat="1">
      <c r="A96" s="399">
        <v>94</v>
      </c>
      <c r="B96" s="399" t="s">
        <v>956</v>
      </c>
      <c r="C96" s="399" t="s">
        <v>2399</v>
      </c>
      <c r="D96" s="399" t="s">
        <v>533</v>
      </c>
      <c r="E96" s="399" t="s">
        <v>921</v>
      </c>
      <c r="F96" s="399" t="s">
        <v>2401</v>
      </c>
      <c r="G96" s="399" t="s">
        <v>1239</v>
      </c>
      <c r="H96" s="399" t="s">
        <v>1239</v>
      </c>
      <c r="I96" s="399" t="s">
        <v>1239</v>
      </c>
      <c r="J96" s="399" t="s">
        <v>2400</v>
      </c>
      <c r="K96" s="788">
        <v>44531</v>
      </c>
      <c r="L96" s="399">
        <v>906</v>
      </c>
      <c r="M96" s="399">
        <v>851.64</v>
      </c>
      <c r="N96" s="399">
        <v>0</v>
      </c>
      <c r="O96" s="399">
        <v>0</v>
      </c>
      <c r="P96" s="399">
        <v>0</v>
      </c>
      <c r="Q96" s="399">
        <v>0</v>
      </c>
      <c r="R96" s="399">
        <v>39.21</v>
      </c>
      <c r="S96" s="399"/>
      <c r="T96" s="399"/>
      <c r="U96" s="399">
        <v>35524.26</v>
      </c>
      <c r="V96" s="399"/>
      <c r="W96" s="399">
        <v>35524.26</v>
      </c>
      <c r="X96" s="399">
        <v>27035.040000000001</v>
      </c>
      <c r="Y96" s="399">
        <v>0</v>
      </c>
      <c r="Z96" s="399">
        <v>0</v>
      </c>
      <c r="AA96" s="399">
        <v>0</v>
      </c>
      <c r="AB96" s="399">
        <v>0</v>
      </c>
      <c r="AC96" s="399">
        <v>0</v>
      </c>
      <c r="AD96" s="399">
        <v>11191.120345902509</v>
      </c>
      <c r="AE96" s="399">
        <v>24336.964054092437</v>
      </c>
      <c r="AF96" s="399"/>
      <c r="AG96" s="399"/>
      <c r="AH96" s="399"/>
      <c r="AI96" s="399">
        <v>0</v>
      </c>
      <c r="AJ96" s="399">
        <v>0</v>
      </c>
      <c r="AK96" s="399">
        <v>0</v>
      </c>
      <c r="AL96" s="399">
        <v>0</v>
      </c>
      <c r="AM96" s="399"/>
      <c r="AN96" s="399">
        <v>0</v>
      </c>
      <c r="AO96" s="399">
        <v>0</v>
      </c>
      <c r="AP96" s="399">
        <v>0</v>
      </c>
      <c r="AQ96" s="399">
        <v>0</v>
      </c>
      <c r="AR96" s="399">
        <v>0</v>
      </c>
      <c r="AS96" s="399"/>
      <c r="AT96" s="399"/>
      <c r="AU96" s="399">
        <v>0</v>
      </c>
      <c r="AV96" s="399">
        <v>0</v>
      </c>
      <c r="AW96" s="399">
        <v>0</v>
      </c>
      <c r="AX96" s="399"/>
      <c r="AY96" s="399"/>
      <c r="AZ96" s="399">
        <v>0</v>
      </c>
      <c r="BA96" s="399"/>
      <c r="BB96" s="399">
        <v>0</v>
      </c>
      <c r="BC96" s="399">
        <v>0</v>
      </c>
      <c r="BD96" s="399">
        <v>0</v>
      </c>
      <c r="BE96" s="399">
        <v>0</v>
      </c>
      <c r="BF96" s="399"/>
      <c r="BG96" s="399">
        <v>0</v>
      </c>
      <c r="BH96" s="399">
        <v>0</v>
      </c>
      <c r="BI96" s="399">
        <v>562.64</v>
      </c>
      <c r="BJ96" s="399">
        <v>2101.34</v>
      </c>
      <c r="BK96" s="399">
        <v>39047.68</v>
      </c>
      <c r="BL96" s="399">
        <v>3</v>
      </c>
      <c r="BM96" s="399"/>
      <c r="BN96" s="399"/>
      <c r="BO96" s="399"/>
      <c r="BP96" s="399"/>
      <c r="BQ96" s="399">
        <v>1622.1024000000004</v>
      </c>
      <c r="BR96" s="399"/>
      <c r="BS96" s="399"/>
      <c r="BT96" s="399"/>
      <c r="BU96" s="399"/>
      <c r="BV96" s="399">
        <v>0</v>
      </c>
      <c r="BW96" s="399"/>
      <c r="BX96" s="399"/>
      <c r="BY96" s="399"/>
      <c r="BZ96" s="399"/>
      <c r="CA96" s="399"/>
      <c r="CB96" s="399"/>
      <c r="CC96" s="399"/>
      <c r="CD96" s="399"/>
      <c r="CE96" s="399"/>
      <c r="CF96" s="399"/>
      <c r="CG96" s="399"/>
      <c r="CH96" s="399"/>
      <c r="CI96" s="399">
        <v>25412.937600000001</v>
      </c>
      <c r="CJ96" s="399">
        <v>-7979.8968000000059</v>
      </c>
      <c r="CK96" s="399"/>
      <c r="CL96" s="399"/>
      <c r="CM96" s="399"/>
      <c r="CN96" s="399"/>
      <c r="CO96" s="399">
        <v>-8489.2200000000012</v>
      </c>
      <c r="CP96" s="399">
        <v>0</v>
      </c>
      <c r="CQ96" s="399"/>
      <c r="CR96" s="399">
        <v>384.04464038004153</v>
      </c>
      <c r="CS96" s="399">
        <v>0</v>
      </c>
      <c r="CT96" s="399">
        <v>0</v>
      </c>
      <c r="CU96" s="399">
        <v>0</v>
      </c>
      <c r="CV96" s="399">
        <v>0</v>
      </c>
      <c r="CW96" s="399"/>
      <c r="CX96" s="399"/>
      <c r="CY96" s="399"/>
      <c r="CZ96" s="399">
        <v>384.04464038004153</v>
      </c>
      <c r="DA96" s="399">
        <v>0</v>
      </c>
      <c r="DB96" s="399">
        <v>0</v>
      </c>
      <c r="DC96" s="399"/>
      <c r="DD96" s="399"/>
      <c r="DE96" s="399">
        <v>0</v>
      </c>
      <c r="DF96" s="399">
        <v>0</v>
      </c>
      <c r="DG96" s="399">
        <v>0</v>
      </c>
      <c r="DH96" s="399">
        <v>0</v>
      </c>
      <c r="DI96" s="399">
        <v>0</v>
      </c>
      <c r="DJ96" s="399"/>
      <c r="DK96" s="399">
        <v>0</v>
      </c>
      <c r="DL96" s="399">
        <v>0</v>
      </c>
      <c r="DM96" s="399"/>
      <c r="DN96" s="399">
        <v>0</v>
      </c>
      <c r="DO96" s="399">
        <v>0</v>
      </c>
      <c r="DP96" s="399">
        <v>0</v>
      </c>
      <c r="DQ96" s="399">
        <v>0</v>
      </c>
      <c r="DR96" s="399">
        <v>0</v>
      </c>
      <c r="DS96" s="399"/>
      <c r="DT96" s="399"/>
      <c r="DU96" s="399">
        <v>24336.964054092437</v>
      </c>
      <c r="DV96" s="399"/>
      <c r="DW96" s="399">
        <v>0</v>
      </c>
      <c r="DX96" s="399">
        <v>0</v>
      </c>
      <c r="DY96" s="399">
        <v>-8489.2200000000012</v>
      </c>
      <c r="DZ96" s="399"/>
      <c r="EA96" s="399">
        <v>0</v>
      </c>
      <c r="EB96" s="399"/>
      <c r="EC96" s="399">
        <v>-8880.5610544165629</v>
      </c>
      <c r="ED96" s="399"/>
      <c r="EE96" s="399">
        <v>0</v>
      </c>
      <c r="EF96" s="399">
        <v>0</v>
      </c>
      <c r="EG96" s="399"/>
      <c r="EH96" s="399">
        <v>0</v>
      </c>
      <c r="EI96" s="399">
        <v>0</v>
      </c>
      <c r="EJ96" s="399">
        <v>0</v>
      </c>
      <c r="EK96" s="399">
        <v>0</v>
      </c>
      <c r="EL96" s="399">
        <v>0</v>
      </c>
      <c r="EM96" s="399"/>
      <c r="EN96" s="399"/>
      <c r="EO96" s="399">
        <v>0</v>
      </c>
      <c r="EP96" s="399">
        <v>0</v>
      </c>
      <c r="EQ96" s="399"/>
      <c r="ER96" s="399">
        <v>0</v>
      </c>
      <c r="ES96" s="399"/>
      <c r="ET96" s="399">
        <v>0</v>
      </c>
      <c r="EU96" s="399"/>
      <c r="EV96" s="399">
        <v>202</v>
      </c>
      <c r="EW96" s="399"/>
      <c r="EX96" s="399"/>
      <c r="EY96" s="399"/>
      <c r="EZ96" s="399"/>
      <c r="FA96" s="399">
        <v>0</v>
      </c>
      <c r="FB96" s="399">
        <v>-17.698635468909799</v>
      </c>
      <c r="FC96" s="399"/>
      <c r="FD96" s="399">
        <v>-17.698635468909799</v>
      </c>
      <c r="FE96" s="399"/>
      <c r="FF96" s="399">
        <v>0</v>
      </c>
      <c r="FG96" s="399">
        <v>0</v>
      </c>
      <c r="FH96" s="399">
        <v>0</v>
      </c>
      <c r="FI96" s="399">
        <v>0</v>
      </c>
    </row>
    <row r="97" spans="1:165" s="818" customFormat="1">
      <c r="A97" s="399">
        <v>107</v>
      </c>
      <c r="B97" s="399" t="s">
        <v>956</v>
      </c>
      <c r="C97" s="399" t="s">
        <v>2399</v>
      </c>
      <c r="D97" s="399" t="s">
        <v>533</v>
      </c>
      <c r="E97" s="399" t="s">
        <v>918</v>
      </c>
      <c r="F97" s="399" t="s">
        <v>1239</v>
      </c>
      <c r="G97" s="399" t="s">
        <v>1239</v>
      </c>
      <c r="H97" s="399" t="s">
        <v>1239</v>
      </c>
      <c r="I97" s="399" t="s">
        <v>893</v>
      </c>
      <c r="J97" s="399" t="s">
        <v>2400</v>
      </c>
      <c r="K97" s="788">
        <v>44562</v>
      </c>
      <c r="L97" s="399">
        <v>0</v>
      </c>
      <c r="M97" s="399">
        <v>0</v>
      </c>
      <c r="N97" s="399">
        <v>0.98199999999999998</v>
      </c>
      <c r="O97" s="399">
        <v>0.98199999999999998</v>
      </c>
      <c r="P97" s="399">
        <v>0.98199999999999998</v>
      </c>
      <c r="Q97" s="399">
        <v>0.98199999999999998</v>
      </c>
      <c r="R97" s="399"/>
      <c r="S97" s="399">
        <v>3305.85</v>
      </c>
      <c r="T97" s="399">
        <v>286.42</v>
      </c>
      <c r="U97" s="399"/>
      <c r="V97" s="399">
        <v>3527.6091399999996</v>
      </c>
      <c r="W97" s="399">
        <v>3527.6091399999996</v>
      </c>
      <c r="X97" s="399">
        <v>2564.1001999999999</v>
      </c>
      <c r="Y97" s="399">
        <v>0</v>
      </c>
      <c r="Z97" s="399">
        <v>51.996327597141722</v>
      </c>
      <c r="AA97" s="399">
        <v>0</v>
      </c>
      <c r="AB97" s="399">
        <v>0</v>
      </c>
      <c r="AC97" s="399">
        <v>0</v>
      </c>
      <c r="AD97" s="399">
        <v>640.24933970872428</v>
      </c>
      <c r="AE97" s="399">
        <v>2507.427668318207</v>
      </c>
      <c r="AF97" s="399">
        <v>281.26772502945676</v>
      </c>
      <c r="AG97" s="399">
        <v>0</v>
      </c>
      <c r="AH97" s="399">
        <v>0</v>
      </c>
      <c r="AI97" s="399">
        <v>0</v>
      </c>
      <c r="AJ97" s="399">
        <v>0</v>
      </c>
      <c r="AK97" s="399">
        <v>0</v>
      </c>
      <c r="AL97" s="399">
        <v>9.2365829535975443</v>
      </c>
      <c r="AM97" s="399"/>
      <c r="AN97" s="399">
        <v>1.3454258536076473</v>
      </c>
      <c r="AO97" s="399">
        <v>0</v>
      </c>
      <c r="AP97" s="399">
        <v>0</v>
      </c>
      <c r="AQ97" s="399">
        <v>0</v>
      </c>
      <c r="AR97" s="399">
        <v>0</v>
      </c>
      <c r="AS97" s="399">
        <v>0</v>
      </c>
      <c r="AT97" s="399">
        <v>0</v>
      </c>
      <c r="AU97" s="399">
        <v>0</v>
      </c>
      <c r="AV97" s="399">
        <v>0</v>
      </c>
      <c r="AW97" s="399">
        <v>0</v>
      </c>
      <c r="AX97" s="399">
        <v>0</v>
      </c>
      <c r="AY97" s="399">
        <v>0</v>
      </c>
      <c r="AZ97" s="399">
        <v>0</v>
      </c>
      <c r="BA97" s="399"/>
      <c r="BB97" s="399">
        <v>0</v>
      </c>
      <c r="BC97" s="399">
        <v>0</v>
      </c>
      <c r="BD97" s="399">
        <v>0</v>
      </c>
      <c r="BE97" s="399">
        <v>0</v>
      </c>
      <c r="BF97" s="399">
        <v>0</v>
      </c>
      <c r="BG97" s="399">
        <v>11.575124229621569</v>
      </c>
      <c r="BH97" s="399">
        <v>0</v>
      </c>
      <c r="BI97" s="399">
        <v>0</v>
      </c>
      <c r="BJ97" s="399">
        <v>0</v>
      </c>
      <c r="BK97" s="399">
        <v>0</v>
      </c>
      <c r="BL97" s="399">
        <v>0</v>
      </c>
      <c r="BM97" s="399"/>
      <c r="BN97" s="399"/>
      <c r="BO97" s="399"/>
      <c r="BP97" s="399"/>
      <c r="BQ97" s="399"/>
      <c r="BR97" s="399"/>
      <c r="BS97" s="399"/>
      <c r="BT97" s="399"/>
      <c r="BU97" s="399"/>
      <c r="BV97" s="399">
        <v>292.84284925907832</v>
      </c>
      <c r="BW97" s="399"/>
      <c r="BX97" s="399"/>
      <c r="BY97" s="399"/>
      <c r="BZ97" s="399"/>
      <c r="CA97" s="399"/>
      <c r="CB97" s="399"/>
      <c r="CC97" s="399"/>
      <c r="CD97" s="399"/>
      <c r="CE97" s="399"/>
      <c r="CF97" s="399"/>
      <c r="CG97" s="399"/>
      <c r="CH97" s="399"/>
      <c r="CI97" s="399">
        <v>2558.8780000000002</v>
      </c>
      <c r="CJ97" s="399">
        <v>-968.76114000000007</v>
      </c>
      <c r="CK97" s="399"/>
      <c r="CL97" s="399"/>
      <c r="CM97" s="399"/>
      <c r="CN97" s="399"/>
      <c r="CO97" s="399">
        <v>-899.85569999999984</v>
      </c>
      <c r="CP97" s="399">
        <v>-63.653240000000018</v>
      </c>
      <c r="CQ97" s="399">
        <v>31</v>
      </c>
      <c r="CR97" s="399">
        <v>-48.55812381017472</v>
      </c>
      <c r="CS97" s="399">
        <v>0</v>
      </c>
      <c r="CT97" s="399">
        <v>0</v>
      </c>
      <c r="CU97" s="399">
        <v>0</v>
      </c>
      <c r="CV97" s="399">
        <v>0</v>
      </c>
      <c r="CW97" s="399">
        <v>0</v>
      </c>
      <c r="CX97" s="399">
        <v>0</v>
      </c>
      <c r="CY97" s="399">
        <v>0</v>
      </c>
      <c r="CZ97" s="399">
        <v>21.971377290391843</v>
      </c>
      <c r="DA97" s="399">
        <v>0</v>
      </c>
      <c r="DB97" s="399">
        <v>0</v>
      </c>
      <c r="DC97" s="399">
        <v>-63.659887636269332</v>
      </c>
      <c r="DD97" s="399">
        <v>0</v>
      </c>
      <c r="DE97" s="399">
        <v>0</v>
      </c>
      <c r="DF97" s="399">
        <v>0</v>
      </c>
      <c r="DG97" s="399">
        <v>-2.6198210539670068</v>
      </c>
      <c r="DH97" s="399">
        <v>0</v>
      </c>
      <c r="DI97" s="399">
        <v>-3.607305106433877</v>
      </c>
      <c r="DJ97" s="399"/>
      <c r="DK97" s="399">
        <v>0</v>
      </c>
      <c r="DL97" s="399">
        <v>0</v>
      </c>
      <c r="DM97" s="399">
        <v>0</v>
      </c>
      <c r="DN97" s="399">
        <v>0</v>
      </c>
      <c r="DO97" s="399">
        <v>-0.52859392772938207</v>
      </c>
      <c r="DP97" s="399">
        <v>-0.11389337616703021</v>
      </c>
      <c r="DQ97" s="399">
        <v>0</v>
      </c>
      <c r="DR97" s="399">
        <v>0</v>
      </c>
      <c r="DS97" s="399"/>
      <c r="DT97" s="399"/>
      <c r="DU97" s="399"/>
      <c r="DV97" s="399">
        <v>2507.427668318207</v>
      </c>
      <c r="DW97" s="399">
        <v>0</v>
      </c>
      <c r="DX97" s="399">
        <v>0</v>
      </c>
      <c r="DY97" s="399">
        <v>-899.85569999999962</v>
      </c>
      <c r="DZ97" s="399">
        <v>-63.653240000000039</v>
      </c>
      <c r="EA97" s="399">
        <v>0</v>
      </c>
      <c r="EB97" s="399">
        <v>0</v>
      </c>
      <c r="EC97" s="399">
        <v>-914.96065197536109</v>
      </c>
      <c r="ED97" s="399">
        <v>0</v>
      </c>
      <c r="EE97" s="399">
        <v>0</v>
      </c>
      <c r="EF97" s="399">
        <v>0</v>
      </c>
      <c r="EG97" s="399">
        <v>0</v>
      </c>
      <c r="EH97" s="399">
        <v>0</v>
      </c>
      <c r="EI97" s="399">
        <v>0</v>
      </c>
      <c r="EJ97" s="399">
        <v>0</v>
      </c>
      <c r="EK97" s="399">
        <v>0</v>
      </c>
      <c r="EL97" s="399">
        <v>0</v>
      </c>
      <c r="EM97" s="399">
        <v>0</v>
      </c>
      <c r="EN97" s="399">
        <v>0</v>
      </c>
      <c r="EO97" s="399">
        <v>0</v>
      </c>
      <c r="EP97" s="399">
        <v>24.518047515716429</v>
      </c>
      <c r="EQ97" s="399">
        <v>0</v>
      </c>
      <c r="ER97" s="399">
        <v>0</v>
      </c>
      <c r="ES97" s="399">
        <v>0</v>
      </c>
      <c r="ET97" s="399">
        <v>0</v>
      </c>
      <c r="EU97" s="399">
        <v>0</v>
      </c>
      <c r="EV97" s="399">
        <v>202</v>
      </c>
      <c r="EW97" s="399">
        <v>0</v>
      </c>
      <c r="EX97" s="399">
        <v>0</v>
      </c>
      <c r="EY97" s="399">
        <v>0</v>
      </c>
      <c r="EZ97" s="399"/>
      <c r="FA97" s="399">
        <v>0</v>
      </c>
      <c r="FB97" s="399">
        <v>-17.698635468909799</v>
      </c>
      <c r="FC97" s="399"/>
      <c r="FD97" s="399">
        <v>-17.698635468909799</v>
      </c>
      <c r="FE97" s="399"/>
      <c r="FF97" s="399">
        <v>0</v>
      </c>
      <c r="FG97" s="399">
        <v>0</v>
      </c>
      <c r="FH97" s="399">
        <v>0</v>
      </c>
      <c r="FI97" s="399">
        <v>0</v>
      </c>
    </row>
    <row r="98" spans="1:165" s="818" customFormat="1">
      <c r="A98" s="399">
        <v>108</v>
      </c>
      <c r="B98" s="399" t="s">
        <v>956</v>
      </c>
      <c r="C98" s="399" t="s">
        <v>2399</v>
      </c>
      <c r="D98" s="399" t="s">
        <v>533</v>
      </c>
      <c r="E98" s="399" t="s">
        <v>918</v>
      </c>
      <c r="F98" s="399" t="s">
        <v>1239</v>
      </c>
      <c r="G98" s="399" t="s">
        <v>1239</v>
      </c>
      <c r="H98" s="399" t="s">
        <v>1239</v>
      </c>
      <c r="I98" s="399" t="s">
        <v>2326</v>
      </c>
      <c r="J98" s="399" t="s">
        <v>2400</v>
      </c>
      <c r="K98" s="788">
        <v>44562</v>
      </c>
      <c r="L98" s="399">
        <v>0</v>
      </c>
      <c r="M98" s="399">
        <v>0</v>
      </c>
      <c r="N98" s="399">
        <v>20.568999999999999</v>
      </c>
      <c r="O98" s="399">
        <v>20.568999999999999</v>
      </c>
      <c r="P98" s="399">
        <v>20.568999999999999</v>
      </c>
      <c r="Q98" s="399">
        <v>20.568999999999999</v>
      </c>
      <c r="R98" s="399"/>
      <c r="S98" s="399">
        <v>100.48</v>
      </c>
      <c r="T98" s="399">
        <v>286.42</v>
      </c>
      <c r="U98" s="399"/>
      <c r="V98" s="399">
        <v>7958.1460999999999</v>
      </c>
      <c r="W98" s="399">
        <v>7958.1460999999999</v>
      </c>
      <c r="X98" s="399">
        <v>6480.8805199999997</v>
      </c>
      <c r="Y98" s="399">
        <v>0</v>
      </c>
      <c r="Z98" s="399">
        <v>1089.1165604334094</v>
      </c>
      <c r="AA98" s="399">
        <v>0</v>
      </c>
      <c r="AB98" s="399">
        <v>0</v>
      </c>
      <c r="AC98" s="399">
        <v>0</v>
      </c>
      <c r="AD98" s="399">
        <v>0</v>
      </c>
      <c r="AE98" s="399">
        <v>0</v>
      </c>
      <c r="AF98" s="399">
        <v>5891.4417883206679</v>
      </c>
      <c r="AG98" s="399">
        <v>0</v>
      </c>
      <c r="AH98" s="399">
        <v>0</v>
      </c>
      <c r="AI98" s="399">
        <v>0</v>
      </c>
      <c r="AJ98" s="399">
        <v>0</v>
      </c>
      <c r="AK98" s="399">
        <v>0</v>
      </c>
      <c r="AL98" s="399">
        <v>193.46972991094489</v>
      </c>
      <c r="AM98" s="399"/>
      <c r="AN98" s="399">
        <v>28.181328292113747</v>
      </c>
      <c r="AO98" s="399">
        <v>0</v>
      </c>
      <c r="AP98" s="399">
        <v>0</v>
      </c>
      <c r="AQ98" s="399">
        <v>0</v>
      </c>
      <c r="AR98" s="399">
        <v>0</v>
      </c>
      <c r="AS98" s="399">
        <v>0</v>
      </c>
      <c r="AT98" s="399">
        <v>0</v>
      </c>
      <c r="AU98" s="399">
        <v>0</v>
      </c>
      <c r="AV98" s="399">
        <v>0</v>
      </c>
      <c r="AW98" s="399">
        <v>0</v>
      </c>
      <c r="AX98" s="399">
        <v>0</v>
      </c>
      <c r="AY98" s="399">
        <v>0</v>
      </c>
      <c r="AZ98" s="399">
        <v>0</v>
      </c>
      <c r="BA98" s="399"/>
      <c r="BB98" s="399">
        <v>0</v>
      </c>
      <c r="BC98" s="399">
        <v>0</v>
      </c>
      <c r="BD98" s="399">
        <v>0</v>
      </c>
      <c r="BE98" s="399">
        <v>0</v>
      </c>
      <c r="BF98" s="399">
        <v>0</v>
      </c>
      <c r="BG98" s="399">
        <v>242.45288215792877</v>
      </c>
      <c r="BH98" s="399">
        <v>0</v>
      </c>
      <c r="BI98" s="399">
        <v>0</v>
      </c>
      <c r="BJ98" s="399">
        <v>0</v>
      </c>
      <c r="BK98" s="399">
        <v>0</v>
      </c>
      <c r="BL98" s="399">
        <v>0</v>
      </c>
      <c r="BM98" s="399"/>
      <c r="BN98" s="399"/>
      <c r="BO98" s="399"/>
      <c r="BP98" s="399"/>
      <c r="BQ98" s="399"/>
      <c r="BR98" s="399"/>
      <c r="BS98" s="399"/>
      <c r="BT98" s="399"/>
      <c r="BU98" s="399"/>
      <c r="BV98" s="399">
        <v>6133.8946704785967</v>
      </c>
      <c r="BW98" s="399"/>
      <c r="BX98" s="399"/>
      <c r="BY98" s="399"/>
      <c r="BZ98" s="399"/>
      <c r="CA98" s="399"/>
      <c r="CB98" s="399"/>
      <c r="CC98" s="399"/>
      <c r="CD98" s="399"/>
      <c r="CE98" s="399"/>
      <c r="CF98" s="399"/>
      <c r="CG98" s="399"/>
      <c r="CH98" s="399"/>
      <c r="CI98" s="399">
        <v>6481.1956</v>
      </c>
      <c r="CJ98" s="399">
        <v>-1476.9805000000006</v>
      </c>
      <c r="CK98" s="399"/>
      <c r="CL98" s="399"/>
      <c r="CM98" s="399"/>
      <c r="CN98" s="399"/>
      <c r="CO98" s="399">
        <v>-143.983</v>
      </c>
      <c r="CP98" s="399">
        <v>-1333.2825800000003</v>
      </c>
      <c r="CQ98" s="399">
        <v>31</v>
      </c>
      <c r="CR98" s="399">
        <v>-1477.3129410769398</v>
      </c>
      <c r="CS98" s="399">
        <v>0</v>
      </c>
      <c r="CT98" s="399">
        <v>0</v>
      </c>
      <c r="CU98" s="399">
        <v>0</v>
      </c>
      <c r="CV98" s="399">
        <v>0</v>
      </c>
      <c r="CW98" s="399">
        <v>0</v>
      </c>
      <c r="CX98" s="399">
        <v>0</v>
      </c>
      <c r="CY98" s="399">
        <v>0</v>
      </c>
      <c r="CZ98" s="399">
        <v>0</v>
      </c>
      <c r="DA98" s="399">
        <v>0</v>
      </c>
      <c r="DB98" s="399">
        <v>0</v>
      </c>
      <c r="DC98" s="399">
        <v>-1333.4218215788433</v>
      </c>
      <c r="DD98" s="399">
        <v>0</v>
      </c>
      <c r="DE98" s="399">
        <v>0</v>
      </c>
      <c r="DF98" s="399">
        <v>0</v>
      </c>
      <c r="DG98" s="399">
        <v>-54.874846495974936</v>
      </c>
      <c r="DH98" s="399">
        <v>0</v>
      </c>
      <c r="DI98" s="399">
        <v>-75.558715615313986</v>
      </c>
      <c r="DJ98" s="399"/>
      <c r="DK98" s="399">
        <v>0</v>
      </c>
      <c r="DL98" s="399">
        <v>0</v>
      </c>
      <c r="DM98" s="399">
        <v>0</v>
      </c>
      <c r="DN98" s="399">
        <v>0</v>
      </c>
      <c r="DO98" s="399">
        <v>-11.071943482144263</v>
      </c>
      <c r="DP98" s="399">
        <v>-2.3856139046635931</v>
      </c>
      <c r="DQ98" s="399">
        <v>0</v>
      </c>
      <c r="DR98" s="399">
        <v>0</v>
      </c>
      <c r="DS98" s="399"/>
      <c r="DT98" s="399"/>
      <c r="DU98" s="399"/>
      <c r="DV98" s="399">
        <v>0</v>
      </c>
      <c r="DW98" s="399">
        <v>0</v>
      </c>
      <c r="DX98" s="399">
        <v>0</v>
      </c>
      <c r="DY98" s="399">
        <v>-143.98299999999995</v>
      </c>
      <c r="DZ98" s="399">
        <v>-1333.2825800000001</v>
      </c>
      <c r="EA98" s="399">
        <v>0</v>
      </c>
      <c r="EB98" s="399">
        <v>0</v>
      </c>
      <c r="EC98" s="399">
        <v>0</v>
      </c>
      <c r="ED98" s="399">
        <v>0</v>
      </c>
      <c r="EE98" s="399">
        <v>0</v>
      </c>
      <c r="EF98" s="399">
        <v>0</v>
      </c>
      <c r="EG98" s="399">
        <v>0</v>
      </c>
      <c r="EH98" s="399">
        <v>0</v>
      </c>
      <c r="EI98" s="399">
        <v>0</v>
      </c>
      <c r="EJ98" s="399">
        <v>0</v>
      </c>
      <c r="EK98" s="399">
        <v>0</v>
      </c>
      <c r="EL98" s="399">
        <v>0</v>
      </c>
      <c r="EM98" s="399">
        <v>0</v>
      </c>
      <c r="EN98" s="399">
        <v>0</v>
      </c>
      <c r="EO98" s="399">
        <v>0</v>
      </c>
      <c r="EP98" s="399">
        <v>513.55572235312752</v>
      </c>
      <c r="EQ98" s="399">
        <v>0</v>
      </c>
      <c r="ER98" s="399">
        <v>0</v>
      </c>
      <c r="ES98" s="399">
        <v>0</v>
      </c>
      <c r="ET98" s="399">
        <v>0</v>
      </c>
      <c r="EU98" s="399">
        <v>0</v>
      </c>
      <c r="EV98" s="399">
        <v>202</v>
      </c>
      <c r="EW98" s="399">
        <v>0</v>
      </c>
      <c r="EX98" s="399">
        <v>0</v>
      </c>
      <c r="EY98" s="399">
        <v>0</v>
      </c>
      <c r="EZ98" s="399"/>
      <c r="FA98" s="399">
        <v>0</v>
      </c>
      <c r="FB98" s="399">
        <v>-17.698635468909799</v>
      </c>
      <c r="FC98" s="399"/>
      <c r="FD98" s="399">
        <v>-17.698635468909799</v>
      </c>
      <c r="FE98" s="399"/>
      <c r="FF98" s="399">
        <v>0</v>
      </c>
      <c r="FG98" s="399">
        <v>0</v>
      </c>
      <c r="FH98" s="399">
        <v>0</v>
      </c>
      <c r="FI98" s="399">
        <v>0</v>
      </c>
    </row>
    <row r="99" spans="1:165" s="818" customFormat="1">
      <c r="A99" s="399">
        <v>109</v>
      </c>
      <c r="B99" s="399" t="s">
        <v>956</v>
      </c>
      <c r="C99" s="399" t="s">
        <v>2399</v>
      </c>
      <c r="D99" s="399" t="s">
        <v>533</v>
      </c>
      <c r="E99" s="399" t="s">
        <v>918</v>
      </c>
      <c r="F99" s="399" t="s">
        <v>1239</v>
      </c>
      <c r="G99" s="399" t="s">
        <v>1239</v>
      </c>
      <c r="H99" s="399" t="s">
        <v>1239</v>
      </c>
      <c r="I99" s="399" t="s">
        <v>1239</v>
      </c>
      <c r="J99" s="399" t="s">
        <v>2400</v>
      </c>
      <c r="K99" s="788">
        <v>44562</v>
      </c>
      <c r="L99" s="399">
        <v>200</v>
      </c>
      <c r="M99" s="399">
        <v>200</v>
      </c>
      <c r="N99" s="399">
        <v>0</v>
      </c>
      <c r="O99" s="399">
        <v>0</v>
      </c>
      <c r="P99" s="399">
        <v>0</v>
      </c>
      <c r="Q99" s="399">
        <v>0</v>
      </c>
      <c r="R99" s="399">
        <v>39.21</v>
      </c>
      <c r="S99" s="399"/>
      <c r="T99" s="399"/>
      <c r="U99" s="399">
        <v>7842</v>
      </c>
      <c r="V99" s="399"/>
      <c r="W99" s="399">
        <v>7842</v>
      </c>
      <c r="X99" s="399">
        <v>5968</v>
      </c>
      <c r="Y99" s="399">
        <v>0</v>
      </c>
      <c r="Z99" s="399">
        <v>0</v>
      </c>
      <c r="AA99" s="399">
        <v>0</v>
      </c>
      <c r="AB99" s="399">
        <v>0</v>
      </c>
      <c r="AC99" s="399">
        <v>0</v>
      </c>
      <c r="AD99" s="399">
        <v>2470.4459924729599</v>
      </c>
      <c r="AE99" s="399">
        <v>5372.3982459365207</v>
      </c>
      <c r="AF99" s="399"/>
      <c r="AG99" s="399"/>
      <c r="AH99" s="399"/>
      <c r="AI99" s="399">
        <v>0</v>
      </c>
      <c r="AJ99" s="399">
        <v>0</v>
      </c>
      <c r="AK99" s="399">
        <v>0</v>
      </c>
      <c r="AL99" s="399">
        <v>0</v>
      </c>
      <c r="AM99" s="399"/>
      <c r="AN99" s="399">
        <v>0</v>
      </c>
      <c r="AO99" s="399">
        <v>0</v>
      </c>
      <c r="AP99" s="399">
        <v>0</v>
      </c>
      <c r="AQ99" s="399">
        <v>0</v>
      </c>
      <c r="AR99" s="399">
        <v>0</v>
      </c>
      <c r="AS99" s="399"/>
      <c r="AT99" s="399"/>
      <c r="AU99" s="399">
        <v>0</v>
      </c>
      <c r="AV99" s="399">
        <v>0</v>
      </c>
      <c r="AW99" s="399">
        <v>0</v>
      </c>
      <c r="AX99" s="399"/>
      <c r="AY99" s="399"/>
      <c r="AZ99" s="399">
        <v>0</v>
      </c>
      <c r="BA99" s="399"/>
      <c r="BB99" s="399">
        <v>0</v>
      </c>
      <c r="BC99" s="399">
        <v>0</v>
      </c>
      <c r="BD99" s="399">
        <v>0</v>
      </c>
      <c r="BE99" s="399">
        <v>0</v>
      </c>
      <c r="BF99" s="399"/>
      <c r="BG99" s="399">
        <v>0</v>
      </c>
      <c r="BH99" s="399">
        <v>0</v>
      </c>
      <c r="BI99" s="399">
        <v>121.92</v>
      </c>
      <c r="BJ99" s="399">
        <v>562.74</v>
      </c>
      <c r="BK99" s="399">
        <v>3641.69</v>
      </c>
      <c r="BL99" s="399">
        <v>1</v>
      </c>
      <c r="BM99" s="399"/>
      <c r="BN99" s="399"/>
      <c r="BO99" s="399"/>
      <c r="BP99" s="399"/>
      <c r="BQ99" s="399"/>
      <c r="BR99" s="399"/>
      <c r="BS99" s="399"/>
      <c r="BT99" s="399"/>
      <c r="BU99" s="399"/>
      <c r="BV99" s="399">
        <v>0</v>
      </c>
      <c r="BW99" s="399"/>
      <c r="BX99" s="399"/>
      <c r="BY99" s="399"/>
      <c r="BZ99" s="399"/>
      <c r="CA99" s="399"/>
      <c r="CB99" s="399"/>
      <c r="CC99" s="399"/>
      <c r="CD99" s="399"/>
      <c r="CE99" s="399"/>
      <c r="CF99" s="399"/>
      <c r="CG99" s="399"/>
      <c r="CH99" s="399"/>
      <c r="CI99" s="399">
        <v>5968</v>
      </c>
      <c r="CJ99" s="399">
        <v>-1874.0300000000007</v>
      </c>
      <c r="CK99" s="399"/>
      <c r="CL99" s="399"/>
      <c r="CM99" s="399"/>
      <c r="CN99" s="399"/>
      <c r="CO99" s="399">
        <v>-1874.0000000000002</v>
      </c>
      <c r="CP99" s="399">
        <v>0</v>
      </c>
      <c r="CQ99" s="399">
        <v>31</v>
      </c>
      <c r="CR99" s="399">
        <v>84.77806630906025</v>
      </c>
      <c r="CS99" s="399">
        <v>0</v>
      </c>
      <c r="CT99" s="399">
        <v>0</v>
      </c>
      <c r="CU99" s="399">
        <v>0</v>
      </c>
      <c r="CV99" s="399">
        <v>0</v>
      </c>
      <c r="CW99" s="399"/>
      <c r="CX99" s="399"/>
      <c r="CY99" s="399"/>
      <c r="CZ99" s="399">
        <v>84.77806630906025</v>
      </c>
      <c r="DA99" s="399">
        <v>0</v>
      </c>
      <c r="DB99" s="399">
        <v>0</v>
      </c>
      <c r="DC99" s="399"/>
      <c r="DD99" s="399"/>
      <c r="DE99" s="399">
        <v>0</v>
      </c>
      <c r="DF99" s="399">
        <v>0</v>
      </c>
      <c r="DG99" s="399">
        <v>0</v>
      </c>
      <c r="DH99" s="399">
        <v>0</v>
      </c>
      <c r="DI99" s="399">
        <v>0</v>
      </c>
      <c r="DJ99" s="399"/>
      <c r="DK99" s="399">
        <v>0</v>
      </c>
      <c r="DL99" s="399">
        <v>0</v>
      </c>
      <c r="DM99" s="399"/>
      <c r="DN99" s="399">
        <v>0</v>
      </c>
      <c r="DO99" s="399">
        <v>0</v>
      </c>
      <c r="DP99" s="399">
        <v>0</v>
      </c>
      <c r="DQ99" s="399">
        <v>0</v>
      </c>
      <c r="DR99" s="399">
        <v>0</v>
      </c>
      <c r="DS99" s="399"/>
      <c r="DT99" s="399"/>
      <c r="DU99" s="399">
        <v>5372.3982459365207</v>
      </c>
      <c r="DV99" s="399"/>
      <c r="DW99" s="399">
        <v>0</v>
      </c>
      <c r="DX99" s="399">
        <v>0</v>
      </c>
      <c r="DY99" s="399">
        <v>-1874</v>
      </c>
      <c r="DZ99" s="399"/>
      <c r="EA99" s="399">
        <v>0</v>
      </c>
      <c r="EB99" s="399"/>
      <c r="EC99" s="399">
        <v>-1960.3887537343408</v>
      </c>
      <c r="ED99" s="399"/>
      <c r="EE99" s="399">
        <v>0</v>
      </c>
      <c r="EF99" s="399">
        <v>0</v>
      </c>
      <c r="EG99" s="399"/>
      <c r="EH99" s="399">
        <v>0</v>
      </c>
      <c r="EI99" s="399">
        <v>0</v>
      </c>
      <c r="EJ99" s="399">
        <v>0</v>
      </c>
      <c r="EK99" s="399">
        <v>0</v>
      </c>
      <c r="EL99" s="399">
        <v>0</v>
      </c>
      <c r="EM99" s="399"/>
      <c r="EN99" s="399"/>
      <c r="EO99" s="399">
        <v>0</v>
      </c>
      <c r="EP99" s="399">
        <v>0</v>
      </c>
      <c r="EQ99" s="399"/>
      <c r="ER99" s="399">
        <v>0</v>
      </c>
      <c r="ES99" s="399"/>
      <c r="ET99" s="399">
        <v>0</v>
      </c>
      <c r="EU99" s="399"/>
      <c r="EV99" s="399">
        <v>202</v>
      </c>
      <c r="EW99" s="399"/>
      <c r="EX99" s="399"/>
      <c r="EY99" s="399"/>
      <c r="EZ99" s="399"/>
      <c r="FA99" s="399">
        <v>0</v>
      </c>
      <c r="FB99" s="399">
        <v>-17.698635468909799</v>
      </c>
      <c r="FC99" s="399"/>
      <c r="FD99" s="399">
        <v>-17.698635468909799</v>
      </c>
      <c r="FE99" s="399"/>
      <c r="FF99" s="399">
        <v>0</v>
      </c>
      <c r="FG99" s="399">
        <v>0</v>
      </c>
      <c r="FH99" s="399">
        <v>0</v>
      </c>
      <c r="FI99" s="399">
        <v>0</v>
      </c>
    </row>
    <row r="100" spans="1:165" s="818" customFormat="1">
      <c r="A100" s="399">
        <v>115</v>
      </c>
      <c r="B100" s="399" t="s">
        <v>956</v>
      </c>
      <c r="C100" s="399" t="s">
        <v>2399</v>
      </c>
      <c r="D100" s="399" t="s">
        <v>533</v>
      </c>
      <c r="E100" s="399" t="s">
        <v>921</v>
      </c>
      <c r="F100" s="399" t="s">
        <v>2401</v>
      </c>
      <c r="G100" s="399" t="s">
        <v>1239</v>
      </c>
      <c r="H100" s="399" t="s">
        <v>1239</v>
      </c>
      <c r="I100" s="399" t="s">
        <v>893</v>
      </c>
      <c r="J100" s="399" t="s">
        <v>2400</v>
      </c>
      <c r="K100" s="788">
        <v>44562</v>
      </c>
      <c r="L100" s="399">
        <v>0</v>
      </c>
      <c r="M100" s="399">
        <v>0</v>
      </c>
      <c r="N100" s="399">
        <v>19.664000000000001</v>
      </c>
      <c r="O100" s="399">
        <v>18.484159999999999</v>
      </c>
      <c r="P100" s="399">
        <v>19.664000000000001</v>
      </c>
      <c r="Q100" s="399">
        <v>18.484159999999999</v>
      </c>
      <c r="R100" s="399"/>
      <c r="S100" s="399">
        <v>3305.85</v>
      </c>
      <c r="T100" s="399">
        <v>286.42</v>
      </c>
      <c r="U100" s="399"/>
      <c r="V100" s="399">
        <v>70638.397280000005</v>
      </c>
      <c r="W100" s="399">
        <v>70638.397280000005</v>
      </c>
      <c r="X100" s="399">
        <v>51344.670400000003</v>
      </c>
      <c r="Y100" s="399">
        <v>0</v>
      </c>
      <c r="Z100" s="399">
        <v>1041.1973379533554</v>
      </c>
      <c r="AA100" s="399">
        <v>0</v>
      </c>
      <c r="AB100" s="399">
        <v>0</v>
      </c>
      <c r="AC100" s="399">
        <v>0</v>
      </c>
      <c r="AD100" s="399">
        <v>12820.634435878163</v>
      </c>
      <c r="AE100" s="399">
        <v>50209.834694306752</v>
      </c>
      <c r="AF100" s="399">
        <v>5632.2286608749873</v>
      </c>
      <c r="AG100" s="399">
        <v>0</v>
      </c>
      <c r="AH100" s="399">
        <v>0</v>
      </c>
      <c r="AI100" s="399">
        <v>0</v>
      </c>
      <c r="AJ100" s="399">
        <v>0</v>
      </c>
      <c r="AK100" s="399">
        <v>0</v>
      </c>
      <c r="AL100" s="399">
        <v>184.9574004068657</v>
      </c>
      <c r="AM100" s="399"/>
      <c r="AN100" s="399">
        <v>26.941399170408129</v>
      </c>
      <c r="AO100" s="399">
        <v>0</v>
      </c>
      <c r="AP100" s="399">
        <v>0</v>
      </c>
      <c r="AQ100" s="399">
        <v>0</v>
      </c>
      <c r="AR100" s="399">
        <v>0</v>
      </c>
      <c r="AS100" s="399">
        <v>0</v>
      </c>
      <c r="AT100" s="399">
        <v>0</v>
      </c>
      <c r="AU100" s="399">
        <v>0</v>
      </c>
      <c r="AV100" s="399">
        <v>0</v>
      </c>
      <c r="AW100" s="399">
        <v>0</v>
      </c>
      <c r="AX100" s="399">
        <v>0</v>
      </c>
      <c r="AY100" s="399">
        <v>0</v>
      </c>
      <c r="AZ100" s="399">
        <v>0</v>
      </c>
      <c r="BA100" s="399"/>
      <c r="BB100" s="399">
        <v>0</v>
      </c>
      <c r="BC100" s="399">
        <v>0</v>
      </c>
      <c r="BD100" s="399">
        <v>0</v>
      </c>
      <c r="BE100" s="399">
        <v>0</v>
      </c>
      <c r="BF100" s="399">
        <v>0</v>
      </c>
      <c r="BG100" s="399">
        <v>231.78537968561972</v>
      </c>
      <c r="BH100" s="399">
        <v>0</v>
      </c>
      <c r="BI100" s="399">
        <v>0</v>
      </c>
      <c r="BJ100" s="399">
        <v>0</v>
      </c>
      <c r="BK100" s="399">
        <v>0</v>
      </c>
      <c r="BL100" s="399">
        <v>0</v>
      </c>
      <c r="BM100" s="399"/>
      <c r="BN100" s="399"/>
      <c r="BO100" s="399"/>
      <c r="BP100" s="399"/>
      <c r="BQ100" s="399">
        <v>3080.6802240000061</v>
      </c>
      <c r="BR100" s="399"/>
      <c r="BS100" s="399"/>
      <c r="BT100" s="399"/>
      <c r="BU100" s="399"/>
      <c r="BV100" s="399">
        <v>5864.0140405606071</v>
      </c>
      <c r="BW100" s="399"/>
      <c r="BX100" s="399"/>
      <c r="BY100" s="399"/>
      <c r="BZ100" s="399"/>
      <c r="CA100" s="399"/>
      <c r="CB100" s="399"/>
      <c r="CC100" s="399"/>
      <c r="CD100" s="399"/>
      <c r="CE100" s="399"/>
      <c r="CF100" s="399"/>
      <c r="CG100" s="399"/>
      <c r="CH100" s="399"/>
      <c r="CI100" s="399">
        <v>48253.127999999997</v>
      </c>
      <c r="CJ100" s="399">
        <v>-18146.995443199994</v>
      </c>
      <c r="CK100" s="399"/>
      <c r="CL100" s="399"/>
      <c r="CM100" s="399"/>
      <c r="CN100" s="399"/>
      <c r="CO100" s="399">
        <v>-18019.106400000001</v>
      </c>
      <c r="CP100" s="399">
        <v>-1274.6204800000005</v>
      </c>
      <c r="CQ100" s="399">
        <v>31</v>
      </c>
      <c r="CR100" s="399">
        <v>-972.34923279356371</v>
      </c>
      <c r="CS100" s="399">
        <v>0</v>
      </c>
      <c r="CT100" s="399">
        <v>0</v>
      </c>
      <c r="CU100" s="399">
        <v>0</v>
      </c>
      <c r="CV100" s="399">
        <v>0</v>
      </c>
      <c r="CW100" s="399">
        <v>0</v>
      </c>
      <c r="CX100" s="399">
        <v>0</v>
      </c>
      <c r="CY100" s="399">
        <v>0</v>
      </c>
      <c r="CZ100" s="399">
        <v>439.96452447888441</v>
      </c>
      <c r="DA100" s="399">
        <v>0</v>
      </c>
      <c r="DB100" s="399">
        <v>0</v>
      </c>
      <c r="DC100" s="399">
        <v>-1274.7535951930749</v>
      </c>
      <c r="DD100" s="399">
        <v>0</v>
      </c>
      <c r="DE100" s="399">
        <v>0</v>
      </c>
      <c r="DF100" s="399">
        <v>0</v>
      </c>
      <c r="DG100" s="399">
        <v>-52.460449292471736</v>
      </c>
      <c r="DH100" s="399">
        <v>0</v>
      </c>
      <c r="DI100" s="399">
        <v>-72.234264371604695</v>
      </c>
      <c r="DJ100" s="399"/>
      <c r="DK100" s="399">
        <v>0</v>
      </c>
      <c r="DL100" s="399">
        <v>0</v>
      </c>
      <c r="DM100" s="399">
        <v>0</v>
      </c>
      <c r="DN100" s="399">
        <v>0</v>
      </c>
      <c r="DO100" s="399">
        <v>-10.584797347118695</v>
      </c>
      <c r="DP100" s="399">
        <v>-2.2806510681756471</v>
      </c>
      <c r="DQ100" s="399">
        <v>0</v>
      </c>
      <c r="DR100" s="399">
        <v>0</v>
      </c>
      <c r="DS100" s="399"/>
      <c r="DT100" s="399"/>
      <c r="DU100" s="399"/>
      <c r="DV100" s="399">
        <v>50209.834694306752</v>
      </c>
      <c r="DW100" s="399">
        <v>0</v>
      </c>
      <c r="DX100" s="399">
        <v>0</v>
      </c>
      <c r="DY100" s="399">
        <v>-18019.106399999997</v>
      </c>
      <c r="DZ100" s="399">
        <v>-1274.6204800000005</v>
      </c>
      <c r="EA100" s="399">
        <v>0</v>
      </c>
      <c r="EB100" s="399">
        <v>0</v>
      </c>
      <c r="EC100" s="399">
        <v>-18321.574603302957</v>
      </c>
      <c r="ED100" s="399">
        <v>0</v>
      </c>
      <c r="EE100" s="399">
        <v>0</v>
      </c>
      <c r="EF100" s="399">
        <v>0</v>
      </c>
      <c r="EG100" s="399">
        <v>0</v>
      </c>
      <c r="EH100" s="399">
        <v>0</v>
      </c>
      <c r="EI100" s="399">
        <v>0</v>
      </c>
      <c r="EJ100" s="399">
        <v>0</v>
      </c>
      <c r="EK100" s="399">
        <v>0</v>
      </c>
      <c r="EL100" s="399">
        <v>0</v>
      </c>
      <c r="EM100" s="399">
        <v>0</v>
      </c>
      <c r="EN100" s="399">
        <v>0</v>
      </c>
      <c r="EO100" s="399">
        <v>0</v>
      </c>
      <c r="EP100" s="399">
        <v>490.96016939821578</v>
      </c>
      <c r="EQ100" s="399">
        <v>0</v>
      </c>
      <c r="ER100" s="399">
        <v>0</v>
      </c>
      <c r="ES100" s="399">
        <v>0</v>
      </c>
      <c r="ET100" s="399">
        <v>0</v>
      </c>
      <c r="EU100" s="399">
        <v>0</v>
      </c>
      <c r="EV100" s="399">
        <v>202</v>
      </c>
      <c r="EW100" s="399">
        <v>0</v>
      </c>
      <c r="EX100" s="399">
        <v>0</v>
      </c>
      <c r="EY100" s="399">
        <v>0</v>
      </c>
      <c r="EZ100" s="399"/>
      <c r="FA100" s="399">
        <v>0</v>
      </c>
      <c r="FB100" s="399">
        <v>-17.698635468909799</v>
      </c>
      <c r="FC100" s="399"/>
      <c r="FD100" s="399">
        <v>-17.698635468909799</v>
      </c>
      <c r="FE100" s="399"/>
      <c r="FF100" s="399">
        <v>0</v>
      </c>
      <c r="FG100" s="399">
        <v>0</v>
      </c>
      <c r="FH100" s="399">
        <v>0</v>
      </c>
      <c r="FI100" s="399">
        <v>0</v>
      </c>
    </row>
    <row r="101" spans="1:165" s="818" customFormat="1">
      <c r="A101" s="399">
        <v>95</v>
      </c>
      <c r="B101" s="399" t="s">
        <v>956</v>
      </c>
      <c r="C101" s="399" t="s">
        <v>2402</v>
      </c>
      <c r="D101" s="399" t="s">
        <v>1823</v>
      </c>
      <c r="E101" s="399" t="s">
        <v>889</v>
      </c>
      <c r="F101" s="399" t="s">
        <v>889</v>
      </c>
      <c r="G101" s="399" t="s">
        <v>1239</v>
      </c>
      <c r="H101" s="399" t="s">
        <v>1239</v>
      </c>
      <c r="I101" s="399" t="s">
        <v>1239</v>
      </c>
      <c r="J101" s="399" t="s">
        <v>2400</v>
      </c>
      <c r="K101" s="788">
        <v>44562</v>
      </c>
      <c r="L101" s="399">
        <v>0</v>
      </c>
      <c r="M101" s="399">
        <v>0</v>
      </c>
      <c r="N101" s="399">
        <v>541.529</v>
      </c>
      <c r="O101" s="399">
        <v>541.529</v>
      </c>
      <c r="P101" s="399">
        <v>541.529</v>
      </c>
      <c r="Q101" s="399">
        <v>541.529</v>
      </c>
      <c r="R101" s="399"/>
      <c r="S101" s="399">
        <v>609.05999999999995</v>
      </c>
      <c r="T101" s="399">
        <v>286.42</v>
      </c>
      <c r="U101" s="399"/>
      <c r="V101" s="399">
        <v>484928.38892</v>
      </c>
      <c r="W101" s="399">
        <v>484928.38892</v>
      </c>
      <c r="X101" s="399">
        <v>370335.43722999998</v>
      </c>
      <c r="Y101" s="399">
        <v>0</v>
      </c>
      <c r="Z101" s="399">
        <v>32958.212523529932</v>
      </c>
      <c r="AA101" s="399">
        <v>0</v>
      </c>
      <c r="AB101" s="399">
        <v>0</v>
      </c>
      <c r="AC101" s="399">
        <v>0</v>
      </c>
      <c r="AD101" s="399">
        <v>52881.471113068656</v>
      </c>
      <c r="AE101" s="399">
        <v>204271.23454585136</v>
      </c>
      <c r="AF101" s="399">
        <v>155106.54772655465</v>
      </c>
      <c r="AG101" s="399">
        <v>0</v>
      </c>
      <c r="AH101" s="399">
        <v>0</v>
      </c>
      <c r="AI101" s="399">
        <v>0</v>
      </c>
      <c r="AJ101" s="399">
        <v>0</v>
      </c>
      <c r="AK101" s="399">
        <v>0</v>
      </c>
      <c r="AL101" s="399">
        <v>5093.5616397950353</v>
      </c>
      <c r="AM101" s="399"/>
      <c r="AN101" s="399">
        <v>924.84356949174389</v>
      </c>
      <c r="AO101" s="399">
        <v>0</v>
      </c>
      <c r="AP101" s="399">
        <v>0</v>
      </c>
      <c r="AQ101" s="399">
        <v>0</v>
      </c>
      <c r="AR101" s="399">
        <v>0</v>
      </c>
      <c r="AS101" s="399">
        <v>0</v>
      </c>
      <c r="AT101" s="399">
        <v>0</v>
      </c>
      <c r="AU101" s="399">
        <v>0</v>
      </c>
      <c r="AV101" s="399">
        <v>0</v>
      </c>
      <c r="AW101" s="399">
        <v>0</v>
      </c>
      <c r="AX101" s="399">
        <v>0</v>
      </c>
      <c r="AY101" s="399">
        <v>0</v>
      </c>
      <c r="AZ101" s="399">
        <v>0</v>
      </c>
      <c r="BA101" s="399"/>
      <c r="BB101" s="399">
        <v>0</v>
      </c>
      <c r="BC101" s="399">
        <v>0</v>
      </c>
      <c r="BD101" s="399">
        <v>0</v>
      </c>
      <c r="BE101" s="399">
        <v>0</v>
      </c>
      <c r="BF101" s="399">
        <v>0</v>
      </c>
      <c r="BG101" s="399">
        <v>18153.307810033497</v>
      </c>
      <c r="BH101" s="399">
        <v>0</v>
      </c>
      <c r="BI101" s="399">
        <v>1854.13</v>
      </c>
      <c r="BJ101" s="399">
        <v>8423.4500000000007</v>
      </c>
      <c r="BK101" s="399">
        <v>106214.67</v>
      </c>
      <c r="BL101" s="399">
        <v>3263</v>
      </c>
      <c r="BM101" s="399"/>
      <c r="BN101" s="399"/>
      <c r="BO101" s="399"/>
      <c r="BP101" s="399"/>
      <c r="BQ101" s="399"/>
      <c r="BR101" s="399"/>
      <c r="BS101" s="399"/>
      <c r="BT101" s="399"/>
      <c r="BU101" s="399"/>
      <c r="BV101" s="399">
        <v>173259.85553658815</v>
      </c>
      <c r="BW101" s="399"/>
      <c r="BX101" s="399"/>
      <c r="BY101" s="399"/>
      <c r="BZ101" s="399"/>
      <c r="CA101" s="399"/>
      <c r="CB101" s="399"/>
      <c r="CC101" s="399"/>
      <c r="CD101" s="399"/>
      <c r="CE101" s="399"/>
      <c r="CF101" s="399"/>
      <c r="CG101" s="399"/>
      <c r="CH101" s="399"/>
      <c r="CI101" s="399">
        <v>370336.12109999999</v>
      </c>
      <c r="CJ101" s="399">
        <v>-114592.29782000004</v>
      </c>
      <c r="CK101" s="399"/>
      <c r="CL101" s="399"/>
      <c r="CM101" s="399"/>
      <c r="CN101" s="399"/>
      <c r="CO101" s="399">
        <v>-79491.041909999985</v>
      </c>
      <c r="CP101" s="399">
        <v>-35101.909780000009</v>
      </c>
      <c r="CQ101" s="399">
        <v>31</v>
      </c>
      <c r="CR101" s="399">
        <v>-40055.821567482519</v>
      </c>
      <c r="CS101" s="399">
        <v>0</v>
      </c>
      <c r="CT101" s="399">
        <v>0</v>
      </c>
      <c r="CU101" s="399">
        <v>0</v>
      </c>
      <c r="CV101" s="399">
        <v>0</v>
      </c>
      <c r="CW101" s="399">
        <v>0</v>
      </c>
      <c r="CX101" s="399">
        <v>0</v>
      </c>
      <c r="CY101" s="399">
        <v>0</v>
      </c>
      <c r="CZ101" s="399">
        <v>1814.7285462643486</v>
      </c>
      <c r="DA101" s="399">
        <v>0</v>
      </c>
      <c r="DB101" s="399">
        <v>0</v>
      </c>
      <c r="DC101" s="399">
        <v>-35105.575653545078</v>
      </c>
      <c r="DD101" s="399">
        <v>0</v>
      </c>
      <c r="DE101" s="399">
        <v>0</v>
      </c>
      <c r="DF101" s="399">
        <v>0</v>
      </c>
      <c r="DG101" s="399">
        <v>-4108.6745210184308</v>
      </c>
      <c r="DH101" s="399">
        <v>0</v>
      </c>
      <c r="DI101" s="399">
        <v>-2286.5139487581255</v>
      </c>
      <c r="DJ101" s="399"/>
      <c r="DK101" s="399">
        <v>0</v>
      </c>
      <c r="DL101" s="399">
        <v>0</v>
      </c>
      <c r="DM101" s="399">
        <v>0</v>
      </c>
      <c r="DN101" s="399">
        <v>0</v>
      </c>
      <c r="DO101" s="399">
        <v>-291.495866689781</v>
      </c>
      <c r="DP101" s="399">
        <v>-78.290123735424572</v>
      </c>
      <c r="DQ101" s="399">
        <v>0</v>
      </c>
      <c r="DR101" s="399">
        <v>0</v>
      </c>
      <c r="DS101" s="399"/>
      <c r="DT101" s="399"/>
      <c r="DU101" s="399"/>
      <c r="DV101" s="399">
        <v>204271.23454585136</v>
      </c>
      <c r="DW101" s="399">
        <v>0</v>
      </c>
      <c r="DX101" s="399">
        <v>0</v>
      </c>
      <c r="DY101" s="399">
        <v>-79491.04191</v>
      </c>
      <c r="DZ101" s="399">
        <v>-35101.909780000016</v>
      </c>
      <c r="EA101" s="399">
        <v>0</v>
      </c>
      <c r="EB101" s="399">
        <v>0</v>
      </c>
      <c r="EC101" s="399">
        <v>-74538.597584049698</v>
      </c>
      <c r="ED101" s="399">
        <v>0</v>
      </c>
      <c r="EE101" s="399">
        <v>0</v>
      </c>
      <c r="EF101" s="399">
        <v>0</v>
      </c>
      <c r="EG101" s="399">
        <v>0</v>
      </c>
      <c r="EH101" s="399">
        <v>0</v>
      </c>
      <c r="EI101" s="399">
        <v>0</v>
      </c>
      <c r="EJ101" s="399">
        <v>0</v>
      </c>
      <c r="EK101" s="399">
        <v>0</v>
      </c>
      <c r="EL101" s="399">
        <v>0</v>
      </c>
      <c r="EM101" s="399">
        <v>0</v>
      </c>
      <c r="EN101" s="399">
        <v>0</v>
      </c>
      <c r="EO101" s="399">
        <v>0</v>
      </c>
      <c r="EP101" s="399">
        <v>15540.924869651893</v>
      </c>
      <c r="EQ101" s="399">
        <v>0</v>
      </c>
      <c r="ER101" s="399">
        <v>0</v>
      </c>
      <c r="ES101" s="399">
        <v>0</v>
      </c>
      <c r="ET101" s="399">
        <v>0</v>
      </c>
      <c r="EU101" s="399">
        <v>0</v>
      </c>
      <c r="EV101" s="399">
        <v>202</v>
      </c>
      <c r="EW101" s="399">
        <v>0</v>
      </c>
      <c r="EX101" s="399">
        <v>0</v>
      </c>
      <c r="EY101" s="399">
        <v>0</v>
      </c>
      <c r="EZ101" s="399"/>
      <c r="FA101" s="399">
        <v>0</v>
      </c>
      <c r="FB101" s="399">
        <v>-17.698635468909799</v>
      </c>
      <c r="FC101" s="399"/>
      <c r="FD101" s="399">
        <v>-17.698635468909799</v>
      </c>
      <c r="FE101" s="399"/>
      <c r="FF101" s="399">
        <v>0</v>
      </c>
      <c r="FG101" s="399">
        <v>0</v>
      </c>
      <c r="FH101" s="399">
        <v>0</v>
      </c>
      <c r="FI101" s="399">
        <v>0</v>
      </c>
    </row>
    <row r="102" spans="1:165" s="818" customFormat="1">
      <c r="A102" s="399">
        <v>96</v>
      </c>
      <c r="B102" s="399" t="s">
        <v>2403</v>
      </c>
      <c r="C102" s="399" t="s">
        <v>2402</v>
      </c>
      <c r="D102" s="399" t="s">
        <v>1823</v>
      </c>
      <c r="E102" s="399" t="s">
        <v>889</v>
      </c>
      <c r="F102" s="399" t="s">
        <v>889</v>
      </c>
      <c r="G102" s="399" t="s">
        <v>1239</v>
      </c>
      <c r="H102" s="399" t="s">
        <v>1239</v>
      </c>
      <c r="I102" s="399" t="s">
        <v>1239</v>
      </c>
      <c r="J102" s="399" t="s">
        <v>2400</v>
      </c>
      <c r="K102" s="788">
        <v>44562</v>
      </c>
      <c r="L102" s="399">
        <v>0</v>
      </c>
      <c r="M102" s="399">
        <v>0</v>
      </c>
      <c r="N102" s="399">
        <v>-0.48299999999999998</v>
      </c>
      <c r="O102" s="399">
        <v>-0.48299999999999998</v>
      </c>
      <c r="P102" s="399">
        <v>-0.48299999999999998</v>
      </c>
      <c r="Q102" s="399">
        <v>-0.48299999999999998</v>
      </c>
      <c r="R102" s="399"/>
      <c r="S102" s="399">
        <v>609.05999999999995</v>
      </c>
      <c r="T102" s="399">
        <v>286.42</v>
      </c>
      <c r="U102" s="399"/>
      <c r="V102" s="399">
        <v>-432.51684</v>
      </c>
      <c r="W102" s="399">
        <v>-432.51684</v>
      </c>
      <c r="X102" s="399">
        <v>-330.30920999999995</v>
      </c>
      <c r="Y102" s="399">
        <v>0</v>
      </c>
      <c r="Z102" s="399">
        <v>-29.396055703138622</v>
      </c>
      <c r="AA102" s="399">
        <v>0</v>
      </c>
      <c r="AB102" s="399">
        <v>0</v>
      </c>
      <c r="AC102" s="399">
        <v>0</v>
      </c>
      <c r="AD102" s="399">
        <v>-47.165988428343006</v>
      </c>
      <c r="AE102" s="399">
        <v>-182.19339367909419</v>
      </c>
      <c r="AF102" s="399">
        <v>-138.3424757527776</v>
      </c>
      <c r="AG102" s="399">
        <v>0</v>
      </c>
      <c r="AH102" s="399">
        <v>0</v>
      </c>
      <c r="AI102" s="399">
        <v>0</v>
      </c>
      <c r="AJ102" s="399">
        <v>0</v>
      </c>
      <c r="AK102" s="399">
        <v>0</v>
      </c>
      <c r="AL102" s="399">
        <v>-4.5430443651605028</v>
      </c>
      <c r="AM102" s="399"/>
      <c r="AN102" s="399">
        <v>-0.82488554456827301</v>
      </c>
      <c r="AO102" s="399">
        <v>0</v>
      </c>
      <c r="AP102" s="399">
        <v>0</v>
      </c>
      <c r="AQ102" s="399">
        <v>0</v>
      </c>
      <c r="AR102" s="399">
        <v>0</v>
      </c>
      <c r="AS102" s="399">
        <v>0</v>
      </c>
      <c r="AT102" s="399">
        <v>0</v>
      </c>
      <c r="AU102" s="399">
        <v>0</v>
      </c>
      <c r="AV102" s="399">
        <v>0</v>
      </c>
      <c r="AW102" s="399">
        <v>0</v>
      </c>
      <c r="AX102" s="399">
        <v>0</v>
      </c>
      <c r="AY102" s="399">
        <v>0</v>
      </c>
      <c r="AZ102" s="399">
        <v>0</v>
      </c>
      <c r="BA102" s="399"/>
      <c r="BB102" s="399">
        <v>0</v>
      </c>
      <c r="BC102" s="399">
        <v>0</v>
      </c>
      <c r="BD102" s="399">
        <v>0</v>
      </c>
      <c r="BE102" s="399">
        <v>0</v>
      </c>
      <c r="BF102" s="399">
        <v>0</v>
      </c>
      <c r="BG102" s="399">
        <v>-16.191280009466119</v>
      </c>
      <c r="BH102" s="399">
        <v>0</v>
      </c>
      <c r="BI102" s="399">
        <v>-2.15</v>
      </c>
      <c r="BJ102" s="399">
        <v>-8.11</v>
      </c>
      <c r="BK102" s="399">
        <v>-164.66</v>
      </c>
      <c r="BL102" s="399">
        <v>0</v>
      </c>
      <c r="BM102" s="399"/>
      <c r="BN102" s="399"/>
      <c r="BO102" s="399"/>
      <c r="BP102" s="399"/>
      <c r="BQ102" s="399"/>
      <c r="BR102" s="399"/>
      <c r="BS102" s="399"/>
      <c r="BT102" s="399"/>
      <c r="BU102" s="399"/>
      <c r="BV102" s="399">
        <v>-154.53375576224371</v>
      </c>
      <c r="BW102" s="399"/>
      <c r="BX102" s="399"/>
      <c r="BY102" s="399"/>
      <c r="BZ102" s="399"/>
      <c r="CA102" s="399"/>
      <c r="CB102" s="399"/>
      <c r="CC102" s="399"/>
      <c r="CD102" s="399"/>
      <c r="CE102" s="399"/>
      <c r="CF102" s="399"/>
      <c r="CG102" s="399"/>
      <c r="CH102" s="399"/>
      <c r="CI102" s="399">
        <v>-328.25759999999997</v>
      </c>
      <c r="CJ102" s="399">
        <v>104.22924000000006</v>
      </c>
      <c r="CK102" s="399"/>
      <c r="CL102" s="399"/>
      <c r="CM102" s="399"/>
      <c r="CN102" s="399"/>
      <c r="CO102" s="399">
        <v>70.899569999999983</v>
      </c>
      <c r="CP102" s="399">
        <v>31.308060000000008</v>
      </c>
      <c r="CQ102" s="399">
        <v>31</v>
      </c>
      <c r="CR102" s="399">
        <v>35.726548009606205</v>
      </c>
      <c r="CS102" s="399">
        <v>0</v>
      </c>
      <c r="CT102" s="399">
        <v>0</v>
      </c>
      <c r="CU102" s="399">
        <v>0</v>
      </c>
      <c r="CV102" s="399">
        <v>0</v>
      </c>
      <c r="CW102" s="399">
        <v>0</v>
      </c>
      <c r="CX102" s="399">
        <v>0</v>
      </c>
      <c r="CY102" s="399">
        <v>0</v>
      </c>
      <c r="CZ102" s="399">
        <v>-1.6185908563450582</v>
      </c>
      <c r="DA102" s="399">
        <v>0</v>
      </c>
      <c r="DB102" s="399">
        <v>0</v>
      </c>
      <c r="DC102" s="399">
        <v>31.311329662238364</v>
      </c>
      <c r="DD102" s="399">
        <v>0</v>
      </c>
      <c r="DE102" s="399">
        <v>0</v>
      </c>
      <c r="DF102" s="399">
        <v>0</v>
      </c>
      <c r="DG102" s="399">
        <v>3.664604838617878</v>
      </c>
      <c r="DH102" s="399">
        <v>0</v>
      </c>
      <c r="DI102" s="399">
        <v>2.0393852171355036</v>
      </c>
      <c r="DJ102" s="399"/>
      <c r="DK102" s="399">
        <v>0</v>
      </c>
      <c r="DL102" s="399">
        <v>0</v>
      </c>
      <c r="DM102" s="399">
        <v>0</v>
      </c>
      <c r="DN102" s="399">
        <v>0</v>
      </c>
      <c r="DO102" s="399">
        <v>0.25999069968766975</v>
      </c>
      <c r="DP102" s="399">
        <v>6.9828448271856303E-2</v>
      </c>
      <c r="DQ102" s="399">
        <v>0</v>
      </c>
      <c r="DR102" s="399">
        <v>0</v>
      </c>
      <c r="DS102" s="399"/>
      <c r="DT102" s="399"/>
      <c r="DU102" s="399"/>
      <c r="DV102" s="399">
        <v>-182.19339367909419</v>
      </c>
      <c r="DW102" s="399">
        <v>0</v>
      </c>
      <c r="DX102" s="399">
        <v>0</v>
      </c>
      <c r="DY102" s="399">
        <v>70.899570000000011</v>
      </c>
      <c r="DZ102" s="399">
        <v>31.308059999999998</v>
      </c>
      <c r="EA102" s="399">
        <v>0</v>
      </c>
      <c r="EB102" s="399">
        <v>0</v>
      </c>
      <c r="EC102" s="399">
        <v>66.482390847204854</v>
      </c>
      <c r="ED102" s="399">
        <v>0</v>
      </c>
      <c r="EE102" s="399">
        <v>0</v>
      </c>
      <c r="EF102" s="399">
        <v>0</v>
      </c>
      <c r="EG102" s="399">
        <v>0</v>
      </c>
      <c r="EH102" s="399">
        <v>0</v>
      </c>
      <c r="EI102" s="399">
        <v>0</v>
      </c>
      <c r="EJ102" s="399">
        <v>0</v>
      </c>
      <c r="EK102" s="399">
        <v>0</v>
      </c>
      <c r="EL102" s="399">
        <v>0</v>
      </c>
      <c r="EM102" s="399">
        <v>0</v>
      </c>
      <c r="EN102" s="399">
        <v>0</v>
      </c>
      <c r="EO102" s="399">
        <v>0</v>
      </c>
      <c r="EP102" s="399">
        <v>-13.861246049688686</v>
      </c>
      <c r="EQ102" s="399">
        <v>0</v>
      </c>
      <c r="ER102" s="399">
        <v>0</v>
      </c>
      <c r="ES102" s="399">
        <v>0</v>
      </c>
      <c r="ET102" s="399">
        <v>0</v>
      </c>
      <c r="EU102" s="399">
        <v>0</v>
      </c>
      <c r="EV102" s="399">
        <v>202</v>
      </c>
      <c r="EW102" s="399">
        <v>0</v>
      </c>
      <c r="EX102" s="399">
        <v>0</v>
      </c>
      <c r="EY102" s="399">
        <v>0</v>
      </c>
      <c r="EZ102" s="399"/>
      <c r="FA102" s="399">
        <v>0</v>
      </c>
      <c r="FB102" s="399">
        <v>-17.698635468909799</v>
      </c>
      <c r="FC102" s="399"/>
      <c r="FD102" s="399">
        <v>-17.698635468909799</v>
      </c>
      <c r="FE102" s="399"/>
      <c r="FF102" s="399">
        <v>0</v>
      </c>
      <c r="FG102" s="399">
        <v>0</v>
      </c>
      <c r="FH102" s="399">
        <v>0</v>
      </c>
      <c r="FI102" s="399">
        <v>0</v>
      </c>
    </row>
    <row r="103" spans="1:165" s="818" customFormat="1">
      <c r="A103" s="399">
        <v>97</v>
      </c>
      <c r="B103" s="399" t="s">
        <v>2404</v>
      </c>
      <c r="C103" s="399" t="s">
        <v>2402</v>
      </c>
      <c r="D103" s="399" t="s">
        <v>1823</v>
      </c>
      <c r="E103" s="399" t="s">
        <v>889</v>
      </c>
      <c r="F103" s="399" t="s">
        <v>889</v>
      </c>
      <c r="G103" s="399" t="s">
        <v>1239</v>
      </c>
      <c r="H103" s="399" t="s">
        <v>1239</v>
      </c>
      <c r="I103" s="399" t="s">
        <v>1239</v>
      </c>
      <c r="J103" s="399" t="s">
        <v>2400</v>
      </c>
      <c r="K103" s="788">
        <v>44562</v>
      </c>
      <c r="L103" s="399">
        <v>0</v>
      </c>
      <c r="M103" s="399">
        <v>0</v>
      </c>
      <c r="N103" s="399">
        <v>4.0149999999999997</v>
      </c>
      <c r="O103" s="399">
        <v>4.0149999999999997</v>
      </c>
      <c r="P103" s="399">
        <v>4.0149999999999997</v>
      </c>
      <c r="Q103" s="399">
        <v>4.0149999999999997</v>
      </c>
      <c r="R103" s="399"/>
      <c r="S103" s="399">
        <v>609.05999999999995</v>
      </c>
      <c r="T103" s="399">
        <v>286.42</v>
      </c>
      <c r="U103" s="399"/>
      <c r="V103" s="399">
        <v>3595.3521999999994</v>
      </c>
      <c r="W103" s="399">
        <v>3595.3521999999994</v>
      </c>
      <c r="X103" s="399">
        <v>2745.7380499999999</v>
      </c>
      <c r="Y103" s="399">
        <v>0</v>
      </c>
      <c r="Z103" s="399">
        <v>244.35851686977549</v>
      </c>
      <c r="AA103" s="399">
        <v>0</v>
      </c>
      <c r="AB103" s="399">
        <v>0</v>
      </c>
      <c r="AC103" s="399">
        <v>0</v>
      </c>
      <c r="AD103" s="399">
        <v>392.07338206997343</v>
      </c>
      <c r="AE103" s="399">
        <v>1514.50616070717</v>
      </c>
      <c r="AF103" s="399">
        <v>1149.9897311540415</v>
      </c>
      <c r="AG103" s="399">
        <v>0</v>
      </c>
      <c r="AH103" s="399">
        <v>0</v>
      </c>
      <c r="AI103" s="399">
        <v>0</v>
      </c>
      <c r="AJ103" s="399">
        <v>0</v>
      </c>
      <c r="AK103" s="399">
        <v>0</v>
      </c>
      <c r="AL103" s="399">
        <v>37.764644153456352</v>
      </c>
      <c r="AM103" s="399"/>
      <c r="AN103" s="399">
        <v>6.8569678290716682</v>
      </c>
      <c r="AO103" s="399">
        <v>0</v>
      </c>
      <c r="AP103" s="399">
        <v>0</v>
      </c>
      <c r="AQ103" s="399">
        <v>0</v>
      </c>
      <c r="AR103" s="399">
        <v>0</v>
      </c>
      <c r="AS103" s="399">
        <v>0</v>
      </c>
      <c r="AT103" s="399">
        <v>0</v>
      </c>
      <c r="AU103" s="399">
        <v>0</v>
      </c>
      <c r="AV103" s="399">
        <v>0</v>
      </c>
      <c r="AW103" s="399">
        <v>0</v>
      </c>
      <c r="AX103" s="399">
        <v>0</v>
      </c>
      <c r="AY103" s="399">
        <v>0</v>
      </c>
      <c r="AZ103" s="399">
        <v>0</v>
      </c>
      <c r="BA103" s="399"/>
      <c r="BB103" s="399">
        <v>0</v>
      </c>
      <c r="BC103" s="399">
        <v>0</v>
      </c>
      <c r="BD103" s="399">
        <v>0</v>
      </c>
      <c r="BE103" s="399">
        <v>0</v>
      </c>
      <c r="BF103" s="399">
        <v>0</v>
      </c>
      <c r="BG103" s="399">
        <v>134.59211022361586</v>
      </c>
      <c r="BH103" s="399">
        <v>0</v>
      </c>
      <c r="BI103" s="399">
        <v>11.57</v>
      </c>
      <c r="BJ103" s="399">
        <v>54.55</v>
      </c>
      <c r="BK103" s="399">
        <v>2343.12</v>
      </c>
      <c r="BL103" s="399">
        <v>30</v>
      </c>
      <c r="BM103" s="399"/>
      <c r="BN103" s="399"/>
      <c r="BO103" s="399"/>
      <c r="BP103" s="399"/>
      <c r="BQ103" s="399"/>
      <c r="BR103" s="399"/>
      <c r="BS103" s="399"/>
      <c r="BT103" s="399"/>
      <c r="BU103" s="399"/>
      <c r="BV103" s="399">
        <v>1284.5818413776574</v>
      </c>
      <c r="BW103" s="399"/>
      <c r="BX103" s="399"/>
      <c r="BY103" s="399"/>
      <c r="BZ103" s="399"/>
      <c r="CA103" s="399"/>
      <c r="CB103" s="399"/>
      <c r="CC103" s="399"/>
      <c r="CD103" s="399"/>
      <c r="CE103" s="399"/>
      <c r="CF103" s="399"/>
      <c r="CG103" s="399"/>
      <c r="CH103" s="399"/>
      <c r="CI103" s="399">
        <v>2749.1573999999996</v>
      </c>
      <c r="CJ103" s="399">
        <v>-846.22480000000041</v>
      </c>
      <c r="CK103" s="399"/>
      <c r="CL103" s="399"/>
      <c r="CM103" s="399"/>
      <c r="CN103" s="399"/>
      <c r="CO103" s="399">
        <v>-589.36184999999978</v>
      </c>
      <c r="CP103" s="399">
        <v>-260.25230000000005</v>
      </c>
      <c r="CQ103" s="399">
        <v>31</v>
      </c>
      <c r="CR103" s="399">
        <v>-296.98155333037062</v>
      </c>
      <c r="CS103" s="399">
        <v>0</v>
      </c>
      <c r="CT103" s="399">
        <v>0</v>
      </c>
      <c r="CU103" s="399">
        <v>0</v>
      </c>
      <c r="CV103" s="399">
        <v>0</v>
      </c>
      <c r="CW103" s="399">
        <v>0</v>
      </c>
      <c r="CX103" s="399">
        <v>0</v>
      </c>
      <c r="CY103" s="399">
        <v>0</v>
      </c>
      <c r="CZ103" s="399">
        <v>13.454745938354847</v>
      </c>
      <c r="DA103" s="399">
        <v>0</v>
      </c>
      <c r="DB103" s="399">
        <v>0</v>
      </c>
      <c r="DC103" s="399">
        <v>-260.27947949044938</v>
      </c>
      <c r="DD103" s="399">
        <v>0</v>
      </c>
      <c r="DE103" s="399">
        <v>0</v>
      </c>
      <c r="DF103" s="399">
        <v>0</v>
      </c>
      <c r="DG103" s="399">
        <v>-30.462501919359781</v>
      </c>
      <c r="DH103" s="399">
        <v>0</v>
      </c>
      <c r="DI103" s="399">
        <v>-16.952653513041497</v>
      </c>
      <c r="DJ103" s="399"/>
      <c r="DK103" s="399">
        <v>0</v>
      </c>
      <c r="DL103" s="399">
        <v>0</v>
      </c>
      <c r="DM103" s="399">
        <v>0</v>
      </c>
      <c r="DN103" s="399">
        <v>0</v>
      </c>
      <c r="DO103" s="399">
        <v>-2.1612063338426353</v>
      </c>
      <c r="DP103" s="399">
        <v>-0.58045801203209724</v>
      </c>
      <c r="DQ103" s="399">
        <v>0</v>
      </c>
      <c r="DR103" s="399">
        <v>0</v>
      </c>
      <c r="DS103" s="399"/>
      <c r="DT103" s="399"/>
      <c r="DU103" s="399"/>
      <c r="DV103" s="399">
        <v>1514.50616070717</v>
      </c>
      <c r="DW103" s="399">
        <v>0</v>
      </c>
      <c r="DX103" s="399">
        <v>0</v>
      </c>
      <c r="DY103" s="399">
        <v>-589.36184999999978</v>
      </c>
      <c r="DZ103" s="399">
        <v>-260.2523000000001</v>
      </c>
      <c r="EA103" s="399">
        <v>0</v>
      </c>
      <c r="EB103" s="399">
        <v>0</v>
      </c>
      <c r="EC103" s="399">
        <v>-552.64347671123699</v>
      </c>
      <c r="ED103" s="399">
        <v>0</v>
      </c>
      <c r="EE103" s="399">
        <v>0</v>
      </c>
      <c r="EF103" s="399">
        <v>0</v>
      </c>
      <c r="EG103" s="399">
        <v>0</v>
      </c>
      <c r="EH103" s="399">
        <v>0</v>
      </c>
      <c r="EI103" s="399">
        <v>0</v>
      </c>
      <c r="EJ103" s="399">
        <v>0</v>
      </c>
      <c r="EK103" s="399">
        <v>0</v>
      </c>
      <c r="EL103" s="399">
        <v>0</v>
      </c>
      <c r="EM103" s="399">
        <v>0</v>
      </c>
      <c r="EN103" s="399">
        <v>0</v>
      </c>
      <c r="EO103" s="399">
        <v>0</v>
      </c>
      <c r="EP103" s="399">
        <v>115.22340142753639</v>
      </c>
      <c r="EQ103" s="399">
        <v>0</v>
      </c>
      <c r="ER103" s="399">
        <v>0</v>
      </c>
      <c r="ES103" s="399">
        <v>0</v>
      </c>
      <c r="ET103" s="399">
        <v>0</v>
      </c>
      <c r="EU103" s="399">
        <v>0</v>
      </c>
      <c r="EV103" s="399">
        <v>202</v>
      </c>
      <c r="EW103" s="399">
        <v>0</v>
      </c>
      <c r="EX103" s="399">
        <v>0</v>
      </c>
      <c r="EY103" s="399">
        <v>0</v>
      </c>
      <c r="EZ103" s="399"/>
      <c r="FA103" s="399">
        <v>0</v>
      </c>
      <c r="FB103" s="399">
        <v>-17.698635468909799</v>
      </c>
      <c r="FC103" s="399"/>
      <c r="FD103" s="399">
        <v>-17.698635468909799</v>
      </c>
      <c r="FE103" s="399"/>
      <c r="FF103" s="399">
        <v>0</v>
      </c>
      <c r="FG103" s="399">
        <v>0</v>
      </c>
      <c r="FH103" s="399">
        <v>0</v>
      </c>
      <c r="FI103" s="399">
        <v>0</v>
      </c>
    </row>
    <row r="104" spans="1:165" s="818" customFormat="1">
      <c r="A104" s="399">
        <v>98</v>
      </c>
      <c r="B104" s="399" t="s">
        <v>2404</v>
      </c>
      <c r="C104" s="399" t="s">
        <v>2402</v>
      </c>
      <c r="D104" s="399" t="s">
        <v>1823</v>
      </c>
      <c r="E104" s="399" t="s">
        <v>889</v>
      </c>
      <c r="F104" s="399" t="s">
        <v>889</v>
      </c>
      <c r="G104" s="399" t="s">
        <v>1239</v>
      </c>
      <c r="H104" s="399" t="s">
        <v>1239</v>
      </c>
      <c r="I104" s="399" t="s">
        <v>1239</v>
      </c>
      <c r="J104" s="399" t="s">
        <v>2400</v>
      </c>
      <c r="K104" s="788">
        <v>44562</v>
      </c>
      <c r="L104" s="399">
        <v>0</v>
      </c>
      <c r="M104" s="399">
        <v>0</v>
      </c>
      <c r="N104" s="399">
        <v>-0.40899999999999997</v>
      </c>
      <c r="O104" s="399">
        <v>-0.40899999999999997</v>
      </c>
      <c r="P104" s="399">
        <v>-0.40899999999999997</v>
      </c>
      <c r="Q104" s="399">
        <v>-0.40899999999999997</v>
      </c>
      <c r="R104" s="399"/>
      <c r="S104" s="399">
        <v>609.05999999999995</v>
      </c>
      <c r="T104" s="399">
        <v>286.42</v>
      </c>
      <c r="U104" s="399"/>
      <c r="V104" s="399">
        <v>-366.25131999999996</v>
      </c>
      <c r="W104" s="399">
        <v>-366.25131999999996</v>
      </c>
      <c r="X104" s="399">
        <v>-279.70282999999995</v>
      </c>
      <c r="Y104" s="399">
        <v>0</v>
      </c>
      <c r="Z104" s="399">
        <v>-24.892312179262312</v>
      </c>
      <c r="AA104" s="399">
        <v>0</v>
      </c>
      <c r="AB104" s="399">
        <v>0</v>
      </c>
      <c r="AC104" s="399">
        <v>0</v>
      </c>
      <c r="AD104" s="399">
        <v>-39.939729331661056</v>
      </c>
      <c r="AE104" s="399">
        <v>-154.2797060346781</v>
      </c>
      <c r="AF104" s="399">
        <v>-117.147148204733</v>
      </c>
      <c r="AG104" s="399">
        <v>0</v>
      </c>
      <c r="AH104" s="399">
        <v>0</v>
      </c>
      <c r="AI104" s="399">
        <v>0</v>
      </c>
      <c r="AJ104" s="399">
        <v>0</v>
      </c>
      <c r="AK104" s="399">
        <v>0</v>
      </c>
      <c r="AL104" s="399">
        <v>-3.8470085825065126</v>
      </c>
      <c r="AM104" s="399"/>
      <c r="AN104" s="399">
        <v>-0.69850556465512148</v>
      </c>
      <c r="AO104" s="399">
        <v>0</v>
      </c>
      <c r="AP104" s="399">
        <v>0</v>
      </c>
      <c r="AQ104" s="399">
        <v>0</v>
      </c>
      <c r="AR104" s="399">
        <v>0</v>
      </c>
      <c r="AS104" s="399">
        <v>0</v>
      </c>
      <c r="AT104" s="399">
        <v>0</v>
      </c>
      <c r="AU104" s="399">
        <v>0</v>
      </c>
      <c r="AV104" s="399">
        <v>0</v>
      </c>
      <c r="AW104" s="399">
        <v>0</v>
      </c>
      <c r="AX104" s="399">
        <v>0</v>
      </c>
      <c r="AY104" s="399">
        <v>0</v>
      </c>
      <c r="AZ104" s="399">
        <v>0</v>
      </c>
      <c r="BA104" s="399"/>
      <c r="BB104" s="399">
        <v>0</v>
      </c>
      <c r="BC104" s="399">
        <v>0</v>
      </c>
      <c r="BD104" s="399">
        <v>0</v>
      </c>
      <c r="BE104" s="399">
        <v>0</v>
      </c>
      <c r="BF104" s="399">
        <v>0</v>
      </c>
      <c r="BG104" s="399">
        <v>-13.710628413812925</v>
      </c>
      <c r="BH104" s="399">
        <v>0</v>
      </c>
      <c r="BI104" s="399">
        <v>-2.2799999999999998</v>
      </c>
      <c r="BJ104" s="399">
        <v>-10.52</v>
      </c>
      <c r="BK104" s="399">
        <v>-116.85</v>
      </c>
      <c r="BL104" s="399">
        <v>2</v>
      </c>
      <c r="BM104" s="399"/>
      <c r="BN104" s="399"/>
      <c r="BO104" s="399"/>
      <c r="BP104" s="399"/>
      <c r="BQ104" s="399"/>
      <c r="BR104" s="399"/>
      <c r="BS104" s="399"/>
      <c r="BT104" s="399"/>
      <c r="BU104" s="399"/>
      <c r="BV104" s="399">
        <v>-130.85777661854593</v>
      </c>
      <c r="BW104" s="399"/>
      <c r="BX104" s="399"/>
      <c r="BY104" s="399"/>
      <c r="BZ104" s="399"/>
      <c r="CA104" s="399"/>
      <c r="CB104" s="399"/>
      <c r="CC104" s="399"/>
      <c r="CD104" s="399"/>
      <c r="CE104" s="399"/>
      <c r="CF104" s="399"/>
      <c r="CG104" s="399"/>
      <c r="CH104" s="399"/>
      <c r="CI104" s="399">
        <v>-280.38669999999996</v>
      </c>
      <c r="CJ104" s="399">
        <v>85.834620000000029</v>
      </c>
      <c r="CK104" s="399"/>
      <c r="CL104" s="399"/>
      <c r="CM104" s="399"/>
      <c r="CN104" s="399"/>
      <c r="CO104" s="399">
        <v>60.037109999999984</v>
      </c>
      <c r="CP104" s="399">
        <v>26.511380000000006</v>
      </c>
      <c r="CQ104" s="399">
        <v>31</v>
      </c>
      <c r="CR104" s="399">
        <v>30.252915395298004</v>
      </c>
      <c r="CS104" s="399">
        <v>0</v>
      </c>
      <c r="CT104" s="399">
        <v>0</v>
      </c>
      <c r="CU104" s="399">
        <v>0</v>
      </c>
      <c r="CV104" s="399">
        <v>0</v>
      </c>
      <c r="CW104" s="399">
        <v>0</v>
      </c>
      <c r="CX104" s="399">
        <v>0</v>
      </c>
      <c r="CY104" s="399">
        <v>0</v>
      </c>
      <c r="CZ104" s="399">
        <v>-1.3706079922259349</v>
      </c>
      <c r="DA104" s="399">
        <v>0</v>
      </c>
      <c r="DB104" s="399">
        <v>0</v>
      </c>
      <c r="DC104" s="399">
        <v>26.51414872019771</v>
      </c>
      <c r="DD104" s="399">
        <v>0</v>
      </c>
      <c r="DE104" s="399">
        <v>0</v>
      </c>
      <c r="DF104" s="399">
        <v>0</v>
      </c>
      <c r="DG104" s="399">
        <v>3.1031539937778732</v>
      </c>
      <c r="DH104" s="399">
        <v>0</v>
      </c>
      <c r="DI104" s="399">
        <v>1.7269328236199222</v>
      </c>
      <c r="DJ104" s="399"/>
      <c r="DK104" s="399">
        <v>0</v>
      </c>
      <c r="DL104" s="399">
        <v>0</v>
      </c>
      <c r="DM104" s="399">
        <v>0</v>
      </c>
      <c r="DN104" s="399">
        <v>0</v>
      </c>
      <c r="DO104" s="399">
        <v>0.22015775605022103</v>
      </c>
      <c r="DP104" s="399">
        <v>5.9130093878238643E-2</v>
      </c>
      <c r="DQ104" s="399">
        <v>0</v>
      </c>
      <c r="DR104" s="399">
        <v>0</v>
      </c>
      <c r="DS104" s="399"/>
      <c r="DT104" s="399"/>
      <c r="DU104" s="399"/>
      <c r="DV104" s="399">
        <v>-154.2797060346781</v>
      </c>
      <c r="DW104" s="399">
        <v>0</v>
      </c>
      <c r="DX104" s="399">
        <v>0</v>
      </c>
      <c r="DY104" s="399">
        <v>60.037109999999984</v>
      </c>
      <c r="DZ104" s="399">
        <v>26.511380000000017</v>
      </c>
      <c r="EA104" s="399">
        <v>0</v>
      </c>
      <c r="EB104" s="399">
        <v>0</v>
      </c>
      <c r="EC104" s="399">
        <v>56.29668293272627</v>
      </c>
      <c r="ED104" s="399">
        <v>0</v>
      </c>
      <c r="EE104" s="399">
        <v>0</v>
      </c>
      <c r="EF104" s="399">
        <v>0</v>
      </c>
      <c r="EG104" s="399">
        <v>0</v>
      </c>
      <c r="EH104" s="399">
        <v>0</v>
      </c>
      <c r="EI104" s="399">
        <v>0</v>
      </c>
      <c r="EJ104" s="399">
        <v>0</v>
      </c>
      <c r="EK104" s="399">
        <v>0</v>
      </c>
      <c r="EL104" s="399">
        <v>0</v>
      </c>
      <c r="EM104" s="399">
        <v>0</v>
      </c>
      <c r="EN104" s="399">
        <v>0</v>
      </c>
      <c r="EO104" s="399">
        <v>0</v>
      </c>
      <c r="EP104" s="399">
        <v>-11.737576882655636</v>
      </c>
      <c r="EQ104" s="399">
        <v>0</v>
      </c>
      <c r="ER104" s="399">
        <v>0</v>
      </c>
      <c r="ES104" s="399">
        <v>0</v>
      </c>
      <c r="ET104" s="399">
        <v>0</v>
      </c>
      <c r="EU104" s="399">
        <v>0</v>
      </c>
      <c r="EV104" s="399">
        <v>202</v>
      </c>
      <c r="EW104" s="399">
        <v>0</v>
      </c>
      <c r="EX104" s="399">
        <v>0</v>
      </c>
      <c r="EY104" s="399">
        <v>0</v>
      </c>
      <c r="EZ104" s="399"/>
      <c r="FA104" s="399">
        <v>0</v>
      </c>
      <c r="FB104" s="399">
        <v>-17.698635468909799</v>
      </c>
      <c r="FC104" s="399"/>
      <c r="FD104" s="399">
        <v>-17.698635468909799</v>
      </c>
      <c r="FE104" s="399"/>
      <c r="FF104" s="399">
        <v>0</v>
      </c>
      <c r="FG104" s="399">
        <v>0</v>
      </c>
      <c r="FH104" s="399">
        <v>0</v>
      </c>
      <c r="FI104" s="399">
        <v>0</v>
      </c>
    </row>
    <row r="105" spans="1:165" s="818" customFormat="1">
      <c r="A105" s="399">
        <v>99</v>
      </c>
      <c r="B105" s="399" t="s">
        <v>956</v>
      </c>
      <c r="C105" s="399" t="s">
        <v>2402</v>
      </c>
      <c r="D105" s="399" t="s">
        <v>1823</v>
      </c>
      <c r="E105" s="399" t="s">
        <v>889</v>
      </c>
      <c r="F105" s="399" t="s">
        <v>2405</v>
      </c>
      <c r="G105" s="399" t="s">
        <v>1239</v>
      </c>
      <c r="H105" s="399" t="s">
        <v>1239</v>
      </c>
      <c r="I105" s="399" t="s">
        <v>1239</v>
      </c>
      <c r="J105" s="399" t="s">
        <v>2400</v>
      </c>
      <c r="K105" s="788">
        <v>44562</v>
      </c>
      <c r="L105" s="399">
        <v>0</v>
      </c>
      <c r="M105" s="399">
        <v>0</v>
      </c>
      <c r="N105" s="399">
        <v>3.6</v>
      </c>
      <c r="O105" s="399">
        <v>3.6</v>
      </c>
      <c r="P105" s="399">
        <v>3.6</v>
      </c>
      <c r="Q105" s="399">
        <v>3.6</v>
      </c>
      <c r="R105" s="399"/>
      <c r="S105" s="399">
        <v>510.09</v>
      </c>
      <c r="T105" s="399">
        <v>286.42</v>
      </c>
      <c r="U105" s="399"/>
      <c r="V105" s="399">
        <v>2867.4359999999997</v>
      </c>
      <c r="W105" s="399">
        <v>2867.4359999999997</v>
      </c>
      <c r="X105" s="399">
        <v>2122.8119999999999</v>
      </c>
      <c r="Y105" s="399">
        <v>0</v>
      </c>
      <c r="Z105" s="399">
        <v>0</v>
      </c>
      <c r="AA105" s="399">
        <v>0</v>
      </c>
      <c r="AB105" s="399">
        <v>0</v>
      </c>
      <c r="AC105" s="399">
        <v>0</v>
      </c>
      <c r="AD105" s="399">
        <v>351.54773983858144</v>
      </c>
      <c r="AE105" s="399">
        <v>1357.9631827013231</v>
      </c>
      <c r="AF105" s="399">
        <v>1031.1240428778456</v>
      </c>
      <c r="AG105" s="399">
        <v>0</v>
      </c>
      <c r="AH105" s="399">
        <v>0</v>
      </c>
      <c r="AI105" s="399">
        <v>0</v>
      </c>
      <c r="AJ105" s="399">
        <v>0</v>
      </c>
      <c r="AK105" s="399">
        <v>0</v>
      </c>
      <c r="AL105" s="399">
        <v>0</v>
      </c>
      <c r="AM105" s="399"/>
      <c r="AN105" s="399">
        <v>6.1482152390181843</v>
      </c>
      <c r="AO105" s="399">
        <v>0</v>
      </c>
      <c r="AP105" s="399">
        <v>0</v>
      </c>
      <c r="AQ105" s="399">
        <v>0</v>
      </c>
      <c r="AR105" s="399">
        <v>0</v>
      </c>
      <c r="AS105" s="399">
        <v>0</v>
      </c>
      <c r="AT105" s="399">
        <v>0</v>
      </c>
      <c r="AU105" s="399">
        <v>0</v>
      </c>
      <c r="AV105" s="399">
        <v>0</v>
      </c>
      <c r="AW105" s="399">
        <v>0</v>
      </c>
      <c r="AX105" s="399">
        <v>0</v>
      </c>
      <c r="AY105" s="399">
        <v>0</v>
      </c>
      <c r="AZ105" s="399">
        <v>0</v>
      </c>
      <c r="BA105" s="399"/>
      <c r="BB105" s="399">
        <v>0</v>
      </c>
      <c r="BC105" s="399">
        <v>0</v>
      </c>
      <c r="BD105" s="399">
        <v>0</v>
      </c>
      <c r="BE105" s="399">
        <v>0</v>
      </c>
      <c r="BF105" s="399">
        <v>0</v>
      </c>
      <c r="BG105" s="399">
        <v>120.68034789664189</v>
      </c>
      <c r="BH105" s="399">
        <v>0</v>
      </c>
      <c r="BI105" s="399">
        <v>3.99</v>
      </c>
      <c r="BJ105" s="399">
        <v>18.22</v>
      </c>
      <c r="BK105" s="399">
        <v>464.9</v>
      </c>
      <c r="BL105" s="399">
        <v>0</v>
      </c>
      <c r="BM105" s="399"/>
      <c r="BN105" s="399"/>
      <c r="BO105" s="399"/>
      <c r="BP105" s="399"/>
      <c r="BQ105" s="399"/>
      <c r="BR105" s="399"/>
      <c r="BS105" s="399"/>
      <c r="BT105" s="399">
        <v>1379.8440000000001</v>
      </c>
      <c r="BU105" s="399"/>
      <c r="BV105" s="399">
        <v>1151.8043907744875</v>
      </c>
      <c r="BW105" s="399"/>
      <c r="BX105" s="399"/>
      <c r="BY105" s="399"/>
      <c r="BZ105" s="399"/>
      <c r="CA105" s="399"/>
      <c r="CB105" s="399"/>
      <c r="CC105" s="399"/>
      <c r="CD105" s="399"/>
      <c r="CE105" s="399"/>
      <c r="CF105" s="399"/>
      <c r="CG105" s="399"/>
      <c r="CH105" s="399"/>
      <c r="CI105" s="399">
        <v>742.96800000000007</v>
      </c>
      <c r="CJ105" s="399">
        <v>-260.66999999999985</v>
      </c>
      <c r="CK105" s="399"/>
      <c r="CL105" s="399"/>
      <c r="CM105" s="399"/>
      <c r="CN105" s="399"/>
      <c r="CO105" s="399">
        <v>-511.27199999999993</v>
      </c>
      <c r="CP105" s="399">
        <v>-233.35200000000009</v>
      </c>
      <c r="CQ105" s="399">
        <v>31</v>
      </c>
      <c r="CR105" s="399">
        <v>-249.14662429403529</v>
      </c>
      <c r="CS105" s="399">
        <v>0</v>
      </c>
      <c r="CT105" s="399">
        <v>0</v>
      </c>
      <c r="CU105" s="399">
        <v>0</v>
      </c>
      <c r="CV105" s="399">
        <v>0</v>
      </c>
      <c r="CW105" s="399">
        <v>0</v>
      </c>
      <c r="CX105" s="399">
        <v>0</v>
      </c>
      <c r="CY105" s="399">
        <v>0</v>
      </c>
      <c r="CZ105" s="399">
        <v>12.064031227416592</v>
      </c>
      <c r="DA105" s="399">
        <v>0</v>
      </c>
      <c r="DB105" s="399">
        <v>0</v>
      </c>
      <c r="DC105" s="399">
        <v>-233.3763701533295</v>
      </c>
      <c r="DD105" s="399">
        <v>0</v>
      </c>
      <c r="DE105" s="399">
        <v>0</v>
      </c>
      <c r="DF105" s="399">
        <v>0</v>
      </c>
      <c r="DG105" s="399">
        <v>-27.313824884108413</v>
      </c>
      <c r="DH105" s="399">
        <v>0</v>
      </c>
      <c r="DI105" s="399">
        <v>0</v>
      </c>
      <c r="DJ105" s="399"/>
      <c r="DK105" s="399">
        <v>0</v>
      </c>
      <c r="DL105" s="399">
        <v>0</v>
      </c>
      <c r="DM105" s="399">
        <v>0</v>
      </c>
      <c r="DN105" s="399">
        <v>0</v>
      </c>
      <c r="DO105" s="399">
        <v>0</v>
      </c>
      <c r="DP105" s="399">
        <v>-0.52046048401383604</v>
      </c>
      <c r="DQ105" s="399">
        <v>0</v>
      </c>
      <c r="DR105" s="399">
        <v>0</v>
      </c>
      <c r="DS105" s="399"/>
      <c r="DT105" s="399"/>
      <c r="DU105" s="399"/>
      <c r="DV105" s="399">
        <v>1357.9631827013231</v>
      </c>
      <c r="DW105" s="399">
        <v>0</v>
      </c>
      <c r="DX105" s="399">
        <v>0</v>
      </c>
      <c r="DY105" s="399">
        <v>-511.27199999999993</v>
      </c>
      <c r="DZ105" s="399">
        <v>-233.35200000000009</v>
      </c>
      <c r="EA105" s="399">
        <v>0</v>
      </c>
      <c r="EB105" s="399">
        <v>0</v>
      </c>
      <c r="EC105" s="399">
        <v>-495.52092556922867</v>
      </c>
      <c r="ED105" s="399">
        <v>0</v>
      </c>
      <c r="EE105" s="399">
        <v>0</v>
      </c>
      <c r="EF105" s="399">
        <v>0</v>
      </c>
      <c r="EG105" s="399">
        <v>0</v>
      </c>
      <c r="EH105" s="399">
        <v>0</v>
      </c>
      <c r="EI105" s="399">
        <v>0</v>
      </c>
      <c r="EJ105" s="399">
        <v>0</v>
      </c>
      <c r="EK105" s="399">
        <v>0</v>
      </c>
      <c r="EL105" s="399">
        <v>0</v>
      </c>
      <c r="EM105" s="399">
        <v>0</v>
      </c>
      <c r="EN105" s="399">
        <v>0</v>
      </c>
      <c r="EO105" s="399">
        <v>0</v>
      </c>
      <c r="EP105" s="399">
        <v>0</v>
      </c>
      <c r="EQ105" s="399">
        <v>0</v>
      </c>
      <c r="ER105" s="399">
        <v>0</v>
      </c>
      <c r="ES105" s="399">
        <v>0</v>
      </c>
      <c r="ET105" s="399">
        <v>0</v>
      </c>
      <c r="EU105" s="399">
        <v>0</v>
      </c>
      <c r="EV105" s="399">
        <v>202</v>
      </c>
      <c r="EW105" s="399">
        <v>0</v>
      </c>
      <c r="EX105" s="399">
        <v>0</v>
      </c>
      <c r="EY105" s="399">
        <v>0</v>
      </c>
      <c r="EZ105" s="399"/>
      <c r="FA105" s="399">
        <v>0</v>
      </c>
      <c r="FB105" s="399">
        <v>-17.698635468909799</v>
      </c>
      <c r="FC105" s="399"/>
      <c r="FD105" s="399">
        <v>-17.698635468909799</v>
      </c>
      <c r="FE105" s="399"/>
      <c r="FF105" s="399">
        <v>0</v>
      </c>
      <c r="FG105" s="399">
        <v>0</v>
      </c>
      <c r="FH105" s="399">
        <v>0</v>
      </c>
      <c r="FI105" s="399">
        <v>0</v>
      </c>
    </row>
    <row r="106" spans="1:165" s="818" customFormat="1">
      <c r="A106" s="399">
        <v>100</v>
      </c>
      <c r="B106" s="399" t="s">
        <v>956</v>
      </c>
      <c r="C106" s="399" t="s">
        <v>2402</v>
      </c>
      <c r="D106" s="399" t="s">
        <v>1823</v>
      </c>
      <c r="E106" s="399" t="s">
        <v>889</v>
      </c>
      <c r="F106" s="399" t="s">
        <v>2406</v>
      </c>
      <c r="G106" s="399" t="s">
        <v>1239</v>
      </c>
      <c r="H106" s="399" t="s">
        <v>1239</v>
      </c>
      <c r="I106" s="399" t="s">
        <v>1239</v>
      </c>
      <c r="J106" s="399" t="s">
        <v>2400</v>
      </c>
      <c r="K106" s="788">
        <v>44562</v>
      </c>
      <c r="L106" s="399">
        <v>0</v>
      </c>
      <c r="M106" s="399">
        <v>0</v>
      </c>
      <c r="N106" s="399">
        <v>7.7949999999999999</v>
      </c>
      <c r="O106" s="399">
        <v>7.7949999999999999</v>
      </c>
      <c r="P106" s="399">
        <v>7.7949999999999999</v>
      </c>
      <c r="Q106" s="399">
        <v>7.7949999999999999</v>
      </c>
      <c r="R106" s="399"/>
      <c r="S106" s="399">
        <v>510.09</v>
      </c>
      <c r="T106" s="399">
        <v>286.42</v>
      </c>
      <c r="U106" s="399"/>
      <c r="V106" s="399">
        <v>6208.7954499999996</v>
      </c>
      <c r="W106" s="399">
        <v>6208.7954499999996</v>
      </c>
      <c r="X106" s="399">
        <v>4596.4776499999998</v>
      </c>
      <c r="Y106" s="399">
        <v>0</v>
      </c>
      <c r="Z106" s="399">
        <v>0</v>
      </c>
      <c r="AA106" s="399">
        <v>0</v>
      </c>
      <c r="AB106" s="399">
        <v>0</v>
      </c>
      <c r="AC106" s="399">
        <v>0</v>
      </c>
      <c r="AD106" s="399">
        <v>761.19850890048394</v>
      </c>
      <c r="AE106" s="399">
        <v>2940.3675025435596</v>
      </c>
      <c r="AF106" s="399">
        <v>2232.6699761757795</v>
      </c>
      <c r="AG106" s="399">
        <v>0</v>
      </c>
      <c r="AH106" s="399">
        <v>0</v>
      </c>
      <c r="AI106" s="399">
        <v>0</v>
      </c>
      <c r="AJ106" s="399">
        <v>0</v>
      </c>
      <c r="AK106" s="399">
        <v>0</v>
      </c>
      <c r="AL106" s="399">
        <v>0</v>
      </c>
      <c r="AM106" s="399"/>
      <c r="AN106" s="399">
        <v>13.312593830040763</v>
      </c>
      <c r="AO106" s="399">
        <v>0</v>
      </c>
      <c r="AP106" s="399">
        <v>0</v>
      </c>
      <c r="AQ106" s="399">
        <v>0</v>
      </c>
      <c r="AR106" s="399">
        <v>0</v>
      </c>
      <c r="AS106" s="399">
        <v>0</v>
      </c>
      <c r="AT106" s="399">
        <v>0</v>
      </c>
      <c r="AU106" s="399">
        <v>0</v>
      </c>
      <c r="AV106" s="399">
        <v>0</v>
      </c>
      <c r="AW106" s="399">
        <v>0</v>
      </c>
      <c r="AX106" s="399">
        <v>0</v>
      </c>
      <c r="AY106" s="399">
        <v>0</v>
      </c>
      <c r="AZ106" s="399">
        <v>0</v>
      </c>
      <c r="BA106" s="399"/>
      <c r="BB106" s="399">
        <v>0</v>
      </c>
      <c r="BC106" s="399">
        <v>0</v>
      </c>
      <c r="BD106" s="399">
        <v>0</v>
      </c>
      <c r="BE106" s="399">
        <v>0</v>
      </c>
      <c r="BF106" s="399">
        <v>0</v>
      </c>
      <c r="BG106" s="399">
        <v>261.30647551508986</v>
      </c>
      <c r="BH106" s="399">
        <v>0</v>
      </c>
      <c r="BI106" s="399">
        <v>15.24</v>
      </c>
      <c r="BJ106" s="399">
        <v>69.38</v>
      </c>
      <c r="BK106" s="399">
        <v>1084.1199999999999</v>
      </c>
      <c r="BL106" s="399">
        <v>20</v>
      </c>
      <c r="BM106" s="399"/>
      <c r="BN106" s="399"/>
      <c r="BO106" s="399"/>
      <c r="BP106" s="399"/>
      <c r="BQ106" s="399"/>
      <c r="BR106" s="399"/>
      <c r="BS106" s="399"/>
      <c r="BT106" s="399">
        <v>1838.6066499999997</v>
      </c>
      <c r="BU106" s="399"/>
      <c r="BV106" s="399">
        <v>2493.9764516908695</v>
      </c>
      <c r="BW106" s="399"/>
      <c r="BX106" s="399"/>
      <c r="BY106" s="399"/>
      <c r="BZ106" s="399"/>
      <c r="CA106" s="399"/>
      <c r="CB106" s="399"/>
      <c r="CC106" s="399"/>
      <c r="CD106" s="399"/>
      <c r="CE106" s="399"/>
      <c r="CF106" s="399"/>
      <c r="CG106" s="399"/>
      <c r="CH106" s="399"/>
      <c r="CI106" s="399">
        <v>2759.64</v>
      </c>
      <c r="CJ106" s="399">
        <v>-965.69845000000078</v>
      </c>
      <c r="CK106" s="399"/>
      <c r="CL106" s="399"/>
      <c r="CM106" s="399"/>
      <c r="CN106" s="399"/>
      <c r="CO106" s="399">
        <v>-1107.0458999999998</v>
      </c>
      <c r="CP106" s="399">
        <v>-505.27190000000019</v>
      </c>
      <c r="CQ106" s="399">
        <v>31</v>
      </c>
      <c r="CR106" s="399">
        <v>-539.47164899222389</v>
      </c>
      <c r="CS106" s="399">
        <v>0</v>
      </c>
      <c r="CT106" s="399">
        <v>0</v>
      </c>
      <c r="CU106" s="399">
        <v>0</v>
      </c>
      <c r="CV106" s="399">
        <v>0</v>
      </c>
      <c r="CW106" s="399">
        <v>0</v>
      </c>
      <c r="CX106" s="399">
        <v>0</v>
      </c>
      <c r="CY106" s="399">
        <v>0</v>
      </c>
      <c r="CZ106" s="399">
        <v>26.121978727142277</v>
      </c>
      <c r="DA106" s="399">
        <v>0</v>
      </c>
      <c r="DB106" s="399">
        <v>0</v>
      </c>
      <c r="DC106" s="399">
        <v>-505.32466815144562</v>
      </c>
      <c r="DD106" s="399">
        <v>0</v>
      </c>
      <c r="DE106" s="399">
        <v>0</v>
      </c>
      <c r="DF106" s="399">
        <v>0</v>
      </c>
      <c r="DG106" s="399">
        <v>-59.142018047673616</v>
      </c>
      <c r="DH106" s="399">
        <v>0</v>
      </c>
      <c r="DI106" s="399">
        <v>0</v>
      </c>
      <c r="DJ106" s="399"/>
      <c r="DK106" s="399">
        <v>0</v>
      </c>
      <c r="DL106" s="399">
        <v>0</v>
      </c>
      <c r="DM106" s="399">
        <v>0</v>
      </c>
      <c r="DN106" s="399">
        <v>0</v>
      </c>
      <c r="DO106" s="399">
        <v>0</v>
      </c>
      <c r="DP106" s="399">
        <v>-1.1269415202466249</v>
      </c>
      <c r="DQ106" s="399">
        <v>0</v>
      </c>
      <c r="DR106" s="399">
        <v>0</v>
      </c>
      <c r="DS106" s="399"/>
      <c r="DT106" s="399"/>
      <c r="DU106" s="399"/>
      <c r="DV106" s="399">
        <v>2940.3675025435596</v>
      </c>
      <c r="DW106" s="399">
        <v>0</v>
      </c>
      <c r="DX106" s="399">
        <v>0</v>
      </c>
      <c r="DY106" s="399">
        <v>-1107.0458999999996</v>
      </c>
      <c r="DZ106" s="399">
        <v>-505.27190000000019</v>
      </c>
      <c r="EA106" s="399">
        <v>0</v>
      </c>
      <c r="EB106" s="399">
        <v>0</v>
      </c>
      <c r="EC106" s="399">
        <v>-1072.9404485589273</v>
      </c>
      <c r="ED106" s="399">
        <v>0</v>
      </c>
      <c r="EE106" s="399">
        <v>0</v>
      </c>
      <c r="EF106" s="399">
        <v>0</v>
      </c>
      <c r="EG106" s="399">
        <v>0</v>
      </c>
      <c r="EH106" s="399">
        <v>0</v>
      </c>
      <c r="EI106" s="399">
        <v>0</v>
      </c>
      <c r="EJ106" s="399">
        <v>0</v>
      </c>
      <c r="EK106" s="399">
        <v>0</v>
      </c>
      <c r="EL106" s="399">
        <v>0</v>
      </c>
      <c r="EM106" s="399">
        <v>0</v>
      </c>
      <c r="EN106" s="399">
        <v>0</v>
      </c>
      <c r="EO106" s="399">
        <v>0</v>
      </c>
      <c r="EP106" s="399">
        <v>0</v>
      </c>
      <c r="EQ106" s="399">
        <v>0</v>
      </c>
      <c r="ER106" s="399">
        <v>0</v>
      </c>
      <c r="ES106" s="399">
        <v>0</v>
      </c>
      <c r="ET106" s="399">
        <v>0</v>
      </c>
      <c r="EU106" s="399">
        <v>0</v>
      </c>
      <c r="EV106" s="399">
        <v>202</v>
      </c>
      <c r="EW106" s="399">
        <v>0</v>
      </c>
      <c r="EX106" s="399">
        <v>0</v>
      </c>
      <c r="EY106" s="399">
        <v>0</v>
      </c>
      <c r="EZ106" s="399"/>
      <c r="FA106" s="399">
        <v>0</v>
      </c>
      <c r="FB106" s="399">
        <v>-17.698635468909799</v>
      </c>
      <c r="FC106" s="399"/>
      <c r="FD106" s="399">
        <v>-17.698635468909799</v>
      </c>
      <c r="FE106" s="399"/>
      <c r="FF106" s="399">
        <v>0</v>
      </c>
      <c r="FG106" s="399">
        <v>0</v>
      </c>
      <c r="FH106" s="399">
        <v>0</v>
      </c>
      <c r="FI106" s="399">
        <v>0</v>
      </c>
    </row>
    <row r="107" spans="1:165" s="818" customFormat="1">
      <c r="A107" s="399">
        <v>101</v>
      </c>
      <c r="B107" s="399" t="s">
        <v>956</v>
      </c>
      <c r="C107" s="399" t="s">
        <v>2402</v>
      </c>
      <c r="D107" s="399" t="s">
        <v>1823</v>
      </c>
      <c r="E107" s="399" t="s">
        <v>889</v>
      </c>
      <c r="F107" s="399" t="s">
        <v>2407</v>
      </c>
      <c r="G107" s="399" t="s">
        <v>1239</v>
      </c>
      <c r="H107" s="399" t="s">
        <v>1239</v>
      </c>
      <c r="I107" s="399" t="s">
        <v>1239</v>
      </c>
      <c r="J107" s="399" t="s">
        <v>2400</v>
      </c>
      <c r="K107" s="788">
        <v>44562</v>
      </c>
      <c r="L107" s="399">
        <v>0</v>
      </c>
      <c r="M107" s="399">
        <v>0</v>
      </c>
      <c r="N107" s="399">
        <v>7.4980000000000002</v>
      </c>
      <c r="O107" s="399">
        <v>7.4980000000000002</v>
      </c>
      <c r="P107" s="399">
        <v>7.4980000000000002</v>
      </c>
      <c r="Q107" s="399">
        <v>7.4980000000000002</v>
      </c>
      <c r="R107" s="399"/>
      <c r="S107" s="399">
        <v>510.09</v>
      </c>
      <c r="T107" s="399">
        <v>286.42</v>
      </c>
      <c r="U107" s="399"/>
      <c r="V107" s="399">
        <v>5972.2319800000005</v>
      </c>
      <c r="W107" s="399">
        <v>5972.2319800000005</v>
      </c>
      <c r="X107" s="399">
        <v>4421.34566</v>
      </c>
      <c r="Y107" s="399">
        <v>0</v>
      </c>
      <c r="Z107" s="399">
        <v>0</v>
      </c>
      <c r="AA107" s="399">
        <v>0</v>
      </c>
      <c r="AB107" s="399">
        <v>0</v>
      </c>
      <c r="AC107" s="399">
        <v>0</v>
      </c>
      <c r="AD107" s="399">
        <v>732.19582036380098</v>
      </c>
      <c r="AE107" s="399">
        <v>2828.3355399707007</v>
      </c>
      <c r="AF107" s="399">
        <v>2147.602242638357</v>
      </c>
      <c r="AG107" s="399">
        <v>0</v>
      </c>
      <c r="AH107" s="399">
        <v>0</v>
      </c>
      <c r="AI107" s="399">
        <v>0</v>
      </c>
      <c r="AJ107" s="399">
        <v>0</v>
      </c>
      <c r="AK107" s="399">
        <v>0</v>
      </c>
      <c r="AL107" s="399">
        <v>0</v>
      </c>
      <c r="AM107" s="399"/>
      <c r="AN107" s="399">
        <v>12.805366072821762</v>
      </c>
      <c r="AO107" s="399">
        <v>0</v>
      </c>
      <c r="AP107" s="399">
        <v>0</v>
      </c>
      <c r="AQ107" s="399">
        <v>0</v>
      </c>
      <c r="AR107" s="399">
        <v>0</v>
      </c>
      <c r="AS107" s="399">
        <v>0</v>
      </c>
      <c r="AT107" s="399">
        <v>0</v>
      </c>
      <c r="AU107" s="399">
        <v>0</v>
      </c>
      <c r="AV107" s="399">
        <v>0</v>
      </c>
      <c r="AW107" s="399">
        <v>0</v>
      </c>
      <c r="AX107" s="399">
        <v>0</v>
      </c>
      <c r="AY107" s="399">
        <v>0</v>
      </c>
      <c r="AZ107" s="399">
        <v>0</v>
      </c>
      <c r="BA107" s="399"/>
      <c r="BB107" s="399">
        <v>0</v>
      </c>
      <c r="BC107" s="399">
        <v>0</v>
      </c>
      <c r="BD107" s="399">
        <v>0</v>
      </c>
      <c r="BE107" s="399">
        <v>0</v>
      </c>
      <c r="BF107" s="399">
        <v>0</v>
      </c>
      <c r="BG107" s="399">
        <v>251.35034681361691</v>
      </c>
      <c r="BH107" s="399">
        <v>0</v>
      </c>
      <c r="BI107" s="399">
        <v>22.88</v>
      </c>
      <c r="BJ107" s="399">
        <v>104.93</v>
      </c>
      <c r="BK107" s="399">
        <v>1354.07</v>
      </c>
      <c r="BL107" s="399">
        <v>71</v>
      </c>
      <c r="BM107" s="399"/>
      <c r="BN107" s="399"/>
      <c r="BO107" s="399"/>
      <c r="BP107" s="399"/>
      <c r="BQ107" s="399"/>
      <c r="BR107" s="399"/>
      <c r="BS107" s="399"/>
      <c r="BT107" s="399">
        <v>442.15706</v>
      </c>
      <c r="BU107" s="399"/>
      <c r="BV107" s="399">
        <v>2398.9525894519738</v>
      </c>
      <c r="BW107" s="399"/>
      <c r="BX107" s="399"/>
      <c r="BY107" s="399"/>
      <c r="BZ107" s="399"/>
      <c r="CA107" s="399"/>
      <c r="CB107" s="399"/>
      <c r="CC107" s="399"/>
      <c r="CD107" s="399"/>
      <c r="CE107" s="399"/>
      <c r="CF107" s="399"/>
      <c r="CG107" s="399"/>
      <c r="CH107" s="399"/>
      <c r="CI107" s="399">
        <v>3980.25</v>
      </c>
      <c r="CJ107" s="399">
        <v>-1394.7962800000005</v>
      </c>
      <c r="CK107" s="399"/>
      <c r="CL107" s="399"/>
      <c r="CM107" s="399"/>
      <c r="CN107" s="399"/>
      <c r="CO107" s="399">
        <v>-1064.8659599999999</v>
      </c>
      <c r="CP107" s="399">
        <v>-486.02036000000015</v>
      </c>
      <c r="CQ107" s="399">
        <v>31</v>
      </c>
      <c r="CR107" s="399">
        <v>-518.91705248796552</v>
      </c>
      <c r="CS107" s="399">
        <v>0</v>
      </c>
      <c r="CT107" s="399">
        <v>0</v>
      </c>
      <c r="CU107" s="399">
        <v>0</v>
      </c>
      <c r="CV107" s="399">
        <v>0</v>
      </c>
      <c r="CW107" s="399">
        <v>0</v>
      </c>
      <c r="CX107" s="399">
        <v>0</v>
      </c>
      <c r="CY107" s="399">
        <v>0</v>
      </c>
      <c r="CZ107" s="399">
        <v>25.126696150880434</v>
      </c>
      <c r="DA107" s="399">
        <v>0</v>
      </c>
      <c r="DB107" s="399">
        <v>0</v>
      </c>
      <c r="DC107" s="399">
        <v>-486.07111761379542</v>
      </c>
      <c r="DD107" s="399">
        <v>0</v>
      </c>
      <c r="DE107" s="399">
        <v>0</v>
      </c>
      <c r="DF107" s="399">
        <v>0</v>
      </c>
      <c r="DG107" s="399">
        <v>-56.888627494734692</v>
      </c>
      <c r="DH107" s="399">
        <v>0</v>
      </c>
      <c r="DI107" s="399">
        <v>0</v>
      </c>
      <c r="DJ107" s="399"/>
      <c r="DK107" s="399">
        <v>0</v>
      </c>
      <c r="DL107" s="399">
        <v>0</v>
      </c>
      <c r="DM107" s="399">
        <v>0</v>
      </c>
      <c r="DN107" s="399">
        <v>0</v>
      </c>
      <c r="DO107" s="399">
        <v>0</v>
      </c>
      <c r="DP107" s="399">
        <v>-1.0840035303154831</v>
      </c>
      <c r="DQ107" s="399">
        <v>0</v>
      </c>
      <c r="DR107" s="399">
        <v>0</v>
      </c>
      <c r="DS107" s="399"/>
      <c r="DT107" s="399"/>
      <c r="DU107" s="399"/>
      <c r="DV107" s="399">
        <v>2828.3355399707007</v>
      </c>
      <c r="DW107" s="399">
        <v>0</v>
      </c>
      <c r="DX107" s="399">
        <v>0</v>
      </c>
      <c r="DY107" s="399">
        <v>-1064.8659599999996</v>
      </c>
      <c r="DZ107" s="399">
        <v>-486.02036000000021</v>
      </c>
      <c r="EA107" s="399">
        <v>0</v>
      </c>
      <c r="EB107" s="399">
        <v>0</v>
      </c>
      <c r="EC107" s="399">
        <v>-1032.0599721994661</v>
      </c>
      <c r="ED107" s="399">
        <v>0</v>
      </c>
      <c r="EE107" s="399">
        <v>0</v>
      </c>
      <c r="EF107" s="399">
        <v>0</v>
      </c>
      <c r="EG107" s="399">
        <v>0</v>
      </c>
      <c r="EH107" s="399">
        <v>0</v>
      </c>
      <c r="EI107" s="399">
        <v>0</v>
      </c>
      <c r="EJ107" s="399">
        <v>0</v>
      </c>
      <c r="EK107" s="399">
        <v>0</v>
      </c>
      <c r="EL107" s="399">
        <v>0</v>
      </c>
      <c r="EM107" s="399">
        <v>0</v>
      </c>
      <c r="EN107" s="399">
        <v>0</v>
      </c>
      <c r="EO107" s="399">
        <v>0</v>
      </c>
      <c r="EP107" s="399">
        <v>0</v>
      </c>
      <c r="EQ107" s="399">
        <v>0</v>
      </c>
      <c r="ER107" s="399">
        <v>0</v>
      </c>
      <c r="ES107" s="399">
        <v>0</v>
      </c>
      <c r="ET107" s="399">
        <v>0</v>
      </c>
      <c r="EU107" s="399">
        <v>0</v>
      </c>
      <c r="EV107" s="399">
        <v>202</v>
      </c>
      <c r="EW107" s="399">
        <v>0</v>
      </c>
      <c r="EX107" s="399">
        <v>0</v>
      </c>
      <c r="EY107" s="399">
        <v>0</v>
      </c>
      <c r="EZ107" s="399"/>
      <c r="FA107" s="399">
        <v>0</v>
      </c>
      <c r="FB107" s="399">
        <v>-17.698635468909799</v>
      </c>
      <c r="FC107" s="399"/>
      <c r="FD107" s="399">
        <v>-17.698635468909799</v>
      </c>
      <c r="FE107" s="399"/>
      <c r="FF107" s="399">
        <v>0</v>
      </c>
      <c r="FG107" s="399">
        <v>0</v>
      </c>
      <c r="FH107" s="399">
        <v>0</v>
      </c>
      <c r="FI107" s="399">
        <v>0</v>
      </c>
    </row>
    <row r="108" spans="1:165" s="818" customFormat="1">
      <c r="A108" s="399">
        <v>102</v>
      </c>
      <c r="B108" s="399" t="s">
        <v>956</v>
      </c>
      <c r="C108" s="399" t="s">
        <v>2402</v>
      </c>
      <c r="D108" s="399" t="s">
        <v>1823</v>
      </c>
      <c r="E108" s="399" t="s">
        <v>889</v>
      </c>
      <c r="F108" s="399" t="s">
        <v>2408</v>
      </c>
      <c r="G108" s="399" t="s">
        <v>1239</v>
      </c>
      <c r="H108" s="399" t="s">
        <v>1239</v>
      </c>
      <c r="I108" s="399" t="s">
        <v>1239</v>
      </c>
      <c r="J108" s="399" t="s">
        <v>2400</v>
      </c>
      <c r="K108" s="788">
        <v>44562</v>
      </c>
      <c r="L108" s="399">
        <v>0</v>
      </c>
      <c r="M108" s="399">
        <v>0</v>
      </c>
      <c r="N108" s="399">
        <v>2.44</v>
      </c>
      <c r="O108" s="399">
        <v>2.44</v>
      </c>
      <c r="P108" s="399">
        <v>2.44</v>
      </c>
      <c r="Q108" s="399">
        <v>2.44</v>
      </c>
      <c r="R108" s="399"/>
      <c r="S108" s="399">
        <v>510.09</v>
      </c>
      <c r="T108" s="399">
        <v>286.42</v>
      </c>
      <c r="U108" s="399"/>
      <c r="V108" s="399">
        <v>1943.4844000000001</v>
      </c>
      <c r="W108" s="399">
        <v>1943.4844000000001</v>
      </c>
      <c r="X108" s="399">
        <v>1438.7947999999999</v>
      </c>
      <c r="Y108" s="399">
        <v>0</v>
      </c>
      <c r="Z108" s="399">
        <v>0</v>
      </c>
      <c r="AA108" s="399">
        <v>0</v>
      </c>
      <c r="AB108" s="399">
        <v>0</v>
      </c>
      <c r="AC108" s="399">
        <v>0</v>
      </c>
      <c r="AD108" s="399">
        <v>238.27124589059406</v>
      </c>
      <c r="AE108" s="399">
        <v>920.39726827534128</v>
      </c>
      <c r="AF108" s="399">
        <v>698.87296239498414</v>
      </c>
      <c r="AG108" s="399">
        <v>0</v>
      </c>
      <c r="AH108" s="399">
        <v>0</v>
      </c>
      <c r="AI108" s="399">
        <v>0</v>
      </c>
      <c r="AJ108" s="399">
        <v>0</v>
      </c>
      <c r="AK108" s="399">
        <v>0</v>
      </c>
      <c r="AL108" s="399">
        <v>0</v>
      </c>
      <c r="AM108" s="399"/>
      <c r="AN108" s="399">
        <v>4.167123662001214</v>
      </c>
      <c r="AO108" s="399">
        <v>0</v>
      </c>
      <c r="AP108" s="399">
        <v>0</v>
      </c>
      <c r="AQ108" s="399">
        <v>0</v>
      </c>
      <c r="AR108" s="399">
        <v>0</v>
      </c>
      <c r="AS108" s="399">
        <v>0</v>
      </c>
      <c r="AT108" s="399">
        <v>0</v>
      </c>
      <c r="AU108" s="399">
        <v>0</v>
      </c>
      <c r="AV108" s="399">
        <v>0</v>
      </c>
      <c r="AW108" s="399">
        <v>0</v>
      </c>
      <c r="AX108" s="399">
        <v>0</v>
      </c>
      <c r="AY108" s="399">
        <v>0</v>
      </c>
      <c r="AZ108" s="399">
        <v>0</v>
      </c>
      <c r="BA108" s="399"/>
      <c r="BB108" s="399">
        <v>0</v>
      </c>
      <c r="BC108" s="399">
        <v>0</v>
      </c>
      <c r="BD108" s="399">
        <v>0</v>
      </c>
      <c r="BE108" s="399">
        <v>0</v>
      </c>
      <c r="BF108" s="399">
        <v>0</v>
      </c>
      <c r="BG108" s="399">
        <v>81.794458018835059</v>
      </c>
      <c r="BH108" s="399">
        <v>0</v>
      </c>
      <c r="BI108" s="399">
        <v>8.83</v>
      </c>
      <c r="BJ108" s="399">
        <v>41.27</v>
      </c>
      <c r="BK108" s="399">
        <v>575.45000000000005</v>
      </c>
      <c r="BL108" s="399">
        <v>29</v>
      </c>
      <c r="BM108" s="399"/>
      <c r="BN108" s="399"/>
      <c r="BO108" s="399"/>
      <c r="BP108" s="399"/>
      <c r="BQ108" s="399"/>
      <c r="BR108" s="399"/>
      <c r="BS108" s="399"/>
      <c r="BT108" s="399"/>
      <c r="BU108" s="399"/>
      <c r="BV108" s="399">
        <v>780.66742041381917</v>
      </c>
      <c r="BW108" s="399"/>
      <c r="BX108" s="399"/>
      <c r="BY108" s="399"/>
      <c r="BZ108" s="399"/>
      <c r="CA108" s="399"/>
      <c r="CB108" s="399"/>
      <c r="CC108" s="399"/>
      <c r="CD108" s="399"/>
      <c r="CE108" s="399"/>
      <c r="CF108" s="399"/>
      <c r="CG108" s="399"/>
      <c r="CH108" s="399"/>
      <c r="CI108" s="399">
        <v>1438.7947999999999</v>
      </c>
      <c r="CJ108" s="399">
        <v>-504.71960000000013</v>
      </c>
      <c r="CK108" s="399"/>
      <c r="CL108" s="399"/>
      <c r="CM108" s="399"/>
      <c r="CN108" s="399"/>
      <c r="CO108" s="399">
        <v>-346.52879999999993</v>
      </c>
      <c r="CP108" s="399">
        <v>-158.16080000000005</v>
      </c>
      <c r="CQ108" s="399">
        <v>31</v>
      </c>
      <c r="CR108" s="399">
        <v>-168.86604535484605</v>
      </c>
      <c r="CS108" s="399">
        <v>0</v>
      </c>
      <c r="CT108" s="399">
        <v>0</v>
      </c>
      <c r="CU108" s="399">
        <v>0</v>
      </c>
      <c r="CV108" s="399">
        <v>0</v>
      </c>
      <c r="CW108" s="399">
        <v>0</v>
      </c>
      <c r="CX108" s="399">
        <v>0</v>
      </c>
      <c r="CY108" s="399">
        <v>0</v>
      </c>
      <c r="CZ108" s="399">
        <v>8.1767322763601271</v>
      </c>
      <c r="DA108" s="399">
        <v>0</v>
      </c>
      <c r="DB108" s="399">
        <v>0</v>
      </c>
      <c r="DC108" s="399">
        <v>-158.17731754836768</v>
      </c>
      <c r="DD108" s="399">
        <v>0</v>
      </c>
      <c r="DE108" s="399">
        <v>0</v>
      </c>
      <c r="DF108" s="399">
        <v>0</v>
      </c>
      <c r="DG108" s="399">
        <v>-18.512703532562369</v>
      </c>
      <c r="DH108" s="399">
        <v>0</v>
      </c>
      <c r="DI108" s="399">
        <v>0</v>
      </c>
      <c r="DJ108" s="399"/>
      <c r="DK108" s="399">
        <v>0</v>
      </c>
      <c r="DL108" s="399">
        <v>0</v>
      </c>
      <c r="DM108" s="399">
        <v>0</v>
      </c>
      <c r="DN108" s="399">
        <v>0</v>
      </c>
      <c r="DO108" s="399">
        <v>0</v>
      </c>
      <c r="DP108" s="399">
        <v>-0.35275655027604458</v>
      </c>
      <c r="DQ108" s="399">
        <v>0</v>
      </c>
      <c r="DR108" s="399">
        <v>0</v>
      </c>
      <c r="DS108" s="399"/>
      <c r="DT108" s="399"/>
      <c r="DU108" s="399"/>
      <c r="DV108" s="399">
        <v>920.39726827534128</v>
      </c>
      <c r="DW108" s="399">
        <v>0</v>
      </c>
      <c r="DX108" s="399">
        <v>0</v>
      </c>
      <c r="DY108" s="399">
        <v>-346.52880000000005</v>
      </c>
      <c r="DZ108" s="399">
        <v>-158.16080000000011</v>
      </c>
      <c r="EA108" s="399">
        <v>0</v>
      </c>
      <c r="EB108" s="399">
        <v>0</v>
      </c>
      <c r="EC108" s="399">
        <v>-335.85307177469952</v>
      </c>
      <c r="ED108" s="399">
        <v>0</v>
      </c>
      <c r="EE108" s="399">
        <v>0</v>
      </c>
      <c r="EF108" s="399">
        <v>0</v>
      </c>
      <c r="EG108" s="399">
        <v>0</v>
      </c>
      <c r="EH108" s="399">
        <v>0</v>
      </c>
      <c r="EI108" s="399">
        <v>0</v>
      </c>
      <c r="EJ108" s="399">
        <v>0</v>
      </c>
      <c r="EK108" s="399">
        <v>0</v>
      </c>
      <c r="EL108" s="399">
        <v>0</v>
      </c>
      <c r="EM108" s="399">
        <v>0</v>
      </c>
      <c r="EN108" s="399">
        <v>0</v>
      </c>
      <c r="EO108" s="399">
        <v>0</v>
      </c>
      <c r="EP108" s="399">
        <v>0</v>
      </c>
      <c r="EQ108" s="399">
        <v>0</v>
      </c>
      <c r="ER108" s="399">
        <v>0</v>
      </c>
      <c r="ES108" s="399">
        <v>0</v>
      </c>
      <c r="ET108" s="399">
        <v>0</v>
      </c>
      <c r="EU108" s="399">
        <v>0</v>
      </c>
      <c r="EV108" s="399">
        <v>202</v>
      </c>
      <c r="EW108" s="399">
        <v>0</v>
      </c>
      <c r="EX108" s="399">
        <v>0</v>
      </c>
      <c r="EY108" s="399">
        <v>0</v>
      </c>
      <c r="EZ108" s="399"/>
      <c r="FA108" s="399">
        <v>0</v>
      </c>
      <c r="FB108" s="399">
        <v>-17.698635468909799</v>
      </c>
      <c r="FC108" s="399"/>
      <c r="FD108" s="399">
        <v>-17.698635468909799</v>
      </c>
      <c r="FE108" s="399"/>
      <c r="FF108" s="399">
        <v>0</v>
      </c>
      <c r="FG108" s="399">
        <v>0</v>
      </c>
      <c r="FH108" s="399">
        <v>0</v>
      </c>
      <c r="FI108" s="399">
        <v>0</v>
      </c>
    </row>
    <row r="109" spans="1:165" s="818" customFormat="1">
      <c r="A109" s="399">
        <v>103</v>
      </c>
      <c r="B109" s="399" t="s">
        <v>956</v>
      </c>
      <c r="C109" s="399" t="s">
        <v>2409</v>
      </c>
      <c r="D109" s="399" t="s">
        <v>1823</v>
      </c>
      <c r="E109" s="399" t="s">
        <v>889</v>
      </c>
      <c r="F109" s="399" t="s">
        <v>889</v>
      </c>
      <c r="G109" s="399" t="s">
        <v>1239</v>
      </c>
      <c r="H109" s="399" t="s">
        <v>1239</v>
      </c>
      <c r="I109" s="399" t="s">
        <v>2326</v>
      </c>
      <c r="J109" s="399" t="s">
        <v>2400</v>
      </c>
      <c r="K109" s="788">
        <v>44562</v>
      </c>
      <c r="L109" s="399">
        <v>0</v>
      </c>
      <c r="M109" s="399">
        <v>0</v>
      </c>
      <c r="N109" s="399">
        <v>3.1E-2</v>
      </c>
      <c r="O109" s="399">
        <v>3.1E-2</v>
      </c>
      <c r="P109" s="399">
        <v>3.1E-2</v>
      </c>
      <c r="Q109" s="399">
        <v>3.1E-2</v>
      </c>
      <c r="R109" s="399"/>
      <c r="S109" s="399">
        <v>409.62</v>
      </c>
      <c r="T109" s="399">
        <v>286.42</v>
      </c>
      <c r="U109" s="399"/>
      <c r="V109" s="399">
        <v>21.57724</v>
      </c>
      <c r="W109" s="399">
        <v>21.57724</v>
      </c>
      <c r="X109" s="399">
        <v>16.76604</v>
      </c>
      <c r="Y109" s="399">
        <v>0</v>
      </c>
      <c r="Z109" s="399">
        <v>1.8867033681103464</v>
      </c>
      <c r="AA109" s="399">
        <v>0</v>
      </c>
      <c r="AB109" s="399">
        <v>0</v>
      </c>
      <c r="AC109" s="399">
        <v>0</v>
      </c>
      <c r="AD109" s="399">
        <v>1.7559396004222974</v>
      </c>
      <c r="AE109" s="399">
        <v>6.7822690308230849</v>
      </c>
      <c r="AF109" s="399">
        <v>8.8791237025592249</v>
      </c>
      <c r="AG109" s="399">
        <v>0</v>
      </c>
      <c r="AH109" s="399">
        <v>0</v>
      </c>
      <c r="AI109" s="399">
        <v>0</v>
      </c>
      <c r="AJ109" s="399">
        <v>0</v>
      </c>
      <c r="AK109" s="399">
        <v>0</v>
      </c>
      <c r="AL109" s="399">
        <v>0.29158255759829316</v>
      </c>
      <c r="AM109" s="399"/>
      <c r="AN109" s="399">
        <v>5.2942964558212138E-2</v>
      </c>
      <c r="AO109" s="399">
        <v>0</v>
      </c>
      <c r="AP109" s="399">
        <v>0</v>
      </c>
      <c r="AQ109" s="399">
        <v>0</v>
      </c>
      <c r="AR109" s="399">
        <v>0</v>
      </c>
      <c r="AS109" s="399">
        <v>0</v>
      </c>
      <c r="AT109" s="399">
        <v>0</v>
      </c>
      <c r="AU109" s="399">
        <v>0</v>
      </c>
      <c r="AV109" s="399">
        <v>0</v>
      </c>
      <c r="AW109" s="399">
        <v>0</v>
      </c>
      <c r="AX109" s="399">
        <v>0</v>
      </c>
      <c r="AY109" s="399">
        <v>0</v>
      </c>
      <c r="AZ109" s="399">
        <v>0</v>
      </c>
      <c r="BA109" s="399"/>
      <c r="BB109" s="399">
        <v>0</v>
      </c>
      <c r="BC109" s="399">
        <v>0</v>
      </c>
      <c r="BD109" s="399">
        <v>0</v>
      </c>
      <c r="BE109" s="399">
        <v>0</v>
      </c>
      <c r="BF109" s="399">
        <v>0</v>
      </c>
      <c r="BG109" s="399">
        <v>1.0391918846655273</v>
      </c>
      <c r="BH109" s="399">
        <v>0</v>
      </c>
      <c r="BI109" s="399">
        <v>0</v>
      </c>
      <c r="BJ109" s="399">
        <v>0</v>
      </c>
      <c r="BK109" s="399">
        <v>0</v>
      </c>
      <c r="BL109" s="399">
        <v>0</v>
      </c>
      <c r="BM109" s="399"/>
      <c r="BN109" s="399"/>
      <c r="BO109" s="399"/>
      <c r="BP109" s="399"/>
      <c r="BQ109" s="399"/>
      <c r="BR109" s="399"/>
      <c r="BS109" s="399"/>
      <c r="BT109" s="399"/>
      <c r="BU109" s="399"/>
      <c r="BV109" s="399">
        <v>9.9183155872247522</v>
      </c>
      <c r="BW109" s="399"/>
      <c r="BX109" s="399"/>
      <c r="BY109" s="399"/>
      <c r="BZ109" s="399"/>
      <c r="CA109" s="399"/>
      <c r="CB109" s="399"/>
      <c r="CC109" s="399"/>
      <c r="CD109" s="399"/>
      <c r="CE109" s="399"/>
      <c r="CF109" s="399"/>
      <c r="CG109" s="399"/>
      <c r="CH109" s="399"/>
      <c r="CI109" s="399">
        <v>16.225200000000001</v>
      </c>
      <c r="CJ109" s="399">
        <v>-5.3820399999999999</v>
      </c>
      <c r="CK109" s="399"/>
      <c r="CL109" s="399"/>
      <c r="CM109" s="399"/>
      <c r="CN109" s="399"/>
      <c r="CO109" s="399">
        <v>-2.8017799999999999</v>
      </c>
      <c r="CP109" s="399">
        <v>-2.0094200000000009</v>
      </c>
      <c r="CQ109" s="399">
        <v>31</v>
      </c>
      <c r="CR109" s="399">
        <v>-2.3366345540613285</v>
      </c>
      <c r="CS109" s="399">
        <v>0</v>
      </c>
      <c r="CT109" s="399">
        <v>0</v>
      </c>
      <c r="CU109" s="399">
        <v>0</v>
      </c>
      <c r="CV109" s="399">
        <v>0</v>
      </c>
      <c r="CW109" s="399">
        <v>0</v>
      </c>
      <c r="CX109" s="399">
        <v>0</v>
      </c>
      <c r="CY109" s="399">
        <v>0</v>
      </c>
      <c r="CZ109" s="399">
        <v>6.0258416631195688E-2</v>
      </c>
      <c r="DA109" s="399">
        <v>0</v>
      </c>
      <c r="DB109" s="399">
        <v>0</v>
      </c>
      <c r="DC109" s="399">
        <v>-2.0096298540981143</v>
      </c>
      <c r="DD109" s="399">
        <v>0</v>
      </c>
      <c r="DE109" s="399">
        <v>0</v>
      </c>
      <c r="DF109" s="399">
        <v>0</v>
      </c>
      <c r="DG109" s="399">
        <v>-0.23520238094648904</v>
      </c>
      <c r="DH109" s="399">
        <v>0</v>
      </c>
      <c r="DI109" s="399">
        <v>-0.13089221890517733</v>
      </c>
      <c r="DJ109" s="399"/>
      <c r="DK109" s="399">
        <v>0</v>
      </c>
      <c r="DL109" s="399">
        <v>0</v>
      </c>
      <c r="DM109" s="399">
        <v>0</v>
      </c>
      <c r="DN109" s="399">
        <v>0</v>
      </c>
      <c r="DO109" s="399">
        <v>-1.6686773685958112E-2</v>
      </c>
      <c r="DP109" s="399">
        <v>-4.4817430567858085E-3</v>
      </c>
      <c r="DQ109" s="399">
        <v>0</v>
      </c>
      <c r="DR109" s="399">
        <v>0</v>
      </c>
      <c r="DS109" s="399"/>
      <c r="DT109" s="399"/>
      <c r="DU109" s="399"/>
      <c r="DV109" s="399">
        <v>6.7822690308230849</v>
      </c>
      <c r="DW109" s="399">
        <v>0</v>
      </c>
      <c r="DX109" s="399">
        <v>0</v>
      </c>
      <c r="DY109" s="399">
        <v>-2.801779999999999</v>
      </c>
      <c r="DZ109" s="399">
        <v>-2.0094200000000004</v>
      </c>
      <c r="EA109" s="399">
        <v>0</v>
      </c>
      <c r="EB109" s="399">
        <v>0</v>
      </c>
      <c r="EC109" s="399">
        <v>-2.4748507694646111</v>
      </c>
      <c r="ED109" s="399">
        <v>0</v>
      </c>
      <c r="EE109" s="399">
        <v>0</v>
      </c>
      <c r="EF109" s="399">
        <v>0</v>
      </c>
      <c r="EG109" s="399">
        <v>0</v>
      </c>
      <c r="EH109" s="399">
        <v>0</v>
      </c>
      <c r="EI109" s="399">
        <v>0</v>
      </c>
      <c r="EJ109" s="399">
        <v>0</v>
      </c>
      <c r="EK109" s="399">
        <v>0</v>
      </c>
      <c r="EL109" s="399">
        <v>0</v>
      </c>
      <c r="EM109" s="399">
        <v>0</v>
      </c>
      <c r="EN109" s="399">
        <v>0</v>
      </c>
      <c r="EO109" s="399">
        <v>0</v>
      </c>
      <c r="EP109" s="399">
        <v>0.88964519159492605</v>
      </c>
      <c r="EQ109" s="399">
        <v>0</v>
      </c>
      <c r="ER109" s="399">
        <v>0</v>
      </c>
      <c r="ES109" s="399">
        <v>0</v>
      </c>
      <c r="ET109" s="399">
        <v>0</v>
      </c>
      <c r="EU109" s="399">
        <v>0</v>
      </c>
      <c r="EV109" s="399">
        <v>202</v>
      </c>
      <c r="EW109" s="399">
        <v>0</v>
      </c>
      <c r="EX109" s="399">
        <v>0</v>
      </c>
      <c r="EY109" s="399">
        <v>0</v>
      </c>
      <c r="EZ109" s="399"/>
      <c r="FA109" s="399">
        <v>0</v>
      </c>
      <c r="FB109" s="399">
        <v>-17.698635468909799</v>
      </c>
      <c r="FC109" s="399"/>
      <c r="FD109" s="399">
        <v>-17.698635468909799</v>
      </c>
      <c r="FE109" s="399"/>
      <c r="FF109" s="399">
        <v>0</v>
      </c>
      <c r="FG109" s="399">
        <v>0</v>
      </c>
      <c r="FH109" s="399">
        <v>0</v>
      </c>
      <c r="FI109" s="399">
        <v>0</v>
      </c>
    </row>
    <row r="110" spans="1:165" s="818" customFormat="1">
      <c r="A110" s="399">
        <v>104</v>
      </c>
      <c r="B110" s="399" t="s">
        <v>956</v>
      </c>
      <c r="C110" s="399" t="s">
        <v>2409</v>
      </c>
      <c r="D110" s="399" t="s">
        <v>1823</v>
      </c>
      <c r="E110" s="399" t="s">
        <v>889</v>
      </c>
      <c r="F110" s="399" t="s">
        <v>889</v>
      </c>
      <c r="G110" s="399" t="s">
        <v>1239</v>
      </c>
      <c r="H110" s="399" t="s">
        <v>1239</v>
      </c>
      <c r="I110" s="399" t="s">
        <v>1239</v>
      </c>
      <c r="J110" s="399" t="s">
        <v>2400</v>
      </c>
      <c r="K110" s="788">
        <v>44562</v>
      </c>
      <c r="L110" s="399">
        <v>0</v>
      </c>
      <c r="M110" s="399">
        <v>0</v>
      </c>
      <c r="N110" s="399">
        <v>0</v>
      </c>
      <c r="O110" s="399">
        <v>0</v>
      </c>
      <c r="P110" s="399">
        <v>0</v>
      </c>
      <c r="Q110" s="399">
        <v>0</v>
      </c>
      <c r="R110" s="399"/>
      <c r="S110" s="399"/>
      <c r="T110" s="399"/>
      <c r="U110" s="399"/>
      <c r="V110" s="399"/>
      <c r="W110" s="399"/>
      <c r="X110" s="399"/>
      <c r="Y110" s="399"/>
      <c r="Z110" s="399"/>
      <c r="AA110" s="399">
        <v>0</v>
      </c>
      <c r="AB110" s="399"/>
      <c r="AC110" s="399"/>
      <c r="AD110" s="399"/>
      <c r="AE110" s="399"/>
      <c r="AF110" s="399"/>
      <c r="AG110" s="399"/>
      <c r="AH110" s="399"/>
      <c r="AI110" s="399"/>
      <c r="AJ110" s="399"/>
      <c r="AK110" s="399"/>
      <c r="AL110" s="399"/>
      <c r="AM110" s="399"/>
      <c r="AN110" s="399"/>
      <c r="AO110" s="399"/>
      <c r="AP110" s="399"/>
      <c r="AQ110" s="399"/>
      <c r="AR110" s="399"/>
      <c r="AS110" s="399"/>
      <c r="AT110" s="399"/>
      <c r="AU110" s="399"/>
      <c r="AV110" s="399"/>
      <c r="AW110" s="399"/>
      <c r="AX110" s="399"/>
      <c r="AY110" s="399"/>
      <c r="AZ110" s="399">
        <v>0</v>
      </c>
      <c r="BA110" s="399"/>
      <c r="BB110" s="399"/>
      <c r="BC110" s="399"/>
      <c r="BD110" s="399"/>
      <c r="BE110" s="399"/>
      <c r="BF110" s="399"/>
      <c r="BG110" s="399"/>
      <c r="BH110" s="399"/>
      <c r="BI110" s="399">
        <v>0.36</v>
      </c>
      <c r="BJ110" s="399">
        <v>1.66</v>
      </c>
      <c r="BK110" s="399">
        <v>0</v>
      </c>
      <c r="BL110" s="399">
        <v>1</v>
      </c>
      <c r="BM110" s="399"/>
      <c r="BN110" s="399"/>
      <c r="BO110" s="399"/>
      <c r="BP110" s="399"/>
      <c r="BQ110" s="399"/>
      <c r="BR110" s="399"/>
      <c r="BS110" s="399"/>
      <c r="BT110" s="399"/>
      <c r="BU110" s="399"/>
      <c r="BV110" s="399"/>
      <c r="BW110" s="399"/>
      <c r="BX110" s="399"/>
      <c r="BY110" s="399"/>
      <c r="BZ110" s="399"/>
      <c r="CA110" s="399"/>
      <c r="CB110" s="399"/>
      <c r="CC110" s="399"/>
      <c r="CD110" s="399"/>
      <c r="CE110" s="399"/>
      <c r="CF110" s="399"/>
      <c r="CG110" s="399"/>
      <c r="CH110" s="399"/>
      <c r="CI110" s="399"/>
      <c r="CJ110" s="399">
        <v>-0.03</v>
      </c>
      <c r="CK110" s="399"/>
      <c r="CL110" s="399"/>
      <c r="CM110" s="399"/>
      <c r="CN110" s="399"/>
      <c r="CO110" s="399">
        <v>0</v>
      </c>
      <c r="CP110" s="399">
        <v>0</v>
      </c>
      <c r="CQ110" s="399">
        <v>31</v>
      </c>
      <c r="CR110" s="399"/>
      <c r="CS110" s="399"/>
      <c r="CT110" s="399"/>
      <c r="CU110" s="399"/>
      <c r="CV110" s="399"/>
      <c r="CW110" s="399"/>
      <c r="CX110" s="399"/>
      <c r="CY110" s="399"/>
      <c r="CZ110" s="399"/>
      <c r="DA110" s="399"/>
      <c r="DB110" s="399"/>
      <c r="DC110" s="399"/>
      <c r="DD110" s="399"/>
      <c r="DE110" s="399"/>
      <c r="DF110" s="399"/>
      <c r="DG110" s="399"/>
      <c r="DH110" s="399"/>
      <c r="DI110" s="399"/>
      <c r="DJ110" s="399"/>
      <c r="DK110" s="399">
        <v>0</v>
      </c>
      <c r="DL110" s="399"/>
      <c r="DM110" s="399"/>
      <c r="DN110" s="399"/>
      <c r="DO110" s="399"/>
      <c r="DP110" s="399"/>
      <c r="DQ110" s="399"/>
      <c r="DR110" s="399"/>
      <c r="DS110" s="399"/>
      <c r="DT110" s="399"/>
      <c r="DU110" s="399"/>
      <c r="DV110" s="399"/>
      <c r="DW110" s="399"/>
      <c r="DX110" s="399"/>
      <c r="DY110" s="399"/>
      <c r="DZ110" s="399"/>
      <c r="EA110" s="399"/>
      <c r="EB110" s="399"/>
      <c r="EC110" s="399"/>
      <c r="ED110" s="399"/>
      <c r="EE110" s="399"/>
      <c r="EF110" s="399"/>
      <c r="EG110" s="399"/>
      <c r="EH110" s="399"/>
      <c r="EI110" s="399"/>
      <c r="EJ110" s="399"/>
      <c r="EK110" s="399"/>
      <c r="EL110" s="399"/>
      <c r="EM110" s="399"/>
      <c r="EN110" s="399"/>
      <c r="EO110" s="399"/>
      <c r="EP110" s="399"/>
      <c r="EQ110" s="399"/>
      <c r="ER110" s="399"/>
      <c r="ES110" s="399"/>
      <c r="ET110" s="399"/>
      <c r="EU110" s="399"/>
      <c r="EV110" s="399">
        <v>202</v>
      </c>
      <c r="EW110" s="399"/>
      <c r="EX110" s="399"/>
      <c r="EY110" s="399"/>
      <c r="EZ110" s="399"/>
      <c r="FA110" s="399">
        <v>0</v>
      </c>
      <c r="FB110" s="399">
        <v>-17.698635468909799</v>
      </c>
      <c r="FC110" s="399"/>
      <c r="FD110" s="399">
        <v>-17.698635468909799</v>
      </c>
      <c r="FE110" s="399"/>
      <c r="FF110" s="399">
        <v>0</v>
      </c>
      <c r="FG110" s="399">
        <v>0</v>
      </c>
      <c r="FH110" s="399">
        <v>0</v>
      </c>
      <c r="FI110" s="399">
        <v>0</v>
      </c>
    </row>
    <row r="111" spans="1:165" s="818" customFormat="1">
      <c r="A111" s="399">
        <v>105</v>
      </c>
      <c r="B111" s="399" t="s">
        <v>956</v>
      </c>
      <c r="C111" s="399" t="s">
        <v>2409</v>
      </c>
      <c r="D111" s="399" t="s">
        <v>1823</v>
      </c>
      <c r="E111" s="399" t="s">
        <v>889</v>
      </c>
      <c r="F111" s="399" t="s">
        <v>889</v>
      </c>
      <c r="G111" s="399" t="s">
        <v>1239</v>
      </c>
      <c r="H111" s="399" t="s">
        <v>1239</v>
      </c>
      <c r="I111" s="399" t="s">
        <v>2410</v>
      </c>
      <c r="J111" s="399" t="s">
        <v>2400</v>
      </c>
      <c r="K111" s="788">
        <v>44562</v>
      </c>
      <c r="L111" s="399">
        <v>0</v>
      </c>
      <c r="M111" s="399">
        <v>0</v>
      </c>
      <c r="N111" s="399">
        <v>0.03</v>
      </c>
      <c r="O111" s="399">
        <v>0.03</v>
      </c>
      <c r="P111" s="399">
        <v>0.03</v>
      </c>
      <c r="Q111" s="399">
        <v>0.03</v>
      </c>
      <c r="R111" s="399"/>
      <c r="S111" s="399">
        <v>960.47</v>
      </c>
      <c r="T111" s="399">
        <v>286.42</v>
      </c>
      <c r="U111" s="399"/>
      <c r="V111" s="399">
        <v>37.406700000000001</v>
      </c>
      <c r="W111" s="399">
        <v>37.406700000000001</v>
      </c>
      <c r="X111" s="399">
        <v>28.077299999999997</v>
      </c>
      <c r="Y111" s="399">
        <v>0</v>
      </c>
      <c r="Z111" s="399">
        <v>1.8258419691390448</v>
      </c>
      <c r="AA111" s="399">
        <v>0</v>
      </c>
      <c r="AB111" s="399">
        <v>0</v>
      </c>
      <c r="AC111" s="399">
        <v>0</v>
      </c>
      <c r="AD111" s="399">
        <v>5.09772932751354</v>
      </c>
      <c r="AE111" s="399">
        <v>19.690468506107401</v>
      </c>
      <c r="AF111" s="399">
        <v>8.5927003573153797</v>
      </c>
      <c r="AG111" s="399">
        <v>0</v>
      </c>
      <c r="AH111" s="399">
        <v>0</v>
      </c>
      <c r="AI111" s="399">
        <v>0</v>
      </c>
      <c r="AJ111" s="399">
        <v>0</v>
      </c>
      <c r="AK111" s="399">
        <v>0</v>
      </c>
      <c r="AL111" s="399">
        <v>0.28217666864350949</v>
      </c>
      <c r="AM111" s="399"/>
      <c r="AN111" s="399">
        <v>5.1235126991818196E-2</v>
      </c>
      <c r="AO111" s="399">
        <v>0</v>
      </c>
      <c r="AP111" s="399">
        <v>0</v>
      </c>
      <c r="AQ111" s="399">
        <v>0</v>
      </c>
      <c r="AR111" s="399">
        <v>0</v>
      </c>
      <c r="AS111" s="399">
        <v>0</v>
      </c>
      <c r="AT111" s="399">
        <v>0</v>
      </c>
      <c r="AU111" s="399">
        <v>0</v>
      </c>
      <c r="AV111" s="399">
        <v>0</v>
      </c>
      <c r="AW111" s="399">
        <v>0</v>
      </c>
      <c r="AX111" s="399">
        <v>0</v>
      </c>
      <c r="AY111" s="399">
        <v>0</v>
      </c>
      <c r="AZ111" s="399">
        <v>0</v>
      </c>
      <c r="BA111" s="399"/>
      <c r="BB111" s="399">
        <v>0</v>
      </c>
      <c r="BC111" s="399">
        <v>0</v>
      </c>
      <c r="BD111" s="399">
        <v>0</v>
      </c>
      <c r="BE111" s="399">
        <v>0</v>
      </c>
      <c r="BF111" s="399">
        <v>0</v>
      </c>
      <c r="BG111" s="399">
        <v>1.0056695658053489</v>
      </c>
      <c r="BH111" s="399">
        <v>0</v>
      </c>
      <c r="BI111" s="399">
        <v>0</v>
      </c>
      <c r="BJ111" s="399">
        <v>0</v>
      </c>
      <c r="BK111" s="399">
        <v>0</v>
      </c>
      <c r="BL111" s="399">
        <v>0</v>
      </c>
      <c r="BM111" s="399"/>
      <c r="BN111" s="399"/>
      <c r="BO111" s="399"/>
      <c r="BP111" s="399"/>
      <c r="BQ111" s="399"/>
      <c r="BR111" s="399"/>
      <c r="BS111" s="399"/>
      <c r="BT111" s="399"/>
      <c r="BU111" s="399"/>
      <c r="BV111" s="399">
        <v>9.5983699231207282</v>
      </c>
      <c r="BW111" s="399"/>
      <c r="BX111" s="399"/>
      <c r="BY111" s="399"/>
      <c r="BZ111" s="399"/>
      <c r="CA111" s="399"/>
      <c r="CB111" s="399"/>
      <c r="CC111" s="399"/>
      <c r="CD111" s="399"/>
      <c r="CE111" s="399"/>
      <c r="CF111" s="399"/>
      <c r="CG111" s="399"/>
      <c r="CH111" s="399"/>
      <c r="CI111" s="399">
        <v>28.077299999999997</v>
      </c>
      <c r="CJ111" s="399">
        <v>-9.3594000000000044</v>
      </c>
      <c r="CK111" s="399"/>
      <c r="CL111" s="399"/>
      <c r="CM111" s="399"/>
      <c r="CN111" s="399"/>
      <c r="CO111" s="399">
        <v>-7.384800000000002</v>
      </c>
      <c r="CP111" s="399">
        <v>-1.9446000000000006</v>
      </c>
      <c r="CQ111" s="399">
        <v>31</v>
      </c>
      <c r="CR111" s="399">
        <v>-2.1446355374290711</v>
      </c>
      <c r="CS111" s="399">
        <v>0</v>
      </c>
      <c r="CT111" s="399">
        <v>0</v>
      </c>
      <c r="CU111" s="399">
        <v>0</v>
      </c>
      <c r="CV111" s="399">
        <v>0</v>
      </c>
      <c r="CW111" s="399">
        <v>0</v>
      </c>
      <c r="CX111" s="399">
        <v>0</v>
      </c>
      <c r="CY111" s="399">
        <v>0</v>
      </c>
      <c r="CZ111" s="399">
        <v>0.17493830517659958</v>
      </c>
      <c r="DA111" s="399">
        <v>0</v>
      </c>
      <c r="DB111" s="399">
        <v>0</v>
      </c>
      <c r="DC111" s="399">
        <v>-1.9448030846110793</v>
      </c>
      <c r="DD111" s="399">
        <v>0</v>
      </c>
      <c r="DE111" s="399">
        <v>0</v>
      </c>
      <c r="DF111" s="399">
        <v>0</v>
      </c>
      <c r="DG111" s="399">
        <v>-0.22761520736757002</v>
      </c>
      <c r="DH111" s="399">
        <v>0</v>
      </c>
      <c r="DI111" s="399">
        <v>-0.12666988926307488</v>
      </c>
      <c r="DJ111" s="399"/>
      <c r="DK111" s="399">
        <v>0</v>
      </c>
      <c r="DL111" s="399">
        <v>0</v>
      </c>
      <c r="DM111" s="399">
        <v>0</v>
      </c>
      <c r="DN111" s="399">
        <v>0</v>
      </c>
      <c r="DO111" s="399">
        <v>-1.6148490663830395E-2</v>
      </c>
      <c r="DP111" s="399">
        <v>-4.3371707001152934E-3</v>
      </c>
      <c r="DQ111" s="399">
        <v>0</v>
      </c>
      <c r="DR111" s="399">
        <v>0</v>
      </c>
      <c r="DS111" s="399"/>
      <c r="DT111" s="399"/>
      <c r="DU111" s="399"/>
      <c r="DV111" s="399">
        <v>19.690468506107401</v>
      </c>
      <c r="DW111" s="399">
        <v>0</v>
      </c>
      <c r="DX111" s="399">
        <v>0</v>
      </c>
      <c r="DY111" s="399">
        <v>-7.384800000000002</v>
      </c>
      <c r="DZ111" s="399">
        <v>-1.9446000000000012</v>
      </c>
      <c r="EA111" s="399">
        <v>0</v>
      </c>
      <c r="EB111" s="399">
        <v>0</v>
      </c>
      <c r="EC111" s="399">
        <v>-7.1850542808008697</v>
      </c>
      <c r="ED111" s="399">
        <v>0</v>
      </c>
      <c r="EE111" s="399">
        <v>0</v>
      </c>
      <c r="EF111" s="399">
        <v>0</v>
      </c>
      <c r="EG111" s="399">
        <v>0</v>
      </c>
      <c r="EH111" s="399">
        <v>0</v>
      </c>
      <c r="EI111" s="399">
        <v>0</v>
      </c>
      <c r="EJ111" s="399">
        <v>0</v>
      </c>
      <c r="EK111" s="399">
        <v>0</v>
      </c>
      <c r="EL111" s="399">
        <v>0</v>
      </c>
      <c r="EM111" s="399">
        <v>0</v>
      </c>
      <c r="EN111" s="399">
        <v>0</v>
      </c>
      <c r="EO111" s="399">
        <v>0</v>
      </c>
      <c r="EP111" s="399">
        <v>0.86094695960799295</v>
      </c>
      <c r="EQ111" s="399">
        <v>0</v>
      </c>
      <c r="ER111" s="399">
        <v>0</v>
      </c>
      <c r="ES111" s="399">
        <v>0</v>
      </c>
      <c r="ET111" s="399">
        <v>0</v>
      </c>
      <c r="EU111" s="399">
        <v>0</v>
      </c>
      <c r="EV111" s="399">
        <v>202</v>
      </c>
      <c r="EW111" s="399">
        <v>0</v>
      </c>
      <c r="EX111" s="399">
        <v>0</v>
      </c>
      <c r="EY111" s="399">
        <v>0</v>
      </c>
      <c r="EZ111" s="399"/>
      <c r="FA111" s="399">
        <v>0</v>
      </c>
      <c r="FB111" s="399">
        <v>-17.698635468909799</v>
      </c>
      <c r="FC111" s="399"/>
      <c r="FD111" s="399">
        <v>-17.698635468909799</v>
      </c>
      <c r="FE111" s="399"/>
      <c r="FF111" s="399">
        <v>0</v>
      </c>
      <c r="FG111" s="399">
        <v>0</v>
      </c>
      <c r="FH111" s="399">
        <v>0</v>
      </c>
      <c r="FI111" s="399">
        <v>0</v>
      </c>
    </row>
    <row r="112" spans="1:165" s="818" customFormat="1">
      <c r="A112" s="399">
        <v>110</v>
      </c>
      <c r="B112" s="399" t="s">
        <v>956</v>
      </c>
      <c r="C112" s="399" t="s">
        <v>2402</v>
      </c>
      <c r="D112" s="399" t="s">
        <v>2411</v>
      </c>
      <c r="E112" s="399" t="s">
        <v>894</v>
      </c>
      <c r="F112" s="399" t="s">
        <v>1239</v>
      </c>
      <c r="G112" s="399" t="s">
        <v>1239</v>
      </c>
      <c r="H112" s="399" t="s">
        <v>1239</v>
      </c>
      <c r="I112" s="399" t="s">
        <v>1239</v>
      </c>
      <c r="J112" s="399" t="s">
        <v>2400</v>
      </c>
      <c r="K112" s="788">
        <v>44562</v>
      </c>
      <c r="L112" s="399">
        <v>0</v>
      </c>
      <c r="M112" s="399">
        <v>0</v>
      </c>
      <c r="N112" s="399">
        <v>132.32300000000001</v>
      </c>
      <c r="O112" s="399">
        <v>132.32300000000001</v>
      </c>
      <c r="P112" s="399">
        <v>132.32300000000001</v>
      </c>
      <c r="Q112" s="399">
        <v>132.32300000000001</v>
      </c>
      <c r="R112" s="399"/>
      <c r="S112" s="399">
        <v>609.05999999999995</v>
      </c>
      <c r="T112" s="399">
        <v>286.42</v>
      </c>
      <c r="U112" s="399"/>
      <c r="V112" s="399">
        <v>118492.60003999999</v>
      </c>
      <c r="W112" s="399">
        <v>118492.60003999999</v>
      </c>
      <c r="X112" s="399">
        <v>90491.730009999999</v>
      </c>
      <c r="Y112" s="399">
        <v>0</v>
      </c>
      <c r="Z112" s="399">
        <v>8053.3628960795286</v>
      </c>
      <c r="AA112" s="399">
        <v>0</v>
      </c>
      <c r="AB112" s="399">
        <v>0</v>
      </c>
      <c r="AC112" s="399">
        <v>0</v>
      </c>
      <c r="AD112" s="399">
        <v>12921.625438516836</v>
      </c>
      <c r="AE112" s="399">
        <v>49913.822840163113</v>
      </c>
      <c r="AF112" s="399">
        <v>37900.396312701436</v>
      </c>
      <c r="AG112" s="399">
        <v>0</v>
      </c>
      <c r="AH112" s="399">
        <v>0</v>
      </c>
      <c r="AI112" s="399">
        <v>0</v>
      </c>
      <c r="AJ112" s="399">
        <v>0</v>
      </c>
      <c r="AK112" s="399">
        <v>0</v>
      </c>
      <c r="AL112" s="399">
        <v>1244.6154441638371</v>
      </c>
      <c r="AM112" s="399"/>
      <c r="AN112" s="399">
        <v>225.98619029794534</v>
      </c>
      <c r="AO112" s="399">
        <v>0</v>
      </c>
      <c r="AP112" s="399">
        <v>0</v>
      </c>
      <c r="AQ112" s="399">
        <v>0</v>
      </c>
      <c r="AR112" s="399">
        <v>0</v>
      </c>
      <c r="AS112" s="399">
        <v>0</v>
      </c>
      <c r="AT112" s="399">
        <v>0</v>
      </c>
      <c r="AU112" s="399">
        <v>0</v>
      </c>
      <c r="AV112" s="399">
        <v>0</v>
      </c>
      <c r="AW112" s="399">
        <v>0</v>
      </c>
      <c r="AX112" s="399">
        <v>0</v>
      </c>
      <c r="AY112" s="399">
        <v>0</v>
      </c>
      <c r="AZ112" s="399">
        <v>0</v>
      </c>
      <c r="BA112" s="399"/>
      <c r="BB112" s="399">
        <v>0</v>
      </c>
      <c r="BC112" s="399">
        <v>0</v>
      </c>
      <c r="BD112" s="399">
        <v>0</v>
      </c>
      <c r="BE112" s="399">
        <v>0</v>
      </c>
      <c r="BF112" s="399">
        <v>0</v>
      </c>
      <c r="BG112" s="399">
        <v>4435.7737985353733</v>
      </c>
      <c r="BH112" s="399">
        <v>0</v>
      </c>
      <c r="BI112" s="399">
        <v>410.33</v>
      </c>
      <c r="BJ112" s="399">
        <v>1847.62</v>
      </c>
      <c r="BK112" s="399">
        <v>3347.39</v>
      </c>
      <c r="BL112" s="399">
        <v>334</v>
      </c>
      <c r="BM112" s="399"/>
      <c r="BN112" s="399"/>
      <c r="BO112" s="399"/>
      <c r="BP112" s="399"/>
      <c r="BQ112" s="399"/>
      <c r="BR112" s="399">
        <v>10859.748609999997</v>
      </c>
      <c r="BS112" s="399"/>
      <c r="BT112" s="399"/>
      <c r="BU112" s="399"/>
      <c r="BV112" s="399">
        <v>42336.17011123681</v>
      </c>
      <c r="BW112" s="399"/>
      <c r="BX112" s="399"/>
      <c r="BY112" s="399"/>
      <c r="BZ112" s="399"/>
      <c r="CA112" s="399"/>
      <c r="CB112" s="399"/>
      <c r="CC112" s="399"/>
      <c r="CD112" s="399"/>
      <c r="CE112" s="399"/>
      <c r="CF112" s="399"/>
      <c r="CG112" s="399"/>
      <c r="CH112" s="399"/>
      <c r="CI112" s="399">
        <v>79630.175999999992</v>
      </c>
      <c r="CJ112" s="399">
        <v>-24643.024460000015</v>
      </c>
      <c r="CK112" s="399"/>
      <c r="CL112" s="399"/>
      <c r="CM112" s="399"/>
      <c r="CN112" s="399"/>
      <c r="CO112" s="399">
        <v>-19423.693169999995</v>
      </c>
      <c r="CP112" s="399">
        <v>-8577.1768600000032</v>
      </c>
      <c r="CQ112" s="399">
        <v>31</v>
      </c>
      <c r="CR112" s="399">
        <v>-9787.6687624743718</v>
      </c>
      <c r="CS112" s="399">
        <v>0</v>
      </c>
      <c r="CT112" s="399">
        <v>0</v>
      </c>
      <c r="CU112" s="399">
        <v>0</v>
      </c>
      <c r="CV112" s="399">
        <v>0</v>
      </c>
      <c r="CW112" s="399">
        <v>0</v>
      </c>
      <c r="CX112" s="399">
        <v>0</v>
      </c>
      <c r="CY112" s="399">
        <v>0</v>
      </c>
      <c r="CZ112" s="399">
        <v>443.43022336262402</v>
      </c>
      <c r="DA112" s="399">
        <v>0</v>
      </c>
      <c r="DB112" s="399">
        <v>0</v>
      </c>
      <c r="DC112" s="399">
        <v>-8578.0726188330627</v>
      </c>
      <c r="DD112" s="399">
        <v>0</v>
      </c>
      <c r="DE112" s="399">
        <v>0</v>
      </c>
      <c r="DF112" s="399">
        <v>0</v>
      </c>
      <c r="DG112" s="399">
        <v>-1003.9575694832988</v>
      </c>
      <c r="DH112" s="399">
        <v>0</v>
      </c>
      <c r="DI112" s="399">
        <v>-558.71132523192864</v>
      </c>
      <c r="DJ112" s="399"/>
      <c r="DK112" s="399">
        <v>0</v>
      </c>
      <c r="DL112" s="399">
        <v>0</v>
      </c>
      <c r="DM112" s="399">
        <v>0</v>
      </c>
      <c r="DN112" s="399">
        <v>0</v>
      </c>
      <c r="DO112" s="399">
        <v>-71.227224337001189</v>
      </c>
      <c r="DP112" s="399">
        <v>-19.13024795171188</v>
      </c>
      <c r="DQ112" s="399">
        <v>0</v>
      </c>
      <c r="DR112" s="399">
        <v>0</v>
      </c>
      <c r="DS112" s="399"/>
      <c r="DT112" s="399"/>
      <c r="DU112" s="399"/>
      <c r="DV112" s="399">
        <v>49913.822840163113</v>
      </c>
      <c r="DW112" s="399">
        <v>0</v>
      </c>
      <c r="DX112" s="399">
        <v>0</v>
      </c>
      <c r="DY112" s="399">
        <v>-19423.693169999991</v>
      </c>
      <c r="DZ112" s="399">
        <v>-8577.1768600000069</v>
      </c>
      <c r="EA112" s="399">
        <v>0</v>
      </c>
      <c r="EB112" s="399">
        <v>0</v>
      </c>
      <c r="EC112" s="399">
        <v>-18213.559842804741</v>
      </c>
      <c r="ED112" s="399">
        <v>0</v>
      </c>
      <c r="EE112" s="399">
        <v>0</v>
      </c>
      <c r="EF112" s="399">
        <v>0</v>
      </c>
      <c r="EG112" s="399">
        <v>0</v>
      </c>
      <c r="EH112" s="399">
        <v>0</v>
      </c>
      <c r="EI112" s="399">
        <v>0</v>
      </c>
      <c r="EJ112" s="399">
        <v>0</v>
      </c>
      <c r="EK112" s="399">
        <v>0</v>
      </c>
      <c r="EL112" s="399">
        <v>0</v>
      </c>
      <c r="EM112" s="399">
        <v>0</v>
      </c>
      <c r="EN112" s="399">
        <v>0</v>
      </c>
      <c r="EO112" s="399">
        <v>0</v>
      </c>
      <c r="EP112" s="399">
        <v>3797.4361512069486</v>
      </c>
      <c r="EQ112" s="399">
        <v>0</v>
      </c>
      <c r="ER112" s="399">
        <v>0</v>
      </c>
      <c r="ES112" s="399">
        <v>0</v>
      </c>
      <c r="ET112" s="399">
        <v>0</v>
      </c>
      <c r="EU112" s="399">
        <v>0</v>
      </c>
      <c r="EV112" s="399">
        <v>202</v>
      </c>
      <c r="EW112" s="399">
        <v>0</v>
      </c>
      <c r="EX112" s="399">
        <v>0</v>
      </c>
      <c r="EY112" s="399">
        <v>0</v>
      </c>
      <c r="EZ112" s="399"/>
      <c r="FA112" s="399">
        <v>0</v>
      </c>
      <c r="FB112" s="399">
        <v>-12.3890448282368</v>
      </c>
      <c r="FC112" s="399"/>
      <c r="FD112" s="399">
        <v>-17.698635468909799</v>
      </c>
      <c r="FE112" s="399"/>
      <c r="FF112" s="399">
        <v>0</v>
      </c>
      <c r="FG112" s="399">
        <v>0</v>
      </c>
      <c r="FH112" s="399">
        <v>0</v>
      </c>
      <c r="FI112" s="399">
        <v>0</v>
      </c>
    </row>
    <row r="113" spans="1:165" s="818" customFormat="1">
      <c r="A113" s="399">
        <v>111</v>
      </c>
      <c r="B113" s="399" t="s">
        <v>2404</v>
      </c>
      <c r="C113" s="399" t="s">
        <v>2402</v>
      </c>
      <c r="D113" s="399" t="s">
        <v>2411</v>
      </c>
      <c r="E113" s="399" t="s">
        <v>894</v>
      </c>
      <c r="F113" s="399" t="s">
        <v>1239</v>
      </c>
      <c r="G113" s="399" t="s">
        <v>1239</v>
      </c>
      <c r="H113" s="399" t="s">
        <v>1239</v>
      </c>
      <c r="I113" s="399" t="s">
        <v>1239</v>
      </c>
      <c r="J113" s="399" t="s">
        <v>2400</v>
      </c>
      <c r="K113" s="788">
        <v>44562</v>
      </c>
      <c r="L113" s="399">
        <v>0</v>
      </c>
      <c r="M113" s="399">
        <v>0</v>
      </c>
      <c r="N113" s="399">
        <v>3.0249999999999999</v>
      </c>
      <c r="O113" s="399">
        <v>3.0249999999999999</v>
      </c>
      <c r="P113" s="399">
        <v>3.0249999999999999</v>
      </c>
      <c r="Q113" s="399">
        <v>3.0249999999999999</v>
      </c>
      <c r="R113" s="399"/>
      <c r="S113" s="399">
        <v>609.05999999999995</v>
      </c>
      <c r="T113" s="399">
        <v>286.42</v>
      </c>
      <c r="U113" s="399"/>
      <c r="V113" s="399">
        <v>2708.8269999999998</v>
      </c>
      <c r="W113" s="399">
        <v>2708.8269999999998</v>
      </c>
      <c r="X113" s="399">
        <v>2068.7067499999998</v>
      </c>
      <c r="Y113" s="399">
        <v>0</v>
      </c>
      <c r="Z113" s="399">
        <v>184.10573188818702</v>
      </c>
      <c r="AA113" s="399">
        <v>0</v>
      </c>
      <c r="AB113" s="399">
        <v>0</v>
      </c>
      <c r="AC113" s="399">
        <v>0</v>
      </c>
      <c r="AD113" s="399">
        <v>295.39775361436352</v>
      </c>
      <c r="AE113" s="399">
        <v>1141.0662854643062</v>
      </c>
      <c r="AF113" s="399">
        <v>866.43061936263405</v>
      </c>
      <c r="AG113" s="399">
        <v>0</v>
      </c>
      <c r="AH113" s="399">
        <v>0</v>
      </c>
      <c r="AI113" s="399">
        <v>0</v>
      </c>
      <c r="AJ113" s="399">
        <v>0</v>
      </c>
      <c r="AK113" s="399">
        <v>0</v>
      </c>
      <c r="AL113" s="399">
        <v>28.452814088220542</v>
      </c>
      <c r="AM113" s="399"/>
      <c r="AN113" s="399">
        <v>5.1662086383416685</v>
      </c>
      <c r="AO113" s="399">
        <v>0</v>
      </c>
      <c r="AP113" s="399">
        <v>0</v>
      </c>
      <c r="AQ113" s="399">
        <v>0</v>
      </c>
      <c r="AR113" s="399">
        <v>0</v>
      </c>
      <c r="AS113" s="399">
        <v>0</v>
      </c>
      <c r="AT113" s="399">
        <v>0</v>
      </c>
      <c r="AU113" s="399">
        <v>0</v>
      </c>
      <c r="AV113" s="399">
        <v>0</v>
      </c>
      <c r="AW113" s="399">
        <v>0</v>
      </c>
      <c r="AX113" s="399">
        <v>0</v>
      </c>
      <c r="AY113" s="399">
        <v>0</v>
      </c>
      <c r="AZ113" s="399">
        <v>0</v>
      </c>
      <c r="BA113" s="399"/>
      <c r="BB113" s="399">
        <v>0</v>
      </c>
      <c r="BC113" s="399">
        <v>0</v>
      </c>
      <c r="BD113" s="399">
        <v>0</v>
      </c>
      <c r="BE113" s="399">
        <v>0</v>
      </c>
      <c r="BF113" s="399">
        <v>0</v>
      </c>
      <c r="BG113" s="399">
        <v>101.40501455203936</v>
      </c>
      <c r="BH113" s="399">
        <v>0</v>
      </c>
      <c r="BI113" s="399">
        <v>3.4</v>
      </c>
      <c r="BJ113" s="399">
        <v>15.75</v>
      </c>
      <c r="BK113" s="399">
        <v>0</v>
      </c>
      <c r="BL113" s="399">
        <v>5</v>
      </c>
      <c r="BM113" s="399"/>
      <c r="BN113" s="399"/>
      <c r="BO113" s="399"/>
      <c r="BP113" s="399"/>
      <c r="BQ113" s="399"/>
      <c r="BR113" s="399">
        <v>248.26174999999989</v>
      </c>
      <c r="BS113" s="399"/>
      <c r="BT113" s="399"/>
      <c r="BU113" s="399"/>
      <c r="BV113" s="399">
        <v>967.83563391467339</v>
      </c>
      <c r="BW113" s="399"/>
      <c r="BX113" s="399"/>
      <c r="BY113" s="399"/>
      <c r="BZ113" s="399"/>
      <c r="CA113" s="399"/>
      <c r="CB113" s="399"/>
      <c r="CC113" s="399"/>
      <c r="CD113" s="399"/>
      <c r="CE113" s="399"/>
      <c r="CF113" s="399"/>
      <c r="CG113" s="399"/>
      <c r="CH113" s="399"/>
      <c r="CI113" s="399">
        <v>1823.454</v>
      </c>
      <c r="CJ113" s="399">
        <v>-560.33650000000011</v>
      </c>
      <c r="CK113" s="399"/>
      <c r="CL113" s="399"/>
      <c r="CM113" s="399"/>
      <c r="CN113" s="399"/>
      <c r="CO113" s="399">
        <v>-444.03974999999986</v>
      </c>
      <c r="CP113" s="399">
        <v>-196.08050000000006</v>
      </c>
      <c r="CQ113" s="399">
        <v>31</v>
      </c>
      <c r="CR113" s="399">
        <v>-223.75322511192326</v>
      </c>
      <c r="CS113" s="399">
        <v>0</v>
      </c>
      <c r="CT113" s="399">
        <v>0</v>
      </c>
      <c r="CU113" s="399">
        <v>0</v>
      </c>
      <c r="CV113" s="399">
        <v>0</v>
      </c>
      <c r="CW113" s="399">
        <v>0</v>
      </c>
      <c r="CX113" s="399">
        <v>0</v>
      </c>
      <c r="CY113" s="399">
        <v>0</v>
      </c>
      <c r="CZ113" s="399">
        <v>10.137137350815351</v>
      </c>
      <c r="DA113" s="399">
        <v>0</v>
      </c>
      <c r="DB113" s="399">
        <v>0</v>
      </c>
      <c r="DC113" s="399">
        <v>-196.10097769828383</v>
      </c>
      <c r="DD113" s="399">
        <v>0</v>
      </c>
      <c r="DE113" s="399">
        <v>0</v>
      </c>
      <c r="DF113" s="399">
        <v>0</v>
      </c>
      <c r="DG113" s="399">
        <v>-22.951200076229981</v>
      </c>
      <c r="DH113" s="399">
        <v>0</v>
      </c>
      <c r="DI113" s="399">
        <v>-12.772547167360045</v>
      </c>
      <c r="DJ113" s="399"/>
      <c r="DK113" s="399">
        <v>0</v>
      </c>
      <c r="DL113" s="399">
        <v>0</v>
      </c>
      <c r="DM113" s="399">
        <v>0</v>
      </c>
      <c r="DN113" s="399">
        <v>0</v>
      </c>
      <c r="DO113" s="399">
        <v>-1.6283061419362355</v>
      </c>
      <c r="DP113" s="399">
        <v>-0.43733137892829266</v>
      </c>
      <c r="DQ113" s="399">
        <v>0</v>
      </c>
      <c r="DR113" s="399">
        <v>0</v>
      </c>
      <c r="DS113" s="399"/>
      <c r="DT113" s="399"/>
      <c r="DU113" s="399"/>
      <c r="DV113" s="399">
        <v>1141.0662854643062</v>
      </c>
      <c r="DW113" s="399">
        <v>0</v>
      </c>
      <c r="DX113" s="399">
        <v>0</v>
      </c>
      <c r="DY113" s="399">
        <v>-444.03974999999991</v>
      </c>
      <c r="DZ113" s="399">
        <v>-196.08050000000014</v>
      </c>
      <c r="EA113" s="399">
        <v>0</v>
      </c>
      <c r="EB113" s="399">
        <v>0</v>
      </c>
      <c r="EC113" s="399">
        <v>-416.37522217969911</v>
      </c>
      <c r="ED113" s="399">
        <v>0</v>
      </c>
      <c r="EE113" s="399">
        <v>0</v>
      </c>
      <c r="EF113" s="399">
        <v>0</v>
      </c>
      <c r="EG113" s="399">
        <v>0</v>
      </c>
      <c r="EH113" s="399">
        <v>0</v>
      </c>
      <c r="EI113" s="399">
        <v>0</v>
      </c>
      <c r="EJ113" s="399">
        <v>0</v>
      </c>
      <c r="EK113" s="399">
        <v>0</v>
      </c>
      <c r="EL113" s="399">
        <v>0</v>
      </c>
      <c r="EM113" s="399">
        <v>0</v>
      </c>
      <c r="EN113" s="399">
        <v>0</v>
      </c>
      <c r="EO113" s="399">
        <v>0</v>
      </c>
      <c r="EP113" s="399">
        <v>86.812151760472617</v>
      </c>
      <c r="EQ113" s="399">
        <v>0</v>
      </c>
      <c r="ER113" s="399">
        <v>0</v>
      </c>
      <c r="ES113" s="399">
        <v>0</v>
      </c>
      <c r="ET113" s="399">
        <v>0</v>
      </c>
      <c r="EU113" s="399">
        <v>0</v>
      </c>
      <c r="EV113" s="399">
        <v>202</v>
      </c>
      <c r="EW113" s="399">
        <v>0</v>
      </c>
      <c r="EX113" s="399">
        <v>0</v>
      </c>
      <c r="EY113" s="399">
        <v>0</v>
      </c>
      <c r="EZ113" s="399"/>
      <c r="FA113" s="399">
        <v>0</v>
      </c>
      <c r="FB113" s="399">
        <v>-12.3890448282368</v>
      </c>
      <c r="FC113" s="399"/>
      <c r="FD113" s="399">
        <v>-17.698635468909799</v>
      </c>
      <c r="FE113" s="399"/>
      <c r="FF113" s="399">
        <v>0</v>
      </c>
      <c r="FG113" s="399">
        <v>0</v>
      </c>
      <c r="FH113" s="399">
        <v>0</v>
      </c>
      <c r="FI113" s="399">
        <v>0</v>
      </c>
    </row>
    <row r="114" spans="1:165" s="818" customFormat="1">
      <c r="A114" s="399">
        <v>106</v>
      </c>
      <c r="B114" s="399" t="s">
        <v>956</v>
      </c>
      <c r="C114" s="399" t="s">
        <v>2402</v>
      </c>
      <c r="D114" s="399" t="s">
        <v>1826</v>
      </c>
      <c r="E114" s="399" t="s">
        <v>918</v>
      </c>
      <c r="F114" s="399" t="s">
        <v>1239</v>
      </c>
      <c r="G114" s="399" t="s">
        <v>1239</v>
      </c>
      <c r="H114" s="399" t="s">
        <v>1239</v>
      </c>
      <c r="I114" s="399" t="s">
        <v>1239</v>
      </c>
      <c r="J114" s="399" t="s">
        <v>2400</v>
      </c>
      <c r="K114" s="788">
        <v>44562</v>
      </c>
      <c r="L114" s="399">
        <v>0</v>
      </c>
      <c r="M114" s="399">
        <v>0</v>
      </c>
      <c r="N114" s="399">
        <v>19.715</v>
      </c>
      <c r="O114" s="399">
        <v>19.715</v>
      </c>
      <c r="P114" s="399">
        <v>19.715</v>
      </c>
      <c r="Q114" s="399">
        <v>19.715</v>
      </c>
      <c r="R114" s="399"/>
      <c r="S114" s="399">
        <v>609.05999999999995</v>
      </c>
      <c r="T114" s="399">
        <v>286.42</v>
      </c>
      <c r="U114" s="399"/>
      <c r="V114" s="399">
        <v>17654.388200000001</v>
      </c>
      <c r="W114" s="399">
        <v>17654.388200000001</v>
      </c>
      <c r="X114" s="399">
        <v>13482.497049999998</v>
      </c>
      <c r="Y114" s="399">
        <v>0</v>
      </c>
      <c r="Z114" s="399">
        <v>1199.8824807192091</v>
      </c>
      <c r="AA114" s="399">
        <v>0</v>
      </c>
      <c r="AB114" s="399">
        <v>0</v>
      </c>
      <c r="AC114" s="399">
        <v>0</v>
      </c>
      <c r="AD114" s="399">
        <v>1925.212136366009</v>
      </c>
      <c r="AE114" s="399">
        <v>7436.7344852657188</v>
      </c>
      <c r="AF114" s="399">
        <v>5646.836251482423</v>
      </c>
      <c r="AG114" s="399">
        <v>0</v>
      </c>
      <c r="AH114" s="399">
        <v>0</v>
      </c>
      <c r="AI114" s="399">
        <v>0</v>
      </c>
      <c r="AJ114" s="399">
        <v>0</v>
      </c>
      <c r="AK114" s="399">
        <v>0</v>
      </c>
      <c r="AL114" s="399">
        <v>185.43710074355965</v>
      </c>
      <c r="AM114" s="399"/>
      <c r="AN114" s="399">
        <v>33.67001762145653</v>
      </c>
      <c r="AO114" s="399">
        <v>0</v>
      </c>
      <c r="AP114" s="399">
        <v>0</v>
      </c>
      <c r="AQ114" s="399">
        <v>0</v>
      </c>
      <c r="AR114" s="399">
        <v>0</v>
      </c>
      <c r="AS114" s="399">
        <v>0</v>
      </c>
      <c r="AT114" s="399">
        <v>0</v>
      </c>
      <c r="AU114" s="399">
        <v>0</v>
      </c>
      <c r="AV114" s="399">
        <v>0</v>
      </c>
      <c r="AW114" s="399">
        <v>0</v>
      </c>
      <c r="AX114" s="399">
        <v>0</v>
      </c>
      <c r="AY114" s="399">
        <v>0</v>
      </c>
      <c r="AZ114" s="399">
        <v>0</v>
      </c>
      <c r="BA114" s="399"/>
      <c r="BB114" s="399">
        <v>0</v>
      </c>
      <c r="BC114" s="399">
        <v>0</v>
      </c>
      <c r="BD114" s="399">
        <v>0</v>
      </c>
      <c r="BE114" s="399">
        <v>0</v>
      </c>
      <c r="BF114" s="399">
        <v>0</v>
      </c>
      <c r="BG114" s="399">
        <v>660.89251632841524</v>
      </c>
      <c r="BH114" s="399">
        <v>0</v>
      </c>
      <c r="BI114" s="399">
        <v>43.16</v>
      </c>
      <c r="BJ114" s="399">
        <v>197.2</v>
      </c>
      <c r="BK114" s="399">
        <v>3626.55</v>
      </c>
      <c r="BL114" s="399">
        <v>42</v>
      </c>
      <c r="BM114" s="399"/>
      <c r="BN114" s="399"/>
      <c r="BO114" s="399"/>
      <c r="BP114" s="399"/>
      <c r="BQ114" s="399"/>
      <c r="BR114" s="399"/>
      <c r="BS114" s="399"/>
      <c r="BT114" s="399"/>
      <c r="BU114" s="399"/>
      <c r="BV114" s="399">
        <v>6307.7287678108387</v>
      </c>
      <c r="BW114" s="399"/>
      <c r="BX114" s="399"/>
      <c r="BY114" s="399"/>
      <c r="BZ114" s="399"/>
      <c r="CA114" s="399"/>
      <c r="CB114" s="399"/>
      <c r="CC114" s="399"/>
      <c r="CD114" s="399"/>
      <c r="CE114" s="399"/>
      <c r="CF114" s="399"/>
      <c r="CG114" s="399"/>
      <c r="CH114" s="399"/>
      <c r="CI114" s="399">
        <v>13485.916399999998</v>
      </c>
      <c r="CJ114" s="399">
        <v>-4168.5017999999982</v>
      </c>
      <c r="CK114" s="399"/>
      <c r="CL114" s="399"/>
      <c r="CM114" s="399"/>
      <c r="CN114" s="399"/>
      <c r="CO114" s="399">
        <v>-2893.9648499999994</v>
      </c>
      <c r="CP114" s="399">
        <v>-1277.9263000000003</v>
      </c>
      <c r="CQ114" s="399">
        <v>31</v>
      </c>
      <c r="CR114" s="399">
        <v>-1458.2792836633253</v>
      </c>
      <c r="CS114" s="399">
        <v>0</v>
      </c>
      <c r="CT114" s="399">
        <v>0</v>
      </c>
      <c r="CU114" s="399">
        <v>0</v>
      </c>
      <c r="CV114" s="399">
        <v>0</v>
      </c>
      <c r="CW114" s="399">
        <v>0</v>
      </c>
      <c r="CX114" s="399">
        <v>0</v>
      </c>
      <c r="CY114" s="399">
        <v>0</v>
      </c>
      <c r="CZ114" s="399">
        <v>66.06732656903273</v>
      </c>
      <c r="DA114" s="399">
        <v>0</v>
      </c>
      <c r="DB114" s="399">
        <v>0</v>
      </c>
      <c r="DC114" s="399">
        <v>-1278.0597604369141</v>
      </c>
      <c r="DD114" s="399">
        <v>0</v>
      </c>
      <c r="DE114" s="399">
        <v>0</v>
      </c>
      <c r="DF114" s="399">
        <v>0</v>
      </c>
      <c r="DG114" s="399">
        <v>-149.58112710838816</v>
      </c>
      <c r="DH114" s="399">
        <v>0</v>
      </c>
      <c r="DI114" s="399">
        <v>-83.243228894050617</v>
      </c>
      <c r="DJ114" s="399"/>
      <c r="DK114" s="399">
        <v>0</v>
      </c>
      <c r="DL114" s="399">
        <v>0</v>
      </c>
      <c r="DM114" s="399">
        <v>0</v>
      </c>
      <c r="DN114" s="399">
        <v>0</v>
      </c>
      <c r="DO114" s="399">
        <v>-10.612249781247215</v>
      </c>
      <c r="DP114" s="399">
        <v>-2.8502440117591057</v>
      </c>
      <c r="DQ114" s="399">
        <v>0</v>
      </c>
      <c r="DR114" s="399">
        <v>0</v>
      </c>
      <c r="DS114" s="399"/>
      <c r="DT114" s="399"/>
      <c r="DU114" s="399"/>
      <c r="DV114" s="399">
        <v>7436.7344852657188</v>
      </c>
      <c r="DW114" s="399">
        <v>0</v>
      </c>
      <c r="DX114" s="399">
        <v>0</v>
      </c>
      <c r="DY114" s="399">
        <v>-2893.9648500000003</v>
      </c>
      <c r="DZ114" s="399">
        <v>-1277.9263000000001</v>
      </c>
      <c r="EA114" s="399">
        <v>0</v>
      </c>
      <c r="EB114" s="399">
        <v>0</v>
      </c>
      <c r="EC114" s="399">
        <v>-2713.6652909992627</v>
      </c>
      <c r="ED114" s="399">
        <v>0</v>
      </c>
      <c r="EE114" s="399">
        <v>0</v>
      </c>
      <c r="EF114" s="399">
        <v>0</v>
      </c>
      <c r="EG114" s="399">
        <v>0</v>
      </c>
      <c r="EH114" s="399">
        <v>0</v>
      </c>
      <c r="EI114" s="399">
        <v>0</v>
      </c>
      <c r="EJ114" s="399">
        <v>0</v>
      </c>
      <c r="EK114" s="399">
        <v>0</v>
      </c>
      <c r="EL114" s="399">
        <v>0</v>
      </c>
      <c r="EM114" s="399">
        <v>0</v>
      </c>
      <c r="EN114" s="399">
        <v>0</v>
      </c>
      <c r="EO114" s="399">
        <v>0</v>
      </c>
      <c r="EP114" s="399">
        <v>565.78564362238603</v>
      </c>
      <c r="EQ114" s="399">
        <v>0</v>
      </c>
      <c r="ER114" s="399">
        <v>0</v>
      </c>
      <c r="ES114" s="399">
        <v>0</v>
      </c>
      <c r="ET114" s="399">
        <v>0</v>
      </c>
      <c r="EU114" s="399">
        <v>0</v>
      </c>
      <c r="EV114" s="399">
        <v>202</v>
      </c>
      <c r="EW114" s="399">
        <v>0</v>
      </c>
      <c r="EX114" s="399">
        <v>0</v>
      </c>
      <c r="EY114" s="399">
        <v>0</v>
      </c>
      <c r="EZ114" s="399"/>
      <c r="FA114" s="399">
        <v>0</v>
      </c>
      <c r="FB114" s="399">
        <v>-17.698635468909799</v>
      </c>
      <c r="FC114" s="399"/>
      <c r="FD114" s="399">
        <v>-17.698635468909799</v>
      </c>
      <c r="FE114" s="399"/>
      <c r="FF114" s="399">
        <v>0</v>
      </c>
      <c r="FG114" s="399">
        <v>0</v>
      </c>
      <c r="FH114" s="399">
        <v>0</v>
      </c>
      <c r="FI114" s="399">
        <v>0</v>
      </c>
    </row>
    <row r="115" spans="1:165" s="818" customFormat="1">
      <c r="A115" s="399">
        <v>112</v>
      </c>
      <c r="B115" s="399" t="s">
        <v>956</v>
      </c>
      <c r="C115" s="399" t="s">
        <v>2402</v>
      </c>
      <c r="D115" s="399" t="s">
        <v>1826</v>
      </c>
      <c r="E115" s="399" t="s">
        <v>2412</v>
      </c>
      <c r="F115" s="399" t="s">
        <v>1239</v>
      </c>
      <c r="G115" s="399" t="s">
        <v>1239</v>
      </c>
      <c r="H115" s="399" t="s">
        <v>1239</v>
      </c>
      <c r="I115" s="399" t="s">
        <v>1239</v>
      </c>
      <c r="J115" s="399" t="s">
        <v>2400</v>
      </c>
      <c r="K115" s="788">
        <v>44562</v>
      </c>
      <c r="L115" s="399">
        <v>0</v>
      </c>
      <c r="M115" s="399">
        <v>0</v>
      </c>
      <c r="N115" s="399">
        <v>6.3730000000000002</v>
      </c>
      <c r="O115" s="399">
        <v>6.3730000000000002</v>
      </c>
      <c r="P115" s="399">
        <v>6.3730000000000002</v>
      </c>
      <c r="Q115" s="399">
        <v>6.3730000000000002</v>
      </c>
      <c r="R115" s="399"/>
      <c r="S115" s="399">
        <v>609.05999999999995</v>
      </c>
      <c r="T115" s="399">
        <v>286.42</v>
      </c>
      <c r="U115" s="399"/>
      <c r="V115" s="399">
        <v>5706.8940400000001</v>
      </c>
      <c r="W115" s="399">
        <v>5706.8940400000001</v>
      </c>
      <c r="X115" s="399">
        <v>4358.3035099999997</v>
      </c>
      <c r="Y115" s="399">
        <v>0</v>
      </c>
      <c r="Z115" s="399">
        <v>387.86969564410447</v>
      </c>
      <c r="AA115" s="399">
        <v>0</v>
      </c>
      <c r="AB115" s="399">
        <v>0</v>
      </c>
      <c r="AC115" s="399">
        <v>0</v>
      </c>
      <c r="AD115" s="399">
        <v>622.33715166424429</v>
      </c>
      <c r="AE115" s="399">
        <v>2403.9720453765372</v>
      </c>
      <c r="AF115" s="399">
        <v>1825.3759792390304</v>
      </c>
      <c r="AG115" s="399">
        <v>0</v>
      </c>
      <c r="AH115" s="399">
        <v>0</v>
      </c>
      <c r="AI115" s="399">
        <v>0</v>
      </c>
      <c r="AJ115" s="399">
        <v>0</v>
      </c>
      <c r="AK115" s="399">
        <v>0</v>
      </c>
      <c r="AL115" s="399">
        <v>59.943730308836209</v>
      </c>
      <c r="AM115" s="399"/>
      <c r="AN115" s="399">
        <v>10.884048810628579</v>
      </c>
      <c r="AO115" s="399">
        <v>0</v>
      </c>
      <c r="AP115" s="399">
        <v>0</v>
      </c>
      <c r="AQ115" s="399">
        <v>0</v>
      </c>
      <c r="AR115" s="399">
        <v>0</v>
      </c>
      <c r="AS115" s="399">
        <v>0</v>
      </c>
      <c r="AT115" s="399">
        <v>0</v>
      </c>
      <c r="AU115" s="399">
        <v>0</v>
      </c>
      <c r="AV115" s="399">
        <v>0</v>
      </c>
      <c r="AW115" s="399">
        <v>0</v>
      </c>
      <c r="AX115" s="399">
        <v>0</v>
      </c>
      <c r="AY115" s="399">
        <v>0</v>
      </c>
      <c r="AZ115" s="399">
        <v>0</v>
      </c>
      <c r="BA115" s="399"/>
      <c r="BB115" s="399">
        <v>0</v>
      </c>
      <c r="BC115" s="399">
        <v>0</v>
      </c>
      <c r="BD115" s="399">
        <v>0</v>
      </c>
      <c r="BE115" s="399">
        <v>0</v>
      </c>
      <c r="BF115" s="399">
        <v>0</v>
      </c>
      <c r="BG115" s="399">
        <v>213.63773809591632</v>
      </c>
      <c r="BH115" s="399">
        <v>0</v>
      </c>
      <c r="BI115" s="399">
        <v>25.94</v>
      </c>
      <c r="BJ115" s="399">
        <v>115.53</v>
      </c>
      <c r="BK115" s="399">
        <v>521.76</v>
      </c>
      <c r="BL115" s="399">
        <v>10</v>
      </c>
      <c r="BM115" s="399"/>
      <c r="BN115" s="399"/>
      <c r="BO115" s="399"/>
      <c r="BP115" s="399"/>
      <c r="BQ115" s="399"/>
      <c r="BR115" s="399"/>
      <c r="BS115" s="399"/>
      <c r="BT115" s="399"/>
      <c r="BU115" s="399"/>
      <c r="BV115" s="399">
        <v>2039.0137173349467</v>
      </c>
      <c r="BW115" s="399"/>
      <c r="BX115" s="399"/>
      <c r="BY115" s="399"/>
      <c r="BZ115" s="399"/>
      <c r="CA115" s="399"/>
      <c r="CB115" s="399"/>
      <c r="CC115" s="399"/>
      <c r="CD115" s="399"/>
      <c r="CE115" s="399"/>
      <c r="CF115" s="399"/>
      <c r="CG115" s="399"/>
      <c r="CH115" s="399"/>
      <c r="CI115" s="399">
        <v>4356.2519000000002</v>
      </c>
      <c r="CJ115" s="399">
        <v>-1350.6721400000006</v>
      </c>
      <c r="CK115" s="399"/>
      <c r="CL115" s="399"/>
      <c r="CM115" s="399"/>
      <c r="CN115" s="399"/>
      <c r="CO115" s="399">
        <v>-935.49266999999975</v>
      </c>
      <c r="CP115" s="399">
        <v>-413.09786000000014</v>
      </c>
      <c r="CQ115" s="399">
        <v>31</v>
      </c>
      <c r="CR115" s="399">
        <v>-471.39811690521765</v>
      </c>
      <c r="CS115" s="399">
        <v>0</v>
      </c>
      <c r="CT115" s="399">
        <v>0</v>
      </c>
      <c r="CU115" s="399">
        <v>0</v>
      </c>
      <c r="CV115" s="399">
        <v>0</v>
      </c>
      <c r="CW115" s="399">
        <v>0</v>
      </c>
      <c r="CX115" s="399">
        <v>0</v>
      </c>
      <c r="CY115" s="399">
        <v>0</v>
      </c>
      <c r="CZ115" s="399">
        <v>21.356686392312781</v>
      </c>
      <c r="DA115" s="399">
        <v>0</v>
      </c>
      <c r="DB115" s="399">
        <v>0</v>
      </c>
      <c r="DC115" s="399">
        <v>-413.14100194088019</v>
      </c>
      <c r="DD115" s="399">
        <v>0</v>
      </c>
      <c r="DE115" s="399">
        <v>0</v>
      </c>
      <c r="DF115" s="399">
        <v>0</v>
      </c>
      <c r="DG115" s="399">
        <v>-48.3530572184508</v>
      </c>
      <c r="DH115" s="399">
        <v>0</v>
      </c>
      <c r="DI115" s="399">
        <v>-26.90890680911923</v>
      </c>
      <c r="DJ115" s="399"/>
      <c r="DK115" s="399">
        <v>0</v>
      </c>
      <c r="DL115" s="399">
        <v>0</v>
      </c>
      <c r="DM115" s="399">
        <v>0</v>
      </c>
      <c r="DN115" s="399">
        <v>0</v>
      </c>
      <c r="DO115" s="399">
        <v>-3.4304777000197149</v>
      </c>
      <c r="DP115" s="399">
        <v>-0.92135962906115942</v>
      </c>
      <c r="DQ115" s="399">
        <v>0</v>
      </c>
      <c r="DR115" s="399">
        <v>0</v>
      </c>
      <c r="DS115" s="399"/>
      <c r="DT115" s="399"/>
      <c r="DU115" s="399"/>
      <c r="DV115" s="399">
        <v>2403.9720453765372</v>
      </c>
      <c r="DW115" s="399">
        <v>0</v>
      </c>
      <c r="DX115" s="399">
        <v>0</v>
      </c>
      <c r="DY115" s="399">
        <v>-935.49266999999963</v>
      </c>
      <c r="DZ115" s="399">
        <v>-413.09786000000008</v>
      </c>
      <c r="EA115" s="399">
        <v>0</v>
      </c>
      <c r="EB115" s="399">
        <v>0</v>
      </c>
      <c r="EC115" s="399">
        <v>-877.2096829590821</v>
      </c>
      <c r="ED115" s="399">
        <v>0</v>
      </c>
      <c r="EE115" s="399">
        <v>0</v>
      </c>
      <c r="EF115" s="399">
        <v>0</v>
      </c>
      <c r="EG115" s="399">
        <v>0</v>
      </c>
      <c r="EH115" s="399">
        <v>0</v>
      </c>
      <c r="EI115" s="399">
        <v>0</v>
      </c>
      <c r="EJ115" s="399">
        <v>0</v>
      </c>
      <c r="EK115" s="399">
        <v>0</v>
      </c>
      <c r="EL115" s="399">
        <v>0</v>
      </c>
      <c r="EM115" s="399">
        <v>0</v>
      </c>
      <c r="EN115" s="399">
        <v>0</v>
      </c>
      <c r="EO115" s="399">
        <v>0</v>
      </c>
      <c r="EP115" s="399">
        <v>182.89383245272464</v>
      </c>
      <c r="EQ115" s="399">
        <v>0</v>
      </c>
      <c r="ER115" s="399">
        <v>0</v>
      </c>
      <c r="ES115" s="399">
        <v>0</v>
      </c>
      <c r="ET115" s="399">
        <v>0</v>
      </c>
      <c r="EU115" s="399">
        <v>0</v>
      </c>
      <c r="EV115" s="399">
        <v>202</v>
      </c>
      <c r="EW115" s="399">
        <v>0</v>
      </c>
      <c r="EX115" s="399">
        <v>0</v>
      </c>
      <c r="EY115" s="399">
        <v>0</v>
      </c>
      <c r="EZ115" s="399"/>
      <c r="FA115" s="399">
        <v>0</v>
      </c>
      <c r="FB115" s="399">
        <v>-17.698635468909799</v>
      </c>
      <c r="FC115" s="399"/>
      <c r="FD115" s="399">
        <v>-17.698635468909799</v>
      </c>
      <c r="FE115" s="399"/>
      <c r="FF115" s="399">
        <v>0</v>
      </c>
      <c r="FG115" s="399">
        <v>0</v>
      </c>
      <c r="FH115" s="399">
        <v>0</v>
      </c>
      <c r="FI115" s="399">
        <v>0</v>
      </c>
    </row>
    <row r="116" spans="1:165" s="818" customFormat="1">
      <c r="A116" s="399">
        <v>114</v>
      </c>
      <c r="B116" s="399" t="s">
        <v>956</v>
      </c>
      <c r="C116" s="399" t="s">
        <v>2402</v>
      </c>
      <c r="D116" s="399" t="s">
        <v>1826</v>
      </c>
      <c r="E116" s="399" t="s">
        <v>921</v>
      </c>
      <c r="F116" s="399" t="s">
        <v>2401</v>
      </c>
      <c r="G116" s="399" t="s">
        <v>1239</v>
      </c>
      <c r="H116" s="399" t="s">
        <v>1239</v>
      </c>
      <c r="I116" s="399" t="s">
        <v>1239</v>
      </c>
      <c r="J116" s="399" t="s">
        <v>2400</v>
      </c>
      <c r="K116" s="788">
        <v>44562</v>
      </c>
      <c r="L116" s="399">
        <v>0</v>
      </c>
      <c r="M116" s="399">
        <v>0</v>
      </c>
      <c r="N116" s="399">
        <v>37.966000000000001</v>
      </c>
      <c r="O116" s="399">
        <v>35.688040000000001</v>
      </c>
      <c r="P116" s="399">
        <v>37.966000000000001</v>
      </c>
      <c r="Q116" s="399">
        <v>35.688040000000001</v>
      </c>
      <c r="R116" s="399"/>
      <c r="S116" s="399">
        <v>609.05999999999995</v>
      </c>
      <c r="T116" s="399">
        <v>286.42</v>
      </c>
      <c r="U116" s="399"/>
      <c r="V116" s="399">
        <v>33997.793680000002</v>
      </c>
      <c r="W116" s="399">
        <v>33997.793680000002</v>
      </c>
      <c r="X116" s="399">
        <v>25963.808420000001</v>
      </c>
      <c r="Y116" s="399">
        <v>0</v>
      </c>
      <c r="Z116" s="399">
        <v>2310.6638733444329</v>
      </c>
      <c r="AA116" s="399">
        <v>0</v>
      </c>
      <c r="AB116" s="399">
        <v>0</v>
      </c>
      <c r="AC116" s="399">
        <v>0</v>
      </c>
      <c r="AD116" s="399">
        <v>3707.461525197662</v>
      </c>
      <c r="AE116" s="399">
        <v>14321.230609566233</v>
      </c>
      <c r="AF116" s="399">
        <v>10874.348725527856</v>
      </c>
      <c r="AG116" s="399">
        <v>0</v>
      </c>
      <c r="AH116" s="399">
        <v>0</v>
      </c>
      <c r="AI116" s="399">
        <v>0</v>
      </c>
      <c r="AJ116" s="399">
        <v>0</v>
      </c>
      <c r="AK116" s="399">
        <v>0</v>
      </c>
      <c r="AL116" s="399">
        <v>357.10398005731611</v>
      </c>
      <c r="AM116" s="399"/>
      <c r="AN116" s="399">
        <v>64.839761045712322</v>
      </c>
      <c r="AO116" s="399">
        <v>0</v>
      </c>
      <c r="AP116" s="399">
        <v>0</v>
      </c>
      <c r="AQ116" s="399">
        <v>0</v>
      </c>
      <c r="AR116" s="399">
        <v>0</v>
      </c>
      <c r="AS116" s="399">
        <v>0</v>
      </c>
      <c r="AT116" s="399">
        <v>0</v>
      </c>
      <c r="AU116" s="399">
        <v>0</v>
      </c>
      <c r="AV116" s="399">
        <v>0</v>
      </c>
      <c r="AW116" s="399">
        <v>0</v>
      </c>
      <c r="AX116" s="399">
        <v>0</v>
      </c>
      <c r="AY116" s="399">
        <v>0</v>
      </c>
      <c r="AZ116" s="399">
        <v>0</v>
      </c>
      <c r="BA116" s="399"/>
      <c r="BB116" s="399">
        <v>0</v>
      </c>
      <c r="BC116" s="399">
        <v>0</v>
      </c>
      <c r="BD116" s="399">
        <v>0</v>
      </c>
      <c r="BE116" s="399">
        <v>0</v>
      </c>
      <c r="BF116" s="399">
        <v>0</v>
      </c>
      <c r="BG116" s="399">
        <v>1272.7083578455295</v>
      </c>
      <c r="BH116" s="399">
        <v>0</v>
      </c>
      <c r="BI116" s="399">
        <v>91.83</v>
      </c>
      <c r="BJ116" s="399">
        <v>343.67</v>
      </c>
      <c r="BK116" s="399">
        <v>6983.36</v>
      </c>
      <c r="BL116" s="399">
        <v>6</v>
      </c>
      <c r="BM116" s="399"/>
      <c r="BN116" s="399"/>
      <c r="BO116" s="399"/>
      <c r="BP116" s="399"/>
      <c r="BQ116" s="399">
        <v>1557.8285052000001</v>
      </c>
      <c r="BR116" s="399"/>
      <c r="BS116" s="399"/>
      <c r="BT116" s="399"/>
      <c r="BU116" s="399"/>
      <c r="BV116" s="399">
        <v>12147.057083373385</v>
      </c>
      <c r="BW116" s="399"/>
      <c r="BX116" s="399"/>
      <c r="BY116" s="399"/>
      <c r="BZ116" s="399"/>
      <c r="CA116" s="399"/>
      <c r="CB116" s="399"/>
      <c r="CC116" s="399"/>
      <c r="CD116" s="399"/>
      <c r="CE116" s="399"/>
      <c r="CF116" s="399"/>
      <c r="CG116" s="399"/>
      <c r="CH116" s="399"/>
      <c r="CI116" s="399">
        <v>24407.320299999996</v>
      </c>
      <c r="CJ116" s="399">
        <v>-7550.6357591999986</v>
      </c>
      <c r="CK116" s="399"/>
      <c r="CL116" s="399"/>
      <c r="CM116" s="399"/>
      <c r="CN116" s="399"/>
      <c r="CO116" s="399">
        <v>-5573.0291399999987</v>
      </c>
      <c r="CP116" s="399">
        <v>-2460.9561200000007</v>
      </c>
      <c r="CQ116" s="399">
        <v>31</v>
      </c>
      <c r="CR116" s="399">
        <v>-2808.2694031733154</v>
      </c>
      <c r="CS116" s="399">
        <v>0</v>
      </c>
      <c r="CT116" s="399">
        <v>0</v>
      </c>
      <c r="CU116" s="399">
        <v>0</v>
      </c>
      <c r="CV116" s="399">
        <v>0</v>
      </c>
      <c r="CW116" s="399">
        <v>0</v>
      </c>
      <c r="CX116" s="399">
        <v>0</v>
      </c>
      <c r="CY116" s="399">
        <v>0</v>
      </c>
      <c r="CZ116" s="399">
        <v>127.22861377224899</v>
      </c>
      <c r="DA116" s="399">
        <v>0</v>
      </c>
      <c r="DB116" s="399">
        <v>0</v>
      </c>
      <c r="DC116" s="399">
        <v>-2461.2131303448077</v>
      </c>
      <c r="DD116" s="399">
        <v>0</v>
      </c>
      <c r="DE116" s="399">
        <v>0</v>
      </c>
      <c r="DF116" s="399">
        <v>0</v>
      </c>
      <c r="DG116" s="399">
        <v>-288.05463209723894</v>
      </c>
      <c r="DH116" s="399">
        <v>0</v>
      </c>
      <c r="DI116" s="399">
        <v>-160.30496719206349</v>
      </c>
      <c r="DJ116" s="399"/>
      <c r="DK116" s="399">
        <v>0</v>
      </c>
      <c r="DL116" s="399">
        <v>0</v>
      </c>
      <c r="DM116" s="399">
        <v>0</v>
      </c>
      <c r="DN116" s="399">
        <v>0</v>
      </c>
      <c r="DO116" s="399">
        <v>-20.436453218099587</v>
      </c>
      <c r="DP116" s="399">
        <v>-5.4888340933525726</v>
      </c>
      <c r="DQ116" s="399">
        <v>0</v>
      </c>
      <c r="DR116" s="399">
        <v>0</v>
      </c>
      <c r="DS116" s="399"/>
      <c r="DT116" s="399"/>
      <c r="DU116" s="399"/>
      <c r="DV116" s="399">
        <v>14321.230609566233</v>
      </c>
      <c r="DW116" s="399">
        <v>0</v>
      </c>
      <c r="DX116" s="399">
        <v>0</v>
      </c>
      <c r="DY116" s="399">
        <v>-5573.0291399999987</v>
      </c>
      <c r="DZ116" s="399">
        <v>-2460.9561200000007</v>
      </c>
      <c r="EA116" s="399">
        <v>0</v>
      </c>
      <c r="EB116" s="399">
        <v>0</v>
      </c>
      <c r="EC116" s="399">
        <v>-5225.8187389337054</v>
      </c>
      <c r="ED116" s="399">
        <v>0</v>
      </c>
      <c r="EE116" s="399">
        <v>0</v>
      </c>
      <c r="EF116" s="399">
        <v>0</v>
      </c>
      <c r="EG116" s="399">
        <v>0</v>
      </c>
      <c r="EH116" s="399">
        <v>0</v>
      </c>
      <c r="EI116" s="399">
        <v>0</v>
      </c>
      <c r="EJ116" s="399">
        <v>0</v>
      </c>
      <c r="EK116" s="399">
        <v>0</v>
      </c>
      <c r="EL116" s="399">
        <v>0</v>
      </c>
      <c r="EM116" s="399">
        <v>0</v>
      </c>
      <c r="EN116" s="399">
        <v>0</v>
      </c>
      <c r="EO116" s="399">
        <v>0</v>
      </c>
      <c r="EP116" s="399">
        <v>1089.557075615902</v>
      </c>
      <c r="EQ116" s="399">
        <v>0</v>
      </c>
      <c r="ER116" s="399">
        <v>0</v>
      </c>
      <c r="ES116" s="399">
        <v>0</v>
      </c>
      <c r="ET116" s="399">
        <v>0</v>
      </c>
      <c r="EU116" s="399">
        <v>0</v>
      </c>
      <c r="EV116" s="399">
        <v>202</v>
      </c>
      <c r="EW116" s="399">
        <v>0</v>
      </c>
      <c r="EX116" s="399">
        <v>0</v>
      </c>
      <c r="EY116" s="399">
        <v>0</v>
      </c>
      <c r="EZ116" s="399"/>
      <c r="FA116" s="399">
        <v>0</v>
      </c>
      <c r="FB116" s="399">
        <v>-17.698635468909799</v>
      </c>
      <c r="FC116" s="399"/>
      <c r="FD116" s="399">
        <v>-17.698635468909799</v>
      </c>
      <c r="FE116" s="399"/>
      <c r="FF116" s="399">
        <v>0</v>
      </c>
      <c r="FG116" s="399">
        <v>0</v>
      </c>
      <c r="FH116" s="399">
        <v>0</v>
      </c>
      <c r="FI116" s="399">
        <v>0</v>
      </c>
    </row>
    <row r="117" spans="1:165" s="818" customFormat="1">
      <c r="A117" s="399">
        <v>113</v>
      </c>
      <c r="B117" s="399" t="s">
        <v>956</v>
      </c>
      <c r="C117" s="399" t="s">
        <v>2402</v>
      </c>
      <c r="D117" s="399" t="s">
        <v>2413</v>
      </c>
      <c r="E117" s="399" t="s">
        <v>2414</v>
      </c>
      <c r="F117" s="399" t="s">
        <v>2415</v>
      </c>
      <c r="G117" s="399" t="s">
        <v>1239</v>
      </c>
      <c r="H117" s="399" t="s">
        <v>1239</v>
      </c>
      <c r="I117" s="399" t="s">
        <v>1239</v>
      </c>
      <c r="J117" s="399" t="s">
        <v>2400</v>
      </c>
      <c r="K117" s="788">
        <v>44562</v>
      </c>
      <c r="L117" s="399">
        <v>0</v>
      </c>
      <c r="M117" s="399">
        <v>0</v>
      </c>
      <c r="N117" s="399">
        <v>46.963999999999999</v>
      </c>
      <c r="O117" s="399">
        <v>46.963999999999999</v>
      </c>
      <c r="P117" s="399">
        <v>46.963999999999999</v>
      </c>
      <c r="Q117" s="399">
        <v>46.963999999999999</v>
      </c>
      <c r="R117" s="399"/>
      <c r="S117" s="399">
        <v>334.98</v>
      </c>
      <c r="T117" s="399">
        <v>157.53</v>
      </c>
      <c r="U117" s="399"/>
      <c r="V117" s="399">
        <v>23130.23964</v>
      </c>
      <c r="W117" s="399">
        <v>23130.23964</v>
      </c>
      <c r="X117" s="399">
        <v>17664.569319999999</v>
      </c>
      <c r="Y117" s="399">
        <v>0</v>
      </c>
      <c r="Z117" s="399">
        <v>1572.0621077085107</v>
      </c>
      <c r="AA117" s="399">
        <v>0</v>
      </c>
      <c r="AB117" s="399">
        <v>0</v>
      </c>
      <c r="AC117" s="399">
        <v>0</v>
      </c>
      <c r="AD117" s="399">
        <v>2522.3745637718112</v>
      </c>
      <c r="AE117" s="399">
        <v>9743.4612782810527</v>
      </c>
      <c r="AF117" s="399">
        <v>7398.3722923175765</v>
      </c>
      <c r="AG117" s="399">
        <v>0</v>
      </c>
      <c r="AH117" s="399">
        <v>0</v>
      </c>
      <c r="AI117" s="399">
        <v>0</v>
      </c>
      <c r="AJ117" s="399">
        <v>0</v>
      </c>
      <c r="AK117" s="399">
        <v>0</v>
      </c>
      <c r="AL117" s="399">
        <v>242.95599287985272</v>
      </c>
      <c r="AM117" s="399"/>
      <c r="AN117" s="399">
        <v>44.113785907468746</v>
      </c>
      <c r="AO117" s="399">
        <v>0</v>
      </c>
      <c r="AP117" s="399">
        <v>0</v>
      </c>
      <c r="AQ117" s="399">
        <v>0</v>
      </c>
      <c r="AR117" s="399">
        <v>0</v>
      </c>
      <c r="AS117" s="399">
        <v>0</v>
      </c>
      <c r="AT117" s="399">
        <v>0</v>
      </c>
      <c r="AU117" s="399">
        <v>0</v>
      </c>
      <c r="AV117" s="399">
        <v>0</v>
      </c>
      <c r="AW117" s="399">
        <v>0</v>
      </c>
      <c r="AX117" s="399">
        <v>0</v>
      </c>
      <c r="AY117" s="399">
        <v>0</v>
      </c>
      <c r="AZ117" s="399">
        <v>0</v>
      </c>
      <c r="BA117" s="399"/>
      <c r="BB117" s="399">
        <v>0</v>
      </c>
      <c r="BC117" s="399">
        <v>0</v>
      </c>
      <c r="BD117" s="399">
        <v>0</v>
      </c>
      <c r="BE117" s="399">
        <v>0</v>
      </c>
      <c r="BF117" s="399">
        <v>0</v>
      </c>
      <c r="BG117" s="399">
        <v>865.88820062217917</v>
      </c>
      <c r="BH117" s="399">
        <v>0</v>
      </c>
      <c r="BI117" s="399">
        <v>34.82</v>
      </c>
      <c r="BJ117" s="399">
        <v>160.66</v>
      </c>
      <c r="BK117" s="399">
        <v>5384.38</v>
      </c>
      <c r="BL117" s="399">
        <v>3</v>
      </c>
      <c r="BM117" s="399"/>
      <c r="BN117" s="399"/>
      <c r="BO117" s="399"/>
      <c r="BP117" s="399"/>
      <c r="BQ117" s="399"/>
      <c r="BR117" s="399"/>
      <c r="BS117" s="399"/>
      <c r="BT117" s="399"/>
      <c r="BU117" s="399"/>
      <c r="BV117" s="399">
        <v>8264.2604929397548</v>
      </c>
      <c r="BW117" s="399"/>
      <c r="BX117" s="399"/>
      <c r="BY117" s="399"/>
      <c r="BZ117" s="399"/>
      <c r="CA117" s="399"/>
      <c r="CB117" s="399"/>
      <c r="CC117" s="399"/>
      <c r="CD117" s="399"/>
      <c r="CE117" s="399"/>
      <c r="CF117" s="399"/>
      <c r="CG117" s="399"/>
      <c r="CH117" s="399"/>
      <c r="CI117" s="399">
        <v>17663.0648</v>
      </c>
      <c r="CJ117" s="399">
        <v>-5467.2048399999985</v>
      </c>
      <c r="CK117" s="399"/>
      <c r="CL117" s="399"/>
      <c r="CM117" s="399"/>
      <c r="CN117" s="399"/>
      <c r="CO117" s="399">
        <v>-3791.4037200000007</v>
      </c>
      <c r="CP117" s="399">
        <v>-1674.2666000000002</v>
      </c>
      <c r="CQ117" s="399">
        <v>31</v>
      </c>
      <c r="CR117" s="399">
        <v>-1910.6084480284517</v>
      </c>
      <c r="CS117" s="399">
        <v>0</v>
      </c>
      <c r="CT117" s="399">
        <v>0</v>
      </c>
      <c r="CU117" s="399">
        <v>0</v>
      </c>
      <c r="CV117" s="399">
        <v>0</v>
      </c>
      <c r="CW117" s="399">
        <v>0</v>
      </c>
      <c r="CX117" s="399">
        <v>0</v>
      </c>
      <c r="CY117" s="399">
        <v>0</v>
      </c>
      <c r="CZ117" s="399">
        <v>86.560094280660905</v>
      </c>
      <c r="DA117" s="399">
        <v>0</v>
      </c>
      <c r="DB117" s="399">
        <v>0</v>
      </c>
      <c r="DC117" s="399">
        <v>-1674.4884212040461</v>
      </c>
      <c r="DD117" s="399">
        <v>0</v>
      </c>
      <c r="DE117" s="399">
        <v>0</v>
      </c>
      <c r="DF117" s="399">
        <v>0</v>
      </c>
      <c r="DG117" s="399">
        <v>-195.97821097819588</v>
      </c>
      <c r="DH117" s="399">
        <v>0</v>
      </c>
      <c r="DI117" s="399">
        <v>-109.06361912143711</v>
      </c>
      <c r="DJ117" s="399"/>
      <c r="DK117" s="399">
        <v>0</v>
      </c>
      <c r="DL117" s="399">
        <v>0</v>
      </c>
      <c r="DM117" s="399">
        <v>0</v>
      </c>
      <c r="DN117" s="399">
        <v>0</v>
      </c>
      <c r="DO117" s="399">
        <v>-13.903958118162649</v>
      </c>
      <c r="DP117" s="399">
        <v>-3.7343328872704902</v>
      </c>
      <c r="DQ117" s="399">
        <v>0</v>
      </c>
      <c r="DR117" s="399">
        <v>0</v>
      </c>
      <c r="DS117" s="399"/>
      <c r="DT117" s="399"/>
      <c r="DU117" s="399"/>
      <c r="DV117" s="399">
        <v>9743.4612782810527</v>
      </c>
      <c r="DW117" s="399">
        <v>0</v>
      </c>
      <c r="DX117" s="399">
        <v>0</v>
      </c>
      <c r="DY117" s="399">
        <v>-3791.4037200000002</v>
      </c>
      <c r="DZ117" s="399">
        <v>-1674.2665999999999</v>
      </c>
      <c r="EA117" s="399">
        <v>0</v>
      </c>
      <c r="EB117" s="399">
        <v>0</v>
      </c>
      <c r="EC117" s="399">
        <v>-3555.3901698995551</v>
      </c>
      <c r="ED117" s="399">
        <v>0</v>
      </c>
      <c r="EE117" s="399">
        <v>0</v>
      </c>
      <c r="EF117" s="399">
        <v>0</v>
      </c>
      <c r="EG117" s="399">
        <v>0</v>
      </c>
      <c r="EH117" s="399">
        <v>0</v>
      </c>
      <c r="EI117" s="399">
        <v>0</v>
      </c>
      <c r="EJ117" s="399">
        <v>0</v>
      </c>
      <c r="EK117" s="399">
        <v>0</v>
      </c>
      <c r="EL117" s="399">
        <v>0</v>
      </c>
      <c r="EM117" s="399">
        <v>0</v>
      </c>
      <c r="EN117" s="399">
        <v>0</v>
      </c>
      <c r="EO117" s="399">
        <v>0</v>
      </c>
      <c r="EP117" s="399">
        <v>741.28107186887905</v>
      </c>
      <c r="EQ117" s="399">
        <v>0</v>
      </c>
      <c r="ER117" s="399">
        <v>0</v>
      </c>
      <c r="ES117" s="399">
        <v>0</v>
      </c>
      <c r="ET117" s="399">
        <v>0</v>
      </c>
      <c r="EU117" s="399">
        <v>0</v>
      </c>
      <c r="EV117" s="399">
        <v>202</v>
      </c>
      <c r="EW117" s="399">
        <v>0</v>
      </c>
      <c r="EX117" s="399">
        <v>0</v>
      </c>
      <c r="EY117" s="399">
        <v>0</v>
      </c>
      <c r="EZ117" s="399"/>
      <c r="FA117" s="399">
        <v>0</v>
      </c>
      <c r="FB117" s="399">
        <v>-9.7342495079003708</v>
      </c>
      <c r="FC117" s="399"/>
      <c r="FD117" s="399">
        <v>-9.7342495079003708</v>
      </c>
      <c r="FE117" s="399"/>
      <c r="FF117" s="399">
        <v>0</v>
      </c>
      <c r="FG117" s="399">
        <v>0</v>
      </c>
      <c r="FH117" s="399">
        <v>0</v>
      </c>
      <c r="FI117" s="399">
        <v>0</v>
      </c>
    </row>
    <row r="118" spans="1:165" s="818" customFormat="1">
      <c r="A118" s="399">
        <v>116</v>
      </c>
      <c r="B118" s="399" t="s">
        <v>956</v>
      </c>
      <c r="C118" s="399" t="s">
        <v>2399</v>
      </c>
      <c r="D118" s="399" t="s">
        <v>533</v>
      </c>
      <c r="E118" s="399" t="s">
        <v>921</v>
      </c>
      <c r="F118" s="399" t="s">
        <v>2401</v>
      </c>
      <c r="G118" s="399" t="s">
        <v>1239</v>
      </c>
      <c r="H118" s="399" t="s">
        <v>1239</v>
      </c>
      <c r="I118" s="399" t="s">
        <v>2326</v>
      </c>
      <c r="J118" s="399" t="s">
        <v>2400</v>
      </c>
      <c r="K118" s="788">
        <v>44562</v>
      </c>
      <c r="L118" s="399">
        <v>0</v>
      </c>
      <c r="M118" s="399">
        <v>0</v>
      </c>
      <c r="N118" s="399">
        <v>200.84200000000001</v>
      </c>
      <c r="O118" s="399">
        <v>188.79148000000001</v>
      </c>
      <c r="P118" s="399">
        <v>200.84200000000001</v>
      </c>
      <c r="Q118" s="399">
        <v>188.79148000000001</v>
      </c>
      <c r="R118" s="399"/>
      <c r="S118" s="399">
        <v>100.48</v>
      </c>
      <c r="T118" s="399">
        <v>286.42</v>
      </c>
      <c r="U118" s="399"/>
      <c r="V118" s="399">
        <v>77705.769800000009</v>
      </c>
      <c r="W118" s="399">
        <v>77705.769800000009</v>
      </c>
      <c r="X118" s="399">
        <v>63281.297360000004</v>
      </c>
      <c r="Y118" s="399">
        <v>0</v>
      </c>
      <c r="Z118" s="399">
        <v>10634.466830208899</v>
      </c>
      <c r="AA118" s="399">
        <v>0</v>
      </c>
      <c r="AB118" s="399">
        <v>0</v>
      </c>
      <c r="AC118" s="399">
        <v>0</v>
      </c>
      <c r="AD118" s="399">
        <v>0</v>
      </c>
      <c r="AE118" s="399">
        <v>0</v>
      </c>
      <c r="AF118" s="399">
        <v>57525.837505464515</v>
      </c>
      <c r="AG118" s="399">
        <v>0</v>
      </c>
      <c r="AH118" s="399">
        <v>0</v>
      </c>
      <c r="AI118" s="399">
        <v>0</v>
      </c>
      <c r="AJ118" s="399">
        <v>0</v>
      </c>
      <c r="AK118" s="399">
        <v>0</v>
      </c>
      <c r="AL118" s="399">
        <v>1889.097549456658</v>
      </c>
      <c r="AM118" s="399"/>
      <c r="AN118" s="399">
        <v>275.17109907359179</v>
      </c>
      <c r="AO118" s="399">
        <v>0</v>
      </c>
      <c r="AP118" s="399">
        <v>0</v>
      </c>
      <c r="AQ118" s="399">
        <v>0</v>
      </c>
      <c r="AR118" s="399">
        <v>0</v>
      </c>
      <c r="AS118" s="399">
        <v>0</v>
      </c>
      <c r="AT118" s="399">
        <v>0</v>
      </c>
      <c r="AU118" s="399">
        <v>0</v>
      </c>
      <c r="AV118" s="399">
        <v>0</v>
      </c>
      <c r="AW118" s="399">
        <v>0</v>
      </c>
      <c r="AX118" s="399">
        <v>0</v>
      </c>
      <c r="AY118" s="399">
        <v>0</v>
      </c>
      <c r="AZ118" s="399">
        <v>0</v>
      </c>
      <c r="BA118" s="399"/>
      <c r="BB118" s="399">
        <v>0</v>
      </c>
      <c r="BC118" s="399">
        <v>0</v>
      </c>
      <c r="BD118" s="399">
        <v>0</v>
      </c>
      <c r="BE118" s="399">
        <v>0</v>
      </c>
      <c r="BF118" s="399">
        <v>0</v>
      </c>
      <c r="BG118" s="399">
        <v>2367.3840127552498</v>
      </c>
      <c r="BH118" s="399">
        <v>0</v>
      </c>
      <c r="BI118" s="399">
        <v>0</v>
      </c>
      <c r="BJ118" s="399">
        <v>0</v>
      </c>
      <c r="BK118" s="399">
        <v>0</v>
      </c>
      <c r="BL118" s="399">
        <v>0</v>
      </c>
      <c r="BM118" s="399"/>
      <c r="BN118" s="399"/>
      <c r="BO118" s="399"/>
      <c r="BP118" s="399"/>
      <c r="BQ118" s="399">
        <v>3796.8778416000018</v>
      </c>
      <c r="BR118" s="399"/>
      <c r="BS118" s="399"/>
      <c r="BT118" s="399"/>
      <c r="BU118" s="399"/>
      <c r="BV118" s="399">
        <v>59893.221518219761</v>
      </c>
      <c r="BW118" s="399"/>
      <c r="BX118" s="399"/>
      <c r="BY118" s="399"/>
      <c r="BZ118" s="399"/>
      <c r="CA118" s="399"/>
      <c r="CB118" s="399"/>
      <c r="CC118" s="399"/>
      <c r="CD118" s="399"/>
      <c r="CE118" s="399"/>
      <c r="CF118" s="399"/>
      <c r="CG118" s="399"/>
      <c r="CH118" s="399"/>
      <c r="CI118" s="399">
        <v>59483.953199999989</v>
      </c>
      <c r="CJ118" s="399">
        <v>-13559.500412000009</v>
      </c>
      <c r="CK118" s="399"/>
      <c r="CL118" s="399"/>
      <c r="CM118" s="399"/>
      <c r="CN118" s="399"/>
      <c r="CO118" s="399">
        <v>-1405.894</v>
      </c>
      <c r="CP118" s="399">
        <v>-13018.578440000005</v>
      </c>
      <c r="CQ118" s="399">
        <v>31</v>
      </c>
      <c r="CR118" s="399">
        <v>-14424.934888024429</v>
      </c>
      <c r="CS118" s="399">
        <v>0</v>
      </c>
      <c r="CT118" s="399">
        <v>0</v>
      </c>
      <c r="CU118" s="399">
        <v>0</v>
      </c>
      <c r="CV118" s="399">
        <v>0</v>
      </c>
      <c r="CW118" s="399">
        <v>0</v>
      </c>
      <c r="CX118" s="399">
        <v>0</v>
      </c>
      <c r="CY118" s="399">
        <v>0</v>
      </c>
      <c r="CZ118" s="399">
        <v>0</v>
      </c>
      <c r="DA118" s="399">
        <v>0</v>
      </c>
      <c r="DB118" s="399">
        <v>0</v>
      </c>
      <c r="DC118" s="399">
        <v>-13019.938037315274</v>
      </c>
      <c r="DD118" s="399">
        <v>0</v>
      </c>
      <c r="DE118" s="399">
        <v>0</v>
      </c>
      <c r="DF118" s="399">
        <v>0</v>
      </c>
      <c r="DG118" s="399">
        <v>-535.81476590717079</v>
      </c>
      <c r="DH118" s="399">
        <v>0</v>
      </c>
      <c r="DI118" s="399">
        <v>-737.7783830818662</v>
      </c>
      <c r="DJ118" s="399"/>
      <c r="DK118" s="399">
        <v>0</v>
      </c>
      <c r="DL118" s="399">
        <v>0</v>
      </c>
      <c r="DM118" s="399">
        <v>0</v>
      </c>
      <c r="DN118" s="399">
        <v>0</v>
      </c>
      <c r="DO118" s="399">
        <v>-108.10983873016767</v>
      </c>
      <c r="DP118" s="399">
        <v>-23.293862989957944</v>
      </c>
      <c r="DQ118" s="399">
        <v>0</v>
      </c>
      <c r="DR118" s="399">
        <v>0</v>
      </c>
      <c r="DS118" s="399"/>
      <c r="DT118" s="399"/>
      <c r="DU118" s="399"/>
      <c r="DV118" s="399">
        <v>0</v>
      </c>
      <c r="DW118" s="399">
        <v>0</v>
      </c>
      <c r="DX118" s="399">
        <v>0</v>
      </c>
      <c r="DY118" s="399">
        <v>-1405.8940000000002</v>
      </c>
      <c r="DZ118" s="399">
        <v>-13018.578440000005</v>
      </c>
      <c r="EA118" s="399">
        <v>0</v>
      </c>
      <c r="EB118" s="399">
        <v>0</v>
      </c>
      <c r="EC118" s="399">
        <v>0</v>
      </c>
      <c r="ED118" s="399">
        <v>0</v>
      </c>
      <c r="EE118" s="399">
        <v>0</v>
      </c>
      <c r="EF118" s="399">
        <v>0</v>
      </c>
      <c r="EG118" s="399">
        <v>0</v>
      </c>
      <c r="EH118" s="399">
        <v>0</v>
      </c>
      <c r="EI118" s="399">
        <v>0</v>
      </c>
      <c r="EJ118" s="399">
        <v>0</v>
      </c>
      <c r="EK118" s="399">
        <v>0</v>
      </c>
      <c r="EL118" s="399">
        <v>0</v>
      </c>
      <c r="EM118" s="399">
        <v>0</v>
      </c>
      <c r="EN118" s="399">
        <v>0</v>
      </c>
      <c r="EO118" s="399">
        <v>0</v>
      </c>
      <c r="EP118" s="399">
        <v>5014.5149685860688</v>
      </c>
      <c r="EQ118" s="399">
        <v>0</v>
      </c>
      <c r="ER118" s="399">
        <v>0</v>
      </c>
      <c r="ES118" s="399">
        <v>0</v>
      </c>
      <c r="ET118" s="399">
        <v>0</v>
      </c>
      <c r="EU118" s="399">
        <v>0</v>
      </c>
      <c r="EV118" s="399">
        <v>202</v>
      </c>
      <c r="EW118" s="399">
        <v>0</v>
      </c>
      <c r="EX118" s="399">
        <v>0</v>
      </c>
      <c r="EY118" s="399">
        <v>0</v>
      </c>
      <c r="EZ118" s="399"/>
      <c r="FA118" s="399">
        <v>0</v>
      </c>
      <c r="FB118" s="399">
        <v>-17.698635468909799</v>
      </c>
      <c r="FC118" s="399"/>
      <c r="FD118" s="399">
        <v>-17.698635468909799</v>
      </c>
      <c r="FE118" s="399"/>
      <c r="FF118" s="399">
        <v>0</v>
      </c>
      <c r="FG118" s="399">
        <v>0</v>
      </c>
      <c r="FH118" s="399">
        <v>0</v>
      </c>
      <c r="FI118" s="399">
        <v>0</v>
      </c>
    </row>
    <row r="119" spans="1:165" s="818" customFormat="1">
      <c r="A119" s="399">
        <v>117</v>
      </c>
      <c r="B119" s="399" t="s">
        <v>956</v>
      </c>
      <c r="C119" s="399" t="s">
        <v>2399</v>
      </c>
      <c r="D119" s="399" t="s">
        <v>533</v>
      </c>
      <c r="E119" s="399" t="s">
        <v>921</v>
      </c>
      <c r="F119" s="399" t="s">
        <v>2401</v>
      </c>
      <c r="G119" s="399" t="s">
        <v>1239</v>
      </c>
      <c r="H119" s="399" t="s">
        <v>1239</v>
      </c>
      <c r="I119" s="399" t="s">
        <v>1239</v>
      </c>
      <c r="J119" s="399" t="s">
        <v>2400</v>
      </c>
      <c r="K119" s="788">
        <v>44562</v>
      </c>
      <c r="L119" s="399">
        <v>556</v>
      </c>
      <c r="M119" s="399">
        <v>522.64</v>
      </c>
      <c r="N119" s="399">
        <v>0</v>
      </c>
      <c r="O119" s="399">
        <v>0</v>
      </c>
      <c r="P119" s="399">
        <v>0</v>
      </c>
      <c r="Q119" s="399">
        <v>0</v>
      </c>
      <c r="R119" s="399">
        <v>39.21</v>
      </c>
      <c r="S119" s="399"/>
      <c r="T119" s="399"/>
      <c r="U119" s="399">
        <v>21800.760000000002</v>
      </c>
      <c r="V119" s="399"/>
      <c r="W119" s="399">
        <v>21800.760000000002</v>
      </c>
      <c r="X119" s="399">
        <v>16591.04</v>
      </c>
      <c r="Y119" s="399">
        <v>0</v>
      </c>
      <c r="Z119" s="399">
        <v>0</v>
      </c>
      <c r="AA119" s="399">
        <v>0</v>
      </c>
      <c r="AB119" s="399">
        <v>0</v>
      </c>
      <c r="AC119" s="399">
        <v>0</v>
      </c>
      <c r="AD119" s="399">
        <v>6867.8398590748293</v>
      </c>
      <c r="AE119" s="399">
        <v>14935.267123703527</v>
      </c>
      <c r="AF119" s="399"/>
      <c r="AG119" s="399"/>
      <c r="AH119" s="399"/>
      <c r="AI119" s="399">
        <v>0</v>
      </c>
      <c r="AJ119" s="399">
        <v>0</v>
      </c>
      <c r="AK119" s="399">
        <v>0</v>
      </c>
      <c r="AL119" s="399">
        <v>0</v>
      </c>
      <c r="AM119" s="399"/>
      <c r="AN119" s="399">
        <v>0</v>
      </c>
      <c r="AO119" s="399">
        <v>0</v>
      </c>
      <c r="AP119" s="399">
        <v>0</v>
      </c>
      <c r="AQ119" s="399">
        <v>0</v>
      </c>
      <c r="AR119" s="399">
        <v>0</v>
      </c>
      <c r="AS119" s="399"/>
      <c r="AT119" s="399"/>
      <c r="AU119" s="399">
        <v>0</v>
      </c>
      <c r="AV119" s="399">
        <v>0</v>
      </c>
      <c r="AW119" s="399">
        <v>0</v>
      </c>
      <c r="AX119" s="399"/>
      <c r="AY119" s="399"/>
      <c r="AZ119" s="399">
        <v>0</v>
      </c>
      <c r="BA119" s="399"/>
      <c r="BB119" s="399">
        <v>0</v>
      </c>
      <c r="BC119" s="399">
        <v>0</v>
      </c>
      <c r="BD119" s="399">
        <v>0</v>
      </c>
      <c r="BE119" s="399">
        <v>0</v>
      </c>
      <c r="BF119" s="399"/>
      <c r="BG119" s="399">
        <v>0</v>
      </c>
      <c r="BH119" s="399">
        <v>0</v>
      </c>
      <c r="BI119" s="399">
        <v>221.37</v>
      </c>
      <c r="BJ119" s="399">
        <v>1021.14</v>
      </c>
      <c r="BK119" s="399">
        <v>35224.160000000003</v>
      </c>
      <c r="BL119" s="399">
        <v>2</v>
      </c>
      <c r="BM119" s="399"/>
      <c r="BN119" s="399"/>
      <c r="BO119" s="399"/>
      <c r="BP119" s="399"/>
      <c r="BQ119" s="399">
        <v>995.46240000000046</v>
      </c>
      <c r="BR119" s="399"/>
      <c r="BS119" s="399"/>
      <c r="BT119" s="399"/>
      <c r="BU119" s="399"/>
      <c r="BV119" s="399">
        <v>0</v>
      </c>
      <c r="BW119" s="399"/>
      <c r="BX119" s="399"/>
      <c r="BY119" s="399"/>
      <c r="BZ119" s="399"/>
      <c r="CA119" s="399"/>
      <c r="CB119" s="399"/>
      <c r="CC119" s="399"/>
      <c r="CD119" s="399"/>
      <c r="CE119" s="399"/>
      <c r="CF119" s="399"/>
      <c r="CG119" s="399"/>
      <c r="CH119" s="399"/>
      <c r="CI119" s="399">
        <v>15595.577599999999</v>
      </c>
      <c r="CJ119" s="399">
        <v>-4897.1667999999972</v>
      </c>
      <c r="CK119" s="399"/>
      <c r="CL119" s="399"/>
      <c r="CM119" s="399"/>
      <c r="CN119" s="399"/>
      <c r="CO119" s="399">
        <v>-5209.72</v>
      </c>
      <c r="CP119" s="399">
        <v>0</v>
      </c>
      <c r="CQ119" s="399">
        <v>31</v>
      </c>
      <c r="CR119" s="399">
        <v>235.68302433918689</v>
      </c>
      <c r="CS119" s="399">
        <v>0</v>
      </c>
      <c r="CT119" s="399">
        <v>0</v>
      </c>
      <c r="CU119" s="399">
        <v>0</v>
      </c>
      <c r="CV119" s="399">
        <v>0</v>
      </c>
      <c r="CW119" s="399"/>
      <c r="CX119" s="399"/>
      <c r="CY119" s="399"/>
      <c r="CZ119" s="399">
        <v>235.68302433918689</v>
      </c>
      <c r="DA119" s="399">
        <v>0</v>
      </c>
      <c r="DB119" s="399">
        <v>0</v>
      </c>
      <c r="DC119" s="399"/>
      <c r="DD119" s="399"/>
      <c r="DE119" s="399">
        <v>0</v>
      </c>
      <c r="DF119" s="399">
        <v>0</v>
      </c>
      <c r="DG119" s="399">
        <v>0</v>
      </c>
      <c r="DH119" s="399">
        <v>0</v>
      </c>
      <c r="DI119" s="399">
        <v>0</v>
      </c>
      <c r="DJ119" s="399"/>
      <c r="DK119" s="399">
        <v>0</v>
      </c>
      <c r="DL119" s="399">
        <v>0</v>
      </c>
      <c r="DM119" s="399"/>
      <c r="DN119" s="399">
        <v>0</v>
      </c>
      <c r="DO119" s="399">
        <v>0</v>
      </c>
      <c r="DP119" s="399">
        <v>0</v>
      </c>
      <c r="DQ119" s="399">
        <v>0</v>
      </c>
      <c r="DR119" s="399">
        <v>0</v>
      </c>
      <c r="DS119" s="399"/>
      <c r="DT119" s="399"/>
      <c r="DU119" s="399">
        <v>14935.267123703527</v>
      </c>
      <c r="DV119" s="399"/>
      <c r="DW119" s="399">
        <v>0</v>
      </c>
      <c r="DX119" s="399">
        <v>0</v>
      </c>
      <c r="DY119" s="399">
        <v>-5209.7200000000012</v>
      </c>
      <c r="DZ119" s="399"/>
      <c r="EA119" s="399">
        <v>0</v>
      </c>
      <c r="EB119" s="399"/>
      <c r="EC119" s="399">
        <v>-5449.8807353814664</v>
      </c>
      <c r="ED119" s="399"/>
      <c r="EE119" s="399">
        <v>0</v>
      </c>
      <c r="EF119" s="399">
        <v>0</v>
      </c>
      <c r="EG119" s="399"/>
      <c r="EH119" s="399">
        <v>0</v>
      </c>
      <c r="EI119" s="399">
        <v>0</v>
      </c>
      <c r="EJ119" s="399">
        <v>0</v>
      </c>
      <c r="EK119" s="399">
        <v>0</v>
      </c>
      <c r="EL119" s="399">
        <v>0</v>
      </c>
      <c r="EM119" s="399"/>
      <c r="EN119" s="399"/>
      <c r="EO119" s="399">
        <v>0</v>
      </c>
      <c r="EP119" s="399">
        <v>0</v>
      </c>
      <c r="EQ119" s="399"/>
      <c r="ER119" s="399">
        <v>0</v>
      </c>
      <c r="ES119" s="399"/>
      <c r="ET119" s="399">
        <v>0</v>
      </c>
      <c r="EU119" s="399"/>
      <c r="EV119" s="399">
        <v>202</v>
      </c>
      <c r="EW119" s="399"/>
      <c r="EX119" s="399"/>
      <c r="EY119" s="399"/>
      <c r="EZ119" s="399"/>
      <c r="FA119" s="399">
        <v>0</v>
      </c>
      <c r="FB119" s="399">
        <v>-17.698635468909799</v>
      </c>
      <c r="FC119" s="399"/>
      <c r="FD119" s="399">
        <v>-17.698635468909799</v>
      </c>
      <c r="FE119" s="399"/>
      <c r="FF119" s="399">
        <v>0</v>
      </c>
      <c r="FG119" s="399">
        <v>0</v>
      </c>
      <c r="FH119" s="399">
        <v>0</v>
      </c>
      <c r="FI119" s="399">
        <v>0</v>
      </c>
    </row>
    <row r="120" spans="1:165" s="818" customFormat="1">
      <c r="A120" s="399">
        <v>129</v>
      </c>
      <c r="B120" s="399" t="s">
        <v>956</v>
      </c>
      <c r="C120" s="399" t="s">
        <v>2399</v>
      </c>
      <c r="D120" s="399" t="s">
        <v>533</v>
      </c>
      <c r="E120" s="399" t="s">
        <v>918</v>
      </c>
      <c r="F120" s="399" t="s">
        <v>1239</v>
      </c>
      <c r="G120" s="399" t="s">
        <v>1239</v>
      </c>
      <c r="H120" s="399" t="s">
        <v>1239</v>
      </c>
      <c r="I120" s="399" t="s">
        <v>893</v>
      </c>
      <c r="J120" s="399" t="s">
        <v>2400</v>
      </c>
      <c r="K120" s="788">
        <v>44593</v>
      </c>
      <c r="L120" s="399">
        <v>0</v>
      </c>
      <c r="M120" s="399">
        <v>0</v>
      </c>
      <c r="N120" s="399">
        <v>0.85699999999999998</v>
      </c>
      <c r="O120" s="399">
        <v>0.85699999999999998</v>
      </c>
      <c r="P120" s="399">
        <v>0.85699999999999998</v>
      </c>
      <c r="Q120" s="399">
        <v>0.85699999999999998</v>
      </c>
      <c r="R120" s="399"/>
      <c r="S120" s="399">
        <v>3305.85</v>
      </c>
      <c r="T120" s="399">
        <v>286.42</v>
      </c>
      <c r="U120" s="399"/>
      <c r="V120" s="399">
        <v>3078.57539</v>
      </c>
      <c r="W120" s="399">
        <v>3078.57539</v>
      </c>
      <c r="X120" s="399">
        <v>2237.7127</v>
      </c>
      <c r="Y120" s="399">
        <v>0</v>
      </c>
      <c r="Z120" s="399">
        <v>45.377650459012685</v>
      </c>
      <c r="AA120" s="399">
        <v>0</v>
      </c>
      <c r="AB120" s="399">
        <v>0</v>
      </c>
      <c r="AC120" s="399">
        <v>0</v>
      </c>
      <c r="AD120" s="399">
        <v>558.75120583541423</v>
      </c>
      <c r="AE120" s="399">
        <v>2188.2540852838119</v>
      </c>
      <c r="AF120" s="399">
        <v>245.46480687397599</v>
      </c>
      <c r="AG120" s="399">
        <v>0</v>
      </c>
      <c r="AH120" s="399">
        <v>0</v>
      </c>
      <c r="AI120" s="399">
        <v>0</v>
      </c>
      <c r="AJ120" s="399">
        <v>0</v>
      </c>
      <c r="AK120" s="399">
        <v>0</v>
      </c>
      <c r="AL120" s="399">
        <v>8.0608468342495883</v>
      </c>
      <c r="AM120" s="399"/>
      <c r="AN120" s="399">
        <v>1.1741649251952686</v>
      </c>
      <c r="AO120" s="399">
        <v>0</v>
      </c>
      <c r="AP120" s="399">
        <v>0</v>
      </c>
      <c r="AQ120" s="399">
        <v>0</v>
      </c>
      <c r="AR120" s="399">
        <v>0</v>
      </c>
      <c r="AS120" s="399">
        <v>0</v>
      </c>
      <c r="AT120" s="399">
        <v>0</v>
      </c>
      <c r="AU120" s="399">
        <v>0</v>
      </c>
      <c r="AV120" s="399">
        <v>0</v>
      </c>
      <c r="AW120" s="399">
        <v>0</v>
      </c>
      <c r="AX120" s="399">
        <v>0</v>
      </c>
      <c r="AY120" s="399">
        <v>0</v>
      </c>
      <c r="AZ120" s="399">
        <v>0</v>
      </c>
      <c r="BA120" s="399"/>
      <c r="BB120" s="399">
        <v>0</v>
      </c>
      <c r="BC120" s="399">
        <v>0</v>
      </c>
      <c r="BD120" s="399">
        <v>0</v>
      </c>
      <c r="BE120" s="399">
        <v>0</v>
      </c>
      <c r="BF120" s="399">
        <v>0</v>
      </c>
      <c r="BG120" s="399">
        <v>10.10171228593247</v>
      </c>
      <c r="BH120" s="399">
        <v>0</v>
      </c>
      <c r="BI120" s="399">
        <v>0</v>
      </c>
      <c r="BJ120" s="399">
        <v>0</v>
      </c>
      <c r="BK120" s="399">
        <v>0</v>
      </c>
      <c r="BL120" s="399">
        <v>0</v>
      </c>
      <c r="BM120" s="399"/>
      <c r="BN120" s="399"/>
      <c r="BO120" s="399"/>
      <c r="BP120" s="399"/>
      <c r="BQ120" s="399"/>
      <c r="BR120" s="399"/>
      <c r="BS120" s="399"/>
      <c r="BT120" s="399"/>
      <c r="BU120" s="399"/>
      <c r="BV120" s="399">
        <v>255.56651915990847</v>
      </c>
      <c r="BW120" s="399"/>
      <c r="BX120" s="399"/>
      <c r="BY120" s="399"/>
      <c r="BZ120" s="399"/>
      <c r="CA120" s="399"/>
      <c r="CB120" s="399"/>
      <c r="CC120" s="399"/>
      <c r="CD120" s="399"/>
      <c r="CE120" s="399"/>
      <c r="CF120" s="399"/>
      <c r="CG120" s="399"/>
      <c r="CH120" s="399"/>
      <c r="CI120" s="399">
        <v>2245.5459999999998</v>
      </c>
      <c r="CJ120" s="399">
        <v>-833.0593900000008</v>
      </c>
      <c r="CK120" s="399"/>
      <c r="CL120" s="399"/>
      <c r="CM120" s="399"/>
      <c r="CN120" s="399"/>
      <c r="CO120" s="399">
        <v>-785.31194999999991</v>
      </c>
      <c r="CP120" s="399">
        <v>-55.550740000000019</v>
      </c>
      <c r="CQ120" s="399">
        <v>29</v>
      </c>
      <c r="CR120" s="399">
        <v>-42.377099903584281</v>
      </c>
      <c r="CS120" s="399">
        <v>0</v>
      </c>
      <c r="CT120" s="399">
        <v>0</v>
      </c>
      <c r="CU120" s="399">
        <v>0</v>
      </c>
      <c r="CV120" s="399">
        <v>0</v>
      </c>
      <c r="CW120" s="399">
        <v>0</v>
      </c>
      <c r="CX120" s="399">
        <v>0</v>
      </c>
      <c r="CY120" s="399">
        <v>0</v>
      </c>
      <c r="CZ120" s="399">
        <v>19.174613378682011</v>
      </c>
      <c r="DA120" s="399">
        <v>0</v>
      </c>
      <c r="DB120" s="399">
        <v>0</v>
      </c>
      <c r="DC120" s="399">
        <v>-55.556541450389801</v>
      </c>
      <c r="DD120" s="399">
        <v>0</v>
      </c>
      <c r="DE120" s="399">
        <v>0</v>
      </c>
      <c r="DF120" s="399">
        <v>0</v>
      </c>
      <c r="DG120" s="399">
        <v>-2.2863407772400475</v>
      </c>
      <c r="DH120" s="399">
        <v>0</v>
      </c>
      <c r="DI120" s="399">
        <v>-3.1481267578552234</v>
      </c>
      <c r="DJ120" s="399"/>
      <c r="DK120" s="399">
        <v>0</v>
      </c>
      <c r="DL120" s="399">
        <v>0</v>
      </c>
      <c r="DM120" s="399">
        <v>0</v>
      </c>
      <c r="DN120" s="399">
        <v>0</v>
      </c>
      <c r="DO120" s="399">
        <v>-0.46130854996342219</v>
      </c>
      <c r="DP120" s="399">
        <v>-9.9395746817866559E-2</v>
      </c>
      <c r="DQ120" s="399">
        <v>0</v>
      </c>
      <c r="DR120" s="399">
        <v>0</v>
      </c>
      <c r="DS120" s="399"/>
      <c r="DT120" s="399"/>
      <c r="DU120" s="399"/>
      <c r="DV120" s="399">
        <v>2188.2540852838119</v>
      </c>
      <c r="DW120" s="399">
        <v>0</v>
      </c>
      <c r="DX120" s="399">
        <v>0</v>
      </c>
      <c r="DY120" s="399">
        <v>-785.3119499999998</v>
      </c>
      <c r="DZ120" s="399">
        <v>-55.550740000000019</v>
      </c>
      <c r="EA120" s="399">
        <v>0</v>
      </c>
      <c r="EB120" s="399">
        <v>0</v>
      </c>
      <c r="EC120" s="399">
        <v>-798.49417387259109</v>
      </c>
      <c r="ED120" s="399">
        <v>0</v>
      </c>
      <c r="EE120" s="399">
        <v>0</v>
      </c>
      <c r="EF120" s="399">
        <v>0</v>
      </c>
      <c r="EG120" s="399">
        <v>0</v>
      </c>
      <c r="EH120" s="399">
        <v>0</v>
      </c>
      <c r="EI120" s="399">
        <v>0</v>
      </c>
      <c r="EJ120" s="399">
        <v>0</v>
      </c>
      <c r="EK120" s="399">
        <v>0</v>
      </c>
      <c r="EL120" s="399">
        <v>0</v>
      </c>
      <c r="EM120" s="399">
        <v>0</v>
      </c>
      <c r="EN120" s="399">
        <v>0</v>
      </c>
      <c r="EO120" s="399">
        <v>0</v>
      </c>
      <c r="EP120" s="399">
        <v>21.397114787137454</v>
      </c>
      <c r="EQ120" s="399">
        <v>0</v>
      </c>
      <c r="ER120" s="399">
        <v>0</v>
      </c>
      <c r="ES120" s="399">
        <v>0</v>
      </c>
      <c r="ET120" s="399">
        <v>0</v>
      </c>
      <c r="EU120" s="399">
        <v>0</v>
      </c>
      <c r="EV120" s="399">
        <v>202</v>
      </c>
      <c r="EW120" s="399">
        <v>0</v>
      </c>
      <c r="EX120" s="399">
        <v>0</v>
      </c>
      <c r="EY120" s="399">
        <v>0</v>
      </c>
      <c r="EZ120" s="399"/>
      <c r="FA120" s="399">
        <v>0</v>
      </c>
      <c r="FB120" s="399">
        <v>-17.698635468909799</v>
      </c>
      <c r="FC120" s="399"/>
      <c r="FD120" s="399">
        <v>-17.698635468909799</v>
      </c>
      <c r="FE120" s="399"/>
      <c r="FF120" s="399">
        <v>0</v>
      </c>
      <c r="FG120" s="399">
        <v>0</v>
      </c>
      <c r="FH120" s="399">
        <v>0</v>
      </c>
      <c r="FI120" s="399">
        <v>0</v>
      </c>
    </row>
    <row r="121" spans="1:165" s="818" customFormat="1">
      <c r="A121" s="399">
        <v>130</v>
      </c>
      <c r="B121" s="399" t="s">
        <v>956</v>
      </c>
      <c r="C121" s="399" t="s">
        <v>2399</v>
      </c>
      <c r="D121" s="399" t="s">
        <v>533</v>
      </c>
      <c r="E121" s="399" t="s">
        <v>918</v>
      </c>
      <c r="F121" s="399" t="s">
        <v>1239</v>
      </c>
      <c r="G121" s="399" t="s">
        <v>1239</v>
      </c>
      <c r="H121" s="399" t="s">
        <v>1239</v>
      </c>
      <c r="I121" s="399" t="s">
        <v>2326</v>
      </c>
      <c r="J121" s="399" t="s">
        <v>2400</v>
      </c>
      <c r="K121" s="788">
        <v>44593</v>
      </c>
      <c r="L121" s="399">
        <v>0</v>
      </c>
      <c r="M121" s="399">
        <v>0</v>
      </c>
      <c r="N121" s="399">
        <v>20.474</v>
      </c>
      <c r="O121" s="399">
        <v>20.474</v>
      </c>
      <c r="P121" s="399">
        <v>20.474</v>
      </c>
      <c r="Q121" s="399">
        <v>20.474</v>
      </c>
      <c r="R121" s="399"/>
      <c r="S121" s="399">
        <v>100.48</v>
      </c>
      <c r="T121" s="399">
        <v>286.42</v>
      </c>
      <c r="U121" s="399"/>
      <c r="V121" s="399">
        <v>7921.3906000000006</v>
      </c>
      <c r="W121" s="399">
        <v>7921.3906000000006</v>
      </c>
      <c r="X121" s="399">
        <v>6450.9479200000005</v>
      </c>
      <c r="Y121" s="399">
        <v>0</v>
      </c>
      <c r="Z121" s="399">
        <v>1084.0863658084313</v>
      </c>
      <c r="AA121" s="399">
        <v>0</v>
      </c>
      <c r="AB121" s="399">
        <v>0</v>
      </c>
      <c r="AC121" s="399">
        <v>0</v>
      </c>
      <c r="AD121" s="399">
        <v>0</v>
      </c>
      <c r="AE121" s="399">
        <v>0</v>
      </c>
      <c r="AF121" s="399">
        <v>5864.2315705225028</v>
      </c>
      <c r="AG121" s="399">
        <v>0</v>
      </c>
      <c r="AH121" s="399">
        <v>0</v>
      </c>
      <c r="AI121" s="399">
        <v>0</v>
      </c>
      <c r="AJ121" s="399">
        <v>0</v>
      </c>
      <c r="AK121" s="399">
        <v>0</v>
      </c>
      <c r="AL121" s="399">
        <v>192.57617046024046</v>
      </c>
      <c r="AM121" s="399"/>
      <c r="AN121" s="399">
        <v>28.051169986520339</v>
      </c>
      <c r="AO121" s="399">
        <v>0</v>
      </c>
      <c r="AP121" s="399">
        <v>0</v>
      </c>
      <c r="AQ121" s="399">
        <v>0</v>
      </c>
      <c r="AR121" s="399">
        <v>0</v>
      </c>
      <c r="AS121" s="399">
        <v>0</v>
      </c>
      <c r="AT121" s="399">
        <v>0</v>
      </c>
      <c r="AU121" s="399">
        <v>0</v>
      </c>
      <c r="AV121" s="399">
        <v>0</v>
      </c>
      <c r="AW121" s="399">
        <v>0</v>
      </c>
      <c r="AX121" s="399">
        <v>0</v>
      </c>
      <c r="AY121" s="399">
        <v>0</v>
      </c>
      <c r="AZ121" s="399">
        <v>0</v>
      </c>
      <c r="BA121" s="399"/>
      <c r="BB121" s="399">
        <v>0</v>
      </c>
      <c r="BC121" s="399">
        <v>0</v>
      </c>
      <c r="BD121" s="399">
        <v>0</v>
      </c>
      <c r="BE121" s="399">
        <v>0</v>
      </c>
      <c r="BF121" s="399">
        <v>0</v>
      </c>
      <c r="BG121" s="399">
        <v>241.33308908072507</v>
      </c>
      <c r="BH121" s="399">
        <v>0</v>
      </c>
      <c r="BI121" s="399">
        <v>0</v>
      </c>
      <c r="BJ121" s="399">
        <v>0</v>
      </c>
      <c r="BK121" s="399">
        <v>0</v>
      </c>
      <c r="BL121" s="399">
        <v>0</v>
      </c>
      <c r="BM121" s="399"/>
      <c r="BN121" s="399"/>
      <c r="BO121" s="399"/>
      <c r="BP121" s="399"/>
      <c r="BQ121" s="399"/>
      <c r="BR121" s="399"/>
      <c r="BS121" s="399"/>
      <c r="BT121" s="399"/>
      <c r="BU121" s="399"/>
      <c r="BV121" s="399">
        <v>6105.5646596032275</v>
      </c>
      <c r="BW121" s="399"/>
      <c r="BX121" s="399"/>
      <c r="BY121" s="399"/>
      <c r="BZ121" s="399"/>
      <c r="CA121" s="399"/>
      <c r="CB121" s="399"/>
      <c r="CC121" s="399"/>
      <c r="CD121" s="399"/>
      <c r="CE121" s="399"/>
      <c r="CF121" s="399"/>
      <c r="CG121" s="399"/>
      <c r="CH121" s="399"/>
      <c r="CI121" s="399">
        <v>6449.6876000000002</v>
      </c>
      <c r="CJ121" s="399">
        <v>-1471.7330000000011</v>
      </c>
      <c r="CK121" s="399"/>
      <c r="CL121" s="399"/>
      <c r="CM121" s="399"/>
      <c r="CN121" s="399"/>
      <c r="CO121" s="399">
        <v>-143.31800000000001</v>
      </c>
      <c r="CP121" s="399">
        <v>-1327.1246800000004</v>
      </c>
      <c r="CQ121" s="399">
        <v>29</v>
      </c>
      <c r="CR121" s="399">
        <v>-1470.4898223350301</v>
      </c>
      <c r="CS121" s="399">
        <v>0</v>
      </c>
      <c r="CT121" s="399">
        <v>0</v>
      </c>
      <c r="CU121" s="399">
        <v>0</v>
      </c>
      <c r="CV121" s="399">
        <v>0</v>
      </c>
      <c r="CW121" s="399">
        <v>0</v>
      </c>
      <c r="CX121" s="399">
        <v>0</v>
      </c>
      <c r="CY121" s="399">
        <v>0</v>
      </c>
      <c r="CZ121" s="399">
        <v>0</v>
      </c>
      <c r="DA121" s="399">
        <v>0</v>
      </c>
      <c r="DB121" s="399">
        <v>0</v>
      </c>
      <c r="DC121" s="399">
        <v>-1327.2632784775742</v>
      </c>
      <c r="DD121" s="399">
        <v>0</v>
      </c>
      <c r="DE121" s="399">
        <v>0</v>
      </c>
      <c r="DF121" s="399">
        <v>0</v>
      </c>
      <c r="DG121" s="399">
        <v>-54.62140148566246</v>
      </c>
      <c r="DH121" s="399">
        <v>0</v>
      </c>
      <c r="DI121" s="399">
        <v>-75.209740070394218</v>
      </c>
      <c r="DJ121" s="399"/>
      <c r="DK121" s="399">
        <v>0</v>
      </c>
      <c r="DL121" s="399">
        <v>0</v>
      </c>
      <c r="DM121" s="399">
        <v>0</v>
      </c>
      <c r="DN121" s="399">
        <v>0</v>
      </c>
      <c r="DO121" s="399">
        <v>-11.020806595042131</v>
      </c>
      <c r="DP121" s="399">
        <v>-2.3745957063582246</v>
      </c>
      <c r="DQ121" s="399">
        <v>0</v>
      </c>
      <c r="DR121" s="399">
        <v>0</v>
      </c>
      <c r="DS121" s="399"/>
      <c r="DT121" s="399"/>
      <c r="DU121" s="399"/>
      <c r="DV121" s="399">
        <v>0</v>
      </c>
      <c r="DW121" s="399">
        <v>0</v>
      </c>
      <c r="DX121" s="399">
        <v>0</v>
      </c>
      <c r="DY121" s="399">
        <v>-143.31799999999976</v>
      </c>
      <c r="DZ121" s="399">
        <v>-1327.1246799999999</v>
      </c>
      <c r="EA121" s="399">
        <v>0</v>
      </c>
      <c r="EB121" s="399">
        <v>0</v>
      </c>
      <c r="EC121" s="399">
        <v>0</v>
      </c>
      <c r="ED121" s="399">
        <v>0</v>
      </c>
      <c r="EE121" s="399">
        <v>0</v>
      </c>
      <c r="EF121" s="399">
        <v>0</v>
      </c>
      <c r="EG121" s="399">
        <v>0</v>
      </c>
      <c r="EH121" s="399">
        <v>0</v>
      </c>
      <c r="EI121" s="399">
        <v>0</v>
      </c>
      <c r="EJ121" s="399">
        <v>0</v>
      </c>
      <c r="EK121" s="399">
        <v>0</v>
      </c>
      <c r="EL121" s="399">
        <v>0</v>
      </c>
      <c r="EM121" s="399">
        <v>0</v>
      </c>
      <c r="EN121" s="399">
        <v>0</v>
      </c>
      <c r="EO121" s="399">
        <v>0</v>
      </c>
      <c r="EP121" s="399">
        <v>511.18381347940749</v>
      </c>
      <c r="EQ121" s="399">
        <v>0</v>
      </c>
      <c r="ER121" s="399">
        <v>0</v>
      </c>
      <c r="ES121" s="399">
        <v>0</v>
      </c>
      <c r="ET121" s="399">
        <v>0</v>
      </c>
      <c r="EU121" s="399">
        <v>0</v>
      </c>
      <c r="EV121" s="399">
        <v>202</v>
      </c>
      <c r="EW121" s="399">
        <v>0</v>
      </c>
      <c r="EX121" s="399">
        <v>0</v>
      </c>
      <c r="EY121" s="399">
        <v>0</v>
      </c>
      <c r="EZ121" s="399"/>
      <c r="FA121" s="399">
        <v>0</v>
      </c>
      <c r="FB121" s="399">
        <v>-17.698635468909799</v>
      </c>
      <c r="FC121" s="399"/>
      <c r="FD121" s="399">
        <v>-17.698635468909799</v>
      </c>
      <c r="FE121" s="399"/>
      <c r="FF121" s="399">
        <v>0</v>
      </c>
      <c r="FG121" s="399">
        <v>0</v>
      </c>
      <c r="FH121" s="399">
        <v>0</v>
      </c>
      <c r="FI121" s="399">
        <v>0</v>
      </c>
    </row>
    <row r="122" spans="1:165" s="818" customFormat="1">
      <c r="A122" s="399">
        <v>131</v>
      </c>
      <c r="B122" s="399" t="s">
        <v>956</v>
      </c>
      <c r="C122" s="399" t="s">
        <v>2399</v>
      </c>
      <c r="D122" s="399" t="s">
        <v>533</v>
      </c>
      <c r="E122" s="399" t="s">
        <v>918</v>
      </c>
      <c r="F122" s="399" t="s">
        <v>1239</v>
      </c>
      <c r="G122" s="399" t="s">
        <v>1239</v>
      </c>
      <c r="H122" s="399" t="s">
        <v>1239</v>
      </c>
      <c r="I122" s="399" t="s">
        <v>1239</v>
      </c>
      <c r="J122" s="399" t="s">
        <v>2400</v>
      </c>
      <c r="K122" s="788">
        <v>44593</v>
      </c>
      <c r="L122" s="399">
        <v>206</v>
      </c>
      <c r="M122" s="399">
        <v>206</v>
      </c>
      <c r="N122" s="399">
        <v>0</v>
      </c>
      <c r="O122" s="399">
        <v>0</v>
      </c>
      <c r="P122" s="399">
        <v>0</v>
      </c>
      <c r="Q122" s="399">
        <v>0</v>
      </c>
      <c r="R122" s="399">
        <v>39.21</v>
      </c>
      <c r="S122" s="399"/>
      <c r="T122" s="399"/>
      <c r="U122" s="399">
        <v>8077.26</v>
      </c>
      <c r="V122" s="399"/>
      <c r="W122" s="399">
        <v>8077.26</v>
      </c>
      <c r="X122" s="399">
        <v>6147.04</v>
      </c>
      <c r="Y122" s="399">
        <v>0</v>
      </c>
      <c r="Z122" s="399">
        <v>0</v>
      </c>
      <c r="AA122" s="399">
        <v>0</v>
      </c>
      <c r="AB122" s="399">
        <v>0</v>
      </c>
      <c r="AC122" s="399">
        <v>0</v>
      </c>
      <c r="AD122" s="399">
        <v>2544.559372247149</v>
      </c>
      <c r="AE122" s="399">
        <v>5533.5701933146156</v>
      </c>
      <c r="AF122" s="399"/>
      <c r="AG122" s="399"/>
      <c r="AH122" s="399"/>
      <c r="AI122" s="399">
        <v>0</v>
      </c>
      <c r="AJ122" s="399">
        <v>0</v>
      </c>
      <c r="AK122" s="399">
        <v>0</v>
      </c>
      <c r="AL122" s="399">
        <v>0</v>
      </c>
      <c r="AM122" s="399"/>
      <c r="AN122" s="399">
        <v>0</v>
      </c>
      <c r="AO122" s="399">
        <v>0</v>
      </c>
      <c r="AP122" s="399">
        <v>0</v>
      </c>
      <c r="AQ122" s="399">
        <v>0</v>
      </c>
      <c r="AR122" s="399">
        <v>0</v>
      </c>
      <c r="AS122" s="399"/>
      <c r="AT122" s="399"/>
      <c r="AU122" s="399">
        <v>0</v>
      </c>
      <c r="AV122" s="399">
        <v>0</v>
      </c>
      <c r="AW122" s="399">
        <v>0</v>
      </c>
      <c r="AX122" s="399"/>
      <c r="AY122" s="399"/>
      <c r="AZ122" s="399">
        <v>0</v>
      </c>
      <c r="BA122" s="399"/>
      <c r="BB122" s="399">
        <v>0</v>
      </c>
      <c r="BC122" s="399">
        <v>0</v>
      </c>
      <c r="BD122" s="399">
        <v>0</v>
      </c>
      <c r="BE122" s="399">
        <v>0</v>
      </c>
      <c r="BF122" s="399"/>
      <c r="BG122" s="399">
        <v>0</v>
      </c>
      <c r="BH122" s="399">
        <v>0</v>
      </c>
      <c r="BI122" s="399">
        <v>120.51</v>
      </c>
      <c r="BJ122" s="399">
        <v>556.25</v>
      </c>
      <c r="BK122" s="399">
        <v>4070.07</v>
      </c>
      <c r="BL122" s="399">
        <v>1</v>
      </c>
      <c r="BM122" s="399"/>
      <c r="BN122" s="399"/>
      <c r="BO122" s="399"/>
      <c r="BP122" s="399"/>
      <c r="BQ122" s="399"/>
      <c r="BR122" s="399"/>
      <c r="BS122" s="399"/>
      <c r="BT122" s="399"/>
      <c r="BU122" s="399"/>
      <c r="BV122" s="399">
        <v>0</v>
      </c>
      <c r="BW122" s="399"/>
      <c r="BX122" s="399"/>
      <c r="BY122" s="399"/>
      <c r="BZ122" s="399"/>
      <c r="CA122" s="399"/>
      <c r="CB122" s="399"/>
      <c r="CC122" s="399"/>
      <c r="CD122" s="399"/>
      <c r="CE122" s="399"/>
      <c r="CF122" s="399"/>
      <c r="CG122" s="399"/>
      <c r="CH122" s="399"/>
      <c r="CI122" s="399">
        <v>6147.04</v>
      </c>
      <c r="CJ122" s="399">
        <v>-1930.2500000000009</v>
      </c>
      <c r="CK122" s="399"/>
      <c r="CL122" s="399"/>
      <c r="CM122" s="399"/>
      <c r="CN122" s="399"/>
      <c r="CO122" s="399">
        <v>-1930.2200000000003</v>
      </c>
      <c r="CP122" s="399">
        <v>0</v>
      </c>
      <c r="CQ122" s="399">
        <v>29</v>
      </c>
      <c r="CR122" s="399">
        <v>87.321408298331789</v>
      </c>
      <c r="CS122" s="399">
        <v>0</v>
      </c>
      <c r="CT122" s="399">
        <v>0</v>
      </c>
      <c r="CU122" s="399">
        <v>0</v>
      </c>
      <c r="CV122" s="399">
        <v>0</v>
      </c>
      <c r="CW122" s="399"/>
      <c r="CX122" s="399"/>
      <c r="CY122" s="399"/>
      <c r="CZ122" s="399">
        <v>87.321408298331789</v>
      </c>
      <c r="DA122" s="399">
        <v>0</v>
      </c>
      <c r="DB122" s="399">
        <v>0</v>
      </c>
      <c r="DC122" s="399"/>
      <c r="DD122" s="399"/>
      <c r="DE122" s="399">
        <v>0</v>
      </c>
      <c r="DF122" s="399">
        <v>0</v>
      </c>
      <c r="DG122" s="399">
        <v>0</v>
      </c>
      <c r="DH122" s="399">
        <v>0</v>
      </c>
      <c r="DI122" s="399">
        <v>0</v>
      </c>
      <c r="DJ122" s="399"/>
      <c r="DK122" s="399">
        <v>0</v>
      </c>
      <c r="DL122" s="399">
        <v>0</v>
      </c>
      <c r="DM122" s="399"/>
      <c r="DN122" s="399">
        <v>0</v>
      </c>
      <c r="DO122" s="399">
        <v>0</v>
      </c>
      <c r="DP122" s="399">
        <v>0</v>
      </c>
      <c r="DQ122" s="399">
        <v>0</v>
      </c>
      <c r="DR122" s="399">
        <v>0</v>
      </c>
      <c r="DS122" s="399"/>
      <c r="DT122" s="399"/>
      <c r="DU122" s="399">
        <v>5533.5701933146156</v>
      </c>
      <c r="DV122" s="399"/>
      <c r="DW122" s="399">
        <v>0</v>
      </c>
      <c r="DX122" s="399">
        <v>0</v>
      </c>
      <c r="DY122" s="399">
        <v>-1930.2200000000003</v>
      </c>
      <c r="DZ122" s="399"/>
      <c r="EA122" s="399">
        <v>0</v>
      </c>
      <c r="EB122" s="399"/>
      <c r="EC122" s="399">
        <v>-2019.2004163463703</v>
      </c>
      <c r="ED122" s="399"/>
      <c r="EE122" s="399">
        <v>0</v>
      </c>
      <c r="EF122" s="399">
        <v>0</v>
      </c>
      <c r="EG122" s="399"/>
      <c r="EH122" s="399">
        <v>0</v>
      </c>
      <c r="EI122" s="399">
        <v>0</v>
      </c>
      <c r="EJ122" s="399">
        <v>0</v>
      </c>
      <c r="EK122" s="399">
        <v>0</v>
      </c>
      <c r="EL122" s="399">
        <v>0</v>
      </c>
      <c r="EM122" s="399"/>
      <c r="EN122" s="399"/>
      <c r="EO122" s="399">
        <v>0</v>
      </c>
      <c r="EP122" s="399">
        <v>0</v>
      </c>
      <c r="EQ122" s="399"/>
      <c r="ER122" s="399">
        <v>0</v>
      </c>
      <c r="ES122" s="399"/>
      <c r="ET122" s="399">
        <v>0</v>
      </c>
      <c r="EU122" s="399"/>
      <c r="EV122" s="399">
        <v>202</v>
      </c>
      <c r="EW122" s="399"/>
      <c r="EX122" s="399"/>
      <c r="EY122" s="399"/>
      <c r="EZ122" s="399"/>
      <c r="FA122" s="399">
        <v>0</v>
      </c>
      <c r="FB122" s="399">
        <v>-17.698635468909799</v>
      </c>
      <c r="FC122" s="399"/>
      <c r="FD122" s="399">
        <v>-17.698635468909799</v>
      </c>
      <c r="FE122" s="399"/>
      <c r="FF122" s="399">
        <v>0</v>
      </c>
      <c r="FG122" s="399">
        <v>0</v>
      </c>
      <c r="FH122" s="399">
        <v>0</v>
      </c>
      <c r="FI122" s="399">
        <v>0</v>
      </c>
    </row>
    <row r="123" spans="1:165" s="818" customFormat="1">
      <c r="A123" s="399">
        <v>138</v>
      </c>
      <c r="B123" s="399" t="s">
        <v>956</v>
      </c>
      <c r="C123" s="399" t="s">
        <v>2399</v>
      </c>
      <c r="D123" s="399" t="s">
        <v>533</v>
      </c>
      <c r="E123" s="399" t="s">
        <v>921</v>
      </c>
      <c r="F123" s="399" t="s">
        <v>2401</v>
      </c>
      <c r="G123" s="399" t="s">
        <v>1239</v>
      </c>
      <c r="H123" s="399" t="s">
        <v>1239</v>
      </c>
      <c r="I123" s="399" t="s">
        <v>893</v>
      </c>
      <c r="J123" s="399" t="s">
        <v>2400</v>
      </c>
      <c r="K123" s="788">
        <v>44593</v>
      </c>
      <c r="L123" s="399">
        <v>0</v>
      </c>
      <c r="M123" s="399">
        <v>0</v>
      </c>
      <c r="N123" s="399">
        <v>18.574000000000002</v>
      </c>
      <c r="O123" s="399">
        <v>17.45956</v>
      </c>
      <c r="P123" s="399">
        <v>18.574000000000002</v>
      </c>
      <c r="Q123" s="399">
        <v>17.45956</v>
      </c>
      <c r="R123" s="399"/>
      <c r="S123" s="399">
        <v>3305.85</v>
      </c>
      <c r="T123" s="399">
        <v>286.42</v>
      </c>
      <c r="U123" s="399"/>
      <c r="V123" s="399">
        <v>66722.822979999997</v>
      </c>
      <c r="W123" s="399">
        <v>66722.822979999997</v>
      </c>
      <c r="X123" s="399">
        <v>48498.571400000001</v>
      </c>
      <c r="Y123" s="399">
        <v>0</v>
      </c>
      <c r="Z123" s="399">
        <v>983.48247330887011</v>
      </c>
      <c r="AA123" s="399">
        <v>0</v>
      </c>
      <c r="AB123" s="399">
        <v>0</v>
      </c>
      <c r="AC123" s="399">
        <v>0</v>
      </c>
      <c r="AD123" s="399">
        <v>12109.970708502899</v>
      </c>
      <c r="AE123" s="399">
        <v>47426.641050246828</v>
      </c>
      <c r="AF123" s="399">
        <v>5320.0272145591953</v>
      </c>
      <c r="AG123" s="399">
        <v>0</v>
      </c>
      <c r="AH123" s="399">
        <v>0</v>
      </c>
      <c r="AI123" s="399">
        <v>0</v>
      </c>
      <c r="AJ123" s="399">
        <v>0</v>
      </c>
      <c r="AK123" s="399">
        <v>0</v>
      </c>
      <c r="AL123" s="399">
        <v>174.70498144615155</v>
      </c>
      <c r="AM123" s="399"/>
      <c r="AN123" s="399">
        <v>25.448003874652187</v>
      </c>
      <c r="AO123" s="399">
        <v>0</v>
      </c>
      <c r="AP123" s="399">
        <v>0</v>
      </c>
      <c r="AQ123" s="399">
        <v>0</v>
      </c>
      <c r="AR123" s="399">
        <v>0</v>
      </c>
      <c r="AS123" s="399">
        <v>0</v>
      </c>
      <c r="AT123" s="399">
        <v>0</v>
      </c>
      <c r="AU123" s="399">
        <v>0</v>
      </c>
      <c r="AV123" s="399">
        <v>0</v>
      </c>
      <c r="AW123" s="399">
        <v>0</v>
      </c>
      <c r="AX123" s="399">
        <v>0</v>
      </c>
      <c r="AY123" s="399">
        <v>0</v>
      </c>
      <c r="AZ123" s="399">
        <v>0</v>
      </c>
      <c r="BA123" s="399"/>
      <c r="BB123" s="399">
        <v>0</v>
      </c>
      <c r="BC123" s="399">
        <v>0</v>
      </c>
      <c r="BD123" s="399">
        <v>0</v>
      </c>
      <c r="BE123" s="399">
        <v>0</v>
      </c>
      <c r="BF123" s="399">
        <v>0</v>
      </c>
      <c r="BG123" s="399">
        <v>218.93722753665077</v>
      </c>
      <c r="BH123" s="399">
        <v>0</v>
      </c>
      <c r="BI123" s="399">
        <v>0</v>
      </c>
      <c r="BJ123" s="399">
        <v>0</v>
      </c>
      <c r="BK123" s="399">
        <v>0</v>
      </c>
      <c r="BL123" s="399">
        <v>0</v>
      </c>
      <c r="BM123" s="399"/>
      <c r="BN123" s="399"/>
      <c r="BO123" s="399"/>
      <c r="BP123" s="399"/>
      <c r="BQ123" s="399">
        <v>2909.914284000005</v>
      </c>
      <c r="BR123" s="399"/>
      <c r="BS123" s="399"/>
      <c r="BT123" s="399"/>
      <c r="BU123" s="399"/>
      <c r="BV123" s="399">
        <v>5538.9644420958457</v>
      </c>
      <c r="BW123" s="399"/>
      <c r="BX123" s="399"/>
      <c r="BY123" s="399"/>
      <c r="BZ123" s="399"/>
      <c r="CA123" s="399"/>
      <c r="CB123" s="399"/>
      <c r="CC123" s="399"/>
      <c r="CD123" s="399"/>
      <c r="CE123" s="399"/>
      <c r="CF123" s="399"/>
      <c r="CG123" s="399"/>
      <c r="CH123" s="399"/>
      <c r="CI123" s="399">
        <v>45589.806000000004</v>
      </c>
      <c r="CJ123" s="399">
        <v>-17129.677601200005</v>
      </c>
      <c r="CK123" s="399"/>
      <c r="CL123" s="399"/>
      <c r="CM123" s="399"/>
      <c r="CN123" s="399"/>
      <c r="CO123" s="399">
        <v>-17020.284899999999</v>
      </c>
      <c r="CP123" s="399">
        <v>-1203.9666800000005</v>
      </c>
      <c r="CQ123" s="399">
        <v>29</v>
      </c>
      <c r="CR123" s="399">
        <v>-918.45070432809007</v>
      </c>
      <c r="CS123" s="399">
        <v>0</v>
      </c>
      <c r="CT123" s="399">
        <v>0</v>
      </c>
      <c r="CU123" s="399">
        <v>0</v>
      </c>
      <c r="CV123" s="399">
        <v>0</v>
      </c>
      <c r="CW123" s="399">
        <v>0</v>
      </c>
      <c r="CX123" s="399">
        <v>0</v>
      </c>
      <c r="CY123" s="399">
        <v>0</v>
      </c>
      <c r="CZ123" s="399">
        <v>415.57674316877456</v>
      </c>
      <c r="DA123" s="399">
        <v>0</v>
      </c>
      <c r="DB123" s="399">
        <v>0</v>
      </c>
      <c r="DC123" s="399">
        <v>-1204.0924164522057</v>
      </c>
      <c r="DD123" s="399">
        <v>0</v>
      </c>
      <c r="DE123" s="399">
        <v>0</v>
      </c>
      <c r="DF123" s="399">
        <v>0</v>
      </c>
      <c r="DG123" s="399">
        <v>-49.552501279412638</v>
      </c>
      <c r="DH123" s="399">
        <v>0</v>
      </c>
      <c r="DI123" s="399">
        <v>-68.230229171998758</v>
      </c>
      <c r="DJ123" s="399"/>
      <c r="DK123" s="399">
        <v>0</v>
      </c>
      <c r="DL123" s="399">
        <v>0</v>
      </c>
      <c r="DM123" s="399">
        <v>0</v>
      </c>
      <c r="DN123" s="399">
        <v>0</v>
      </c>
      <c r="DO123" s="399">
        <v>-9.9980688529995518</v>
      </c>
      <c r="DP123" s="399">
        <v>-2.154231740250939</v>
      </c>
      <c r="DQ123" s="399">
        <v>0</v>
      </c>
      <c r="DR123" s="399">
        <v>0</v>
      </c>
      <c r="DS123" s="399"/>
      <c r="DT123" s="399"/>
      <c r="DU123" s="399"/>
      <c r="DV123" s="399">
        <v>47426.641050246828</v>
      </c>
      <c r="DW123" s="399">
        <v>0</v>
      </c>
      <c r="DX123" s="399">
        <v>0</v>
      </c>
      <c r="DY123" s="399">
        <v>-17020.284899999999</v>
      </c>
      <c r="DZ123" s="399">
        <v>-1203.9666800000005</v>
      </c>
      <c r="EA123" s="399">
        <v>0</v>
      </c>
      <c r="EB123" s="399">
        <v>0</v>
      </c>
      <c r="EC123" s="399">
        <v>-17305.986914246805</v>
      </c>
      <c r="ED123" s="399">
        <v>0</v>
      </c>
      <c r="EE123" s="399">
        <v>0</v>
      </c>
      <c r="EF123" s="399">
        <v>0</v>
      </c>
      <c r="EG123" s="399">
        <v>0</v>
      </c>
      <c r="EH123" s="399">
        <v>0</v>
      </c>
      <c r="EI123" s="399">
        <v>0</v>
      </c>
      <c r="EJ123" s="399">
        <v>0</v>
      </c>
      <c r="EK123" s="399">
        <v>0</v>
      </c>
      <c r="EL123" s="399">
        <v>0</v>
      </c>
      <c r="EM123" s="399">
        <v>0</v>
      </c>
      <c r="EN123" s="399">
        <v>0</v>
      </c>
      <c r="EO123" s="399">
        <v>0</v>
      </c>
      <c r="EP123" s="399">
        <v>463.7456360050071</v>
      </c>
      <c r="EQ123" s="399">
        <v>0</v>
      </c>
      <c r="ER123" s="399">
        <v>0</v>
      </c>
      <c r="ES123" s="399">
        <v>0</v>
      </c>
      <c r="ET123" s="399">
        <v>0</v>
      </c>
      <c r="EU123" s="399">
        <v>0</v>
      </c>
      <c r="EV123" s="399">
        <v>202</v>
      </c>
      <c r="EW123" s="399">
        <v>0</v>
      </c>
      <c r="EX123" s="399">
        <v>0</v>
      </c>
      <c r="EY123" s="399">
        <v>0</v>
      </c>
      <c r="EZ123" s="399"/>
      <c r="FA123" s="399">
        <v>0</v>
      </c>
      <c r="FB123" s="399">
        <v>-17.698635468909799</v>
      </c>
      <c r="FC123" s="399"/>
      <c r="FD123" s="399">
        <v>-17.698635468909799</v>
      </c>
      <c r="FE123" s="399"/>
      <c r="FF123" s="399">
        <v>0</v>
      </c>
      <c r="FG123" s="399">
        <v>0</v>
      </c>
      <c r="FH123" s="399">
        <v>0</v>
      </c>
      <c r="FI123" s="399">
        <v>0</v>
      </c>
    </row>
    <row r="124" spans="1:165" s="818" customFormat="1">
      <c r="A124" s="399">
        <v>118</v>
      </c>
      <c r="B124" s="399" t="s">
        <v>956</v>
      </c>
      <c r="C124" s="399" t="s">
        <v>2402</v>
      </c>
      <c r="D124" s="399" t="s">
        <v>1823</v>
      </c>
      <c r="E124" s="399" t="s">
        <v>889</v>
      </c>
      <c r="F124" s="399" t="s">
        <v>889</v>
      </c>
      <c r="G124" s="399" t="s">
        <v>1239</v>
      </c>
      <c r="H124" s="399" t="s">
        <v>1239</v>
      </c>
      <c r="I124" s="399" t="s">
        <v>1239</v>
      </c>
      <c r="J124" s="399" t="s">
        <v>2400</v>
      </c>
      <c r="K124" s="788">
        <v>44593</v>
      </c>
      <c r="L124" s="399">
        <v>0</v>
      </c>
      <c r="M124" s="399">
        <v>0</v>
      </c>
      <c r="N124" s="399">
        <v>465.08600000000001</v>
      </c>
      <c r="O124" s="399">
        <v>465.08600000000001</v>
      </c>
      <c r="P124" s="399">
        <v>465.08600000000001</v>
      </c>
      <c r="Q124" s="399">
        <v>465.08600000000001</v>
      </c>
      <c r="R124" s="399"/>
      <c r="S124" s="399">
        <v>609.05999999999995</v>
      </c>
      <c r="T124" s="399">
        <v>286.42</v>
      </c>
      <c r="U124" s="399"/>
      <c r="V124" s="399">
        <v>416475.21127999999</v>
      </c>
      <c r="W124" s="399">
        <v>416475.21127999999</v>
      </c>
      <c r="X124" s="399">
        <v>318058.36282000004</v>
      </c>
      <c r="Y124" s="399">
        <v>0</v>
      </c>
      <c r="Z124" s="399">
        <v>28305.78460196673</v>
      </c>
      <c r="AA124" s="399">
        <v>0</v>
      </c>
      <c r="AB124" s="399">
        <v>0</v>
      </c>
      <c r="AC124" s="399">
        <v>0</v>
      </c>
      <c r="AD124" s="399">
        <v>45416.647814046242</v>
      </c>
      <c r="AE124" s="399">
        <v>175436.01799717435</v>
      </c>
      <c r="AF124" s="399">
        <v>133211.48794607935</v>
      </c>
      <c r="AG124" s="399">
        <v>0</v>
      </c>
      <c r="AH124" s="399">
        <v>0</v>
      </c>
      <c r="AI124" s="399">
        <v>0</v>
      </c>
      <c r="AJ124" s="399">
        <v>0</v>
      </c>
      <c r="AK124" s="399">
        <v>0</v>
      </c>
      <c r="AL124" s="399">
        <v>4374.5472704245085</v>
      </c>
      <c r="AM124" s="399"/>
      <c r="AN124" s="399">
        <v>794.29134240389203</v>
      </c>
      <c r="AO124" s="399">
        <v>0</v>
      </c>
      <c r="AP124" s="399">
        <v>0</v>
      </c>
      <c r="AQ124" s="399">
        <v>0</v>
      </c>
      <c r="AR124" s="399">
        <v>0</v>
      </c>
      <c r="AS124" s="399">
        <v>0</v>
      </c>
      <c r="AT124" s="399">
        <v>0</v>
      </c>
      <c r="AU124" s="399">
        <v>0</v>
      </c>
      <c r="AV124" s="399">
        <v>0</v>
      </c>
      <c r="AW124" s="399">
        <v>0</v>
      </c>
      <c r="AX124" s="399">
        <v>0</v>
      </c>
      <c r="AY124" s="399">
        <v>0</v>
      </c>
      <c r="AZ124" s="399">
        <v>0</v>
      </c>
      <c r="BA124" s="399"/>
      <c r="BB124" s="399">
        <v>0</v>
      </c>
      <c r="BC124" s="399">
        <v>0</v>
      </c>
      <c r="BD124" s="399">
        <v>0</v>
      </c>
      <c r="BE124" s="399">
        <v>0</v>
      </c>
      <c r="BF124" s="399">
        <v>0</v>
      </c>
      <c r="BG124" s="399">
        <v>15590.761189404886</v>
      </c>
      <c r="BH124" s="399">
        <v>0</v>
      </c>
      <c r="BI124" s="399">
        <v>1492.88</v>
      </c>
      <c r="BJ124" s="399">
        <v>6987.54</v>
      </c>
      <c r="BK124" s="399">
        <v>81864.070000000007</v>
      </c>
      <c r="BL124" s="399">
        <v>3276</v>
      </c>
      <c r="BM124" s="399"/>
      <c r="BN124" s="399"/>
      <c r="BO124" s="399"/>
      <c r="BP124" s="399"/>
      <c r="BQ124" s="399"/>
      <c r="BR124" s="399"/>
      <c r="BS124" s="399"/>
      <c r="BT124" s="399"/>
      <c r="BU124" s="399"/>
      <c r="BV124" s="399">
        <v>148802.24913548422</v>
      </c>
      <c r="BW124" s="399"/>
      <c r="BX124" s="399"/>
      <c r="BY124" s="399"/>
      <c r="BZ124" s="399"/>
      <c r="CA124" s="399"/>
      <c r="CB124" s="399"/>
      <c r="CC124" s="399"/>
      <c r="CD124" s="399"/>
      <c r="CE124" s="399"/>
      <c r="CF124" s="399"/>
      <c r="CG124" s="399"/>
      <c r="CH124" s="399"/>
      <c r="CI124" s="399">
        <v>318061.09829999995</v>
      </c>
      <c r="CJ124" s="399">
        <v>-98414.142980000062</v>
      </c>
      <c r="CK124" s="399"/>
      <c r="CL124" s="399"/>
      <c r="CM124" s="399"/>
      <c r="CN124" s="399"/>
      <c r="CO124" s="399">
        <v>-68269.973939999982</v>
      </c>
      <c r="CP124" s="399">
        <v>-30146.874520000012</v>
      </c>
      <c r="CQ124" s="399">
        <v>29</v>
      </c>
      <c r="CR124" s="399">
        <v>-34401.485108893801</v>
      </c>
      <c r="CS124" s="399">
        <v>0</v>
      </c>
      <c r="CT124" s="399">
        <v>0</v>
      </c>
      <c r="CU124" s="399">
        <v>0</v>
      </c>
      <c r="CV124" s="399">
        <v>0</v>
      </c>
      <c r="CW124" s="399">
        <v>0</v>
      </c>
      <c r="CX124" s="399">
        <v>0</v>
      </c>
      <c r="CY124" s="399">
        <v>0</v>
      </c>
      <c r="CZ124" s="399">
        <v>1558.558896509523</v>
      </c>
      <c r="DA124" s="399">
        <v>0</v>
      </c>
      <c r="DB124" s="399">
        <v>0</v>
      </c>
      <c r="DC124" s="399">
        <v>-30150.022913647597</v>
      </c>
      <c r="DD124" s="399">
        <v>0</v>
      </c>
      <c r="DE124" s="399">
        <v>0</v>
      </c>
      <c r="DF124" s="399">
        <v>0</v>
      </c>
      <c r="DG124" s="399">
        <v>-3528.6882111251234</v>
      </c>
      <c r="DH124" s="399">
        <v>0</v>
      </c>
      <c r="DI124" s="399">
        <v>-1963.7464039268816</v>
      </c>
      <c r="DJ124" s="399"/>
      <c r="DK124" s="399">
        <v>0</v>
      </c>
      <c r="DL124" s="399">
        <v>0</v>
      </c>
      <c r="DM124" s="399">
        <v>0</v>
      </c>
      <c r="DN124" s="399">
        <v>0</v>
      </c>
      <c r="DO124" s="399">
        <v>-250.34789762927448</v>
      </c>
      <c r="DP124" s="399">
        <v>-67.238579074460858</v>
      </c>
      <c r="DQ124" s="399">
        <v>0</v>
      </c>
      <c r="DR124" s="399">
        <v>0</v>
      </c>
      <c r="DS124" s="399"/>
      <c r="DT124" s="399"/>
      <c r="DU124" s="399"/>
      <c r="DV124" s="399">
        <v>175436.01799717435</v>
      </c>
      <c r="DW124" s="399">
        <v>0</v>
      </c>
      <c r="DX124" s="399">
        <v>0</v>
      </c>
      <c r="DY124" s="399">
        <v>-68269.973939999967</v>
      </c>
      <c r="DZ124" s="399">
        <v>-30146.874520000012</v>
      </c>
      <c r="EA124" s="399">
        <v>0</v>
      </c>
      <c r="EB124" s="399">
        <v>0</v>
      </c>
      <c r="EC124" s="399">
        <v>-64016.623663691775</v>
      </c>
      <c r="ED124" s="399">
        <v>0</v>
      </c>
      <c r="EE124" s="399">
        <v>0</v>
      </c>
      <c r="EF124" s="399">
        <v>0</v>
      </c>
      <c r="EG124" s="399">
        <v>0</v>
      </c>
      <c r="EH124" s="399">
        <v>0</v>
      </c>
      <c r="EI124" s="399">
        <v>0</v>
      </c>
      <c r="EJ124" s="399">
        <v>0</v>
      </c>
      <c r="EK124" s="399">
        <v>0</v>
      </c>
      <c r="EL124" s="399">
        <v>0</v>
      </c>
      <c r="EM124" s="399">
        <v>0</v>
      </c>
      <c r="EN124" s="399">
        <v>0</v>
      </c>
      <c r="EO124" s="399">
        <v>0</v>
      </c>
      <c r="EP124" s="399">
        <v>13347.145921874768</v>
      </c>
      <c r="EQ124" s="399">
        <v>0</v>
      </c>
      <c r="ER124" s="399">
        <v>0</v>
      </c>
      <c r="ES124" s="399">
        <v>0</v>
      </c>
      <c r="ET124" s="399">
        <v>0</v>
      </c>
      <c r="EU124" s="399">
        <v>0</v>
      </c>
      <c r="EV124" s="399">
        <v>202</v>
      </c>
      <c r="EW124" s="399">
        <v>0</v>
      </c>
      <c r="EX124" s="399">
        <v>0</v>
      </c>
      <c r="EY124" s="399">
        <v>0</v>
      </c>
      <c r="EZ124" s="399"/>
      <c r="FA124" s="399">
        <v>0</v>
      </c>
      <c r="FB124" s="399">
        <v>-17.698635468909799</v>
      </c>
      <c r="FC124" s="399"/>
      <c r="FD124" s="399">
        <v>-17.698635468909799</v>
      </c>
      <c r="FE124" s="399"/>
      <c r="FF124" s="399">
        <v>0</v>
      </c>
      <c r="FG124" s="399">
        <v>0</v>
      </c>
      <c r="FH124" s="399">
        <v>0</v>
      </c>
      <c r="FI124" s="399">
        <v>0</v>
      </c>
    </row>
    <row r="125" spans="1:165" s="818" customFormat="1">
      <c r="A125" s="399">
        <v>119</v>
      </c>
      <c r="B125" s="399" t="s">
        <v>2403</v>
      </c>
      <c r="C125" s="399" t="s">
        <v>2402</v>
      </c>
      <c r="D125" s="399" t="s">
        <v>1823</v>
      </c>
      <c r="E125" s="399" t="s">
        <v>889</v>
      </c>
      <c r="F125" s="399" t="s">
        <v>889</v>
      </c>
      <c r="G125" s="399" t="s">
        <v>1239</v>
      </c>
      <c r="H125" s="399" t="s">
        <v>1239</v>
      </c>
      <c r="I125" s="399" t="s">
        <v>1239</v>
      </c>
      <c r="J125" s="399" t="s">
        <v>2400</v>
      </c>
      <c r="K125" s="788">
        <v>44593</v>
      </c>
      <c r="L125" s="399">
        <v>0</v>
      </c>
      <c r="M125" s="399">
        <v>0</v>
      </c>
      <c r="N125" s="399">
        <v>-0.8</v>
      </c>
      <c r="O125" s="399">
        <v>-0.8</v>
      </c>
      <c r="P125" s="399">
        <v>-0.8</v>
      </c>
      <c r="Q125" s="399">
        <v>-0.8</v>
      </c>
      <c r="R125" s="399"/>
      <c r="S125" s="399">
        <v>609.05999999999995</v>
      </c>
      <c r="T125" s="399">
        <v>286.42</v>
      </c>
      <c r="U125" s="399"/>
      <c r="V125" s="399">
        <v>-716.38400000000001</v>
      </c>
      <c r="W125" s="399">
        <v>-716.38400000000001</v>
      </c>
      <c r="X125" s="399">
        <v>-547.096</v>
      </c>
      <c r="Y125" s="399">
        <v>0</v>
      </c>
      <c r="Z125" s="399">
        <v>-48.689119177041199</v>
      </c>
      <c r="AA125" s="399">
        <v>0</v>
      </c>
      <c r="AB125" s="399">
        <v>0</v>
      </c>
      <c r="AC125" s="399">
        <v>0</v>
      </c>
      <c r="AD125" s="399">
        <v>-78.121719964129213</v>
      </c>
      <c r="AE125" s="399">
        <v>-301.76959615584963</v>
      </c>
      <c r="AF125" s="399">
        <v>-229.13867619507678</v>
      </c>
      <c r="AG125" s="399">
        <v>0</v>
      </c>
      <c r="AH125" s="399">
        <v>0</v>
      </c>
      <c r="AI125" s="399">
        <v>0</v>
      </c>
      <c r="AJ125" s="399">
        <v>0</v>
      </c>
      <c r="AK125" s="399">
        <v>0</v>
      </c>
      <c r="AL125" s="399">
        <v>-7.5247111638269208</v>
      </c>
      <c r="AM125" s="399"/>
      <c r="AN125" s="399">
        <v>-1.3662700531151521</v>
      </c>
      <c r="AO125" s="399">
        <v>0</v>
      </c>
      <c r="AP125" s="399">
        <v>0</v>
      </c>
      <c r="AQ125" s="399">
        <v>0</v>
      </c>
      <c r="AR125" s="399">
        <v>0</v>
      </c>
      <c r="AS125" s="399">
        <v>0</v>
      </c>
      <c r="AT125" s="399">
        <v>0</v>
      </c>
      <c r="AU125" s="399">
        <v>0</v>
      </c>
      <c r="AV125" s="399">
        <v>0</v>
      </c>
      <c r="AW125" s="399">
        <v>0</v>
      </c>
      <c r="AX125" s="399">
        <v>0</v>
      </c>
      <c r="AY125" s="399">
        <v>0</v>
      </c>
      <c r="AZ125" s="399">
        <v>0</v>
      </c>
      <c r="BA125" s="399"/>
      <c r="BB125" s="399">
        <v>0</v>
      </c>
      <c r="BC125" s="399">
        <v>0</v>
      </c>
      <c r="BD125" s="399">
        <v>0</v>
      </c>
      <c r="BE125" s="399">
        <v>0</v>
      </c>
      <c r="BF125" s="399">
        <v>0</v>
      </c>
      <c r="BG125" s="399">
        <v>-26.817855088142643</v>
      </c>
      <c r="BH125" s="399">
        <v>0</v>
      </c>
      <c r="BI125" s="399">
        <v>-3.69</v>
      </c>
      <c r="BJ125" s="399">
        <v>-16.809999999999999</v>
      </c>
      <c r="BK125" s="399">
        <v>-336.79</v>
      </c>
      <c r="BL125" s="399">
        <v>0</v>
      </c>
      <c r="BM125" s="399"/>
      <c r="BN125" s="399"/>
      <c r="BO125" s="399"/>
      <c r="BP125" s="399"/>
      <c r="BQ125" s="399"/>
      <c r="BR125" s="399"/>
      <c r="BS125" s="399"/>
      <c r="BT125" s="399"/>
      <c r="BU125" s="399"/>
      <c r="BV125" s="399">
        <v>-255.95653128321942</v>
      </c>
      <c r="BW125" s="399"/>
      <c r="BX125" s="399"/>
      <c r="BY125" s="399"/>
      <c r="BZ125" s="399"/>
      <c r="CA125" s="399"/>
      <c r="CB125" s="399"/>
      <c r="CC125" s="399"/>
      <c r="CD125" s="399"/>
      <c r="CE125" s="399"/>
      <c r="CF125" s="399"/>
      <c r="CG125" s="399"/>
      <c r="CH125" s="399"/>
      <c r="CI125" s="399">
        <v>-547.096</v>
      </c>
      <c r="CJ125" s="399">
        <v>169.25800000000004</v>
      </c>
      <c r="CK125" s="399"/>
      <c r="CL125" s="399"/>
      <c r="CM125" s="399"/>
      <c r="CN125" s="399"/>
      <c r="CO125" s="399">
        <v>117.43199999999997</v>
      </c>
      <c r="CP125" s="399">
        <v>51.856000000000023</v>
      </c>
      <c r="CQ125" s="399">
        <v>29</v>
      </c>
      <c r="CR125" s="399">
        <v>59.174406641169753</v>
      </c>
      <c r="CS125" s="399">
        <v>0</v>
      </c>
      <c r="CT125" s="399">
        <v>0</v>
      </c>
      <c r="CU125" s="399">
        <v>0</v>
      </c>
      <c r="CV125" s="399">
        <v>0</v>
      </c>
      <c r="CW125" s="399">
        <v>0</v>
      </c>
      <c r="CX125" s="399">
        <v>0</v>
      </c>
      <c r="CY125" s="399">
        <v>0</v>
      </c>
      <c r="CZ125" s="399">
        <v>-2.6808958283147888</v>
      </c>
      <c r="DA125" s="399">
        <v>0</v>
      </c>
      <c r="DB125" s="399">
        <v>0</v>
      </c>
      <c r="DC125" s="399">
        <v>51.861415589628763</v>
      </c>
      <c r="DD125" s="399">
        <v>0</v>
      </c>
      <c r="DE125" s="399">
        <v>0</v>
      </c>
      <c r="DF125" s="399">
        <v>0</v>
      </c>
      <c r="DG125" s="399">
        <v>6.0697388631352034</v>
      </c>
      <c r="DH125" s="399">
        <v>0</v>
      </c>
      <c r="DI125" s="399">
        <v>3.3778637136819967</v>
      </c>
      <c r="DJ125" s="399"/>
      <c r="DK125" s="399">
        <v>0</v>
      </c>
      <c r="DL125" s="399">
        <v>0</v>
      </c>
      <c r="DM125" s="399">
        <v>0</v>
      </c>
      <c r="DN125" s="399">
        <v>0</v>
      </c>
      <c r="DO125" s="399">
        <v>0.43062641770214505</v>
      </c>
      <c r="DP125" s="399">
        <v>0.11565788533640808</v>
      </c>
      <c r="DQ125" s="399">
        <v>0</v>
      </c>
      <c r="DR125" s="399">
        <v>0</v>
      </c>
      <c r="DS125" s="399"/>
      <c r="DT125" s="399"/>
      <c r="DU125" s="399"/>
      <c r="DV125" s="399">
        <v>-301.76959615584963</v>
      </c>
      <c r="DW125" s="399">
        <v>0</v>
      </c>
      <c r="DX125" s="399">
        <v>0</v>
      </c>
      <c r="DY125" s="399">
        <v>117.43199999999996</v>
      </c>
      <c r="DZ125" s="399">
        <v>51.856000000000023</v>
      </c>
      <c r="EA125" s="399">
        <v>0</v>
      </c>
      <c r="EB125" s="399">
        <v>0</v>
      </c>
      <c r="EC125" s="399">
        <v>110.11576123760642</v>
      </c>
      <c r="ED125" s="399">
        <v>0</v>
      </c>
      <c r="EE125" s="399">
        <v>0</v>
      </c>
      <c r="EF125" s="399">
        <v>0</v>
      </c>
      <c r="EG125" s="399">
        <v>0</v>
      </c>
      <c r="EH125" s="399">
        <v>0</v>
      </c>
      <c r="EI125" s="399">
        <v>0</v>
      </c>
      <c r="EJ125" s="399">
        <v>0</v>
      </c>
      <c r="EK125" s="399">
        <v>0</v>
      </c>
      <c r="EL125" s="399">
        <v>0</v>
      </c>
      <c r="EM125" s="399">
        <v>0</v>
      </c>
      <c r="EN125" s="399">
        <v>0</v>
      </c>
      <c r="EO125" s="399">
        <v>0</v>
      </c>
      <c r="EP125" s="399">
        <v>-22.95858558954648</v>
      </c>
      <c r="EQ125" s="399">
        <v>0</v>
      </c>
      <c r="ER125" s="399">
        <v>0</v>
      </c>
      <c r="ES125" s="399">
        <v>0</v>
      </c>
      <c r="ET125" s="399">
        <v>0</v>
      </c>
      <c r="EU125" s="399">
        <v>0</v>
      </c>
      <c r="EV125" s="399">
        <v>202</v>
      </c>
      <c r="EW125" s="399">
        <v>0</v>
      </c>
      <c r="EX125" s="399">
        <v>0</v>
      </c>
      <c r="EY125" s="399">
        <v>0</v>
      </c>
      <c r="EZ125" s="399"/>
      <c r="FA125" s="399">
        <v>0</v>
      </c>
      <c r="FB125" s="399">
        <v>-17.698635468909799</v>
      </c>
      <c r="FC125" s="399"/>
      <c r="FD125" s="399">
        <v>-17.698635468909799</v>
      </c>
      <c r="FE125" s="399"/>
      <c r="FF125" s="399">
        <v>0</v>
      </c>
      <c r="FG125" s="399">
        <v>0</v>
      </c>
      <c r="FH125" s="399">
        <v>0</v>
      </c>
      <c r="FI125" s="399">
        <v>0</v>
      </c>
    </row>
    <row r="126" spans="1:165" s="818" customFormat="1">
      <c r="A126" s="399">
        <v>120</v>
      </c>
      <c r="B126" s="399" t="s">
        <v>2404</v>
      </c>
      <c r="C126" s="399" t="s">
        <v>2402</v>
      </c>
      <c r="D126" s="399" t="s">
        <v>1823</v>
      </c>
      <c r="E126" s="399" t="s">
        <v>889</v>
      </c>
      <c r="F126" s="399" t="s">
        <v>889</v>
      </c>
      <c r="G126" s="399" t="s">
        <v>1239</v>
      </c>
      <c r="H126" s="399" t="s">
        <v>1239</v>
      </c>
      <c r="I126" s="399" t="s">
        <v>1239</v>
      </c>
      <c r="J126" s="399" t="s">
        <v>2400</v>
      </c>
      <c r="K126" s="788">
        <v>44593</v>
      </c>
      <c r="L126" s="399">
        <v>0</v>
      </c>
      <c r="M126" s="399">
        <v>0</v>
      </c>
      <c r="N126" s="399">
        <v>3.8490000000000002</v>
      </c>
      <c r="O126" s="399">
        <v>3.8490000000000002</v>
      </c>
      <c r="P126" s="399">
        <v>3.8490000000000002</v>
      </c>
      <c r="Q126" s="399">
        <v>3.8490000000000002</v>
      </c>
      <c r="R126" s="399"/>
      <c r="S126" s="399">
        <v>609.05999999999995</v>
      </c>
      <c r="T126" s="399">
        <v>286.42</v>
      </c>
      <c r="U126" s="399"/>
      <c r="V126" s="399">
        <v>3446.7025200000003</v>
      </c>
      <c r="W126" s="399">
        <v>3446.7025200000003</v>
      </c>
      <c r="X126" s="399">
        <v>2632.2156299999997</v>
      </c>
      <c r="Y126" s="399">
        <v>0</v>
      </c>
      <c r="Z126" s="399">
        <v>234.25552464053948</v>
      </c>
      <c r="AA126" s="399">
        <v>0</v>
      </c>
      <c r="AB126" s="399">
        <v>0</v>
      </c>
      <c r="AC126" s="399">
        <v>0</v>
      </c>
      <c r="AD126" s="399">
        <v>375.86312517741663</v>
      </c>
      <c r="AE126" s="399">
        <v>1451.8889695048315</v>
      </c>
      <c r="AF126" s="399">
        <v>1102.4434558435632</v>
      </c>
      <c r="AG126" s="399">
        <v>0</v>
      </c>
      <c r="AH126" s="399">
        <v>0</v>
      </c>
      <c r="AI126" s="399">
        <v>0</v>
      </c>
      <c r="AJ126" s="399">
        <v>0</v>
      </c>
      <c r="AK126" s="399">
        <v>0</v>
      </c>
      <c r="AL126" s="399">
        <v>36.203266586962272</v>
      </c>
      <c r="AM126" s="399"/>
      <c r="AN126" s="399">
        <v>6.573466793050275</v>
      </c>
      <c r="AO126" s="399">
        <v>0</v>
      </c>
      <c r="AP126" s="399">
        <v>0</v>
      </c>
      <c r="AQ126" s="399">
        <v>0</v>
      </c>
      <c r="AR126" s="399">
        <v>0</v>
      </c>
      <c r="AS126" s="399">
        <v>0</v>
      </c>
      <c r="AT126" s="399">
        <v>0</v>
      </c>
      <c r="AU126" s="399">
        <v>0</v>
      </c>
      <c r="AV126" s="399">
        <v>0</v>
      </c>
      <c r="AW126" s="399">
        <v>0</v>
      </c>
      <c r="AX126" s="399">
        <v>0</v>
      </c>
      <c r="AY126" s="399">
        <v>0</v>
      </c>
      <c r="AZ126" s="399">
        <v>0</v>
      </c>
      <c r="BA126" s="399"/>
      <c r="BB126" s="399">
        <v>0</v>
      </c>
      <c r="BC126" s="399">
        <v>0</v>
      </c>
      <c r="BD126" s="399">
        <v>0</v>
      </c>
      <c r="BE126" s="399">
        <v>0</v>
      </c>
      <c r="BF126" s="399">
        <v>0</v>
      </c>
      <c r="BG126" s="399">
        <v>129.0274052928263</v>
      </c>
      <c r="BH126" s="399">
        <v>0</v>
      </c>
      <c r="BI126" s="399">
        <v>9.07</v>
      </c>
      <c r="BJ126" s="399">
        <v>43</v>
      </c>
      <c r="BK126" s="399">
        <v>2430.92</v>
      </c>
      <c r="BL126" s="399">
        <v>32</v>
      </c>
      <c r="BM126" s="399"/>
      <c r="BN126" s="399"/>
      <c r="BO126" s="399"/>
      <c r="BP126" s="399"/>
      <c r="BQ126" s="399"/>
      <c r="BR126" s="399"/>
      <c r="BS126" s="399"/>
      <c r="BT126" s="399"/>
      <c r="BU126" s="399"/>
      <c r="BV126" s="399">
        <v>1231.4708611363894</v>
      </c>
      <c r="BW126" s="399"/>
      <c r="BX126" s="399"/>
      <c r="BY126" s="399"/>
      <c r="BZ126" s="399"/>
      <c r="CA126" s="399"/>
      <c r="CB126" s="399"/>
      <c r="CC126" s="399"/>
      <c r="CD126" s="399"/>
      <c r="CE126" s="399"/>
      <c r="CF126" s="399"/>
      <c r="CG126" s="399"/>
      <c r="CH126" s="399"/>
      <c r="CI126" s="399">
        <v>2632.8995</v>
      </c>
      <c r="CJ126" s="399">
        <v>-813.83302000000094</v>
      </c>
      <c r="CK126" s="399"/>
      <c r="CL126" s="399"/>
      <c r="CM126" s="399"/>
      <c r="CN126" s="399"/>
      <c r="CO126" s="399">
        <v>-564.99470999999994</v>
      </c>
      <c r="CP126" s="399">
        <v>-249.4921800000001</v>
      </c>
      <c r="CQ126" s="399">
        <v>29</v>
      </c>
      <c r="CR126" s="399">
        <v>-284.70286395232779</v>
      </c>
      <c r="CS126" s="399">
        <v>0</v>
      </c>
      <c r="CT126" s="399">
        <v>0</v>
      </c>
      <c r="CU126" s="399">
        <v>0</v>
      </c>
      <c r="CV126" s="399">
        <v>0</v>
      </c>
      <c r="CW126" s="399">
        <v>0</v>
      </c>
      <c r="CX126" s="399">
        <v>0</v>
      </c>
      <c r="CY126" s="399">
        <v>0</v>
      </c>
      <c r="CZ126" s="399">
        <v>12.898460053979591</v>
      </c>
      <c r="DA126" s="399">
        <v>0</v>
      </c>
      <c r="DB126" s="399">
        <v>0</v>
      </c>
      <c r="DC126" s="399">
        <v>-249.51823575560149</v>
      </c>
      <c r="DD126" s="399">
        <v>0</v>
      </c>
      <c r="DE126" s="399">
        <v>0</v>
      </c>
      <c r="DF126" s="399">
        <v>0</v>
      </c>
      <c r="DG126" s="399">
        <v>-29.203031105259257</v>
      </c>
      <c r="DH126" s="399">
        <v>0</v>
      </c>
      <c r="DI126" s="399">
        <v>-16.251746792452508</v>
      </c>
      <c r="DJ126" s="399"/>
      <c r="DK126" s="399">
        <v>0</v>
      </c>
      <c r="DL126" s="399">
        <v>0</v>
      </c>
      <c r="DM126" s="399">
        <v>0</v>
      </c>
      <c r="DN126" s="399">
        <v>0</v>
      </c>
      <c r="DO126" s="399">
        <v>-2.0718513521694462</v>
      </c>
      <c r="DP126" s="399">
        <v>-0.55645900082479205</v>
      </c>
      <c r="DQ126" s="399">
        <v>0</v>
      </c>
      <c r="DR126" s="399">
        <v>0</v>
      </c>
      <c r="DS126" s="399"/>
      <c r="DT126" s="399"/>
      <c r="DU126" s="399"/>
      <c r="DV126" s="399">
        <v>1451.8889695048315</v>
      </c>
      <c r="DW126" s="399">
        <v>0</v>
      </c>
      <c r="DX126" s="399">
        <v>0</v>
      </c>
      <c r="DY126" s="399">
        <v>-564.99471000000017</v>
      </c>
      <c r="DZ126" s="399">
        <v>-249.49218000000019</v>
      </c>
      <c r="EA126" s="399">
        <v>0</v>
      </c>
      <c r="EB126" s="399">
        <v>0</v>
      </c>
      <c r="EC126" s="399">
        <v>-529.79445625443384</v>
      </c>
      <c r="ED126" s="399">
        <v>0</v>
      </c>
      <c r="EE126" s="399">
        <v>0</v>
      </c>
      <c r="EF126" s="399">
        <v>0</v>
      </c>
      <c r="EG126" s="399">
        <v>0</v>
      </c>
      <c r="EH126" s="399">
        <v>0</v>
      </c>
      <c r="EI126" s="399">
        <v>0</v>
      </c>
      <c r="EJ126" s="399">
        <v>0</v>
      </c>
      <c r="EK126" s="399">
        <v>0</v>
      </c>
      <c r="EL126" s="399">
        <v>0</v>
      </c>
      <c r="EM126" s="399">
        <v>0</v>
      </c>
      <c r="EN126" s="399">
        <v>0</v>
      </c>
      <c r="EO126" s="399">
        <v>0</v>
      </c>
      <c r="EP126" s="399">
        <v>110.4594949177055</v>
      </c>
      <c r="EQ126" s="399">
        <v>0</v>
      </c>
      <c r="ER126" s="399">
        <v>0</v>
      </c>
      <c r="ES126" s="399">
        <v>0</v>
      </c>
      <c r="ET126" s="399">
        <v>0</v>
      </c>
      <c r="EU126" s="399">
        <v>0</v>
      </c>
      <c r="EV126" s="399">
        <v>202</v>
      </c>
      <c r="EW126" s="399">
        <v>0</v>
      </c>
      <c r="EX126" s="399">
        <v>0</v>
      </c>
      <c r="EY126" s="399">
        <v>0</v>
      </c>
      <c r="EZ126" s="399"/>
      <c r="FA126" s="399">
        <v>0</v>
      </c>
      <c r="FB126" s="399">
        <v>-17.698635468909799</v>
      </c>
      <c r="FC126" s="399"/>
      <c r="FD126" s="399">
        <v>-17.698635468909799</v>
      </c>
      <c r="FE126" s="399"/>
      <c r="FF126" s="399">
        <v>0</v>
      </c>
      <c r="FG126" s="399">
        <v>0</v>
      </c>
      <c r="FH126" s="399">
        <v>0</v>
      </c>
      <c r="FI126" s="399">
        <v>0</v>
      </c>
    </row>
    <row r="127" spans="1:165" s="818" customFormat="1">
      <c r="A127" s="399">
        <v>121</v>
      </c>
      <c r="B127" s="399" t="s">
        <v>956</v>
      </c>
      <c r="C127" s="399" t="s">
        <v>2402</v>
      </c>
      <c r="D127" s="399" t="s">
        <v>1823</v>
      </c>
      <c r="E127" s="399" t="s">
        <v>889</v>
      </c>
      <c r="F127" s="399" t="s">
        <v>2405</v>
      </c>
      <c r="G127" s="399" t="s">
        <v>1239</v>
      </c>
      <c r="H127" s="399" t="s">
        <v>1239</v>
      </c>
      <c r="I127" s="399" t="s">
        <v>1239</v>
      </c>
      <c r="J127" s="399" t="s">
        <v>2400</v>
      </c>
      <c r="K127" s="788">
        <v>44593</v>
      </c>
      <c r="L127" s="399">
        <v>0</v>
      </c>
      <c r="M127" s="399">
        <v>0</v>
      </c>
      <c r="N127" s="399">
        <v>3.72</v>
      </c>
      <c r="O127" s="399">
        <v>3.72</v>
      </c>
      <c r="P127" s="399">
        <v>3.72</v>
      </c>
      <c r="Q127" s="399">
        <v>3.72</v>
      </c>
      <c r="R127" s="399"/>
      <c r="S127" s="399">
        <v>510.09</v>
      </c>
      <c r="T127" s="399">
        <v>286.42</v>
      </c>
      <c r="U127" s="399"/>
      <c r="V127" s="399">
        <v>2963.0172000000002</v>
      </c>
      <c r="W127" s="399">
        <v>2963.0172000000002</v>
      </c>
      <c r="X127" s="399">
        <v>2193.5724</v>
      </c>
      <c r="Y127" s="399">
        <v>0</v>
      </c>
      <c r="Z127" s="399">
        <v>0</v>
      </c>
      <c r="AA127" s="399">
        <v>0</v>
      </c>
      <c r="AB127" s="399">
        <v>0</v>
      </c>
      <c r="AC127" s="399">
        <v>0</v>
      </c>
      <c r="AD127" s="399">
        <v>363.2659978332008</v>
      </c>
      <c r="AE127" s="399">
        <v>1403.2286221247007</v>
      </c>
      <c r="AF127" s="399">
        <v>1065.4948443071071</v>
      </c>
      <c r="AG127" s="399">
        <v>0</v>
      </c>
      <c r="AH127" s="399">
        <v>0</v>
      </c>
      <c r="AI127" s="399">
        <v>0</v>
      </c>
      <c r="AJ127" s="399">
        <v>0</v>
      </c>
      <c r="AK127" s="399">
        <v>0</v>
      </c>
      <c r="AL127" s="399">
        <v>0</v>
      </c>
      <c r="AM127" s="399"/>
      <c r="AN127" s="399">
        <v>6.3531557469854576</v>
      </c>
      <c r="AO127" s="399">
        <v>0</v>
      </c>
      <c r="AP127" s="399">
        <v>0</v>
      </c>
      <c r="AQ127" s="399">
        <v>0</v>
      </c>
      <c r="AR127" s="399">
        <v>0</v>
      </c>
      <c r="AS127" s="399">
        <v>0</v>
      </c>
      <c r="AT127" s="399">
        <v>0</v>
      </c>
      <c r="AU127" s="399">
        <v>0</v>
      </c>
      <c r="AV127" s="399">
        <v>0</v>
      </c>
      <c r="AW127" s="399">
        <v>0</v>
      </c>
      <c r="AX127" s="399">
        <v>0</v>
      </c>
      <c r="AY127" s="399">
        <v>0</v>
      </c>
      <c r="AZ127" s="399">
        <v>0</v>
      </c>
      <c r="BA127" s="399"/>
      <c r="BB127" s="399">
        <v>0</v>
      </c>
      <c r="BC127" s="399">
        <v>0</v>
      </c>
      <c r="BD127" s="399">
        <v>0</v>
      </c>
      <c r="BE127" s="399">
        <v>0</v>
      </c>
      <c r="BF127" s="399">
        <v>0</v>
      </c>
      <c r="BG127" s="399">
        <v>124.70302615986328</v>
      </c>
      <c r="BH127" s="399">
        <v>0</v>
      </c>
      <c r="BI127" s="399">
        <v>3.88</v>
      </c>
      <c r="BJ127" s="399">
        <v>17.989999999999998</v>
      </c>
      <c r="BK127" s="399">
        <v>442.2</v>
      </c>
      <c r="BL127" s="399">
        <v>1</v>
      </c>
      <c r="BM127" s="399"/>
      <c r="BN127" s="399"/>
      <c r="BO127" s="399"/>
      <c r="BP127" s="399"/>
      <c r="BQ127" s="399"/>
      <c r="BR127" s="399"/>
      <c r="BS127" s="399"/>
      <c r="BT127" s="399">
        <v>1425.8388</v>
      </c>
      <c r="BU127" s="399"/>
      <c r="BV127" s="399">
        <v>1190.1978704669705</v>
      </c>
      <c r="BW127" s="399"/>
      <c r="BX127" s="399"/>
      <c r="BY127" s="399"/>
      <c r="BZ127" s="399"/>
      <c r="CA127" s="399"/>
      <c r="CB127" s="399"/>
      <c r="CC127" s="399"/>
      <c r="CD127" s="399"/>
      <c r="CE127" s="399"/>
      <c r="CF127" s="399"/>
      <c r="CG127" s="399"/>
      <c r="CH127" s="399"/>
      <c r="CI127" s="399">
        <v>767.73360000000002</v>
      </c>
      <c r="CJ127" s="399">
        <v>-269.35799999999995</v>
      </c>
      <c r="CK127" s="399"/>
      <c r="CL127" s="399"/>
      <c r="CM127" s="399"/>
      <c r="CN127" s="399"/>
      <c r="CO127" s="399">
        <v>-528.31439999999998</v>
      </c>
      <c r="CP127" s="399">
        <v>-241.13040000000009</v>
      </c>
      <c r="CQ127" s="399">
        <v>29</v>
      </c>
      <c r="CR127" s="399">
        <v>-257.4515117705032</v>
      </c>
      <c r="CS127" s="399">
        <v>0</v>
      </c>
      <c r="CT127" s="399">
        <v>0</v>
      </c>
      <c r="CU127" s="399">
        <v>0</v>
      </c>
      <c r="CV127" s="399">
        <v>0</v>
      </c>
      <c r="CW127" s="399">
        <v>0</v>
      </c>
      <c r="CX127" s="399">
        <v>0</v>
      </c>
      <c r="CY127" s="399">
        <v>0</v>
      </c>
      <c r="CZ127" s="399">
        <v>12.466165601663818</v>
      </c>
      <c r="DA127" s="399">
        <v>0</v>
      </c>
      <c r="DB127" s="399">
        <v>0</v>
      </c>
      <c r="DC127" s="399">
        <v>-241.15558249177377</v>
      </c>
      <c r="DD127" s="399">
        <v>0</v>
      </c>
      <c r="DE127" s="399">
        <v>0</v>
      </c>
      <c r="DF127" s="399">
        <v>0</v>
      </c>
      <c r="DG127" s="399">
        <v>-28.224285713578695</v>
      </c>
      <c r="DH127" s="399">
        <v>0</v>
      </c>
      <c r="DI127" s="399">
        <v>0</v>
      </c>
      <c r="DJ127" s="399"/>
      <c r="DK127" s="399">
        <v>0</v>
      </c>
      <c r="DL127" s="399">
        <v>0</v>
      </c>
      <c r="DM127" s="399">
        <v>0</v>
      </c>
      <c r="DN127" s="399">
        <v>0</v>
      </c>
      <c r="DO127" s="399">
        <v>0</v>
      </c>
      <c r="DP127" s="399">
        <v>-0.53780916681429769</v>
      </c>
      <c r="DQ127" s="399">
        <v>0</v>
      </c>
      <c r="DR127" s="399">
        <v>0</v>
      </c>
      <c r="DS127" s="399"/>
      <c r="DT127" s="399"/>
      <c r="DU127" s="399"/>
      <c r="DV127" s="399">
        <v>1403.2286221247007</v>
      </c>
      <c r="DW127" s="399">
        <v>0</v>
      </c>
      <c r="DX127" s="399">
        <v>0</v>
      </c>
      <c r="DY127" s="399">
        <v>-528.31439999999975</v>
      </c>
      <c r="DZ127" s="399">
        <v>-241.13040000000012</v>
      </c>
      <c r="EA127" s="399">
        <v>0</v>
      </c>
      <c r="EB127" s="399">
        <v>0</v>
      </c>
      <c r="EC127" s="399">
        <v>-512.03828975486977</v>
      </c>
      <c r="ED127" s="399">
        <v>0</v>
      </c>
      <c r="EE127" s="399">
        <v>0</v>
      </c>
      <c r="EF127" s="399">
        <v>0</v>
      </c>
      <c r="EG127" s="399">
        <v>0</v>
      </c>
      <c r="EH127" s="399">
        <v>0</v>
      </c>
      <c r="EI127" s="399">
        <v>0</v>
      </c>
      <c r="EJ127" s="399">
        <v>0</v>
      </c>
      <c r="EK127" s="399">
        <v>0</v>
      </c>
      <c r="EL127" s="399">
        <v>0</v>
      </c>
      <c r="EM127" s="399">
        <v>0</v>
      </c>
      <c r="EN127" s="399">
        <v>0</v>
      </c>
      <c r="EO127" s="399">
        <v>0</v>
      </c>
      <c r="EP127" s="399">
        <v>0</v>
      </c>
      <c r="EQ127" s="399">
        <v>0</v>
      </c>
      <c r="ER127" s="399">
        <v>0</v>
      </c>
      <c r="ES127" s="399">
        <v>0</v>
      </c>
      <c r="ET127" s="399">
        <v>0</v>
      </c>
      <c r="EU127" s="399">
        <v>0</v>
      </c>
      <c r="EV127" s="399">
        <v>202</v>
      </c>
      <c r="EW127" s="399">
        <v>0</v>
      </c>
      <c r="EX127" s="399">
        <v>0</v>
      </c>
      <c r="EY127" s="399">
        <v>0</v>
      </c>
      <c r="EZ127" s="399"/>
      <c r="FA127" s="399">
        <v>0</v>
      </c>
      <c r="FB127" s="399">
        <v>-17.698635468909799</v>
      </c>
      <c r="FC127" s="399"/>
      <c r="FD127" s="399">
        <v>-17.698635468909799</v>
      </c>
      <c r="FE127" s="399"/>
      <c r="FF127" s="399">
        <v>0</v>
      </c>
      <c r="FG127" s="399">
        <v>0</v>
      </c>
      <c r="FH127" s="399">
        <v>0</v>
      </c>
      <c r="FI127" s="399">
        <v>0</v>
      </c>
    </row>
    <row r="128" spans="1:165" s="818" customFormat="1">
      <c r="A128" s="399">
        <v>122</v>
      </c>
      <c r="B128" s="399" t="s">
        <v>956</v>
      </c>
      <c r="C128" s="399" t="s">
        <v>2402</v>
      </c>
      <c r="D128" s="399" t="s">
        <v>1823</v>
      </c>
      <c r="E128" s="399" t="s">
        <v>889</v>
      </c>
      <c r="F128" s="399" t="s">
        <v>2406</v>
      </c>
      <c r="G128" s="399" t="s">
        <v>1239</v>
      </c>
      <c r="H128" s="399" t="s">
        <v>1239</v>
      </c>
      <c r="I128" s="399" t="s">
        <v>1239</v>
      </c>
      <c r="J128" s="399" t="s">
        <v>2400</v>
      </c>
      <c r="K128" s="788">
        <v>44593</v>
      </c>
      <c r="L128" s="399">
        <v>0</v>
      </c>
      <c r="M128" s="399">
        <v>0</v>
      </c>
      <c r="N128" s="399">
        <v>8.0180000000000007</v>
      </c>
      <c r="O128" s="399">
        <v>8.0180000000000007</v>
      </c>
      <c r="P128" s="399">
        <v>8.0180000000000007</v>
      </c>
      <c r="Q128" s="399">
        <v>8.0180000000000007</v>
      </c>
      <c r="R128" s="399"/>
      <c r="S128" s="399">
        <v>510.09</v>
      </c>
      <c r="T128" s="399">
        <v>286.42</v>
      </c>
      <c r="U128" s="399"/>
      <c r="V128" s="399">
        <v>6386.4171800000004</v>
      </c>
      <c r="W128" s="399">
        <v>6386.4171800000004</v>
      </c>
      <c r="X128" s="399">
        <v>4727.9740600000005</v>
      </c>
      <c r="Y128" s="399">
        <v>0</v>
      </c>
      <c r="Z128" s="399">
        <v>0</v>
      </c>
      <c r="AA128" s="399">
        <v>0</v>
      </c>
      <c r="AB128" s="399">
        <v>0</v>
      </c>
      <c r="AC128" s="399">
        <v>0</v>
      </c>
      <c r="AD128" s="399">
        <v>782.97493834048498</v>
      </c>
      <c r="AE128" s="399">
        <v>3024.4857774720031</v>
      </c>
      <c r="AF128" s="399">
        <v>2296.5423821651571</v>
      </c>
      <c r="AG128" s="399">
        <v>0</v>
      </c>
      <c r="AH128" s="399">
        <v>0</v>
      </c>
      <c r="AI128" s="399">
        <v>0</v>
      </c>
      <c r="AJ128" s="399">
        <v>0</v>
      </c>
      <c r="AK128" s="399">
        <v>0</v>
      </c>
      <c r="AL128" s="399">
        <v>0</v>
      </c>
      <c r="AM128" s="399"/>
      <c r="AN128" s="399">
        <v>13.693441607346612</v>
      </c>
      <c r="AO128" s="399">
        <v>0</v>
      </c>
      <c r="AP128" s="399">
        <v>0</v>
      </c>
      <c r="AQ128" s="399">
        <v>0</v>
      </c>
      <c r="AR128" s="399">
        <v>0</v>
      </c>
      <c r="AS128" s="399">
        <v>0</v>
      </c>
      <c r="AT128" s="399">
        <v>0</v>
      </c>
      <c r="AU128" s="399">
        <v>0</v>
      </c>
      <c r="AV128" s="399">
        <v>0</v>
      </c>
      <c r="AW128" s="399">
        <v>0</v>
      </c>
      <c r="AX128" s="399">
        <v>0</v>
      </c>
      <c r="AY128" s="399">
        <v>0</v>
      </c>
      <c r="AZ128" s="399">
        <v>0</v>
      </c>
      <c r="BA128" s="399"/>
      <c r="BB128" s="399">
        <v>0</v>
      </c>
      <c r="BC128" s="399">
        <v>0</v>
      </c>
      <c r="BD128" s="399">
        <v>0</v>
      </c>
      <c r="BE128" s="399">
        <v>0</v>
      </c>
      <c r="BF128" s="399">
        <v>0</v>
      </c>
      <c r="BG128" s="399">
        <v>268.78195262090964</v>
      </c>
      <c r="BH128" s="399">
        <v>0</v>
      </c>
      <c r="BI128" s="399">
        <v>14.8</v>
      </c>
      <c r="BJ128" s="399">
        <v>69.14</v>
      </c>
      <c r="BK128" s="399">
        <v>1030.6300000000001</v>
      </c>
      <c r="BL128" s="399">
        <v>24</v>
      </c>
      <c r="BM128" s="399"/>
      <c r="BN128" s="399"/>
      <c r="BO128" s="399"/>
      <c r="BP128" s="399"/>
      <c r="BQ128" s="399"/>
      <c r="BR128" s="399"/>
      <c r="BS128" s="399"/>
      <c r="BT128" s="399">
        <v>1891.2056600000001</v>
      </c>
      <c r="BU128" s="399"/>
      <c r="BV128" s="399">
        <v>2565.3243347860666</v>
      </c>
      <c r="BW128" s="399"/>
      <c r="BX128" s="399"/>
      <c r="BY128" s="399"/>
      <c r="BZ128" s="399"/>
      <c r="CA128" s="399"/>
      <c r="CB128" s="399"/>
      <c r="CC128" s="399"/>
      <c r="CD128" s="399"/>
      <c r="CE128" s="399"/>
      <c r="CF128" s="399"/>
      <c r="CG128" s="399"/>
      <c r="CH128" s="399"/>
      <c r="CI128" s="399">
        <v>2837.4760000000001</v>
      </c>
      <c r="CJ128" s="399">
        <v>-994.43638000000101</v>
      </c>
      <c r="CK128" s="399"/>
      <c r="CL128" s="399"/>
      <c r="CM128" s="399"/>
      <c r="CN128" s="399"/>
      <c r="CO128" s="399">
        <v>-1138.7163599999999</v>
      </c>
      <c r="CP128" s="399">
        <v>-519.72676000000024</v>
      </c>
      <c r="CQ128" s="399">
        <v>29</v>
      </c>
      <c r="CR128" s="399">
        <v>-554.90489821932579</v>
      </c>
      <c r="CS128" s="399">
        <v>0</v>
      </c>
      <c r="CT128" s="399">
        <v>0</v>
      </c>
      <c r="CU128" s="399">
        <v>0</v>
      </c>
      <c r="CV128" s="399">
        <v>0</v>
      </c>
      <c r="CW128" s="399">
        <v>0</v>
      </c>
      <c r="CX128" s="399">
        <v>0</v>
      </c>
      <c r="CY128" s="399">
        <v>0</v>
      </c>
      <c r="CZ128" s="399">
        <v>26.86927843928504</v>
      </c>
      <c r="DA128" s="399">
        <v>0</v>
      </c>
      <c r="DB128" s="399">
        <v>0</v>
      </c>
      <c r="DC128" s="399">
        <v>-519.78103774705414</v>
      </c>
      <c r="DD128" s="399">
        <v>0</v>
      </c>
      <c r="DE128" s="399">
        <v>0</v>
      </c>
      <c r="DF128" s="399">
        <v>0</v>
      </c>
      <c r="DG128" s="399">
        <v>-60.833957755772559</v>
      </c>
      <c r="DH128" s="399">
        <v>0</v>
      </c>
      <c r="DI128" s="399">
        <v>0</v>
      </c>
      <c r="DJ128" s="399"/>
      <c r="DK128" s="399">
        <v>0</v>
      </c>
      <c r="DL128" s="399">
        <v>0</v>
      </c>
      <c r="DM128" s="399">
        <v>0</v>
      </c>
      <c r="DN128" s="399">
        <v>0</v>
      </c>
      <c r="DO128" s="399">
        <v>0</v>
      </c>
      <c r="DP128" s="399">
        <v>-1.1591811557841485</v>
      </c>
      <c r="DQ128" s="399">
        <v>0</v>
      </c>
      <c r="DR128" s="399">
        <v>0</v>
      </c>
      <c r="DS128" s="399"/>
      <c r="DT128" s="399"/>
      <c r="DU128" s="399"/>
      <c r="DV128" s="399">
        <v>3024.4857774720031</v>
      </c>
      <c r="DW128" s="399">
        <v>0</v>
      </c>
      <c r="DX128" s="399">
        <v>0</v>
      </c>
      <c r="DY128" s="399">
        <v>-1138.7163599999999</v>
      </c>
      <c r="DZ128" s="399">
        <v>-519.72676000000024</v>
      </c>
      <c r="EA128" s="399">
        <v>0</v>
      </c>
      <c r="EB128" s="399">
        <v>0</v>
      </c>
      <c r="EC128" s="399">
        <v>-1103.6352170039104</v>
      </c>
      <c r="ED128" s="399">
        <v>0</v>
      </c>
      <c r="EE128" s="399">
        <v>0</v>
      </c>
      <c r="EF128" s="399">
        <v>0</v>
      </c>
      <c r="EG128" s="399">
        <v>0</v>
      </c>
      <c r="EH128" s="399">
        <v>0</v>
      </c>
      <c r="EI128" s="399">
        <v>0</v>
      </c>
      <c r="EJ128" s="399">
        <v>0</v>
      </c>
      <c r="EK128" s="399">
        <v>0</v>
      </c>
      <c r="EL128" s="399">
        <v>0</v>
      </c>
      <c r="EM128" s="399">
        <v>0</v>
      </c>
      <c r="EN128" s="399">
        <v>0</v>
      </c>
      <c r="EO128" s="399">
        <v>0</v>
      </c>
      <c r="EP128" s="399">
        <v>0</v>
      </c>
      <c r="EQ128" s="399">
        <v>0</v>
      </c>
      <c r="ER128" s="399">
        <v>0</v>
      </c>
      <c r="ES128" s="399">
        <v>0</v>
      </c>
      <c r="ET128" s="399">
        <v>0</v>
      </c>
      <c r="EU128" s="399">
        <v>0</v>
      </c>
      <c r="EV128" s="399">
        <v>202</v>
      </c>
      <c r="EW128" s="399">
        <v>0</v>
      </c>
      <c r="EX128" s="399">
        <v>0</v>
      </c>
      <c r="EY128" s="399">
        <v>0</v>
      </c>
      <c r="EZ128" s="399"/>
      <c r="FA128" s="399">
        <v>0</v>
      </c>
      <c r="FB128" s="399">
        <v>-17.698635468909799</v>
      </c>
      <c r="FC128" s="399"/>
      <c r="FD128" s="399">
        <v>-17.698635468909799</v>
      </c>
      <c r="FE128" s="399"/>
      <c r="FF128" s="399">
        <v>0</v>
      </c>
      <c r="FG128" s="399">
        <v>0</v>
      </c>
      <c r="FH128" s="399">
        <v>0</v>
      </c>
      <c r="FI128" s="399">
        <v>0</v>
      </c>
    </row>
    <row r="129" spans="1:165" s="818" customFormat="1">
      <c r="A129" s="399">
        <v>123</v>
      </c>
      <c r="B129" s="399" t="s">
        <v>956</v>
      </c>
      <c r="C129" s="399" t="s">
        <v>2402</v>
      </c>
      <c r="D129" s="399" t="s">
        <v>1823</v>
      </c>
      <c r="E129" s="399" t="s">
        <v>889</v>
      </c>
      <c r="F129" s="399" t="s">
        <v>2407</v>
      </c>
      <c r="G129" s="399" t="s">
        <v>1239</v>
      </c>
      <c r="H129" s="399" t="s">
        <v>1239</v>
      </c>
      <c r="I129" s="399" t="s">
        <v>1239</v>
      </c>
      <c r="J129" s="399" t="s">
        <v>2400</v>
      </c>
      <c r="K129" s="788">
        <v>44593</v>
      </c>
      <c r="L129" s="399">
        <v>0</v>
      </c>
      <c r="M129" s="399">
        <v>0</v>
      </c>
      <c r="N129" s="399">
        <v>7.2069999999999999</v>
      </c>
      <c r="O129" s="399">
        <v>7.2069999999999999</v>
      </c>
      <c r="P129" s="399">
        <v>7.2069999999999999</v>
      </c>
      <c r="Q129" s="399">
        <v>7.2069999999999999</v>
      </c>
      <c r="R129" s="399"/>
      <c r="S129" s="399">
        <v>510.09</v>
      </c>
      <c r="T129" s="399">
        <v>286.42</v>
      </c>
      <c r="U129" s="399"/>
      <c r="V129" s="399">
        <v>5740.4475700000003</v>
      </c>
      <c r="W129" s="399">
        <v>5740.4475700000003</v>
      </c>
      <c r="X129" s="399">
        <v>4249.7516899999991</v>
      </c>
      <c r="Y129" s="399">
        <v>0</v>
      </c>
      <c r="Z129" s="399">
        <v>0</v>
      </c>
      <c r="AA129" s="399">
        <v>0</v>
      </c>
      <c r="AB129" s="399">
        <v>0</v>
      </c>
      <c r="AC129" s="399">
        <v>0</v>
      </c>
      <c r="AD129" s="399">
        <v>703.77904472684895</v>
      </c>
      <c r="AE129" s="399">
        <v>2718.56684936901</v>
      </c>
      <c r="AF129" s="399">
        <v>2064.2530491723978</v>
      </c>
      <c r="AG129" s="399">
        <v>0</v>
      </c>
      <c r="AH129" s="399">
        <v>0</v>
      </c>
      <c r="AI129" s="399">
        <v>0</v>
      </c>
      <c r="AJ129" s="399">
        <v>0</v>
      </c>
      <c r="AK129" s="399">
        <v>0</v>
      </c>
      <c r="AL129" s="399">
        <v>0</v>
      </c>
      <c r="AM129" s="399"/>
      <c r="AN129" s="399">
        <v>12.308385341001125</v>
      </c>
      <c r="AO129" s="399">
        <v>0</v>
      </c>
      <c r="AP129" s="399">
        <v>0</v>
      </c>
      <c r="AQ129" s="399">
        <v>0</v>
      </c>
      <c r="AR129" s="399">
        <v>0</v>
      </c>
      <c r="AS129" s="399">
        <v>0</v>
      </c>
      <c r="AT129" s="399">
        <v>0</v>
      </c>
      <c r="AU129" s="399">
        <v>0</v>
      </c>
      <c r="AV129" s="399">
        <v>0</v>
      </c>
      <c r="AW129" s="399">
        <v>0</v>
      </c>
      <c r="AX129" s="399">
        <v>0</v>
      </c>
      <c r="AY129" s="399">
        <v>0</v>
      </c>
      <c r="AZ129" s="399">
        <v>0</v>
      </c>
      <c r="BA129" s="399"/>
      <c r="BB129" s="399">
        <v>0</v>
      </c>
      <c r="BC129" s="399">
        <v>0</v>
      </c>
      <c r="BD129" s="399">
        <v>0</v>
      </c>
      <c r="BE129" s="399">
        <v>0</v>
      </c>
      <c r="BF129" s="399">
        <v>0</v>
      </c>
      <c r="BG129" s="399">
        <v>241.59535202530503</v>
      </c>
      <c r="BH129" s="399">
        <v>0</v>
      </c>
      <c r="BI129" s="399">
        <v>20.77</v>
      </c>
      <c r="BJ129" s="399">
        <v>97.38</v>
      </c>
      <c r="BK129" s="399">
        <v>1233.79</v>
      </c>
      <c r="BL129" s="399">
        <v>74</v>
      </c>
      <c r="BM129" s="399"/>
      <c r="BN129" s="399"/>
      <c r="BO129" s="399"/>
      <c r="BP129" s="399"/>
      <c r="BQ129" s="399"/>
      <c r="BR129" s="399"/>
      <c r="BS129" s="399"/>
      <c r="BT129" s="399">
        <v>424.99678999999998</v>
      </c>
      <c r="BU129" s="399"/>
      <c r="BV129" s="399">
        <v>2305.848401197703</v>
      </c>
      <c r="BW129" s="399"/>
      <c r="BX129" s="399"/>
      <c r="BY129" s="399"/>
      <c r="BZ129" s="399"/>
      <c r="CA129" s="399"/>
      <c r="CB129" s="399"/>
      <c r="CC129" s="399"/>
      <c r="CD129" s="399"/>
      <c r="CE129" s="399"/>
      <c r="CF129" s="399"/>
      <c r="CG129" s="399"/>
      <c r="CH129" s="399"/>
      <c r="CI129" s="399">
        <v>3826.3469999999998</v>
      </c>
      <c r="CJ129" s="399">
        <v>-1340.0930200000003</v>
      </c>
      <c r="CK129" s="399"/>
      <c r="CL129" s="399"/>
      <c r="CM129" s="399"/>
      <c r="CN129" s="399"/>
      <c r="CO129" s="399">
        <v>-1023.5381399999999</v>
      </c>
      <c r="CP129" s="399">
        <v>-467.15774000000016</v>
      </c>
      <c r="CQ129" s="399">
        <v>29</v>
      </c>
      <c r="CR129" s="399">
        <v>-498.7777003575311</v>
      </c>
      <c r="CS129" s="399">
        <v>0</v>
      </c>
      <c r="CT129" s="399">
        <v>0</v>
      </c>
      <c r="CU129" s="399">
        <v>0</v>
      </c>
      <c r="CV129" s="399">
        <v>0</v>
      </c>
      <c r="CW129" s="399">
        <v>0</v>
      </c>
      <c r="CX129" s="399">
        <v>0</v>
      </c>
      <c r="CY129" s="399">
        <v>0</v>
      </c>
      <c r="CZ129" s="399">
        <v>24.151520293330918</v>
      </c>
      <c r="DA129" s="399">
        <v>0</v>
      </c>
      <c r="DB129" s="399">
        <v>0</v>
      </c>
      <c r="DC129" s="399">
        <v>-467.20652769306821</v>
      </c>
      <c r="DD129" s="399">
        <v>0</v>
      </c>
      <c r="DE129" s="399">
        <v>0</v>
      </c>
      <c r="DF129" s="399">
        <v>0</v>
      </c>
      <c r="DG129" s="399">
        <v>-54.680759983269269</v>
      </c>
      <c r="DH129" s="399">
        <v>0</v>
      </c>
      <c r="DI129" s="399">
        <v>0</v>
      </c>
      <c r="DJ129" s="399"/>
      <c r="DK129" s="399">
        <v>0</v>
      </c>
      <c r="DL129" s="399">
        <v>0</v>
      </c>
      <c r="DM129" s="399">
        <v>0</v>
      </c>
      <c r="DN129" s="399">
        <v>0</v>
      </c>
      <c r="DO129" s="399">
        <v>0</v>
      </c>
      <c r="DP129" s="399">
        <v>-1.0419329745243644</v>
      </c>
      <c r="DQ129" s="399">
        <v>0</v>
      </c>
      <c r="DR129" s="399">
        <v>0</v>
      </c>
      <c r="DS129" s="399"/>
      <c r="DT129" s="399"/>
      <c r="DU129" s="399"/>
      <c r="DV129" s="399">
        <v>2718.56684936901</v>
      </c>
      <c r="DW129" s="399">
        <v>0</v>
      </c>
      <c r="DX129" s="399">
        <v>0</v>
      </c>
      <c r="DY129" s="399">
        <v>-1023.5381400000001</v>
      </c>
      <c r="DZ129" s="399">
        <v>-467.1577400000001</v>
      </c>
      <c r="EA129" s="399">
        <v>0</v>
      </c>
      <c r="EB129" s="399">
        <v>0</v>
      </c>
      <c r="EC129" s="399">
        <v>-992.00536404928653</v>
      </c>
      <c r="ED129" s="399">
        <v>0</v>
      </c>
      <c r="EE129" s="399">
        <v>0</v>
      </c>
      <c r="EF129" s="399">
        <v>0</v>
      </c>
      <c r="EG129" s="399">
        <v>0</v>
      </c>
      <c r="EH129" s="399">
        <v>0</v>
      </c>
      <c r="EI129" s="399">
        <v>0</v>
      </c>
      <c r="EJ129" s="399">
        <v>0</v>
      </c>
      <c r="EK129" s="399">
        <v>0</v>
      </c>
      <c r="EL129" s="399">
        <v>0</v>
      </c>
      <c r="EM129" s="399">
        <v>0</v>
      </c>
      <c r="EN129" s="399">
        <v>0</v>
      </c>
      <c r="EO129" s="399">
        <v>0</v>
      </c>
      <c r="EP129" s="399">
        <v>0</v>
      </c>
      <c r="EQ129" s="399">
        <v>0</v>
      </c>
      <c r="ER129" s="399">
        <v>0</v>
      </c>
      <c r="ES129" s="399">
        <v>0</v>
      </c>
      <c r="ET129" s="399">
        <v>0</v>
      </c>
      <c r="EU129" s="399">
        <v>0</v>
      </c>
      <c r="EV129" s="399">
        <v>202</v>
      </c>
      <c r="EW129" s="399">
        <v>0</v>
      </c>
      <c r="EX129" s="399">
        <v>0</v>
      </c>
      <c r="EY129" s="399">
        <v>0</v>
      </c>
      <c r="EZ129" s="399"/>
      <c r="FA129" s="399">
        <v>0</v>
      </c>
      <c r="FB129" s="399">
        <v>-17.698635468909799</v>
      </c>
      <c r="FC129" s="399"/>
      <c r="FD129" s="399">
        <v>-17.698635468909799</v>
      </c>
      <c r="FE129" s="399"/>
      <c r="FF129" s="399">
        <v>0</v>
      </c>
      <c r="FG129" s="399">
        <v>0</v>
      </c>
      <c r="FH129" s="399">
        <v>0</v>
      </c>
      <c r="FI129" s="399">
        <v>0</v>
      </c>
    </row>
    <row r="130" spans="1:165" s="818" customFormat="1">
      <c r="A130" s="399">
        <v>124</v>
      </c>
      <c r="B130" s="399" t="s">
        <v>956</v>
      </c>
      <c r="C130" s="399" t="s">
        <v>2402</v>
      </c>
      <c r="D130" s="399" t="s">
        <v>1823</v>
      </c>
      <c r="E130" s="399" t="s">
        <v>889</v>
      </c>
      <c r="F130" s="399" t="s">
        <v>2408</v>
      </c>
      <c r="G130" s="399" t="s">
        <v>1239</v>
      </c>
      <c r="H130" s="399" t="s">
        <v>1239</v>
      </c>
      <c r="I130" s="399" t="s">
        <v>1239</v>
      </c>
      <c r="J130" s="399" t="s">
        <v>2400</v>
      </c>
      <c r="K130" s="788">
        <v>44593</v>
      </c>
      <c r="L130" s="399">
        <v>0</v>
      </c>
      <c r="M130" s="399">
        <v>0</v>
      </c>
      <c r="N130" s="399">
        <v>2.125</v>
      </c>
      <c r="O130" s="399">
        <v>2.125</v>
      </c>
      <c r="P130" s="399">
        <v>2.125</v>
      </c>
      <c r="Q130" s="399">
        <v>2.125</v>
      </c>
      <c r="R130" s="399"/>
      <c r="S130" s="399">
        <v>510.09</v>
      </c>
      <c r="T130" s="399">
        <v>286.42</v>
      </c>
      <c r="U130" s="399"/>
      <c r="V130" s="399">
        <v>1692.5837499999998</v>
      </c>
      <c r="W130" s="399">
        <v>1692.5837499999998</v>
      </c>
      <c r="X130" s="399">
        <v>1253.0487499999999</v>
      </c>
      <c r="Y130" s="399">
        <v>0</v>
      </c>
      <c r="Z130" s="399">
        <v>0</v>
      </c>
      <c r="AA130" s="399">
        <v>0</v>
      </c>
      <c r="AB130" s="399">
        <v>0</v>
      </c>
      <c r="AC130" s="399">
        <v>0</v>
      </c>
      <c r="AD130" s="399">
        <v>207.51081865471821</v>
      </c>
      <c r="AE130" s="399">
        <v>801.57548978897546</v>
      </c>
      <c r="AF130" s="399">
        <v>608.64960864317266</v>
      </c>
      <c r="AG130" s="399">
        <v>0</v>
      </c>
      <c r="AH130" s="399">
        <v>0</v>
      </c>
      <c r="AI130" s="399">
        <v>0</v>
      </c>
      <c r="AJ130" s="399">
        <v>0</v>
      </c>
      <c r="AK130" s="399">
        <v>0</v>
      </c>
      <c r="AL130" s="399">
        <v>0</v>
      </c>
      <c r="AM130" s="399"/>
      <c r="AN130" s="399">
        <v>3.6291548285871227</v>
      </c>
      <c r="AO130" s="399">
        <v>0</v>
      </c>
      <c r="AP130" s="399">
        <v>0</v>
      </c>
      <c r="AQ130" s="399">
        <v>0</v>
      </c>
      <c r="AR130" s="399">
        <v>0</v>
      </c>
      <c r="AS130" s="399">
        <v>0</v>
      </c>
      <c r="AT130" s="399">
        <v>0</v>
      </c>
      <c r="AU130" s="399">
        <v>0</v>
      </c>
      <c r="AV130" s="399">
        <v>0</v>
      </c>
      <c r="AW130" s="399">
        <v>0</v>
      </c>
      <c r="AX130" s="399">
        <v>0</v>
      </c>
      <c r="AY130" s="399">
        <v>0</v>
      </c>
      <c r="AZ130" s="399">
        <v>0</v>
      </c>
      <c r="BA130" s="399"/>
      <c r="BB130" s="399">
        <v>0</v>
      </c>
      <c r="BC130" s="399">
        <v>0</v>
      </c>
      <c r="BD130" s="399">
        <v>0</v>
      </c>
      <c r="BE130" s="399">
        <v>0</v>
      </c>
      <c r="BF130" s="399">
        <v>0</v>
      </c>
      <c r="BG130" s="399">
        <v>71.234927577878892</v>
      </c>
      <c r="BH130" s="399">
        <v>0</v>
      </c>
      <c r="BI130" s="399">
        <v>7.4</v>
      </c>
      <c r="BJ130" s="399">
        <v>34.909999999999997</v>
      </c>
      <c r="BK130" s="399">
        <v>500.67</v>
      </c>
      <c r="BL130" s="399">
        <v>26</v>
      </c>
      <c r="BM130" s="399"/>
      <c r="BN130" s="399"/>
      <c r="BO130" s="399"/>
      <c r="BP130" s="399"/>
      <c r="BQ130" s="399"/>
      <c r="BR130" s="399"/>
      <c r="BS130" s="399"/>
      <c r="BT130" s="399"/>
      <c r="BU130" s="399"/>
      <c r="BV130" s="399">
        <v>679.88453622105158</v>
      </c>
      <c r="BW130" s="399"/>
      <c r="BX130" s="399"/>
      <c r="BY130" s="399"/>
      <c r="BZ130" s="399"/>
      <c r="CA130" s="399"/>
      <c r="CB130" s="399"/>
      <c r="CC130" s="399"/>
      <c r="CD130" s="399"/>
      <c r="CE130" s="399"/>
      <c r="CF130" s="399"/>
      <c r="CG130" s="399"/>
      <c r="CH130" s="399"/>
      <c r="CI130" s="399">
        <v>1255.9970999999998</v>
      </c>
      <c r="CJ130" s="399">
        <v>-436.61664999999994</v>
      </c>
      <c r="CK130" s="399"/>
      <c r="CL130" s="399"/>
      <c r="CM130" s="399"/>
      <c r="CN130" s="399"/>
      <c r="CO130" s="399">
        <v>-301.79249999999996</v>
      </c>
      <c r="CP130" s="399">
        <v>-137.74250000000004</v>
      </c>
      <c r="CQ130" s="399">
        <v>29</v>
      </c>
      <c r="CR130" s="399">
        <v>-147.06571572911798</v>
      </c>
      <c r="CS130" s="399">
        <v>0</v>
      </c>
      <c r="CT130" s="399">
        <v>0</v>
      </c>
      <c r="CU130" s="399">
        <v>0</v>
      </c>
      <c r="CV130" s="399">
        <v>0</v>
      </c>
      <c r="CW130" s="399">
        <v>0</v>
      </c>
      <c r="CX130" s="399">
        <v>0</v>
      </c>
      <c r="CY130" s="399">
        <v>0</v>
      </c>
      <c r="CZ130" s="399">
        <v>7.1211295439611604</v>
      </c>
      <c r="DA130" s="399">
        <v>0</v>
      </c>
      <c r="DB130" s="399">
        <v>0</v>
      </c>
      <c r="DC130" s="399">
        <v>-137.75688515995137</v>
      </c>
      <c r="DD130" s="399">
        <v>0</v>
      </c>
      <c r="DE130" s="399">
        <v>0</v>
      </c>
      <c r="DF130" s="399">
        <v>0</v>
      </c>
      <c r="DG130" s="399">
        <v>-16.122743855202884</v>
      </c>
      <c r="DH130" s="399">
        <v>0</v>
      </c>
      <c r="DI130" s="399">
        <v>0</v>
      </c>
      <c r="DJ130" s="399"/>
      <c r="DK130" s="399">
        <v>0</v>
      </c>
      <c r="DL130" s="399">
        <v>0</v>
      </c>
      <c r="DM130" s="399">
        <v>0</v>
      </c>
      <c r="DN130" s="399">
        <v>0</v>
      </c>
      <c r="DO130" s="399">
        <v>0</v>
      </c>
      <c r="DP130" s="399">
        <v>-0.30721625792483387</v>
      </c>
      <c r="DQ130" s="399">
        <v>0</v>
      </c>
      <c r="DR130" s="399">
        <v>0</v>
      </c>
      <c r="DS130" s="399"/>
      <c r="DT130" s="399"/>
      <c r="DU130" s="399"/>
      <c r="DV130" s="399">
        <v>801.57548978897546</v>
      </c>
      <c r="DW130" s="399">
        <v>0</v>
      </c>
      <c r="DX130" s="399">
        <v>0</v>
      </c>
      <c r="DY130" s="399">
        <v>-301.7924999999999</v>
      </c>
      <c r="DZ130" s="399">
        <v>-137.74250000000006</v>
      </c>
      <c r="EA130" s="399">
        <v>0</v>
      </c>
      <c r="EB130" s="399">
        <v>0</v>
      </c>
      <c r="EC130" s="399">
        <v>-292.49499078739194</v>
      </c>
      <c r="ED130" s="399">
        <v>0</v>
      </c>
      <c r="EE130" s="399">
        <v>0</v>
      </c>
      <c r="EF130" s="399">
        <v>0</v>
      </c>
      <c r="EG130" s="399">
        <v>0</v>
      </c>
      <c r="EH130" s="399">
        <v>0</v>
      </c>
      <c r="EI130" s="399">
        <v>0</v>
      </c>
      <c r="EJ130" s="399">
        <v>0</v>
      </c>
      <c r="EK130" s="399">
        <v>0</v>
      </c>
      <c r="EL130" s="399">
        <v>0</v>
      </c>
      <c r="EM130" s="399">
        <v>0</v>
      </c>
      <c r="EN130" s="399">
        <v>0</v>
      </c>
      <c r="EO130" s="399">
        <v>0</v>
      </c>
      <c r="EP130" s="399">
        <v>0</v>
      </c>
      <c r="EQ130" s="399">
        <v>0</v>
      </c>
      <c r="ER130" s="399">
        <v>0</v>
      </c>
      <c r="ES130" s="399">
        <v>0</v>
      </c>
      <c r="ET130" s="399">
        <v>0</v>
      </c>
      <c r="EU130" s="399">
        <v>0</v>
      </c>
      <c r="EV130" s="399">
        <v>202</v>
      </c>
      <c r="EW130" s="399">
        <v>0</v>
      </c>
      <c r="EX130" s="399">
        <v>0</v>
      </c>
      <c r="EY130" s="399">
        <v>0</v>
      </c>
      <c r="EZ130" s="399"/>
      <c r="FA130" s="399">
        <v>0</v>
      </c>
      <c r="FB130" s="399">
        <v>-17.698635468909799</v>
      </c>
      <c r="FC130" s="399"/>
      <c r="FD130" s="399">
        <v>-17.698635468909799</v>
      </c>
      <c r="FE130" s="399"/>
      <c r="FF130" s="399">
        <v>0</v>
      </c>
      <c r="FG130" s="399">
        <v>0</v>
      </c>
      <c r="FH130" s="399">
        <v>0</v>
      </c>
      <c r="FI130" s="399">
        <v>0</v>
      </c>
    </row>
    <row r="131" spans="1:165" s="818" customFormat="1">
      <c r="A131" s="399">
        <v>125</v>
      </c>
      <c r="B131" s="399" t="s">
        <v>956</v>
      </c>
      <c r="C131" s="399" t="s">
        <v>2409</v>
      </c>
      <c r="D131" s="399" t="s">
        <v>1823</v>
      </c>
      <c r="E131" s="399" t="s">
        <v>889</v>
      </c>
      <c r="F131" s="399" t="s">
        <v>889</v>
      </c>
      <c r="G131" s="399" t="s">
        <v>1239</v>
      </c>
      <c r="H131" s="399" t="s">
        <v>1239</v>
      </c>
      <c r="I131" s="399" t="s">
        <v>2326</v>
      </c>
      <c r="J131" s="399" t="s">
        <v>2400</v>
      </c>
      <c r="K131" s="788">
        <v>44593</v>
      </c>
      <c r="L131" s="399">
        <v>0</v>
      </c>
      <c r="M131" s="399">
        <v>0</v>
      </c>
      <c r="N131" s="399">
        <v>3.7999999999999999E-2</v>
      </c>
      <c r="O131" s="399">
        <v>3.7999999999999999E-2</v>
      </c>
      <c r="P131" s="399">
        <v>3.7999999999999999E-2</v>
      </c>
      <c r="Q131" s="399">
        <v>3.7999999999999999E-2</v>
      </c>
      <c r="R131" s="399"/>
      <c r="S131" s="399">
        <v>409.62</v>
      </c>
      <c r="T131" s="399">
        <v>286.42</v>
      </c>
      <c r="U131" s="399"/>
      <c r="V131" s="399">
        <v>26.44952</v>
      </c>
      <c r="W131" s="399">
        <v>26.44952</v>
      </c>
      <c r="X131" s="399">
        <v>20.551919999999999</v>
      </c>
      <c r="Y131" s="399">
        <v>0</v>
      </c>
      <c r="Z131" s="399">
        <v>2.312733160909457</v>
      </c>
      <c r="AA131" s="399">
        <v>0</v>
      </c>
      <c r="AB131" s="399">
        <v>0</v>
      </c>
      <c r="AC131" s="399">
        <v>0</v>
      </c>
      <c r="AD131" s="399">
        <v>2.1524420908402351</v>
      </c>
      <c r="AE131" s="399">
        <v>8.3137491345573302</v>
      </c>
      <c r="AF131" s="399">
        <v>10.884087119266146</v>
      </c>
      <c r="AG131" s="399">
        <v>0</v>
      </c>
      <c r="AH131" s="399">
        <v>0</v>
      </c>
      <c r="AI131" s="399">
        <v>0</v>
      </c>
      <c r="AJ131" s="399">
        <v>0</v>
      </c>
      <c r="AK131" s="399">
        <v>0</v>
      </c>
      <c r="AL131" s="399">
        <v>0.35742378028177868</v>
      </c>
      <c r="AM131" s="399"/>
      <c r="AN131" s="399">
        <v>6.4897827522969714E-2</v>
      </c>
      <c r="AO131" s="399">
        <v>0</v>
      </c>
      <c r="AP131" s="399">
        <v>0</v>
      </c>
      <c r="AQ131" s="399">
        <v>0</v>
      </c>
      <c r="AR131" s="399">
        <v>0</v>
      </c>
      <c r="AS131" s="399">
        <v>0</v>
      </c>
      <c r="AT131" s="399">
        <v>0</v>
      </c>
      <c r="AU131" s="399">
        <v>0</v>
      </c>
      <c r="AV131" s="399">
        <v>0</v>
      </c>
      <c r="AW131" s="399">
        <v>0</v>
      </c>
      <c r="AX131" s="399">
        <v>0</v>
      </c>
      <c r="AY131" s="399">
        <v>0</v>
      </c>
      <c r="AZ131" s="399">
        <v>0</v>
      </c>
      <c r="BA131" s="399"/>
      <c r="BB131" s="399">
        <v>0</v>
      </c>
      <c r="BC131" s="399">
        <v>0</v>
      </c>
      <c r="BD131" s="399">
        <v>0</v>
      </c>
      <c r="BE131" s="399">
        <v>0</v>
      </c>
      <c r="BF131" s="399">
        <v>0</v>
      </c>
      <c r="BG131" s="399">
        <v>1.2738481166867754</v>
      </c>
      <c r="BH131" s="399">
        <v>0</v>
      </c>
      <c r="BI131" s="399">
        <v>0</v>
      </c>
      <c r="BJ131" s="399">
        <v>0</v>
      </c>
      <c r="BK131" s="399">
        <v>0</v>
      </c>
      <c r="BL131" s="399">
        <v>0</v>
      </c>
      <c r="BM131" s="399"/>
      <c r="BN131" s="399"/>
      <c r="BO131" s="399"/>
      <c r="BP131" s="399"/>
      <c r="BQ131" s="399"/>
      <c r="BR131" s="399"/>
      <c r="BS131" s="399"/>
      <c r="BT131" s="399"/>
      <c r="BU131" s="399"/>
      <c r="BV131" s="399">
        <v>12.157935235952921</v>
      </c>
      <c r="BW131" s="399"/>
      <c r="BX131" s="399"/>
      <c r="BY131" s="399"/>
      <c r="BZ131" s="399"/>
      <c r="CA131" s="399"/>
      <c r="CB131" s="399"/>
      <c r="CC131" s="399"/>
      <c r="CD131" s="399"/>
      <c r="CE131" s="399"/>
      <c r="CF131" s="399"/>
      <c r="CG131" s="399"/>
      <c r="CH131" s="399"/>
      <c r="CI131" s="399">
        <v>21.633600000000001</v>
      </c>
      <c r="CJ131" s="399">
        <v>-4.8459199999999996</v>
      </c>
      <c r="CK131" s="399"/>
      <c r="CL131" s="399"/>
      <c r="CM131" s="399"/>
      <c r="CN131" s="399"/>
      <c r="CO131" s="399">
        <v>-3.4344399999999999</v>
      </c>
      <c r="CP131" s="399">
        <v>-2.4631600000000007</v>
      </c>
      <c r="CQ131" s="399">
        <v>29</v>
      </c>
      <c r="CR131" s="399">
        <v>-2.8642617114300126</v>
      </c>
      <c r="CS131" s="399">
        <v>0</v>
      </c>
      <c r="CT131" s="399">
        <v>0</v>
      </c>
      <c r="CU131" s="399">
        <v>0</v>
      </c>
      <c r="CV131" s="399">
        <v>0</v>
      </c>
      <c r="CW131" s="399">
        <v>0</v>
      </c>
      <c r="CX131" s="399">
        <v>0</v>
      </c>
      <c r="CY131" s="399">
        <v>0</v>
      </c>
      <c r="CZ131" s="399">
        <v>7.3865155870498356E-2</v>
      </c>
      <c r="DA131" s="399">
        <v>0</v>
      </c>
      <c r="DB131" s="399">
        <v>0</v>
      </c>
      <c r="DC131" s="399">
        <v>-2.4634172405073667</v>
      </c>
      <c r="DD131" s="399">
        <v>0</v>
      </c>
      <c r="DE131" s="399">
        <v>0</v>
      </c>
      <c r="DF131" s="399">
        <v>0</v>
      </c>
      <c r="DG131" s="399">
        <v>-0.28831259599892212</v>
      </c>
      <c r="DH131" s="399">
        <v>0</v>
      </c>
      <c r="DI131" s="399">
        <v>-0.16044852639989493</v>
      </c>
      <c r="DJ131" s="399"/>
      <c r="DK131" s="399">
        <v>0</v>
      </c>
      <c r="DL131" s="399">
        <v>0</v>
      </c>
      <c r="DM131" s="399">
        <v>0</v>
      </c>
      <c r="DN131" s="399">
        <v>0</v>
      </c>
      <c r="DO131" s="399">
        <v>-2.0454754840851852E-2</v>
      </c>
      <c r="DP131" s="399">
        <v>-5.4937495534793726E-3</v>
      </c>
      <c r="DQ131" s="399">
        <v>0</v>
      </c>
      <c r="DR131" s="399">
        <v>0</v>
      </c>
      <c r="DS131" s="399"/>
      <c r="DT131" s="399"/>
      <c r="DU131" s="399"/>
      <c r="DV131" s="399">
        <v>8.3137491345573302</v>
      </c>
      <c r="DW131" s="399">
        <v>0</v>
      </c>
      <c r="DX131" s="399">
        <v>0</v>
      </c>
      <c r="DY131" s="399">
        <v>-3.4344400000000004</v>
      </c>
      <c r="DZ131" s="399">
        <v>-2.4631600000000002</v>
      </c>
      <c r="EA131" s="399">
        <v>0</v>
      </c>
      <c r="EB131" s="399">
        <v>0</v>
      </c>
      <c r="EC131" s="399">
        <v>-3.0336880399888786</v>
      </c>
      <c r="ED131" s="399">
        <v>0</v>
      </c>
      <c r="EE131" s="399">
        <v>0</v>
      </c>
      <c r="EF131" s="399">
        <v>0</v>
      </c>
      <c r="EG131" s="399">
        <v>0</v>
      </c>
      <c r="EH131" s="399">
        <v>0</v>
      </c>
      <c r="EI131" s="399">
        <v>0</v>
      </c>
      <c r="EJ131" s="399">
        <v>0</v>
      </c>
      <c r="EK131" s="399">
        <v>0</v>
      </c>
      <c r="EL131" s="399">
        <v>0</v>
      </c>
      <c r="EM131" s="399">
        <v>0</v>
      </c>
      <c r="EN131" s="399">
        <v>0</v>
      </c>
      <c r="EO131" s="399">
        <v>0</v>
      </c>
      <c r="EP131" s="399">
        <v>1.0905328155034577</v>
      </c>
      <c r="EQ131" s="399">
        <v>0</v>
      </c>
      <c r="ER131" s="399">
        <v>0</v>
      </c>
      <c r="ES131" s="399">
        <v>0</v>
      </c>
      <c r="ET131" s="399">
        <v>0</v>
      </c>
      <c r="EU131" s="399">
        <v>0</v>
      </c>
      <c r="EV131" s="399">
        <v>202</v>
      </c>
      <c r="EW131" s="399">
        <v>0</v>
      </c>
      <c r="EX131" s="399">
        <v>0</v>
      </c>
      <c r="EY131" s="399">
        <v>0</v>
      </c>
      <c r="EZ131" s="399"/>
      <c r="FA131" s="399">
        <v>0</v>
      </c>
      <c r="FB131" s="399">
        <v>-17.698635468909799</v>
      </c>
      <c r="FC131" s="399"/>
      <c r="FD131" s="399">
        <v>-17.698635468909799</v>
      </c>
      <c r="FE131" s="399"/>
      <c r="FF131" s="399">
        <v>0</v>
      </c>
      <c r="FG131" s="399">
        <v>0</v>
      </c>
      <c r="FH131" s="399">
        <v>0</v>
      </c>
      <c r="FI131" s="399">
        <v>0</v>
      </c>
    </row>
    <row r="132" spans="1:165" s="818" customFormat="1">
      <c r="A132" s="399">
        <v>126</v>
      </c>
      <c r="B132" s="399" t="s">
        <v>956</v>
      </c>
      <c r="C132" s="399" t="s">
        <v>2409</v>
      </c>
      <c r="D132" s="399" t="s">
        <v>1823</v>
      </c>
      <c r="E132" s="399" t="s">
        <v>889</v>
      </c>
      <c r="F132" s="399" t="s">
        <v>889</v>
      </c>
      <c r="G132" s="399" t="s">
        <v>1239</v>
      </c>
      <c r="H132" s="399" t="s">
        <v>1239</v>
      </c>
      <c r="I132" s="399" t="s">
        <v>1239</v>
      </c>
      <c r="J132" s="399" t="s">
        <v>2400</v>
      </c>
      <c r="K132" s="788">
        <v>44593</v>
      </c>
      <c r="L132" s="399">
        <v>0</v>
      </c>
      <c r="M132" s="399">
        <v>0</v>
      </c>
      <c r="N132" s="399">
        <v>0</v>
      </c>
      <c r="O132" s="399">
        <v>0</v>
      </c>
      <c r="P132" s="399">
        <v>0</v>
      </c>
      <c r="Q132" s="399">
        <v>0</v>
      </c>
      <c r="R132" s="399"/>
      <c r="S132" s="399"/>
      <c r="T132" s="399"/>
      <c r="U132" s="399"/>
      <c r="V132" s="399"/>
      <c r="W132" s="399"/>
      <c r="X132" s="399"/>
      <c r="Y132" s="399"/>
      <c r="Z132" s="399"/>
      <c r="AA132" s="399">
        <v>0</v>
      </c>
      <c r="AB132" s="399"/>
      <c r="AC132" s="399"/>
      <c r="AD132" s="399"/>
      <c r="AE132" s="399"/>
      <c r="AF132" s="399"/>
      <c r="AG132" s="399"/>
      <c r="AH132" s="399"/>
      <c r="AI132" s="399"/>
      <c r="AJ132" s="399"/>
      <c r="AK132" s="399"/>
      <c r="AL132" s="399"/>
      <c r="AM132" s="399"/>
      <c r="AN132" s="399"/>
      <c r="AO132" s="399"/>
      <c r="AP132" s="399"/>
      <c r="AQ132" s="399"/>
      <c r="AR132" s="399"/>
      <c r="AS132" s="399"/>
      <c r="AT132" s="399"/>
      <c r="AU132" s="399"/>
      <c r="AV132" s="399"/>
      <c r="AW132" s="399"/>
      <c r="AX132" s="399"/>
      <c r="AY132" s="399"/>
      <c r="AZ132" s="399">
        <v>0</v>
      </c>
      <c r="BA132" s="399"/>
      <c r="BB132" s="399"/>
      <c r="BC132" s="399"/>
      <c r="BD132" s="399"/>
      <c r="BE132" s="399"/>
      <c r="BF132" s="399"/>
      <c r="BG132" s="399"/>
      <c r="BH132" s="399"/>
      <c r="BI132" s="399">
        <v>0.26</v>
      </c>
      <c r="BJ132" s="399">
        <v>1.21</v>
      </c>
      <c r="BK132" s="399">
        <v>0</v>
      </c>
      <c r="BL132" s="399">
        <v>1</v>
      </c>
      <c r="BM132" s="399"/>
      <c r="BN132" s="399"/>
      <c r="BO132" s="399"/>
      <c r="BP132" s="399"/>
      <c r="BQ132" s="399"/>
      <c r="BR132" s="399"/>
      <c r="BS132" s="399"/>
      <c r="BT132" s="399"/>
      <c r="BU132" s="399"/>
      <c r="BV132" s="399"/>
      <c r="BW132" s="399"/>
      <c r="BX132" s="399"/>
      <c r="BY132" s="399"/>
      <c r="BZ132" s="399"/>
      <c r="CA132" s="399"/>
      <c r="CB132" s="399"/>
      <c r="CC132" s="399"/>
      <c r="CD132" s="399"/>
      <c r="CE132" s="399"/>
      <c r="CF132" s="399"/>
      <c r="CG132" s="399"/>
      <c r="CH132" s="399"/>
      <c r="CI132" s="399"/>
      <c r="CJ132" s="399">
        <v>-0.03</v>
      </c>
      <c r="CK132" s="399"/>
      <c r="CL132" s="399"/>
      <c r="CM132" s="399"/>
      <c r="CN132" s="399"/>
      <c r="CO132" s="399">
        <v>0</v>
      </c>
      <c r="CP132" s="399">
        <v>0</v>
      </c>
      <c r="CQ132" s="399">
        <v>29</v>
      </c>
      <c r="CR132" s="399"/>
      <c r="CS132" s="399"/>
      <c r="CT132" s="399"/>
      <c r="CU132" s="399"/>
      <c r="CV132" s="399"/>
      <c r="CW132" s="399"/>
      <c r="CX132" s="399"/>
      <c r="CY132" s="399"/>
      <c r="CZ132" s="399"/>
      <c r="DA132" s="399"/>
      <c r="DB132" s="399"/>
      <c r="DC132" s="399"/>
      <c r="DD132" s="399"/>
      <c r="DE132" s="399"/>
      <c r="DF132" s="399"/>
      <c r="DG132" s="399"/>
      <c r="DH132" s="399"/>
      <c r="DI132" s="399"/>
      <c r="DJ132" s="399"/>
      <c r="DK132" s="399">
        <v>0</v>
      </c>
      <c r="DL132" s="399"/>
      <c r="DM132" s="399"/>
      <c r="DN132" s="399"/>
      <c r="DO132" s="399"/>
      <c r="DP132" s="399"/>
      <c r="DQ132" s="399"/>
      <c r="DR132" s="399"/>
      <c r="DS132" s="399"/>
      <c r="DT132" s="399"/>
      <c r="DU132" s="399"/>
      <c r="DV132" s="399"/>
      <c r="DW132" s="399"/>
      <c r="DX132" s="399"/>
      <c r="DY132" s="399"/>
      <c r="DZ132" s="399"/>
      <c r="EA132" s="399"/>
      <c r="EB132" s="399"/>
      <c r="EC132" s="399"/>
      <c r="ED132" s="399"/>
      <c r="EE132" s="399"/>
      <c r="EF132" s="399"/>
      <c r="EG132" s="399"/>
      <c r="EH132" s="399"/>
      <c r="EI132" s="399"/>
      <c r="EJ132" s="399"/>
      <c r="EK132" s="399"/>
      <c r="EL132" s="399"/>
      <c r="EM132" s="399"/>
      <c r="EN132" s="399"/>
      <c r="EO132" s="399"/>
      <c r="EP132" s="399"/>
      <c r="EQ132" s="399"/>
      <c r="ER132" s="399"/>
      <c r="ES132" s="399"/>
      <c r="ET132" s="399"/>
      <c r="EU132" s="399"/>
      <c r="EV132" s="399">
        <v>202</v>
      </c>
      <c r="EW132" s="399"/>
      <c r="EX132" s="399"/>
      <c r="EY132" s="399"/>
      <c r="EZ132" s="399"/>
      <c r="FA132" s="399">
        <v>0</v>
      </c>
      <c r="FB132" s="399">
        <v>-17.698635468909799</v>
      </c>
      <c r="FC132" s="399"/>
      <c r="FD132" s="399">
        <v>-17.698635468909799</v>
      </c>
      <c r="FE132" s="399"/>
      <c r="FF132" s="399">
        <v>0</v>
      </c>
      <c r="FG132" s="399">
        <v>0</v>
      </c>
      <c r="FH132" s="399">
        <v>0</v>
      </c>
      <c r="FI132" s="399">
        <v>0</v>
      </c>
    </row>
    <row r="133" spans="1:165">
      <c r="A133" s="399">
        <v>127</v>
      </c>
      <c r="B133" s="399" t="s">
        <v>956</v>
      </c>
      <c r="C133" s="399" t="s">
        <v>2409</v>
      </c>
      <c r="D133" s="399" t="s">
        <v>1823</v>
      </c>
      <c r="E133" s="399" t="s">
        <v>889</v>
      </c>
      <c r="F133" s="399" t="s">
        <v>889</v>
      </c>
      <c r="G133" s="399" t="s">
        <v>1239</v>
      </c>
      <c r="H133" s="399" t="s">
        <v>1239</v>
      </c>
      <c r="I133" s="399" t="s">
        <v>2410</v>
      </c>
      <c r="J133" s="399" t="s">
        <v>2400</v>
      </c>
      <c r="K133" s="788">
        <v>44593</v>
      </c>
      <c r="L133" s="399">
        <v>0</v>
      </c>
      <c r="M133" s="399">
        <v>0</v>
      </c>
      <c r="N133" s="399">
        <v>1.2E-2</v>
      </c>
      <c r="O133" s="399">
        <v>1.2E-2</v>
      </c>
      <c r="P133" s="399">
        <v>1.2E-2</v>
      </c>
      <c r="Q133" s="399">
        <v>1.2E-2</v>
      </c>
      <c r="R133" s="399"/>
      <c r="S133" s="399">
        <v>960.47</v>
      </c>
      <c r="T133" s="399">
        <v>286.42</v>
      </c>
      <c r="U133" s="399"/>
      <c r="V133" s="399">
        <v>14.962680000000001</v>
      </c>
      <c r="W133" s="399">
        <v>14.962680000000001</v>
      </c>
      <c r="X133" s="399">
        <v>11.230919999999999</v>
      </c>
      <c r="Y133" s="399">
        <v>0</v>
      </c>
      <c r="Z133" s="399">
        <v>0.73033678765561794</v>
      </c>
      <c r="AA133" s="399">
        <v>0</v>
      </c>
      <c r="AB133" s="399">
        <v>0</v>
      </c>
      <c r="AC133" s="399">
        <v>0</v>
      </c>
      <c r="AD133" s="399">
        <v>2.0390917310054157</v>
      </c>
      <c r="AE133" s="399">
        <v>7.8761874024429597</v>
      </c>
      <c r="AF133" s="399">
        <v>3.4370801429261517</v>
      </c>
      <c r="AG133" s="399">
        <v>0</v>
      </c>
      <c r="AH133" s="399">
        <v>0</v>
      </c>
      <c r="AI133" s="399">
        <v>0</v>
      </c>
      <c r="AJ133" s="399">
        <v>0</v>
      </c>
      <c r="AK133" s="399">
        <v>0</v>
      </c>
      <c r="AL133" s="399">
        <v>0.1128706674574038</v>
      </c>
      <c r="AM133" s="399"/>
      <c r="AN133" s="399">
        <v>2.0494050796727281E-2</v>
      </c>
      <c r="AO133" s="399">
        <v>0</v>
      </c>
      <c r="AP133" s="399">
        <v>0</v>
      </c>
      <c r="AQ133" s="399">
        <v>0</v>
      </c>
      <c r="AR133" s="399">
        <v>0</v>
      </c>
      <c r="AS133" s="399">
        <v>0</v>
      </c>
      <c r="AT133" s="399">
        <v>0</v>
      </c>
      <c r="AU133" s="399">
        <v>0</v>
      </c>
      <c r="AV133" s="399">
        <v>0</v>
      </c>
      <c r="AW133" s="399">
        <v>0</v>
      </c>
      <c r="AX133" s="399">
        <v>0</v>
      </c>
      <c r="AY133" s="399">
        <v>0</v>
      </c>
      <c r="AZ133" s="399">
        <v>0</v>
      </c>
      <c r="BA133" s="399"/>
      <c r="BB133" s="399">
        <v>0</v>
      </c>
      <c r="BC133" s="399">
        <v>0</v>
      </c>
      <c r="BD133" s="399">
        <v>0</v>
      </c>
      <c r="BE133" s="399">
        <v>0</v>
      </c>
      <c r="BF133" s="399">
        <v>0</v>
      </c>
      <c r="BG133" s="399">
        <v>0.40226782632213964</v>
      </c>
      <c r="BH133" s="399">
        <v>0</v>
      </c>
      <c r="BI133" s="399">
        <v>0</v>
      </c>
      <c r="BJ133" s="399">
        <v>0</v>
      </c>
      <c r="BK133" s="399">
        <v>0</v>
      </c>
      <c r="BL133" s="399">
        <v>0</v>
      </c>
      <c r="BM133" s="399"/>
      <c r="BN133" s="399"/>
      <c r="BO133" s="399"/>
      <c r="BP133" s="399"/>
      <c r="BQ133" s="399"/>
      <c r="BR133" s="399"/>
      <c r="BS133" s="399"/>
      <c r="BT133" s="399"/>
      <c r="BU133" s="399"/>
      <c r="BV133" s="399">
        <v>3.8393479692482915</v>
      </c>
      <c r="BW133" s="399"/>
      <c r="BX133" s="399"/>
      <c r="BY133" s="399"/>
      <c r="BZ133" s="399"/>
      <c r="CA133" s="399"/>
      <c r="CB133" s="399"/>
      <c r="CC133" s="399"/>
      <c r="CD133" s="399"/>
      <c r="CE133" s="399"/>
      <c r="CF133" s="399"/>
      <c r="CG133" s="399"/>
      <c r="CH133" s="399"/>
      <c r="CI133" s="399">
        <v>9.3590999999999998</v>
      </c>
      <c r="CJ133" s="399">
        <v>-5.6335800000000003</v>
      </c>
      <c r="CK133" s="399"/>
      <c r="CL133" s="399"/>
      <c r="CM133" s="399"/>
      <c r="CN133" s="399"/>
      <c r="CO133" s="399">
        <v>-2.953920000000001</v>
      </c>
      <c r="CP133" s="399">
        <v>-0.77784000000000031</v>
      </c>
      <c r="CQ133" s="399">
        <v>29</v>
      </c>
      <c r="CR133" s="399">
        <v>-0.85785421497162684</v>
      </c>
      <c r="CS133" s="399">
        <v>0</v>
      </c>
      <c r="CT133" s="399">
        <v>0</v>
      </c>
      <c r="CU133" s="399">
        <v>0</v>
      </c>
      <c r="CV133" s="399">
        <v>0</v>
      </c>
      <c r="CW133" s="399">
        <v>0</v>
      </c>
      <c r="CX133" s="399">
        <v>0</v>
      </c>
      <c r="CY133" s="399">
        <v>0</v>
      </c>
      <c r="CZ133" s="399">
        <v>6.9975322070640278E-2</v>
      </c>
      <c r="DA133" s="399">
        <v>0</v>
      </c>
      <c r="DB133" s="399">
        <v>0</v>
      </c>
      <c r="DC133" s="399">
        <v>-0.77792123384443146</v>
      </c>
      <c r="DD133" s="399">
        <v>0</v>
      </c>
      <c r="DE133" s="399">
        <v>0</v>
      </c>
      <c r="DF133" s="399">
        <v>0</v>
      </c>
      <c r="DG133" s="399">
        <v>-9.104608294702804E-2</v>
      </c>
      <c r="DH133" s="399">
        <v>0</v>
      </c>
      <c r="DI133" s="399">
        <v>-5.0667955705229861E-2</v>
      </c>
      <c r="DJ133" s="399"/>
      <c r="DK133" s="399">
        <v>0</v>
      </c>
      <c r="DL133" s="399">
        <v>0</v>
      </c>
      <c r="DM133" s="399">
        <v>0</v>
      </c>
      <c r="DN133" s="399">
        <v>0</v>
      </c>
      <c r="DO133" s="399">
        <v>-6.4593962655321718E-3</v>
      </c>
      <c r="DP133" s="399">
        <v>-1.7348682800461188E-3</v>
      </c>
      <c r="DQ133" s="399">
        <v>0</v>
      </c>
      <c r="DR133" s="399">
        <v>0</v>
      </c>
      <c r="DS133" s="399"/>
      <c r="DT133" s="399"/>
      <c r="DU133" s="399"/>
      <c r="DV133" s="399">
        <v>7.8761874024429597</v>
      </c>
      <c r="DW133" s="399">
        <v>0</v>
      </c>
      <c r="DX133" s="399">
        <v>0</v>
      </c>
      <c r="DY133" s="399">
        <v>-2.9539200000000019</v>
      </c>
      <c r="DZ133" s="399">
        <v>-0.77784000000000031</v>
      </c>
      <c r="EA133" s="399">
        <v>0</v>
      </c>
      <c r="EB133" s="399">
        <v>0</v>
      </c>
      <c r="EC133" s="399">
        <v>-2.8740217123203475</v>
      </c>
      <c r="ED133" s="399">
        <v>0</v>
      </c>
      <c r="EE133" s="399">
        <v>0</v>
      </c>
      <c r="EF133" s="399">
        <v>0</v>
      </c>
      <c r="EG133" s="399">
        <v>0</v>
      </c>
      <c r="EH133" s="399">
        <v>0</v>
      </c>
      <c r="EI133" s="399">
        <v>0</v>
      </c>
      <c r="EJ133" s="399">
        <v>0</v>
      </c>
      <c r="EK133" s="399">
        <v>0</v>
      </c>
      <c r="EL133" s="399">
        <v>0</v>
      </c>
      <c r="EM133" s="399">
        <v>0</v>
      </c>
      <c r="EN133" s="399">
        <v>0</v>
      </c>
      <c r="EO133" s="399">
        <v>0</v>
      </c>
      <c r="EP133" s="399">
        <v>0.3443787838431972</v>
      </c>
      <c r="EQ133" s="399">
        <v>0</v>
      </c>
      <c r="ER133" s="399">
        <v>0</v>
      </c>
      <c r="ES133" s="399">
        <v>0</v>
      </c>
      <c r="ET133" s="399">
        <v>0</v>
      </c>
      <c r="EU133" s="399">
        <v>0</v>
      </c>
      <c r="EV133" s="399">
        <v>202</v>
      </c>
      <c r="EW133" s="399">
        <v>0</v>
      </c>
      <c r="EX133" s="399">
        <v>0</v>
      </c>
      <c r="EY133" s="399">
        <v>0</v>
      </c>
      <c r="EZ133" s="399"/>
      <c r="FA133" s="399">
        <v>0</v>
      </c>
      <c r="FB133" s="399">
        <v>-17.698635468909799</v>
      </c>
      <c r="FC133" s="399"/>
      <c r="FD133" s="399">
        <v>-17.698635468909799</v>
      </c>
      <c r="FE133" s="399"/>
      <c r="FF133" s="399">
        <v>0</v>
      </c>
      <c r="FG133" s="399">
        <v>0</v>
      </c>
      <c r="FH133" s="399">
        <v>0</v>
      </c>
      <c r="FI133" s="399">
        <v>0</v>
      </c>
    </row>
    <row r="134" spans="1:165">
      <c r="A134" s="399">
        <v>132</v>
      </c>
      <c r="B134" s="399" t="s">
        <v>956</v>
      </c>
      <c r="C134" s="399" t="s">
        <v>2402</v>
      </c>
      <c r="D134" s="399" t="s">
        <v>2411</v>
      </c>
      <c r="E134" s="399" t="s">
        <v>894</v>
      </c>
      <c r="F134" s="399" t="s">
        <v>1239</v>
      </c>
      <c r="G134" s="399" t="s">
        <v>1239</v>
      </c>
      <c r="H134" s="399" t="s">
        <v>1239</v>
      </c>
      <c r="I134" s="399" t="s">
        <v>1239</v>
      </c>
      <c r="J134" s="399" t="s">
        <v>2400</v>
      </c>
      <c r="K134" s="788">
        <v>44593</v>
      </c>
      <c r="L134" s="399">
        <v>0</v>
      </c>
      <c r="M134" s="399">
        <v>0</v>
      </c>
      <c r="N134" s="399">
        <v>128.40199999999999</v>
      </c>
      <c r="O134" s="399">
        <v>128.40199999999999</v>
      </c>
      <c r="P134" s="399">
        <v>128.40199999999999</v>
      </c>
      <c r="Q134" s="399">
        <v>128.40199999999999</v>
      </c>
      <c r="R134" s="399"/>
      <c r="S134" s="399">
        <v>609.05999999999995</v>
      </c>
      <c r="T134" s="399">
        <v>286.42</v>
      </c>
      <c r="U134" s="399"/>
      <c r="V134" s="399">
        <v>114981.42295999997</v>
      </c>
      <c r="W134" s="399">
        <v>114981.42295999997</v>
      </c>
      <c r="X134" s="399">
        <v>87810.275739999983</v>
      </c>
      <c r="Y134" s="399">
        <v>0</v>
      </c>
      <c r="Z134" s="399">
        <v>7814.7253507130545</v>
      </c>
      <c r="AA134" s="399">
        <v>0</v>
      </c>
      <c r="AB134" s="399">
        <v>0</v>
      </c>
      <c r="AC134" s="399">
        <v>0</v>
      </c>
      <c r="AD134" s="399">
        <v>12538.731358542645</v>
      </c>
      <c r="AE134" s="399">
        <v>48434.774607004249</v>
      </c>
      <c r="AF134" s="399">
        <v>36777.330376000304</v>
      </c>
      <c r="AG134" s="399">
        <v>0</v>
      </c>
      <c r="AH134" s="399">
        <v>0</v>
      </c>
      <c r="AI134" s="399">
        <v>0</v>
      </c>
      <c r="AJ134" s="399">
        <v>0</v>
      </c>
      <c r="AK134" s="399">
        <v>0</v>
      </c>
      <c r="AL134" s="399">
        <v>1207.7349535721301</v>
      </c>
      <c r="AM134" s="399"/>
      <c r="AN134" s="399">
        <v>219.28975920011467</v>
      </c>
      <c r="AO134" s="399">
        <v>0</v>
      </c>
      <c r="AP134" s="399">
        <v>0</v>
      </c>
      <c r="AQ134" s="399">
        <v>0</v>
      </c>
      <c r="AR134" s="399">
        <v>0</v>
      </c>
      <c r="AS134" s="399">
        <v>0</v>
      </c>
      <c r="AT134" s="399">
        <v>0</v>
      </c>
      <c r="AU134" s="399">
        <v>0</v>
      </c>
      <c r="AV134" s="399">
        <v>0</v>
      </c>
      <c r="AW134" s="399">
        <v>0</v>
      </c>
      <c r="AX134" s="399">
        <v>0</v>
      </c>
      <c r="AY134" s="399">
        <v>0</v>
      </c>
      <c r="AZ134" s="399">
        <v>0</v>
      </c>
      <c r="BA134" s="399"/>
      <c r="BB134" s="399">
        <v>0</v>
      </c>
      <c r="BC134" s="399">
        <v>0</v>
      </c>
      <c r="BD134" s="399">
        <v>0</v>
      </c>
      <c r="BE134" s="399">
        <v>0</v>
      </c>
      <c r="BF134" s="399">
        <v>0</v>
      </c>
      <c r="BG134" s="399">
        <v>4304.3327862846136</v>
      </c>
      <c r="BH134" s="399">
        <v>0</v>
      </c>
      <c r="BI134" s="399">
        <v>373.92</v>
      </c>
      <c r="BJ134" s="399">
        <v>1732.39</v>
      </c>
      <c r="BK134" s="399">
        <v>3240.44</v>
      </c>
      <c r="BL134" s="399">
        <v>331</v>
      </c>
      <c r="BM134" s="399"/>
      <c r="BN134" s="399"/>
      <c r="BO134" s="399"/>
      <c r="BP134" s="399"/>
      <c r="BQ134" s="399"/>
      <c r="BR134" s="399">
        <v>10537.952139999994</v>
      </c>
      <c r="BS134" s="399"/>
      <c r="BT134" s="399"/>
      <c r="BU134" s="399"/>
      <c r="BV134" s="399">
        <v>41081.663162284916</v>
      </c>
      <c r="BW134" s="399"/>
      <c r="BX134" s="399"/>
      <c r="BY134" s="399"/>
      <c r="BZ134" s="399"/>
      <c r="CA134" s="399"/>
      <c r="CB134" s="399"/>
      <c r="CC134" s="399"/>
      <c r="CD134" s="399"/>
      <c r="CE134" s="399"/>
      <c r="CF134" s="399"/>
      <c r="CG134" s="399"/>
      <c r="CH134" s="399"/>
      <c r="CI134" s="399">
        <v>77271.12</v>
      </c>
      <c r="CJ134" s="399">
        <v>-23912.254039999985</v>
      </c>
      <c r="CK134" s="399"/>
      <c r="CL134" s="399"/>
      <c r="CM134" s="399"/>
      <c r="CN134" s="399"/>
      <c r="CO134" s="399">
        <v>-18848.129579999993</v>
      </c>
      <c r="CP134" s="399">
        <v>-8323.0176400000018</v>
      </c>
      <c r="CQ134" s="399">
        <v>29</v>
      </c>
      <c r="CR134" s="399">
        <v>-9497.6402019243396</v>
      </c>
      <c r="CS134" s="399">
        <v>0</v>
      </c>
      <c r="CT134" s="399">
        <v>0</v>
      </c>
      <c r="CU134" s="399">
        <v>0</v>
      </c>
      <c r="CV134" s="399">
        <v>0</v>
      </c>
      <c r="CW134" s="399">
        <v>0</v>
      </c>
      <c r="CX134" s="399">
        <v>0</v>
      </c>
      <c r="CY134" s="399">
        <v>0</v>
      </c>
      <c r="CZ134" s="399">
        <v>430.29048268409679</v>
      </c>
      <c r="DA134" s="399">
        <v>0</v>
      </c>
      <c r="DB134" s="399">
        <v>0</v>
      </c>
      <c r="DC134" s="399">
        <v>-8323.8868556743873</v>
      </c>
      <c r="DD134" s="399">
        <v>0</v>
      </c>
      <c r="DE134" s="399">
        <v>0</v>
      </c>
      <c r="DF134" s="399">
        <v>0</v>
      </c>
      <c r="DG134" s="399">
        <v>-974.20826188035744</v>
      </c>
      <c r="DH134" s="399">
        <v>0</v>
      </c>
      <c r="DI134" s="399">
        <v>-542.15557070524483</v>
      </c>
      <c r="DJ134" s="399"/>
      <c r="DK134" s="399">
        <v>0</v>
      </c>
      <c r="DL134" s="399">
        <v>0</v>
      </c>
      <c r="DM134" s="399">
        <v>0</v>
      </c>
      <c r="DN134" s="399">
        <v>0</v>
      </c>
      <c r="DO134" s="399">
        <v>-69.116616607238484</v>
      </c>
      <c r="DP134" s="399">
        <v>-18.56337974120683</v>
      </c>
      <c r="DQ134" s="399">
        <v>0</v>
      </c>
      <c r="DR134" s="399">
        <v>0</v>
      </c>
      <c r="DS134" s="399"/>
      <c r="DT134" s="399"/>
      <c r="DU134" s="399"/>
      <c r="DV134" s="399">
        <v>48434.774607004249</v>
      </c>
      <c r="DW134" s="399">
        <v>0</v>
      </c>
      <c r="DX134" s="399">
        <v>0</v>
      </c>
      <c r="DY134" s="399">
        <v>-18848.129579999986</v>
      </c>
      <c r="DZ134" s="399">
        <v>-8323.0176399999982</v>
      </c>
      <c r="EA134" s="399">
        <v>0</v>
      </c>
      <c r="EB134" s="399">
        <v>0</v>
      </c>
      <c r="EC134" s="399">
        <v>-17673.854968038922</v>
      </c>
      <c r="ED134" s="399">
        <v>0</v>
      </c>
      <c r="EE134" s="399">
        <v>0</v>
      </c>
      <c r="EF134" s="399">
        <v>0</v>
      </c>
      <c r="EG134" s="399">
        <v>0</v>
      </c>
      <c r="EH134" s="399">
        <v>0</v>
      </c>
      <c r="EI134" s="399">
        <v>0</v>
      </c>
      <c r="EJ134" s="399">
        <v>0</v>
      </c>
      <c r="EK134" s="399">
        <v>0</v>
      </c>
      <c r="EL134" s="399">
        <v>0</v>
      </c>
      <c r="EM134" s="399">
        <v>0</v>
      </c>
      <c r="EN134" s="399">
        <v>0</v>
      </c>
      <c r="EO134" s="399">
        <v>0</v>
      </c>
      <c r="EP134" s="399">
        <v>3684.9103835861833</v>
      </c>
      <c r="EQ134" s="399">
        <v>0</v>
      </c>
      <c r="ER134" s="399">
        <v>0</v>
      </c>
      <c r="ES134" s="399">
        <v>0</v>
      </c>
      <c r="ET134" s="399">
        <v>0</v>
      </c>
      <c r="EU134" s="399">
        <v>0</v>
      </c>
      <c r="EV134" s="399">
        <v>202</v>
      </c>
      <c r="EW134" s="399">
        <v>0</v>
      </c>
      <c r="EX134" s="399">
        <v>0</v>
      </c>
      <c r="EY134" s="399">
        <v>0</v>
      </c>
      <c r="EZ134" s="399"/>
      <c r="FA134" s="399">
        <v>0</v>
      </c>
      <c r="FB134" s="399">
        <v>-12.3890448282368</v>
      </c>
      <c r="FC134" s="399"/>
      <c r="FD134" s="399">
        <v>-17.698635468909799</v>
      </c>
      <c r="FE134" s="399"/>
      <c r="FF134" s="399">
        <v>0</v>
      </c>
      <c r="FG134" s="399">
        <v>0</v>
      </c>
      <c r="FH134" s="399">
        <v>0</v>
      </c>
      <c r="FI134" s="399">
        <v>0</v>
      </c>
    </row>
    <row r="135" spans="1:165">
      <c r="A135" s="399">
        <v>133</v>
      </c>
      <c r="B135" s="399" t="s">
        <v>2404</v>
      </c>
      <c r="C135" s="399" t="s">
        <v>2402</v>
      </c>
      <c r="D135" s="399" t="s">
        <v>2411</v>
      </c>
      <c r="E135" s="399" t="s">
        <v>894</v>
      </c>
      <c r="F135" s="399" t="s">
        <v>1239</v>
      </c>
      <c r="G135" s="399" t="s">
        <v>1239</v>
      </c>
      <c r="H135" s="399" t="s">
        <v>1239</v>
      </c>
      <c r="I135" s="399" t="s">
        <v>1239</v>
      </c>
      <c r="J135" s="399" t="s">
        <v>2400</v>
      </c>
      <c r="K135" s="788">
        <v>44593</v>
      </c>
      <c r="L135" s="399">
        <v>0</v>
      </c>
      <c r="M135" s="399">
        <v>0</v>
      </c>
      <c r="N135" s="399">
        <v>1.198</v>
      </c>
      <c r="O135" s="399">
        <v>1.198</v>
      </c>
      <c r="P135" s="399">
        <v>1.198</v>
      </c>
      <c r="Q135" s="399">
        <v>1.198</v>
      </c>
      <c r="R135" s="399"/>
      <c r="S135" s="399">
        <v>609.05999999999995</v>
      </c>
      <c r="T135" s="399">
        <v>286.42</v>
      </c>
      <c r="U135" s="399"/>
      <c r="V135" s="399">
        <v>1072.78504</v>
      </c>
      <c r="W135" s="399">
        <v>1072.78504</v>
      </c>
      <c r="X135" s="399">
        <v>819.27625999999987</v>
      </c>
      <c r="Y135" s="399">
        <v>0</v>
      </c>
      <c r="Z135" s="399">
        <v>72.911955967619193</v>
      </c>
      <c r="AA135" s="399">
        <v>0</v>
      </c>
      <c r="AB135" s="399">
        <v>0</v>
      </c>
      <c r="AC135" s="399">
        <v>0</v>
      </c>
      <c r="AD135" s="399">
        <v>116.98727564628348</v>
      </c>
      <c r="AE135" s="399">
        <v>451.89997024338476</v>
      </c>
      <c r="AF135" s="399">
        <v>343.13516760212747</v>
      </c>
      <c r="AG135" s="399">
        <v>0</v>
      </c>
      <c r="AH135" s="399">
        <v>0</v>
      </c>
      <c r="AI135" s="399">
        <v>0</v>
      </c>
      <c r="AJ135" s="399">
        <v>0</v>
      </c>
      <c r="AK135" s="399">
        <v>0</v>
      </c>
      <c r="AL135" s="399">
        <v>11.268254967830813</v>
      </c>
      <c r="AM135" s="399"/>
      <c r="AN135" s="399">
        <v>2.0459894045399403</v>
      </c>
      <c r="AO135" s="399">
        <v>0</v>
      </c>
      <c r="AP135" s="399">
        <v>0</v>
      </c>
      <c r="AQ135" s="399">
        <v>0</v>
      </c>
      <c r="AR135" s="399">
        <v>0</v>
      </c>
      <c r="AS135" s="399">
        <v>0</v>
      </c>
      <c r="AT135" s="399">
        <v>0</v>
      </c>
      <c r="AU135" s="399">
        <v>0</v>
      </c>
      <c r="AV135" s="399">
        <v>0</v>
      </c>
      <c r="AW135" s="399">
        <v>0</v>
      </c>
      <c r="AX135" s="399">
        <v>0</v>
      </c>
      <c r="AY135" s="399">
        <v>0</v>
      </c>
      <c r="AZ135" s="399">
        <v>0</v>
      </c>
      <c r="BA135" s="399"/>
      <c r="BB135" s="399">
        <v>0</v>
      </c>
      <c r="BC135" s="399">
        <v>0</v>
      </c>
      <c r="BD135" s="399">
        <v>0</v>
      </c>
      <c r="BE135" s="399">
        <v>0</v>
      </c>
      <c r="BF135" s="399">
        <v>0</v>
      </c>
      <c r="BG135" s="399">
        <v>40.159737994493604</v>
      </c>
      <c r="BH135" s="399">
        <v>0</v>
      </c>
      <c r="BI135" s="399">
        <v>1.25</v>
      </c>
      <c r="BJ135" s="399">
        <v>5.88</v>
      </c>
      <c r="BK135" s="399">
        <v>0</v>
      </c>
      <c r="BL135" s="399">
        <v>4</v>
      </c>
      <c r="BM135" s="399"/>
      <c r="BN135" s="399"/>
      <c r="BO135" s="399"/>
      <c r="BP135" s="399"/>
      <c r="BQ135" s="399"/>
      <c r="BR135" s="399">
        <v>98.319859999999949</v>
      </c>
      <c r="BS135" s="399"/>
      <c r="BT135" s="399"/>
      <c r="BU135" s="399"/>
      <c r="BV135" s="399">
        <v>383.29490559662105</v>
      </c>
      <c r="BW135" s="399"/>
      <c r="BX135" s="399"/>
      <c r="BY135" s="399"/>
      <c r="BZ135" s="399"/>
      <c r="CA135" s="399"/>
      <c r="CB135" s="399"/>
      <c r="CC135" s="399"/>
      <c r="CD135" s="399"/>
      <c r="CE135" s="399"/>
      <c r="CF135" s="399"/>
      <c r="CG135" s="399"/>
      <c r="CH135" s="399"/>
      <c r="CI135" s="399">
        <v>722.16</v>
      </c>
      <c r="CJ135" s="399">
        <v>-221.91796000000011</v>
      </c>
      <c r="CK135" s="399"/>
      <c r="CL135" s="399"/>
      <c r="CM135" s="399"/>
      <c r="CN135" s="399"/>
      <c r="CO135" s="399">
        <v>-175.85441999999995</v>
      </c>
      <c r="CP135" s="399">
        <v>-77.654360000000025</v>
      </c>
      <c r="CQ135" s="399">
        <v>29</v>
      </c>
      <c r="CR135" s="399">
        <v>-88.613673945151504</v>
      </c>
      <c r="CS135" s="399">
        <v>0</v>
      </c>
      <c r="CT135" s="399">
        <v>0</v>
      </c>
      <c r="CU135" s="399">
        <v>0</v>
      </c>
      <c r="CV135" s="399">
        <v>0</v>
      </c>
      <c r="CW135" s="399">
        <v>0</v>
      </c>
      <c r="CX135" s="399">
        <v>0</v>
      </c>
      <c r="CY135" s="399">
        <v>0</v>
      </c>
      <c r="CZ135" s="399">
        <v>4.014641502901398</v>
      </c>
      <c r="DA135" s="399">
        <v>0</v>
      </c>
      <c r="DB135" s="399">
        <v>0</v>
      </c>
      <c r="DC135" s="399">
        <v>-77.662469845469104</v>
      </c>
      <c r="DD135" s="399">
        <v>0</v>
      </c>
      <c r="DE135" s="399">
        <v>0</v>
      </c>
      <c r="DF135" s="399">
        <v>0</v>
      </c>
      <c r="DG135" s="399">
        <v>-9.0894339475449648</v>
      </c>
      <c r="DH135" s="399">
        <v>0</v>
      </c>
      <c r="DI135" s="399">
        <v>-5.0583509112387901</v>
      </c>
      <c r="DJ135" s="399"/>
      <c r="DK135" s="399">
        <v>0</v>
      </c>
      <c r="DL135" s="399">
        <v>0</v>
      </c>
      <c r="DM135" s="399">
        <v>0</v>
      </c>
      <c r="DN135" s="399">
        <v>0</v>
      </c>
      <c r="DO135" s="399">
        <v>-0.64486306050896225</v>
      </c>
      <c r="DP135" s="399">
        <v>-0.17319768329127117</v>
      </c>
      <c r="DQ135" s="399">
        <v>0</v>
      </c>
      <c r="DR135" s="399">
        <v>0</v>
      </c>
      <c r="DS135" s="399"/>
      <c r="DT135" s="399"/>
      <c r="DU135" s="399"/>
      <c r="DV135" s="399">
        <v>451.89997024338476</v>
      </c>
      <c r="DW135" s="399">
        <v>0</v>
      </c>
      <c r="DX135" s="399">
        <v>0</v>
      </c>
      <c r="DY135" s="399">
        <v>-175.85442</v>
      </c>
      <c r="DZ135" s="399">
        <v>-77.654360000000054</v>
      </c>
      <c r="EA135" s="399">
        <v>0</v>
      </c>
      <c r="EB135" s="399">
        <v>0</v>
      </c>
      <c r="EC135" s="399">
        <v>-164.89835245331557</v>
      </c>
      <c r="ED135" s="399">
        <v>0</v>
      </c>
      <c r="EE135" s="399">
        <v>0</v>
      </c>
      <c r="EF135" s="399">
        <v>0</v>
      </c>
      <c r="EG135" s="399">
        <v>0</v>
      </c>
      <c r="EH135" s="399">
        <v>0</v>
      </c>
      <c r="EI135" s="399">
        <v>0</v>
      </c>
      <c r="EJ135" s="399">
        <v>0</v>
      </c>
      <c r="EK135" s="399">
        <v>0</v>
      </c>
      <c r="EL135" s="399">
        <v>0</v>
      </c>
      <c r="EM135" s="399">
        <v>0</v>
      </c>
      <c r="EN135" s="399">
        <v>0</v>
      </c>
      <c r="EO135" s="399">
        <v>0</v>
      </c>
      <c r="EP135" s="399">
        <v>34.380481920345851</v>
      </c>
      <c r="EQ135" s="399">
        <v>0</v>
      </c>
      <c r="ER135" s="399">
        <v>0</v>
      </c>
      <c r="ES135" s="399">
        <v>0</v>
      </c>
      <c r="ET135" s="399">
        <v>0</v>
      </c>
      <c r="EU135" s="399">
        <v>0</v>
      </c>
      <c r="EV135" s="399">
        <v>202</v>
      </c>
      <c r="EW135" s="399">
        <v>0</v>
      </c>
      <c r="EX135" s="399">
        <v>0</v>
      </c>
      <c r="EY135" s="399">
        <v>0</v>
      </c>
      <c r="EZ135" s="399"/>
      <c r="FA135" s="399">
        <v>0</v>
      </c>
      <c r="FB135" s="399">
        <v>-12.3890448282368</v>
      </c>
      <c r="FC135" s="399"/>
      <c r="FD135" s="399">
        <v>-17.698635468909799</v>
      </c>
      <c r="FE135" s="399"/>
      <c r="FF135" s="399">
        <v>0</v>
      </c>
      <c r="FG135" s="399">
        <v>0</v>
      </c>
      <c r="FH135" s="399">
        <v>0</v>
      </c>
      <c r="FI135" s="399">
        <v>0</v>
      </c>
    </row>
    <row r="136" spans="1:165">
      <c r="A136" s="399">
        <v>134</v>
      </c>
      <c r="B136" s="399" t="s">
        <v>2404</v>
      </c>
      <c r="C136" s="399" t="s">
        <v>2402</v>
      </c>
      <c r="D136" s="399" t="s">
        <v>2411</v>
      </c>
      <c r="E136" s="399" t="s">
        <v>894</v>
      </c>
      <c r="F136" s="399" t="s">
        <v>1239</v>
      </c>
      <c r="G136" s="399" t="s">
        <v>1239</v>
      </c>
      <c r="H136" s="399" t="s">
        <v>1239</v>
      </c>
      <c r="I136" s="399" t="s">
        <v>1239</v>
      </c>
      <c r="J136" s="399" t="s">
        <v>2400</v>
      </c>
      <c r="K136" s="788">
        <v>44593</v>
      </c>
      <c r="L136" s="399">
        <v>0</v>
      </c>
      <c r="M136" s="399">
        <v>0</v>
      </c>
      <c r="N136" s="399">
        <v>-0.82199999999999995</v>
      </c>
      <c r="O136" s="399">
        <v>-0.82199999999999995</v>
      </c>
      <c r="P136" s="399">
        <v>-0.82199999999999995</v>
      </c>
      <c r="Q136" s="399">
        <v>-0.82199999999999995</v>
      </c>
      <c r="R136" s="399"/>
      <c r="S136" s="399">
        <v>609.05999999999995</v>
      </c>
      <c r="T136" s="399">
        <v>286.42</v>
      </c>
      <c r="U136" s="399"/>
      <c r="V136" s="399">
        <v>-736.0845599999999</v>
      </c>
      <c r="W136" s="399">
        <v>-736.0845599999999</v>
      </c>
      <c r="X136" s="399">
        <v>-562.14113999999995</v>
      </c>
      <c r="Y136" s="399">
        <v>0</v>
      </c>
      <c r="Z136" s="399">
        <v>-50.02806995440983</v>
      </c>
      <c r="AA136" s="399">
        <v>0</v>
      </c>
      <c r="AB136" s="399">
        <v>0</v>
      </c>
      <c r="AC136" s="399">
        <v>0</v>
      </c>
      <c r="AD136" s="399">
        <v>-80.270067263142749</v>
      </c>
      <c r="AE136" s="399">
        <v>-310.06826005013545</v>
      </c>
      <c r="AF136" s="399">
        <v>-235.43998979044139</v>
      </c>
      <c r="AG136" s="399">
        <v>0</v>
      </c>
      <c r="AH136" s="399">
        <v>0</v>
      </c>
      <c r="AI136" s="399">
        <v>0</v>
      </c>
      <c r="AJ136" s="399">
        <v>0</v>
      </c>
      <c r="AK136" s="399">
        <v>0</v>
      </c>
      <c r="AL136" s="399">
        <v>-7.7316407208321598</v>
      </c>
      <c r="AM136" s="399"/>
      <c r="AN136" s="399">
        <v>-1.4038424795758186</v>
      </c>
      <c r="AO136" s="399">
        <v>0</v>
      </c>
      <c r="AP136" s="399">
        <v>0</v>
      </c>
      <c r="AQ136" s="399">
        <v>0</v>
      </c>
      <c r="AR136" s="399">
        <v>0</v>
      </c>
      <c r="AS136" s="399">
        <v>0</v>
      </c>
      <c r="AT136" s="399">
        <v>0</v>
      </c>
      <c r="AU136" s="399">
        <v>0</v>
      </c>
      <c r="AV136" s="399">
        <v>0</v>
      </c>
      <c r="AW136" s="399">
        <v>0</v>
      </c>
      <c r="AX136" s="399">
        <v>0</v>
      </c>
      <c r="AY136" s="399">
        <v>0</v>
      </c>
      <c r="AZ136" s="399">
        <v>0</v>
      </c>
      <c r="BA136" s="399"/>
      <c r="BB136" s="399">
        <v>0</v>
      </c>
      <c r="BC136" s="399">
        <v>0</v>
      </c>
      <c r="BD136" s="399">
        <v>0</v>
      </c>
      <c r="BE136" s="399">
        <v>0</v>
      </c>
      <c r="BF136" s="399">
        <v>0</v>
      </c>
      <c r="BG136" s="399">
        <v>-27.555346103066562</v>
      </c>
      <c r="BH136" s="399">
        <v>0</v>
      </c>
      <c r="BI136" s="399">
        <v>-0.88</v>
      </c>
      <c r="BJ136" s="399">
        <v>-4.03</v>
      </c>
      <c r="BK136" s="399">
        <v>0</v>
      </c>
      <c r="BL136" s="399">
        <v>2</v>
      </c>
      <c r="BM136" s="399"/>
      <c r="BN136" s="399"/>
      <c r="BO136" s="399"/>
      <c r="BP136" s="399"/>
      <c r="BQ136" s="399"/>
      <c r="BR136" s="399">
        <v>-67.461539999999971</v>
      </c>
      <c r="BS136" s="399"/>
      <c r="BT136" s="399"/>
      <c r="BU136" s="399"/>
      <c r="BV136" s="399">
        <v>-262.99533589350796</v>
      </c>
      <c r="BW136" s="399"/>
      <c r="BX136" s="399"/>
      <c r="BY136" s="399"/>
      <c r="BZ136" s="399"/>
      <c r="CA136" s="399"/>
      <c r="CB136" s="399"/>
      <c r="CC136" s="399"/>
      <c r="CD136" s="399"/>
      <c r="CE136" s="399"/>
      <c r="CF136" s="399"/>
      <c r="CG136" s="399"/>
      <c r="CH136" s="399"/>
      <c r="CI136" s="399">
        <v>-493.47599999999994</v>
      </c>
      <c r="CJ136" s="399">
        <v>154.24644000000006</v>
      </c>
      <c r="CK136" s="399"/>
      <c r="CL136" s="399"/>
      <c r="CM136" s="399"/>
      <c r="CN136" s="399"/>
      <c r="CO136" s="399">
        <v>120.66137999999997</v>
      </c>
      <c r="CP136" s="399">
        <v>53.282040000000016</v>
      </c>
      <c r="CQ136" s="399">
        <v>29</v>
      </c>
      <c r="CR136" s="399">
        <v>60.801702823801861</v>
      </c>
      <c r="CS136" s="399">
        <v>0</v>
      </c>
      <c r="CT136" s="399">
        <v>0</v>
      </c>
      <c r="CU136" s="399">
        <v>0</v>
      </c>
      <c r="CV136" s="399">
        <v>0</v>
      </c>
      <c r="CW136" s="399">
        <v>0</v>
      </c>
      <c r="CX136" s="399">
        <v>0</v>
      </c>
      <c r="CY136" s="399">
        <v>0</v>
      </c>
      <c r="CZ136" s="399">
        <v>-2.7546204635934544</v>
      </c>
      <c r="DA136" s="399">
        <v>0</v>
      </c>
      <c r="DB136" s="399">
        <v>0</v>
      </c>
      <c r="DC136" s="399">
        <v>53.287604518343556</v>
      </c>
      <c r="DD136" s="399">
        <v>0</v>
      </c>
      <c r="DE136" s="399">
        <v>0</v>
      </c>
      <c r="DF136" s="399">
        <v>0</v>
      </c>
      <c r="DG136" s="399">
        <v>6.2366566818714197</v>
      </c>
      <c r="DH136" s="399">
        <v>0</v>
      </c>
      <c r="DI136" s="399">
        <v>3.4707549658082542</v>
      </c>
      <c r="DJ136" s="399"/>
      <c r="DK136" s="399">
        <v>0</v>
      </c>
      <c r="DL136" s="399">
        <v>0</v>
      </c>
      <c r="DM136" s="399">
        <v>0</v>
      </c>
      <c r="DN136" s="399">
        <v>0</v>
      </c>
      <c r="DO136" s="399">
        <v>0.4424686441889536</v>
      </c>
      <c r="DP136" s="399">
        <v>0.11883847718315921</v>
      </c>
      <c r="DQ136" s="399">
        <v>0</v>
      </c>
      <c r="DR136" s="399">
        <v>0</v>
      </c>
      <c r="DS136" s="399"/>
      <c r="DT136" s="399"/>
      <c r="DU136" s="399"/>
      <c r="DV136" s="399">
        <v>-310.06826005013545</v>
      </c>
      <c r="DW136" s="399">
        <v>0</v>
      </c>
      <c r="DX136" s="399">
        <v>0</v>
      </c>
      <c r="DY136" s="399">
        <v>120.66137999999995</v>
      </c>
      <c r="DZ136" s="399">
        <v>53.282040000000023</v>
      </c>
      <c r="EA136" s="399">
        <v>0</v>
      </c>
      <c r="EB136" s="399">
        <v>0</v>
      </c>
      <c r="EC136" s="399">
        <v>113.14394467164055</v>
      </c>
      <c r="ED136" s="399">
        <v>0</v>
      </c>
      <c r="EE136" s="399">
        <v>0</v>
      </c>
      <c r="EF136" s="399">
        <v>0</v>
      </c>
      <c r="EG136" s="399">
        <v>0</v>
      </c>
      <c r="EH136" s="399">
        <v>0</v>
      </c>
      <c r="EI136" s="399">
        <v>0</v>
      </c>
      <c r="EJ136" s="399">
        <v>0</v>
      </c>
      <c r="EK136" s="399">
        <v>0</v>
      </c>
      <c r="EL136" s="399">
        <v>0</v>
      </c>
      <c r="EM136" s="399">
        <v>0</v>
      </c>
      <c r="EN136" s="399">
        <v>0</v>
      </c>
      <c r="EO136" s="399">
        <v>0</v>
      </c>
      <c r="EP136" s="399">
        <v>-23.589946693259005</v>
      </c>
      <c r="EQ136" s="399">
        <v>0</v>
      </c>
      <c r="ER136" s="399">
        <v>0</v>
      </c>
      <c r="ES136" s="399">
        <v>0</v>
      </c>
      <c r="ET136" s="399">
        <v>0</v>
      </c>
      <c r="EU136" s="399">
        <v>0</v>
      </c>
      <c r="EV136" s="399">
        <v>202</v>
      </c>
      <c r="EW136" s="399">
        <v>0</v>
      </c>
      <c r="EX136" s="399">
        <v>0</v>
      </c>
      <c r="EY136" s="399">
        <v>0</v>
      </c>
      <c r="EZ136" s="399"/>
      <c r="FA136" s="399">
        <v>0</v>
      </c>
      <c r="FB136" s="399">
        <v>-12.3890448282368</v>
      </c>
      <c r="FC136" s="399"/>
      <c r="FD136" s="399">
        <v>-17.698635468909799</v>
      </c>
      <c r="FE136" s="399"/>
      <c r="FF136" s="399">
        <v>0</v>
      </c>
      <c r="FG136" s="399">
        <v>0</v>
      </c>
      <c r="FH136" s="399">
        <v>0</v>
      </c>
      <c r="FI136" s="399">
        <v>0</v>
      </c>
    </row>
    <row r="137" spans="1:165">
      <c r="A137" s="399">
        <v>128</v>
      </c>
      <c r="B137" s="399" t="s">
        <v>956</v>
      </c>
      <c r="C137" s="399" t="s">
        <v>2402</v>
      </c>
      <c r="D137" s="399" t="s">
        <v>1826</v>
      </c>
      <c r="E137" s="399" t="s">
        <v>918</v>
      </c>
      <c r="F137" s="399" t="s">
        <v>1239</v>
      </c>
      <c r="G137" s="399" t="s">
        <v>1239</v>
      </c>
      <c r="H137" s="399" t="s">
        <v>1239</v>
      </c>
      <c r="I137" s="399" t="s">
        <v>1239</v>
      </c>
      <c r="J137" s="399" t="s">
        <v>2400</v>
      </c>
      <c r="K137" s="788">
        <v>44593</v>
      </c>
      <c r="L137" s="399">
        <v>0</v>
      </c>
      <c r="M137" s="399">
        <v>0</v>
      </c>
      <c r="N137" s="399">
        <v>16.547999999999998</v>
      </c>
      <c r="O137" s="399">
        <v>16.547999999999998</v>
      </c>
      <c r="P137" s="399">
        <v>16.547999999999998</v>
      </c>
      <c r="Q137" s="399">
        <v>16.547999999999998</v>
      </c>
      <c r="R137" s="399"/>
      <c r="S137" s="399">
        <v>609.05999999999995</v>
      </c>
      <c r="T137" s="399">
        <v>286.42</v>
      </c>
      <c r="U137" s="399"/>
      <c r="V137" s="399">
        <v>14818.403039999997</v>
      </c>
      <c r="W137" s="399">
        <v>14818.403039999997</v>
      </c>
      <c r="X137" s="399">
        <v>11316.680759999997</v>
      </c>
      <c r="Y137" s="399">
        <v>0</v>
      </c>
      <c r="Z137" s="399">
        <v>1007.1344301770971</v>
      </c>
      <c r="AA137" s="399">
        <v>0</v>
      </c>
      <c r="AB137" s="399">
        <v>0</v>
      </c>
      <c r="AC137" s="399">
        <v>0</v>
      </c>
      <c r="AD137" s="399">
        <v>1615.9477774580125</v>
      </c>
      <c r="AE137" s="399">
        <v>6242.1040964837484</v>
      </c>
      <c r="AF137" s="399">
        <v>4739.7335170951628</v>
      </c>
      <c r="AG137" s="399">
        <v>0</v>
      </c>
      <c r="AH137" s="399">
        <v>0</v>
      </c>
      <c r="AI137" s="399">
        <v>0</v>
      </c>
      <c r="AJ137" s="399">
        <v>0</v>
      </c>
      <c r="AK137" s="399">
        <v>0</v>
      </c>
      <c r="AL137" s="399">
        <v>155.64865042375982</v>
      </c>
      <c r="AM137" s="399"/>
      <c r="AN137" s="399">
        <v>28.261296048686916</v>
      </c>
      <c r="AO137" s="399">
        <v>0</v>
      </c>
      <c r="AP137" s="399">
        <v>0</v>
      </c>
      <c r="AQ137" s="399">
        <v>0</v>
      </c>
      <c r="AR137" s="399">
        <v>0</v>
      </c>
      <c r="AS137" s="399">
        <v>0</v>
      </c>
      <c r="AT137" s="399">
        <v>0</v>
      </c>
      <c r="AU137" s="399">
        <v>0</v>
      </c>
      <c r="AV137" s="399">
        <v>0</v>
      </c>
      <c r="AW137" s="399">
        <v>0</v>
      </c>
      <c r="AX137" s="399">
        <v>0</v>
      </c>
      <c r="AY137" s="399">
        <v>0</v>
      </c>
      <c r="AZ137" s="399">
        <v>0</v>
      </c>
      <c r="BA137" s="399"/>
      <c r="BB137" s="399">
        <v>0</v>
      </c>
      <c r="BC137" s="399">
        <v>0</v>
      </c>
      <c r="BD137" s="399">
        <v>0</v>
      </c>
      <c r="BE137" s="399">
        <v>0</v>
      </c>
      <c r="BF137" s="399">
        <v>0</v>
      </c>
      <c r="BG137" s="399">
        <v>554.72733249823045</v>
      </c>
      <c r="BH137" s="399">
        <v>0</v>
      </c>
      <c r="BI137" s="399">
        <v>38.33</v>
      </c>
      <c r="BJ137" s="399">
        <v>178.1</v>
      </c>
      <c r="BK137" s="399">
        <v>3047.09</v>
      </c>
      <c r="BL137" s="399">
        <v>43</v>
      </c>
      <c r="BM137" s="399"/>
      <c r="BN137" s="399"/>
      <c r="BO137" s="399"/>
      <c r="BP137" s="399"/>
      <c r="BQ137" s="399"/>
      <c r="BR137" s="399"/>
      <c r="BS137" s="399"/>
      <c r="BT137" s="399"/>
      <c r="BU137" s="399"/>
      <c r="BV137" s="399">
        <v>5294.4608495933935</v>
      </c>
      <c r="BW137" s="399"/>
      <c r="BX137" s="399"/>
      <c r="BY137" s="399"/>
      <c r="BZ137" s="399"/>
      <c r="CA137" s="399"/>
      <c r="CB137" s="399"/>
      <c r="CC137" s="399"/>
      <c r="CD137" s="399"/>
      <c r="CE137" s="399"/>
      <c r="CF137" s="399"/>
      <c r="CG137" s="399"/>
      <c r="CH137" s="399"/>
      <c r="CI137" s="399">
        <v>11318.048500000001</v>
      </c>
      <c r="CJ137" s="399">
        <v>-3500.3845399999973</v>
      </c>
      <c r="CK137" s="399"/>
      <c r="CL137" s="399"/>
      <c r="CM137" s="399"/>
      <c r="CN137" s="399"/>
      <c r="CO137" s="399">
        <v>-2429.080919999999</v>
      </c>
      <c r="CP137" s="399">
        <v>-1072.6413600000003</v>
      </c>
      <c r="CQ137" s="399">
        <v>29</v>
      </c>
      <c r="CR137" s="399">
        <v>-1224.0226013725951</v>
      </c>
      <c r="CS137" s="399">
        <v>0</v>
      </c>
      <c r="CT137" s="399">
        <v>0</v>
      </c>
      <c r="CU137" s="399">
        <v>0</v>
      </c>
      <c r="CV137" s="399">
        <v>0</v>
      </c>
      <c r="CW137" s="399">
        <v>0</v>
      </c>
      <c r="CX137" s="399">
        <v>0</v>
      </c>
      <c r="CY137" s="399">
        <v>0</v>
      </c>
      <c r="CZ137" s="399">
        <v>55.454330208691317</v>
      </c>
      <c r="DA137" s="399">
        <v>0</v>
      </c>
      <c r="DB137" s="399">
        <v>0</v>
      </c>
      <c r="DC137" s="399">
        <v>-1072.7533814714711</v>
      </c>
      <c r="DD137" s="399">
        <v>0</v>
      </c>
      <c r="DE137" s="399">
        <v>0</v>
      </c>
      <c r="DF137" s="399">
        <v>0</v>
      </c>
      <c r="DG137" s="399">
        <v>-125.5525483839516</v>
      </c>
      <c r="DH137" s="399">
        <v>0</v>
      </c>
      <c r="DI137" s="399">
        <v>-69.871110917512055</v>
      </c>
      <c r="DJ137" s="399"/>
      <c r="DK137" s="399">
        <v>0</v>
      </c>
      <c r="DL137" s="399">
        <v>0</v>
      </c>
      <c r="DM137" s="399">
        <v>0</v>
      </c>
      <c r="DN137" s="399">
        <v>0</v>
      </c>
      <c r="DO137" s="399">
        <v>-8.9075074501688505</v>
      </c>
      <c r="DP137" s="399">
        <v>-2.3923833581835972</v>
      </c>
      <c r="DQ137" s="399">
        <v>0</v>
      </c>
      <c r="DR137" s="399">
        <v>0</v>
      </c>
      <c r="DS137" s="399"/>
      <c r="DT137" s="399"/>
      <c r="DU137" s="399"/>
      <c r="DV137" s="399">
        <v>6242.1040964837484</v>
      </c>
      <c r="DW137" s="399">
        <v>0</v>
      </c>
      <c r="DX137" s="399">
        <v>0</v>
      </c>
      <c r="DY137" s="399">
        <v>-2429.0809199999994</v>
      </c>
      <c r="DZ137" s="399">
        <v>-1072.6413600000001</v>
      </c>
      <c r="EA137" s="399">
        <v>0</v>
      </c>
      <c r="EB137" s="399">
        <v>0</v>
      </c>
      <c r="EC137" s="399">
        <v>-2277.7445211998879</v>
      </c>
      <c r="ED137" s="399">
        <v>0</v>
      </c>
      <c r="EE137" s="399">
        <v>0</v>
      </c>
      <c r="EF137" s="399">
        <v>0</v>
      </c>
      <c r="EG137" s="399">
        <v>0</v>
      </c>
      <c r="EH137" s="399">
        <v>0</v>
      </c>
      <c r="EI137" s="399">
        <v>0</v>
      </c>
      <c r="EJ137" s="399">
        <v>0</v>
      </c>
      <c r="EK137" s="399">
        <v>0</v>
      </c>
      <c r="EL137" s="399">
        <v>0</v>
      </c>
      <c r="EM137" s="399">
        <v>0</v>
      </c>
      <c r="EN137" s="399">
        <v>0</v>
      </c>
      <c r="EO137" s="399">
        <v>0</v>
      </c>
      <c r="EP137" s="399">
        <v>474.89834291976888</v>
      </c>
      <c r="EQ137" s="399">
        <v>0</v>
      </c>
      <c r="ER137" s="399">
        <v>0</v>
      </c>
      <c r="ES137" s="399">
        <v>0</v>
      </c>
      <c r="ET137" s="399">
        <v>0</v>
      </c>
      <c r="EU137" s="399">
        <v>0</v>
      </c>
      <c r="EV137" s="399">
        <v>202</v>
      </c>
      <c r="EW137" s="399">
        <v>0</v>
      </c>
      <c r="EX137" s="399">
        <v>0</v>
      </c>
      <c r="EY137" s="399">
        <v>0</v>
      </c>
      <c r="EZ137" s="399"/>
      <c r="FA137" s="399">
        <v>0</v>
      </c>
      <c r="FB137" s="399">
        <v>-17.698635468909799</v>
      </c>
      <c r="FC137" s="399"/>
      <c r="FD137" s="399">
        <v>-17.698635468909799</v>
      </c>
      <c r="FE137" s="399"/>
      <c r="FF137" s="399">
        <v>0</v>
      </c>
      <c r="FG137" s="399">
        <v>0</v>
      </c>
      <c r="FH137" s="399">
        <v>0</v>
      </c>
      <c r="FI137" s="399">
        <v>0</v>
      </c>
    </row>
    <row r="138" spans="1:165">
      <c r="A138" s="399">
        <v>135</v>
      </c>
      <c r="B138" s="399" t="s">
        <v>956</v>
      </c>
      <c r="C138" s="399" t="s">
        <v>2402</v>
      </c>
      <c r="D138" s="399" t="s">
        <v>1826</v>
      </c>
      <c r="E138" s="399" t="s">
        <v>2412</v>
      </c>
      <c r="F138" s="399" t="s">
        <v>1239</v>
      </c>
      <c r="G138" s="399" t="s">
        <v>1239</v>
      </c>
      <c r="H138" s="399" t="s">
        <v>1239</v>
      </c>
      <c r="I138" s="399" t="s">
        <v>1239</v>
      </c>
      <c r="J138" s="399" t="s">
        <v>2400</v>
      </c>
      <c r="K138" s="788">
        <v>44593</v>
      </c>
      <c r="L138" s="399">
        <v>0</v>
      </c>
      <c r="M138" s="399">
        <v>0</v>
      </c>
      <c r="N138" s="399">
        <v>6.9450000000000003</v>
      </c>
      <c r="O138" s="399">
        <v>6.9450000000000003</v>
      </c>
      <c r="P138" s="399">
        <v>6.9450000000000003</v>
      </c>
      <c r="Q138" s="399">
        <v>6.9450000000000003</v>
      </c>
      <c r="R138" s="399"/>
      <c r="S138" s="399">
        <v>609.05999999999995</v>
      </c>
      <c r="T138" s="399">
        <v>286.42</v>
      </c>
      <c r="U138" s="399"/>
      <c r="V138" s="399">
        <v>6219.1085999999996</v>
      </c>
      <c r="W138" s="399">
        <v>6219.1085999999996</v>
      </c>
      <c r="X138" s="399">
        <v>4749.4771499999997</v>
      </c>
      <c r="Y138" s="399">
        <v>0</v>
      </c>
      <c r="Z138" s="399">
        <v>422.68241585568893</v>
      </c>
      <c r="AA138" s="399">
        <v>0</v>
      </c>
      <c r="AB138" s="399">
        <v>0</v>
      </c>
      <c r="AC138" s="399">
        <v>0</v>
      </c>
      <c r="AD138" s="399">
        <v>678.19418143859673</v>
      </c>
      <c r="AE138" s="399">
        <v>2619.7373066279697</v>
      </c>
      <c r="AF138" s="399">
        <v>1989.2101327185103</v>
      </c>
      <c r="AG138" s="399">
        <v>0</v>
      </c>
      <c r="AH138" s="399">
        <v>0</v>
      </c>
      <c r="AI138" s="399">
        <v>0</v>
      </c>
      <c r="AJ138" s="399">
        <v>0</v>
      </c>
      <c r="AK138" s="399">
        <v>0</v>
      </c>
      <c r="AL138" s="399">
        <v>65.32389879097245</v>
      </c>
      <c r="AM138" s="399"/>
      <c r="AN138" s="399">
        <v>11.860931898605914</v>
      </c>
      <c r="AO138" s="399">
        <v>0</v>
      </c>
      <c r="AP138" s="399">
        <v>0</v>
      </c>
      <c r="AQ138" s="399">
        <v>0</v>
      </c>
      <c r="AR138" s="399">
        <v>0</v>
      </c>
      <c r="AS138" s="399">
        <v>0</v>
      </c>
      <c r="AT138" s="399">
        <v>0</v>
      </c>
      <c r="AU138" s="399">
        <v>0</v>
      </c>
      <c r="AV138" s="399">
        <v>0</v>
      </c>
      <c r="AW138" s="399">
        <v>0</v>
      </c>
      <c r="AX138" s="399">
        <v>0</v>
      </c>
      <c r="AY138" s="399">
        <v>0</v>
      </c>
      <c r="AZ138" s="399">
        <v>0</v>
      </c>
      <c r="BA138" s="399"/>
      <c r="BB138" s="399">
        <v>0</v>
      </c>
      <c r="BC138" s="399">
        <v>0</v>
      </c>
      <c r="BD138" s="399">
        <v>0</v>
      </c>
      <c r="BE138" s="399">
        <v>0</v>
      </c>
      <c r="BF138" s="399">
        <v>0</v>
      </c>
      <c r="BG138" s="399">
        <v>232.81250448393831</v>
      </c>
      <c r="BH138" s="399">
        <v>0</v>
      </c>
      <c r="BI138" s="399">
        <v>26.57</v>
      </c>
      <c r="BJ138" s="399">
        <v>122.83</v>
      </c>
      <c r="BK138" s="399">
        <v>512.23</v>
      </c>
      <c r="BL138" s="399">
        <v>10</v>
      </c>
      <c r="BM138" s="399"/>
      <c r="BN138" s="399"/>
      <c r="BO138" s="399"/>
      <c r="BP138" s="399"/>
      <c r="BQ138" s="399"/>
      <c r="BR138" s="399"/>
      <c r="BS138" s="399"/>
      <c r="BT138" s="399"/>
      <c r="BU138" s="399"/>
      <c r="BV138" s="399">
        <v>2222.0226372024485</v>
      </c>
      <c r="BW138" s="399"/>
      <c r="BX138" s="399"/>
      <c r="BY138" s="399"/>
      <c r="BZ138" s="399"/>
      <c r="CA138" s="399"/>
      <c r="CB138" s="399"/>
      <c r="CC138" s="399"/>
      <c r="CD138" s="399"/>
      <c r="CE138" s="399"/>
      <c r="CF138" s="399"/>
      <c r="CG138" s="399"/>
      <c r="CH138" s="399"/>
      <c r="CI138" s="399">
        <v>4752.8964999999998</v>
      </c>
      <c r="CJ138" s="399">
        <v>-1466.2421000000004</v>
      </c>
      <c r="CK138" s="399"/>
      <c r="CL138" s="399"/>
      <c r="CM138" s="399"/>
      <c r="CN138" s="399"/>
      <c r="CO138" s="399">
        <v>-1019.4565499999998</v>
      </c>
      <c r="CP138" s="399">
        <v>-450.17490000000015</v>
      </c>
      <c r="CQ138" s="399">
        <v>29</v>
      </c>
      <c r="CR138" s="399">
        <v>-513.70781765365473</v>
      </c>
      <c r="CS138" s="399">
        <v>0</v>
      </c>
      <c r="CT138" s="399">
        <v>0</v>
      </c>
      <c r="CU138" s="399">
        <v>0</v>
      </c>
      <c r="CV138" s="399">
        <v>0</v>
      </c>
      <c r="CW138" s="399">
        <v>0</v>
      </c>
      <c r="CX138" s="399">
        <v>0</v>
      </c>
      <c r="CY138" s="399">
        <v>0</v>
      </c>
      <c r="CZ138" s="399">
        <v>23.273526909557745</v>
      </c>
      <c r="DA138" s="399">
        <v>0</v>
      </c>
      <c r="DB138" s="399">
        <v>0</v>
      </c>
      <c r="DC138" s="399">
        <v>-450.22191408746471</v>
      </c>
      <c r="DD138" s="399">
        <v>0</v>
      </c>
      <c r="DE138" s="399">
        <v>0</v>
      </c>
      <c r="DF138" s="399">
        <v>0</v>
      </c>
      <c r="DG138" s="399">
        <v>-52.692920505592468</v>
      </c>
      <c r="DH138" s="399">
        <v>0</v>
      </c>
      <c r="DI138" s="399">
        <v>-29.324079364401825</v>
      </c>
      <c r="DJ138" s="399"/>
      <c r="DK138" s="399">
        <v>0</v>
      </c>
      <c r="DL138" s="399">
        <v>0</v>
      </c>
      <c r="DM138" s="399">
        <v>0</v>
      </c>
      <c r="DN138" s="399">
        <v>0</v>
      </c>
      <c r="DO138" s="399">
        <v>-3.7383755886767389</v>
      </c>
      <c r="DP138" s="399">
        <v>-1.0040550170766913</v>
      </c>
      <c r="DQ138" s="399">
        <v>0</v>
      </c>
      <c r="DR138" s="399">
        <v>0</v>
      </c>
      <c r="DS138" s="399"/>
      <c r="DT138" s="399"/>
      <c r="DU138" s="399"/>
      <c r="DV138" s="399">
        <v>2619.7373066279697</v>
      </c>
      <c r="DW138" s="399">
        <v>0</v>
      </c>
      <c r="DX138" s="399">
        <v>0</v>
      </c>
      <c r="DY138" s="399">
        <v>-1019.4565499999999</v>
      </c>
      <c r="DZ138" s="399">
        <v>-450.17490000000021</v>
      </c>
      <c r="EA138" s="399">
        <v>0</v>
      </c>
      <c r="EB138" s="399">
        <v>0</v>
      </c>
      <c r="EC138" s="399">
        <v>-955.94245224397082</v>
      </c>
      <c r="ED138" s="399">
        <v>0</v>
      </c>
      <c r="EE138" s="399">
        <v>0</v>
      </c>
      <c r="EF138" s="399">
        <v>0</v>
      </c>
      <c r="EG138" s="399">
        <v>0</v>
      </c>
      <c r="EH138" s="399">
        <v>0</v>
      </c>
      <c r="EI138" s="399">
        <v>0</v>
      </c>
      <c r="EJ138" s="399">
        <v>0</v>
      </c>
      <c r="EK138" s="399">
        <v>0</v>
      </c>
      <c r="EL138" s="399">
        <v>0</v>
      </c>
      <c r="EM138" s="399">
        <v>0</v>
      </c>
      <c r="EN138" s="399">
        <v>0</v>
      </c>
      <c r="EO138" s="399">
        <v>0</v>
      </c>
      <c r="EP138" s="399">
        <v>199.30922114925039</v>
      </c>
      <c r="EQ138" s="399">
        <v>0</v>
      </c>
      <c r="ER138" s="399">
        <v>0</v>
      </c>
      <c r="ES138" s="399">
        <v>0</v>
      </c>
      <c r="ET138" s="399">
        <v>0</v>
      </c>
      <c r="EU138" s="399">
        <v>0</v>
      </c>
      <c r="EV138" s="399">
        <v>202</v>
      </c>
      <c r="EW138" s="399">
        <v>0</v>
      </c>
      <c r="EX138" s="399">
        <v>0</v>
      </c>
      <c r="EY138" s="399">
        <v>0</v>
      </c>
      <c r="EZ138" s="399"/>
      <c r="FA138" s="399">
        <v>0</v>
      </c>
      <c r="FB138" s="399">
        <v>-17.698635468909799</v>
      </c>
      <c r="FC138" s="399"/>
      <c r="FD138" s="399">
        <v>-17.698635468909799</v>
      </c>
      <c r="FE138" s="399"/>
      <c r="FF138" s="399">
        <v>0</v>
      </c>
      <c r="FG138" s="399">
        <v>0</v>
      </c>
      <c r="FH138" s="399">
        <v>0</v>
      </c>
      <c r="FI138" s="399">
        <v>0</v>
      </c>
    </row>
    <row r="139" spans="1:165">
      <c r="A139" s="399">
        <v>137</v>
      </c>
      <c r="B139" s="399" t="s">
        <v>956</v>
      </c>
      <c r="C139" s="399" t="s">
        <v>2402</v>
      </c>
      <c r="D139" s="399" t="s">
        <v>1826</v>
      </c>
      <c r="E139" s="399" t="s">
        <v>921</v>
      </c>
      <c r="F139" s="399" t="s">
        <v>2401</v>
      </c>
      <c r="G139" s="399" t="s">
        <v>1239</v>
      </c>
      <c r="H139" s="399" t="s">
        <v>1239</v>
      </c>
      <c r="I139" s="399" t="s">
        <v>1239</v>
      </c>
      <c r="J139" s="399" t="s">
        <v>2400</v>
      </c>
      <c r="K139" s="788">
        <v>44593</v>
      </c>
      <c r="L139" s="399">
        <v>0</v>
      </c>
      <c r="M139" s="399">
        <v>0</v>
      </c>
      <c r="N139" s="399">
        <v>30.204000000000001</v>
      </c>
      <c r="O139" s="399">
        <v>28.391760000000001</v>
      </c>
      <c r="P139" s="399">
        <v>30.204000000000001</v>
      </c>
      <c r="Q139" s="399">
        <v>28.391760000000001</v>
      </c>
      <c r="R139" s="399"/>
      <c r="S139" s="399">
        <v>609.05999999999995</v>
      </c>
      <c r="T139" s="399">
        <v>286.42</v>
      </c>
      <c r="U139" s="399"/>
      <c r="V139" s="399">
        <v>27047.077920000003</v>
      </c>
      <c r="W139" s="399">
        <v>27047.077920000003</v>
      </c>
      <c r="X139" s="399">
        <v>20655.609479999999</v>
      </c>
      <c r="Y139" s="399">
        <v>0</v>
      </c>
      <c r="Z139" s="399">
        <v>1838.2576945291905</v>
      </c>
      <c r="AA139" s="399">
        <v>0</v>
      </c>
      <c r="AB139" s="399">
        <v>0</v>
      </c>
      <c r="AC139" s="399">
        <v>0</v>
      </c>
      <c r="AD139" s="399">
        <v>2949.4855372456982</v>
      </c>
      <c r="AE139" s="399">
        <v>11393.311102864101</v>
      </c>
      <c r="AF139" s="399">
        <v>8651.1307197451242</v>
      </c>
      <c r="AG139" s="399">
        <v>0</v>
      </c>
      <c r="AH139" s="399">
        <v>0</v>
      </c>
      <c r="AI139" s="399">
        <v>0</v>
      </c>
      <c r="AJ139" s="399">
        <v>0</v>
      </c>
      <c r="AK139" s="399">
        <v>0</v>
      </c>
      <c r="AL139" s="399">
        <v>284.09546999028538</v>
      </c>
      <c r="AM139" s="399"/>
      <c r="AN139" s="399">
        <v>51.583525855362566</v>
      </c>
      <c r="AO139" s="399">
        <v>0</v>
      </c>
      <c r="AP139" s="399">
        <v>0</v>
      </c>
      <c r="AQ139" s="399">
        <v>0</v>
      </c>
      <c r="AR139" s="399">
        <v>0</v>
      </c>
      <c r="AS139" s="399">
        <v>0</v>
      </c>
      <c r="AT139" s="399">
        <v>0</v>
      </c>
      <c r="AU139" s="399">
        <v>0</v>
      </c>
      <c r="AV139" s="399">
        <v>0</v>
      </c>
      <c r="AW139" s="399">
        <v>0</v>
      </c>
      <c r="AX139" s="399">
        <v>0</v>
      </c>
      <c r="AY139" s="399">
        <v>0</v>
      </c>
      <c r="AZ139" s="399">
        <v>0</v>
      </c>
      <c r="BA139" s="399"/>
      <c r="BB139" s="399">
        <v>0</v>
      </c>
      <c r="BC139" s="399">
        <v>0</v>
      </c>
      <c r="BD139" s="399">
        <v>0</v>
      </c>
      <c r="BE139" s="399">
        <v>0</v>
      </c>
      <c r="BF139" s="399">
        <v>0</v>
      </c>
      <c r="BG139" s="399">
        <v>1012.5081188528254</v>
      </c>
      <c r="BH139" s="399">
        <v>0</v>
      </c>
      <c r="BI139" s="399">
        <v>33.89</v>
      </c>
      <c r="BJ139" s="399">
        <v>156.66</v>
      </c>
      <c r="BK139" s="399">
        <v>5519.62</v>
      </c>
      <c r="BL139" s="399">
        <v>6</v>
      </c>
      <c r="BM139" s="399"/>
      <c r="BN139" s="399"/>
      <c r="BO139" s="399"/>
      <c r="BP139" s="399"/>
      <c r="BQ139" s="399">
        <v>1239.3365687999994</v>
      </c>
      <c r="BR139" s="399"/>
      <c r="BS139" s="399"/>
      <c r="BT139" s="399"/>
      <c r="BU139" s="399"/>
      <c r="BV139" s="399">
        <v>9663.6388385979499</v>
      </c>
      <c r="BW139" s="399"/>
      <c r="BX139" s="399"/>
      <c r="BY139" s="399"/>
      <c r="BZ139" s="399"/>
      <c r="CA139" s="399"/>
      <c r="CB139" s="399"/>
      <c r="CC139" s="399"/>
      <c r="CD139" s="399"/>
      <c r="CE139" s="399"/>
      <c r="CF139" s="399"/>
      <c r="CG139" s="399"/>
      <c r="CH139" s="399"/>
      <c r="CI139" s="399">
        <v>19415.069299999999</v>
      </c>
      <c r="CJ139" s="399">
        <v>-6009.2139447999944</v>
      </c>
      <c r="CK139" s="399"/>
      <c r="CL139" s="399"/>
      <c r="CM139" s="399"/>
      <c r="CN139" s="399"/>
      <c r="CO139" s="399">
        <v>-4433.6451599999991</v>
      </c>
      <c r="CP139" s="399">
        <v>-1957.8232800000008</v>
      </c>
      <c r="CQ139" s="399">
        <v>29</v>
      </c>
      <c r="CR139" s="399">
        <v>-2234.1297227373634</v>
      </c>
      <c r="CS139" s="399">
        <v>0</v>
      </c>
      <c r="CT139" s="399">
        <v>0</v>
      </c>
      <c r="CU139" s="399">
        <v>0</v>
      </c>
      <c r="CV139" s="399">
        <v>0</v>
      </c>
      <c r="CW139" s="399">
        <v>0</v>
      </c>
      <c r="CX139" s="399">
        <v>0</v>
      </c>
      <c r="CY139" s="399">
        <v>0</v>
      </c>
      <c r="CZ139" s="399">
        <v>101.21722199802525</v>
      </c>
      <c r="DA139" s="399">
        <v>0</v>
      </c>
      <c r="DB139" s="399">
        <v>0</v>
      </c>
      <c r="DC139" s="399">
        <v>-1958.0277455864343</v>
      </c>
      <c r="DD139" s="399">
        <v>0</v>
      </c>
      <c r="DE139" s="399">
        <v>0</v>
      </c>
      <c r="DF139" s="399">
        <v>0</v>
      </c>
      <c r="DG139" s="399">
        <v>-229.16299077766951</v>
      </c>
      <c r="DH139" s="399">
        <v>0</v>
      </c>
      <c r="DI139" s="399">
        <v>-127.53124451006374</v>
      </c>
      <c r="DJ139" s="399"/>
      <c r="DK139" s="399">
        <v>0</v>
      </c>
      <c r="DL139" s="399">
        <v>0</v>
      </c>
      <c r="DM139" s="399">
        <v>0</v>
      </c>
      <c r="DN139" s="399">
        <v>0</v>
      </c>
      <c r="DO139" s="399">
        <v>-16.258300400344467</v>
      </c>
      <c r="DP139" s="399">
        <v>-4.366663460876083</v>
      </c>
      <c r="DQ139" s="399">
        <v>0</v>
      </c>
      <c r="DR139" s="399">
        <v>0</v>
      </c>
      <c r="DS139" s="399"/>
      <c r="DT139" s="399"/>
      <c r="DU139" s="399"/>
      <c r="DV139" s="399">
        <v>11393.311102864101</v>
      </c>
      <c r="DW139" s="399">
        <v>0</v>
      </c>
      <c r="DX139" s="399">
        <v>0</v>
      </c>
      <c r="DY139" s="399">
        <v>-4433.64516</v>
      </c>
      <c r="DZ139" s="399">
        <v>-1957.8232800000014</v>
      </c>
      <c r="EA139" s="399">
        <v>0</v>
      </c>
      <c r="EB139" s="399">
        <v>0</v>
      </c>
      <c r="EC139" s="399">
        <v>-4157.4205655258293</v>
      </c>
      <c r="ED139" s="399">
        <v>0</v>
      </c>
      <c r="EE139" s="399">
        <v>0</v>
      </c>
      <c r="EF139" s="399">
        <v>0</v>
      </c>
      <c r="EG139" s="399">
        <v>0</v>
      </c>
      <c r="EH139" s="399">
        <v>0</v>
      </c>
      <c r="EI139" s="399">
        <v>0</v>
      </c>
      <c r="EJ139" s="399">
        <v>0</v>
      </c>
      <c r="EK139" s="399">
        <v>0</v>
      </c>
      <c r="EL139" s="399">
        <v>0</v>
      </c>
      <c r="EM139" s="399">
        <v>0</v>
      </c>
      <c r="EN139" s="399">
        <v>0</v>
      </c>
      <c r="EO139" s="399">
        <v>0</v>
      </c>
      <c r="EP139" s="399">
        <v>866.80139893332728</v>
      </c>
      <c r="EQ139" s="399">
        <v>0</v>
      </c>
      <c r="ER139" s="399">
        <v>0</v>
      </c>
      <c r="ES139" s="399">
        <v>0</v>
      </c>
      <c r="ET139" s="399">
        <v>0</v>
      </c>
      <c r="EU139" s="399">
        <v>0</v>
      </c>
      <c r="EV139" s="399">
        <v>202</v>
      </c>
      <c r="EW139" s="399">
        <v>0</v>
      </c>
      <c r="EX139" s="399">
        <v>0</v>
      </c>
      <c r="EY139" s="399">
        <v>0</v>
      </c>
      <c r="EZ139" s="399"/>
      <c r="FA139" s="399">
        <v>0</v>
      </c>
      <c r="FB139" s="399">
        <v>-17.698635468909799</v>
      </c>
      <c r="FC139" s="399"/>
      <c r="FD139" s="399">
        <v>-17.698635468909799</v>
      </c>
      <c r="FE139" s="399"/>
      <c r="FF139" s="399">
        <v>0</v>
      </c>
      <c r="FG139" s="399">
        <v>0</v>
      </c>
      <c r="FH139" s="399">
        <v>0</v>
      </c>
      <c r="FI139" s="399">
        <v>0</v>
      </c>
    </row>
    <row r="140" spans="1:165">
      <c r="A140" s="399">
        <v>136</v>
      </c>
      <c r="B140" s="399" t="s">
        <v>956</v>
      </c>
      <c r="C140" s="399" t="s">
        <v>2402</v>
      </c>
      <c r="D140" s="399" t="s">
        <v>2413</v>
      </c>
      <c r="E140" s="399" t="s">
        <v>2414</v>
      </c>
      <c r="F140" s="399" t="s">
        <v>2415</v>
      </c>
      <c r="G140" s="399" t="s">
        <v>1239</v>
      </c>
      <c r="H140" s="399" t="s">
        <v>1239</v>
      </c>
      <c r="I140" s="399" t="s">
        <v>1239</v>
      </c>
      <c r="J140" s="399" t="s">
        <v>2400</v>
      </c>
      <c r="K140" s="788">
        <v>44593</v>
      </c>
      <c r="L140" s="399">
        <v>0</v>
      </c>
      <c r="M140" s="399">
        <v>0</v>
      </c>
      <c r="N140" s="399">
        <v>43.518000000000001</v>
      </c>
      <c r="O140" s="399">
        <v>43.518000000000001</v>
      </c>
      <c r="P140" s="399">
        <v>43.518000000000001</v>
      </c>
      <c r="Q140" s="399">
        <v>43.518000000000001</v>
      </c>
      <c r="R140" s="399"/>
      <c r="S140" s="399">
        <v>334.98</v>
      </c>
      <c r="T140" s="399">
        <v>157.53</v>
      </c>
      <c r="U140" s="399"/>
      <c r="V140" s="399">
        <v>21433.050180000002</v>
      </c>
      <c r="W140" s="399">
        <v>21433.050180000002</v>
      </c>
      <c r="X140" s="399">
        <v>16368.425340000002</v>
      </c>
      <c r="Y140" s="399">
        <v>0</v>
      </c>
      <c r="Z140" s="399">
        <v>1456.7114982382031</v>
      </c>
      <c r="AA140" s="399">
        <v>0</v>
      </c>
      <c r="AB140" s="399">
        <v>0</v>
      </c>
      <c r="AC140" s="399">
        <v>0</v>
      </c>
      <c r="AD140" s="399">
        <v>2337.2944439617936</v>
      </c>
      <c r="AE140" s="399">
        <v>9028.5313837883241</v>
      </c>
      <c r="AF140" s="399">
        <v>6855.514126076916</v>
      </c>
      <c r="AG140" s="399">
        <v>0</v>
      </c>
      <c r="AH140" s="399">
        <v>0</v>
      </c>
      <c r="AI140" s="399">
        <v>0</v>
      </c>
      <c r="AJ140" s="399">
        <v>0</v>
      </c>
      <c r="AK140" s="399">
        <v>0</v>
      </c>
      <c r="AL140" s="399">
        <v>225.12901154385128</v>
      </c>
      <c r="AM140" s="399"/>
      <c r="AN140" s="399">
        <v>40.876921367882311</v>
      </c>
      <c r="AO140" s="399">
        <v>0</v>
      </c>
      <c r="AP140" s="399">
        <v>0</v>
      </c>
      <c r="AQ140" s="399">
        <v>0</v>
      </c>
      <c r="AR140" s="399">
        <v>0</v>
      </c>
      <c r="AS140" s="399">
        <v>0</v>
      </c>
      <c r="AT140" s="399">
        <v>0</v>
      </c>
      <c r="AU140" s="399">
        <v>0</v>
      </c>
      <c r="AV140" s="399">
        <v>0</v>
      </c>
      <c r="AW140" s="399">
        <v>0</v>
      </c>
      <c r="AX140" s="399">
        <v>0</v>
      </c>
      <c r="AY140" s="399">
        <v>0</v>
      </c>
      <c r="AZ140" s="399">
        <v>0</v>
      </c>
      <c r="BA140" s="399"/>
      <c r="BB140" s="399">
        <v>0</v>
      </c>
      <c r="BC140" s="399">
        <v>0</v>
      </c>
      <c r="BD140" s="399">
        <v>0</v>
      </c>
      <c r="BE140" s="399">
        <v>0</v>
      </c>
      <c r="BF140" s="399">
        <v>0</v>
      </c>
      <c r="BG140" s="399">
        <v>802.35334968648306</v>
      </c>
      <c r="BH140" s="399">
        <v>0</v>
      </c>
      <c r="BI140" s="399">
        <v>32.270000000000003</v>
      </c>
      <c r="BJ140" s="399">
        <v>148.97999999999999</v>
      </c>
      <c r="BK140" s="399">
        <v>4989.32</v>
      </c>
      <c r="BL140" s="399">
        <v>3</v>
      </c>
      <c r="BM140" s="399"/>
      <c r="BN140" s="399"/>
      <c r="BO140" s="399"/>
      <c r="BP140" s="399"/>
      <c r="BQ140" s="399"/>
      <c r="BR140" s="399"/>
      <c r="BS140" s="399"/>
      <c r="BT140" s="399"/>
      <c r="BU140" s="399"/>
      <c r="BV140" s="399">
        <v>7657.8674757633989</v>
      </c>
      <c r="BW140" s="399"/>
      <c r="BX140" s="399"/>
      <c r="BY140" s="399"/>
      <c r="BZ140" s="399"/>
      <c r="CA140" s="399"/>
      <c r="CB140" s="399"/>
      <c r="CC140" s="399"/>
      <c r="CD140" s="399"/>
      <c r="CE140" s="399"/>
      <c r="CF140" s="399"/>
      <c r="CG140" s="399"/>
      <c r="CH140" s="399"/>
      <c r="CI140" s="399">
        <v>16369.177600000001</v>
      </c>
      <c r="CJ140" s="399">
        <v>-5063.9025799999999</v>
      </c>
      <c r="CK140" s="399"/>
      <c r="CL140" s="399"/>
      <c r="CM140" s="399"/>
      <c r="CN140" s="399"/>
      <c r="CO140" s="399">
        <v>-3513.2081400000006</v>
      </c>
      <c r="CP140" s="399">
        <v>-1551.4167000000002</v>
      </c>
      <c r="CQ140" s="399">
        <v>29</v>
      </c>
      <c r="CR140" s="399">
        <v>-1770.4168818946873</v>
      </c>
      <c r="CS140" s="399">
        <v>0</v>
      </c>
      <c r="CT140" s="399">
        <v>0</v>
      </c>
      <c r="CU140" s="399">
        <v>0</v>
      </c>
      <c r="CV140" s="399">
        <v>0</v>
      </c>
      <c r="CW140" s="399">
        <v>0</v>
      </c>
      <c r="CX140" s="399">
        <v>0</v>
      </c>
      <c r="CY140" s="399">
        <v>0</v>
      </c>
      <c r="CZ140" s="399">
        <v>80.208716951405677</v>
      </c>
      <c r="DA140" s="399">
        <v>0</v>
      </c>
      <c r="DB140" s="399">
        <v>0</v>
      </c>
      <c r="DC140" s="399">
        <v>-1551.6222449952656</v>
      </c>
      <c r="DD140" s="399">
        <v>0</v>
      </c>
      <c r="DE140" s="399">
        <v>0</v>
      </c>
      <c r="DF140" s="399">
        <v>0</v>
      </c>
      <c r="DG140" s="399">
        <v>-181.5982408940705</v>
      </c>
      <c r="DH140" s="399">
        <v>0</v>
      </c>
      <c r="DI140" s="399">
        <v>-101.06103775076031</v>
      </c>
      <c r="DJ140" s="399"/>
      <c r="DK140" s="399">
        <v>0</v>
      </c>
      <c r="DL140" s="399">
        <v>0</v>
      </c>
      <c r="DM140" s="399">
        <v>0</v>
      </c>
      <c r="DN140" s="399">
        <v>0</v>
      </c>
      <c r="DO140" s="399">
        <v>-12.88375030632406</v>
      </c>
      <c r="DP140" s="399">
        <v>-3.4603248996728766</v>
      </c>
      <c r="DQ140" s="399">
        <v>0</v>
      </c>
      <c r="DR140" s="399">
        <v>0</v>
      </c>
      <c r="DS140" s="399"/>
      <c r="DT140" s="399"/>
      <c r="DU140" s="399"/>
      <c r="DV140" s="399">
        <v>9028.5313837883241</v>
      </c>
      <c r="DW140" s="399">
        <v>0</v>
      </c>
      <c r="DX140" s="399">
        <v>0</v>
      </c>
      <c r="DY140" s="399">
        <v>-3513.2081400000006</v>
      </c>
      <c r="DZ140" s="399">
        <v>-1551.4167000000007</v>
      </c>
      <c r="EA140" s="399">
        <v>0</v>
      </c>
      <c r="EB140" s="399">
        <v>0</v>
      </c>
      <c r="EC140" s="399">
        <v>-3294.512167057509</v>
      </c>
      <c r="ED140" s="399">
        <v>0</v>
      </c>
      <c r="EE140" s="399">
        <v>0</v>
      </c>
      <c r="EF140" s="399">
        <v>0</v>
      </c>
      <c r="EG140" s="399">
        <v>0</v>
      </c>
      <c r="EH140" s="399">
        <v>0</v>
      </c>
      <c r="EI140" s="399">
        <v>0</v>
      </c>
      <c r="EJ140" s="399">
        <v>0</v>
      </c>
      <c r="EK140" s="399">
        <v>0</v>
      </c>
      <c r="EL140" s="399">
        <v>0</v>
      </c>
      <c r="EM140" s="399">
        <v>0</v>
      </c>
      <c r="EN140" s="399">
        <v>0</v>
      </c>
      <c r="EO140" s="399">
        <v>0</v>
      </c>
      <c r="EP140" s="399">
        <v>686.88931278404482</v>
      </c>
      <c r="EQ140" s="399">
        <v>0</v>
      </c>
      <c r="ER140" s="399">
        <v>0</v>
      </c>
      <c r="ES140" s="399">
        <v>0</v>
      </c>
      <c r="ET140" s="399">
        <v>0</v>
      </c>
      <c r="EU140" s="399">
        <v>0</v>
      </c>
      <c r="EV140" s="399">
        <v>202</v>
      </c>
      <c r="EW140" s="399">
        <v>0</v>
      </c>
      <c r="EX140" s="399">
        <v>0</v>
      </c>
      <c r="EY140" s="399">
        <v>0</v>
      </c>
      <c r="EZ140" s="399"/>
      <c r="FA140" s="399">
        <v>0</v>
      </c>
      <c r="FB140" s="399">
        <v>-9.7342495079003708</v>
      </c>
      <c r="FC140" s="399"/>
      <c r="FD140" s="399">
        <v>-9.7342495079003708</v>
      </c>
      <c r="FE140" s="399"/>
      <c r="FF140" s="399">
        <v>0</v>
      </c>
      <c r="FG140" s="399">
        <v>0</v>
      </c>
      <c r="FH140" s="399">
        <v>0</v>
      </c>
      <c r="FI140" s="399">
        <v>0</v>
      </c>
    </row>
    <row r="141" spans="1:165">
      <c r="A141" s="399">
        <v>139</v>
      </c>
      <c r="B141" s="399" t="s">
        <v>956</v>
      </c>
      <c r="C141" s="399" t="s">
        <v>2399</v>
      </c>
      <c r="D141" s="399" t="s">
        <v>533</v>
      </c>
      <c r="E141" s="399" t="s">
        <v>921</v>
      </c>
      <c r="F141" s="399" t="s">
        <v>2401</v>
      </c>
      <c r="G141" s="399" t="s">
        <v>1239</v>
      </c>
      <c r="H141" s="399" t="s">
        <v>1239</v>
      </c>
      <c r="I141" s="399" t="s">
        <v>2326</v>
      </c>
      <c r="J141" s="399" t="s">
        <v>2400</v>
      </c>
      <c r="K141" s="788">
        <v>44593</v>
      </c>
      <c r="L141" s="399">
        <v>0</v>
      </c>
      <c r="M141" s="399">
        <v>0</v>
      </c>
      <c r="N141" s="399">
        <v>193.44</v>
      </c>
      <c r="O141" s="399">
        <v>181.83359999999999</v>
      </c>
      <c r="P141" s="399">
        <v>193.44</v>
      </c>
      <c r="Q141" s="399">
        <v>181.83359999999999</v>
      </c>
      <c r="R141" s="399"/>
      <c r="S141" s="399">
        <v>100.48</v>
      </c>
      <c r="T141" s="399">
        <v>286.42</v>
      </c>
      <c r="U141" s="399"/>
      <c r="V141" s="399">
        <v>74841.936000000002</v>
      </c>
      <c r="W141" s="399">
        <v>74841.936000000002</v>
      </c>
      <c r="X141" s="399">
        <v>60949.075199999992</v>
      </c>
      <c r="Y141" s="399">
        <v>0</v>
      </c>
      <c r="Z141" s="399">
        <v>10242.535244797449</v>
      </c>
      <c r="AA141" s="399">
        <v>0</v>
      </c>
      <c r="AB141" s="399">
        <v>0</v>
      </c>
      <c r="AC141" s="399">
        <v>0</v>
      </c>
      <c r="AD141" s="399">
        <v>0</v>
      </c>
      <c r="AE141" s="399">
        <v>0</v>
      </c>
      <c r="AF141" s="399">
        <v>55405.731903969565</v>
      </c>
      <c r="AG141" s="399">
        <v>0</v>
      </c>
      <c r="AH141" s="399">
        <v>0</v>
      </c>
      <c r="AI141" s="399">
        <v>0</v>
      </c>
      <c r="AJ141" s="399">
        <v>0</v>
      </c>
      <c r="AK141" s="399">
        <v>0</v>
      </c>
      <c r="AL141" s="399">
        <v>1819.4751594133493</v>
      </c>
      <c r="AM141" s="399"/>
      <c r="AN141" s="399">
        <v>265.02971193672437</v>
      </c>
      <c r="AO141" s="399">
        <v>0</v>
      </c>
      <c r="AP141" s="399">
        <v>0</v>
      </c>
      <c r="AQ141" s="399">
        <v>0</v>
      </c>
      <c r="AR141" s="399">
        <v>0</v>
      </c>
      <c r="AS141" s="399">
        <v>0</v>
      </c>
      <c r="AT141" s="399">
        <v>0</v>
      </c>
      <c r="AU141" s="399">
        <v>0</v>
      </c>
      <c r="AV141" s="399">
        <v>0</v>
      </c>
      <c r="AW141" s="399">
        <v>0</v>
      </c>
      <c r="AX141" s="399">
        <v>0</v>
      </c>
      <c r="AY141" s="399">
        <v>0</v>
      </c>
      <c r="AZ141" s="399">
        <v>0</v>
      </c>
      <c r="BA141" s="399"/>
      <c r="BB141" s="399">
        <v>0</v>
      </c>
      <c r="BC141" s="399">
        <v>0</v>
      </c>
      <c r="BD141" s="399">
        <v>0</v>
      </c>
      <c r="BE141" s="399">
        <v>0</v>
      </c>
      <c r="BF141" s="399">
        <v>0</v>
      </c>
      <c r="BG141" s="399">
        <v>2280.134451097756</v>
      </c>
      <c r="BH141" s="399">
        <v>0</v>
      </c>
      <c r="BI141" s="399">
        <v>0</v>
      </c>
      <c r="BJ141" s="399">
        <v>0</v>
      </c>
      <c r="BK141" s="399">
        <v>0</v>
      </c>
      <c r="BL141" s="399">
        <v>0</v>
      </c>
      <c r="BM141" s="399"/>
      <c r="BN141" s="399"/>
      <c r="BO141" s="399"/>
      <c r="BP141" s="399"/>
      <c r="BQ141" s="399">
        <v>3656.9445120000028</v>
      </c>
      <c r="BR141" s="399"/>
      <c r="BS141" s="399"/>
      <c r="BT141" s="399"/>
      <c r="BU141" s="399"/>
      <c r="BV141" s="399">
        <v>57685.866355067323</v>
      </c>
      <c r="BW141" s="399"/>
      <c r="BX141" s="399"/>
      <c r="BY141" s="399"/>
      <c r="BZ141" s="399"/>
      <c r="CA141" s="399"/>
      <c r="CB141" s="399"/>
      <c r="CC141" s="399"/>
      <c r="CD141" s="399"/>
      <c r="CE141" s="399"/>
      <c r="CF141" s="399"/>
      <c r="CG141" s="399"/>
      <c r="CH141" s="399"/>
      <c r="CI141" s="399">
        <v>57290.996400000004</v>
      </c>
      <c r="CJ141" s="399">
        <v>-13060.453439999997</v>
      </c>
      <c r="CK141" s="399"/>
      <c r="CL141" s="399"/>
      <c r="CM141" s="399"/>
      <c r="CN141" s="399"/>
      <c r="CO141" s="399">
        <v>-1354.08</v>
      </c>
      <c r="CP141" s="399">
        <v>-12538.780800000004</v>
      </c>
      <c r="CQ141" s="399">
        <v>29</v>
      </c>
      <c r="CR141" s="399">
        <v>-13893.306204575987</v>
      </c>
      <c r="CS141" s="399">
        <v>0</v>
      </c>
      <c r="CT141" s="399">
        <v>0</v>
      </c>
      <c r="CU141" s="399">
        <v>0</v>
      </c>
      <c r="CV141" s="399">
        <v>0</v>
      </c>
      <c r="CW141" s="399">
        <v>0</v>
      </c>
      <c r="CX141" s="399">
        <v>0</v>
      </c>
      <c r="CY141" s="399">
        <v>0</v>
      </c>
      <c r="CZ141" s="399">
        <v>0</v>
      </c>
      <c r="DA141" s="399">
        <v>0</v>
      </c>
      <c r="DB141" s="399">
        <v>0</v>
      </c>
      <c r="DC141" s="399">
        <v>-12540.090289572239</v>
      </c>
      <c r="DD141" s="399">
        <v>0</v>
      </c>
      <c r="DE141" s="399">
        <v>0</v>
      </c>
      <c r="DF141" s="399">
        <v>0</v>
      </c>
      <c r="DG141" s="399">
        <v>-516.06739784050728</v>
      </c>
      <c r="DH141" s="399">
        <v>0</v>
      </c>
      <c r="DI141" s="399">
        <v>-710.58767799243287</v>
      </c>
      <c r="DJ141" s="399"/>
      <c r="DK141" s="399">
        <v>0</v>
      </c>
      <c r="DL141" s="399">
        <v>0</v>
      </c>
      <c r="DM141" s="399">
        <v>0</v>
      </c>
      <c r="DN141" s="399">
        <v>0</v>
      </c>
      <c r="DO141" s="399">
        <v>-104.1254678003786</v>
      </c>
      <c r="DP141" s="399">
        <v>-22.435371370417869</v>
      </c>
      <c r="DQ141" s="399">
        <v>0</v>
      </c>
      <c r="DR141" s="399">
        <v>0</v>
      </c>
      <c r="DS141" s="399"/>
      <c r="DT141" s="399"/>
      <c r="DU141" s="399"/>
      <c r="DV141" s="399">
        <v>0</v>
      </c>
      <c r="DW141" s="399">
        <v>0</v>
      </c>
      <c r="DX141" s="399">
        <v>0</v>
      </c>
      <c r="DY141" s="399">
        <v>-1354.0800000000017</v>
      </c>
      <c r="DZ141" s="399">
        <v>-12538.780800000008</v>
      </c>
      <c r="EA141" s="399">
        <v>0</v>
      </c>
      <c r="EB141" s="399">
        <v>0</v>
      </c>
      <c r="EC141" s="399">
        <v>0</v>
      </c>
      <c r="ED141" s="399">
        <v>0</v>
      </c>
      <c r="EE141" s="399">
        <v>0</v>
      </c>
      <c r="EF141" s="399">
        <v>0</v>
      </c>
      <c r="EG141" s="399">
        <v>0</v>
      </c>
      <c r="EH141" s="399">
        <v>0</v>
      </c>
      <c r="EI141" s="399">
        <v>0</v>
      </c>
      <c r="EJ141" s="399">
        <v>0</v>
      </c>
      <c r="EK141" s="399">
        <v>0</v>
      </c>
      <c r="EL141" s="399">
        <v>0</v>
      </c>
      <c r="EM141" s="399">
        <v>0</v>
      </c>
      <c r="EN141" s="399">
        <v>0</v>
      </c>
      <c r="EO141" s="399">
        <v>0</v>
      </c>
      <c r="EP141" s="399">
        <v>4829.7058161305358</v>
      </c>
      <c r="EQ141" s="399">
        <v>0</v>
      </c>
      <c r="ER141" s="399">
        <v>0</v>
      </c>
      <c r="ES141" s="399">
        <v>0</v>
      </c>
      <c r="ET141" s="399">
        <v>0</v>
      </c>
      <c r="EU141" s="399">
        <v>0</v>
      </c>
      <c r="EV141" s="399">
        <v>202</v>
      </c>
      <c r="EW141" s="399">
        <v>0</v>
      </c>
      <c r="EX141" s="399">
        <v>0</v>
      </c>
      <c r="EY141" s="399">
        <v>0</v>
      </c>
      <c r="EZ141" s="399"/>
      <c r="FA141" s="399">
        <v>0</v>
      </c>
      <c r="FB141" s="399">
        <v>-17.698635468909799</v>
      </c>
      <c r="FC141" s="399"/>
      <c r="FD141" s="399">
        <v>-17.698635468909799</v>
      </c>
      <c r="FE141" s="399"/>
      <c r="FF141" s="399">
        <v>0</v>
      </c>
      <c r="FG141" s="399">
        <v>0</v>
      </c>
      <c r="FH141" s="399">
        <v>0</v>
      </c>
      <c r="FI141" s="399">
        <v>0</v>
      </c>
    </row>
    <row r="142" spans="1:165">
      <c r="A142" s="399">
        <v>140</v>
      </c>
      <c r="B142" s="399" t="s">
        <v>956</v>
      </c>
      <c r="C142" s="399" t="s">
        <v>2399</v>
      </c>
      <c r="D142" s="399" t="s">
        <v>533</v>
      </c>
      <c r="E142" s="399" t="s">
        <v>921</v>
      </c>
      <c r="F142" s="399" t="s">
        <v>2401</v>
      </c>
      <c r="G142" s="399" t="s">
        <v>1239</v>
      </c>
      <c r="H142" s="399" t="s">
        <v>1239</v>
      </c>
      <c r="I142" s="399" t="s">
        <v>1239</v>
      </c>
      <c r="J142" s="399" t="s">
        <v>2400</v>
      </c>
      <c r="K142" s="788">
        <v>44593</v>
      </c>
      <c r="L142" s="399">
        <v>556</v>
      </c>
      <c r="M142" s="399">
        <v>522.64</v>
      </c>
      <c r="N142" s="399">
        <v>0</v>
      </c>
      <c r="O142" s="399">
        <v>0</v>
      </c>
      <c r="P142" s="399">
        <v>0</v>
      </c>
      <c r="Q142" s="399">
        <v>0</v>
      </c>
      <c r="R142" s="399">
        <v>39.21</v>
      </c>
      <c r="S142" s="399"/>
      <c r="T142" s="399"/>
      <c r="U142" s="399">
        <v>21800.760000000002</v>
      </c>
      <c r="V142" s="399"/>
      <c r="W142" s="399">
        <v>21800.760000000002</v>
      </c>
      <c r="X142" s="399">
        <v>16591.04</v>
      </c>
      <c r="Y142" s="399">
        <v>0</v>
      </c>
      <c r="Z142" s="399">
        <v>0</v>
      </c>
      <c r="AA142" s="399">
        <v>0</v>
      </c>
      <c r="AB142" s="399">
        <v>0</v>
      </c>
      <c r="AC142" s="399">
        <v>0</v>
      </c>
      <c r="AD142" s="399">
        <v>6867.8398590748293</v>
      </c>
      <c r="AE142" s="399">
        <v>14935.267123703527</v>
      </c>
      <c r="AF142" s="399"/>
      <c r="AG142" s="399"/>
      <c r="AH142" s="399"/>
      <c r="AI142" s="399">
        <v>0</v>
      </c>
      <c r="AJ142" s="399">
        <v>0</v>
      </c>
      <c r="AK142" s="399">
        <v>0</v>
      </c>
      <c r="AL142" s="399">
        <v>0</v>
      </c>
      <c r="AM142" s="399"/>
      <c r="AN142" s="399">
        <v>0</v>
      </c>
      <c r="AO142" s="399">
        <v>0</v>
      </c>
      <c r="AP142" s="399">
        <v>0</v>
      </c>
      <c r="AQ142" s="399">
        <v>0</v>
      </c>
      <c r="AR142" s="399">
        <v>0</v>
      </c>
      <c r="AS142" s="399"/>
      <c r="AT142" s="399"/>
      <c r="AU142" s="399">
        <v>0</v>
      </c>
      <c r="AV142" s="399">
        <v>0</v>
      </c>
      <c r="AW142" s="399">
        <v>0</v>
      </c>
      <c r="AX142" s="399"/>
      <c r="AY142" s="399"/>
      <c r="AZ142" s="399">
        <v>0</v>
      </c>
      <c r="BA142" s="399"/>
      <c r="BB142" s="399">
        <v>0</v>
      </c>
      <c r="BC142" s="399">
        <v>0</v>
      </c>
      <c r="BD142" s="399">
        <v>0</v>
      </c>
      <c r="BE142" s="399">
        <v>0</v>
      </c>
      <c r="BF142" s="399"/>
      <c r="BG142" s="399">
        <v>0</v>
      </c>
      <c r="BH142" s="399">
        <v>0</v>
      </c>
      <c r="BI142" s="399">
        <v>212.68</v>
      </c>
      <c r="BJ142" s="399">
        <v>981.78</v>
      </c>
      <c r="BK142" s="399">
        <v>33560.75</v>
      </c>
      <c r="BL142" s="399">
        <v>2</v>
      </c>
      <c r="BM142" s="399"/>
      <c r="BN142" s="399"/>
      <c r="BO142" s="399"/>
      <c r="BP142" s="399"/>
      <c r="BQ142" s="399">
        <v>995.46240000000046</v>
      </c>
      <c r="BR142" s="399"/>
      <c r="BS142" s="399"/>
      <c r="BT142" s="399"/>
      <c r="BU142" s="399"/>
      <c r="BV142" s="399">
        <v>0</v>
      </c>
      <c r="BW142" s="399"/>
      <c r="BX142" s="399"/>
      <c r="BY142" s="399"/>
      <c r="BZ142" s="399"/>
      <c r="CA142" s="399"/>
      <c r="CB142" s="399"/>
      <c r="CC142" s="399"/>
      <c r="CD142" s="399"/>
      <c r="CE142" s="399"/>
      <c r="CF142" s="399"/>
      <c r="CG142" s="399"/>
      <c r="CH142" s="399"/>
      <c r="CI142" s="399">
        <v>15595.577599999999</v>
      </c>
      <c r="CJ142" s="399">
        <v>-4897.1667999999972</v>
      </c>
      <c r="CK142" s="399"/>
      <c r="CL142" s="399"/>
      <c r="CM142" s="399"/>
      <c r="CN142" s="399"/>
      <c r="CO142" s="399">
        <v>-5209.72</v>
      </c>
      <c r="CP142" s="399">
        <v>0</v>
      </c>
      <c r="CQ142" s="399">
        <v>29</v>
      </c>
      <c r="CR142" s="399">
        <v>235.68302433918689</v>
      </c>
      <c r="CS142" s="399">
        <v>0</v>
      </c>
      <c r="CT142" s="399">
        <v>0</v>
      </c>
      <c r="CU142" s="399">
        <v>0</v>
      </c>
      <c r="CV142" s="399">
        <v>0</v>
      </c>
      <c r="CW142" s="399"/>
      <c r="CX142" s="399"/>
      <c r="CY142" s="399"/>
      <c r="CZ142" s="399">
        <v>235.68302433918689</v>
      </c>
      <c r="DA142" s="399">
        <v>0</v>
      </c>
      <c r="DB142" s="399">
        <v>0</v>
      </c>
      <c r="DC142" s="399"/>
      <c r="DD142" s="399"/>
      <c r="DE142" s="399">
        <v>0</v>
      </c>
      <c r="DF142" s="399">
        <v>0</v>
      </c>
      <c r="DG142" s="399">
        <v>0</v>
      </c>
      <c r="DH142" s="399">
        <v>0</v>
      </c>
      <c r="DI142" s="399">
        <v>0</v>
      </c>
      <c r="DJ142" s="399"/>
      <c r="DK142" s="399">
        <v>0</v>
      </c>
      <c r="DL142" s="399">
        <v>0</v>
      </c>
      <c r="DM142" s="399"/>
      <c r="DN142" s="399">
        <v>0</v>
      </c>
      <c r="DO142" s="399">
        <v>0</v>
      </c>
      <c r="DP142" s="399">
        <v>0</v>
      </c>
      <c r="DQ142" s="399">
        <v>0</v>
      </c>
      <c r="DR142" s="399">
        <v>0</v>
      </c>
      <c r="DS142" s="399"/>
      <c r="DT142" s="399"/>
      <c r="DU142" s="399">
        <v>14935.267123703527</v>
      </c>
      <c r="DV142" s="399"/>
      <c r="DW142" s="399">
        <v>0</v>
      </c>
      <c r="DX142" s="399">
        <v>0</v>
      </c>
      <c r="DY142" s="399">
        <v>-5209.7200000000012</v>
      </c>
      <c r="DZ142" s="399"/>
      <c r="EA142" s="399">
        <v>0</v>
      </c>
      <c r="EB142" s="399"/>
      <c r="EC142" s="399">
        <v>-5449.8807353814664</v>
      </c>
      <c r="ED142" s="399"/>
      <c r="EE142" s="399">
        <v>0</v>
      </c>
      <c r="EF142" s="399">
        <v>0</v>
      </c>
      <c r="EG142" s="399"/>
      <c r="EH142" s="399">
        <v>0</v>
      </c>
      <c r="EI142" s="399">
        <v>0</v>
      </c>
      <c r="EJ142" s="399">
        <v>0</v>
      </c>
      <c r="EK142" s="399">
        <v>0</v>
      </c>
      <c r="EL142" s="399">
        <v>0</v>
      </c>
      <c r="EM142" s="399"/>
      <c r="EN142" s="399"/>
      <c r="EO142" s="399">
        <v>0</v>
      </c>
      <c r="EP142" s="399">
        <v>0</v>
      </c>
      <c r="EQ142" s="399"/>
      <c r="ER142" s="399">
        <v>0</v>
      </c>
      <c r="ES142" s="399"/>
      <c r="ET142" s="399">
        <v>0</v>
      </c>
      <c r="EU142" s="399"/>
      <c r="EV142" s="399">
        <v>202</v>
      </c>
      <c r="EW142" s="399"/>
      <c r="EX142" s="399"/>
      <c r="EY142" s="399"/>
      <c r="EZ142" s="399"/>
      <c r="FA142" s="399">
        <v>0</v>
      </c>
      <c r="FB142" s="399">
        <v>-17.698635468909799</v>
      </c>
      <c r="FC142" s="399"/>
      <c r="FD142" s="399">
        <v>-17.698635468909799</v>
      </c>
      <c r="FE142" s="399"/>
      <c r="FF142" s="399">
        <v>0</v>
      </c>
      <c r="FG142" s="399">
        <v>0</v>
      </c>
      <c r="FH142" s="399">
        <v>0</v>
      </c>
      <c r="FI142" s="399">
        <v>0</v>
      </c>
    </row>
    <row r="143" spans="1:165">
      <c r="A143" s="399">
        <v>150</v>
      </c>
      <c r="B143" s="399" t="s">
        <v>956</v>
      </c>
      <c r="C143" s="399" t="s">
        <v>2399</v>
      </c>
      <c r="D143" s="399" t="s">
        <v>533</v>
      </c>
      <c r="E143" s="399" t="s">
        <v>918</v>
      </c>
      <c r="F143" s="399" t="s">
        <v>1239</v>
      </c>
      <c r="G143" s="399" t="s">
        <v>1239</v>
      </c>
      <c r="H143" s="399" t="s">
        <v>1239</v>
      </c>
      <c r="I143" s="399" t="s">
        <v>893</v>
      </c>
      <c r="J143" s="399" t="s">
        <v>2400</v>
      </c>
      <c r="K143" s="788">
        <v>44621</v>
      </c>
      <c r="L143" s="399">
        <v>0</v>
      </c>
      <c r="M143" s="399">
        <v>0</v>
      </c>
      <c r="N143" s="399">
        <v>1.0409999999999999</v>
      </c>
      <c r="O143" s="399">
        <v>1.0409999999999999</v>
      </c>
      <c r="P143" s="399">
        <v>1.0409999999999999</v>
      </c>
      <c r="Q143" s="399">
        <v>1.0409999999999999</v>
      </c>
      <c r="R143" s="399"/>
      <c r="S143" s="399">
        <v>3305.85</v>
      </c>
      <c r="T143" s="399">
        <v>286.42</v>
      </c>
      <c r="U143" s="399"/>
      <c r="V143" s="399">
        <v>3739.5530699999995</v>
      </c>
      <c r="W143" s="399">
        <v>3739.5530699999995</v>
      </c>
      <c r="X143" s="399">
        <v>2718.1550999999995</v>
      </c>
      <c r="Y143" s="399">
        <v>0</v>
      </c>
      <c r="Z143" s="399">
        <v>55.120343206338624</v>
      </c>
      <c r="AA143" s="399">
        <v>0</v>
      </c>
      <c r="AB143" s="399">
        <v>0</v>
      </c>
      <c r="AC143" s="399">
        <v>0</v>
      </c>
      <c r="AD143" s="399">
        <v>678.71645889692661</v>
      </c>
      <c r="AE143" s="399">
        <v>2658.0775995104414</v>
      </c>
      <c r="AF143" s="399">
        <v>298.16670239884365</v>
      </c>
      <c r="AG143" s="399">
        <v>0</v>
      </c>
      <c r="AH143" s="399">
        <v>0</v>
      </c>
      <c r="AI143" s="399">
        <v>0</v>
      </c>
      <c r="AJ143" s="399">
        <v>0</v>
      </c>
      <c r="AK143" s="399">
        <v>0</v>
      </c>
      <c r="AL143" s="399">
        <v>9.79153040192978</v>
      </c>
      <c r="AM143" s="399"/>
      <c r="AN143" s="399">
        <v>1.4262610118182901</v>
      </c>
      <c r="AO143" s="399">
        <v>0</v>
      </c>
      <c r="AP143" s="399">
        <v>0</v>
      </c>
      <c r="AQ143" s="399">
        <v>0</v>
      </c>
      <c r="AR143" s="399">
        <v>0</v>
      </c>
      <c r="AS143" s="399">
        <v>0</v>
      </c>
      <c r="AT143" s="399">
        <v>0</v>
      </c>
      <c r="AU143" s="399">
        <v>0</v>
      </c>
      <c r="AV143" s="399">
        <v>0</v>
      </c>
      <c r="AW143" s="399">
        <v>0</v>
      </c>
      <c r="AX143" s="399">
        <v>0</v>
      </c>
      <c r="AY143" s="399">
        <v>0</v>
      </c>
      <c r="AZ143" s="399">
        <v>0</v>
      </c>
      <c r="BA143" s="399"/>
      <c r="BB143" s="399">
        <v>0</v>
      </c>
      <c r="BC143" s="399">
        <v>0</v>
      </c>
      <c r="BD143" s="399">
        <v>0</v>
      </c>
      <c r="BE143" s="399">
        <v>0</v>
      </c>
      <c r="BF143" s="399">
        <v>0</v>
      </c>
      <c r="BG143" s="399">
        <v>12.270574667042824</v>
      </c>
      <c r="BH143" s="399">
        <v>0</v>
      </c>
      <c r="BI143" s="399">
        <v>0</v>
      </c>
      <c r="BJ143" s="399">
        <v>0</v>
      </c>
      <c r="BK143" s="399">
        <v>0</v>
      </c>
      <c r="BL143" s="399">
        <v>0</v>
      </c>
      <c r="BM143" s="399"/>
      <c r="BN143" s="399"/>
      <c r="BO143" s="399"/>
      <c r="BP143" s="399"/>
      <c r="BQ143" s="399"/>
      <c r="BR143" s="399"/>
      <c r="BS143" s="399"/>
      <c r="BT143" s="399"/>
      <c r="BU143" s="399"/>
      <c r="BV143" s="399">
        <v>310.43727706588646</v>
      </c>
      <c r="BW143" s="399"/>
      <c r="BX143" s="399"/>
      <c r="BY143" s="399"/>
      <c r="BZ143" s="399"/>
      <c r="CA143" s="399"/>
      <c r="CB143" s="399"/>
      <c r="CC143" s="399"/>
      <c r="CD143" s="399"/>
      <c r="CE143" s="399"/>
      <c r="CF143" s="399"/>
      <c r="CG143" s="399"/>
      <c r="CH143" s="399"/>
      <c r="CI143" s="399">
        <v>2715.5439999999999</v>
      </c>
      <c r="CJ143" s="399">
        <v>-1024.0390700000003</v>
      </c>
      <c r="CK143" s="399"/>
      <c r="CL143" s="399"/>
      <c r="CM143" s="399"/>
      <c r="CN143" s="399"/>
      <c r="CO143" s="399">
        <v>-953.92034999999987</v>
      </c>
      <c r="CP143" s="399">
        <v>-67.477620000000016</v>
      </c>
      <c r="CQ143" s="399">
        <v>31</v>
      </c>
      <c r="CR143" s="399">
        <v>-51.475567094085363</v>
      </c>
      <c r="CS143" s="399">
        <v>0</v>
      </c>
      <c r="CT143" s="399">
        <v>0</v>
      </c>
      <c r="CU143" s="399">
        <v>0</v>
      </c>
      <c r="CV143" s="399">
        <v>0</v>
      </c>
      <c r="CW143" s="399">
        <v>0</v>
      </c>
      <c r="CX143" s="399">
        <v>0</v>
      </c>
      <c r="CY143" s="399">
        <v>0</v>
      </c>
      <c r="CZ143" s="399">
        <v>23.291449856718828</v>
      </c>
      <c r="DA143" s="399">
        <v>0</v>
      </c>
      <c r="DB143" s="399">
        <v>0</v>
      </c>
      <c r="DC143" s="399">
        <v>-67.484667036004453</v>
      </c>
      <c r="DD143" s="399">
        <v>0</v>
      </c>
      <c r="DE143" s="399">
        <v>0</v>
      </c>
      <c r="DF143" s="399">
        <v>0</v>
      </c>
      <c r="DG143" s="399">
        <v>-2.7772237445821339</v>
      </c>
      <c r="DH143" s="399">
        <v>0</v>
      </c>
      <c r="DI143" s="399">
        <v>-3.8240372869629979</v>
      </c>
      <c r="DJ143" s="399"/>
      <c r="DK143" s="399">
        <v>0</v>
      </c>
      <c r="DL143" s="399">
        <v>0</v>
      </c>
      <c r="DM143" s="399">
        <v>0</v>
      </c>
      <c r="DN143" s="399">
        <v>0</v>
      </c>
      <c r="DO143" s="399">
        <v>-0.56035262603491631</v>
      </c>
      <c r="DP143" s="399">
        <v>-0.12073625721983561</v>
      </c>
      <c r="DQ143" s="399">
        <v>0</v>
      </c>
      <c r="DR143" s="399">
        <v>0</v>
      </c>
      <c r="DS143" s="399"/>
      <c r="DT143" s="399"/>
      <c r="DU143" s="399"/>
      <c r="DV143" s="399">
        <v>2658.0775995104414</v>
      </c>
      <c r="DW143" s="399">
        <v>0</v>
      </c>
      <c r="DX143" s="399">
        <v>0</v>
      </c>
      <c r="DY143" s="399">
        <v>-953.92034999999987</v>
      </c>
      <c r="DZ143" s="399">
        <v>-67.477620000000002</v>
      </c>
      <c r="EA143" s="399">
        <v>0</v>
      </c>
      <c r="EB143" s="399">
        <v>0</v>
      </c>
      <c r="EC143" s="399">
        <v>-969.93282963986849</v>
      </c>
      <c r="ED143" s="399">
        <v>0</v>
      </c>
      <c r="EE143" s="399">
        <v>0</v>
      </c>
      <c r="EF143" s="399">
        <v>0</v>
      </c>
      <c r="EG143" s="399">
        <v>0</v>
      </c>
      <c r="EH143" s="399">
        <v>0</v>
      </c>
      <c r="EI143" s="399">
        <v>0</v>
      </c>
      <c r="EJ143" s="399">
        <v>0</v>
      </c>
      <c r="EK143" s="399">
        <v>0</v>
      </c>
      <c r="EL143" s="399">
        <v>0</v>
      </c>
      <c r="EM143" s="399">
        <v>0</v>
      </c>
      <c r="EN143" s="399">
        <v>0</v>
      </c>
      <c r="EO143" s="399">
        <v>0</v>
      </c>
      <c r="EP143" s="399">
        <v>25.991127763605704</v>
      </c>
      <c r="EQ143" s="399">
        <v>0</v>
      </c>
      <c r="ER143" s="399">
        <v>0</v>
      </c>
      <c r="ES143" s="399">
        <v>0</v>
      </c>
      <c r="ET143" s="399">
        <v>0</v>
      </c>
      <c r="EU143" s="399">
        <v>0</v>
      </c>
      <c r="EV143" s="399">
        <v>202</v>
      </c>
      <c r="EW143" s="399">
        <v>0</v>
      </c>
      <c r="EX143" s="399">
        <v>0</v>
      </c>
      <c r="EY143" s="399">
        <v>0</v>
      </c>
      <c r="EZ143" s="399"/>
      <c r="FA143" s="399">
        <v>0</v>
      </c>
      <c r="FB143" s="399">
        <v>-17.698635468909799</v>
      </c>
      <c r="FC143" s="399"/>
      <c r="FD143" s="399">
        <v>-17.698635468909799</v>
      </c>
      <c r="FE143" s="399"/>
      <c r="FF143" s="399">
        <v>0</v>
      </c>
      <c r="FG143" s="399">
        <v>0</v>
      </c>
      <c r="FH143" s="399">
        <v>0</v>
      </c>
      <c r="FI143" s="399">
        <v>0</v>
      </c>
    </row>
    <row r="144" spans="1:165">
      <c r="A144" s="399">
        <v>151</v>
      </c>
      <c r="B144" s="399" t="s">
        <v>956</v>
      </c>
      <c r="C144" s="399" t="s">
        <v>2399</v>
      </c>
      <c r="D144" s="399" t="s">
        <v>533</v>
      </c>
      <c r="E144" s="399" t="s">
        <v>918</v>
      </c>
      <c r="F144" s="399" t="s">
        <v>1239</v>
      </c>
      <c r="G144" s="399" t="s">
        <v>1239</v>
      </c>
      <c r="H144" s="399" t="s">
        <v>1239</v>
      </c>
      <c r="I144" s="399" t="s">
        <v>2326</v>
      </c>
      <c r="J144" s="399" t="s">
        <v>2400</v>
      </c>
      <c r="K144" s="788">
        <v>44621</v>
      </c>
      <c r="L144" s="399">
        <v>0</v>
      </c>
      <c r="M144" s="399">
        <v>0</v>
      </c>
      <c r="N144" s="399">
        <v>20.995000000000001</v>
      </c>
      <c r="O144" s="399">
        <v>20.995000000000001</v>
      </c>
      <c r="P144" s="399">
        <v>20.995000000000001</v>
      </c>
      <c r="Q144" s="399">
        <v>20.995000000000001</v>
      </c>
      <c r="R144" s="399"/>
      <c r="S144" s="399">
        <v>100.48</v>
      </c>
      <c r="T144" s="399">
        <v>286.42</v>
      </c>
      <c r="U144" s="399"/>
      <c r="V144" s="399">
        <v>8122.9655000000002</v>
      </c>
      <c r="W144" s="399">
        <v>8122.9655000000002</v>
      </c>
      <c r="X144" s="399">
        <v>6615.1046000000006</v>
      </c>
      <c r="Y144" s="399">
        <v>0</v>
      </c>
      <c r="Z144" s="399">
        <v>1111.6730121201533</v>
      </c>
      <c r="AA144" s="399">
        <v>0</v>
      </c>
      <c r="AB144" s="399">
        <v>0</v>
      </c>
      <c r="AC144" s="399">
        <v>0</v>
      </c>
      <c r="AD144" s="399">
        <v>0</v>
      </c>
      <c r="AE144" s="399">
        <v>0</v>
      </c>
      <c r="AF144" s="399">
        <v>6013.4581333945462</v>
      </c>
      <c r="AG144" s="399">
        <v>0</v>
      </c>
      <c r="AH144" s="399">
        <v>0</v>
      </c>
      <c r="AI144" s="399">
        <v>0</v>
      </c>
      <c r="AJ144" s="399">
        <v>0</v>
      </c>
      <c r="AK144" s="399">
        <v>0</v>
      </c>
      <c r="AL144" s="399">
        <v>197.47663860568275</v>
      </c>
      <c r="AM144" s="399"/>
      <c r="AN144" s="399">
        <v>28.764985536143136</v>
      </c>
      <c r="AO144" s="399">
        <v>0</v>
      </c>
      <c r="AP144" s="399">
        <v>0</v>
      </c>
      <c r="AQ144" s="399">
        <v>0</v>
      </c>
      <c r="AR144" s="399">
        <v>0</v>
      </c>
      <c r="AS144" s="399">
        <v>0</v>
      </c>
      <c r="AT144" s="399">
        <v>0</v>
      </c>
      <c r="AU144" s="399">
        <v>0</v>
      </c>
      <c r="AV144" s="399">
        <v>0</v>
      </c>
      <c r="AW144" s="399">
        <v>0</v>
      </c>
      <c r="AX144" s="399">
        <v>0</v>
      </c>
      <c r="AY144" s="399">
        <v>0</v>
      </c>
      <c r="AZ144" s="399">
        <v>0</v>
      </c>
      <c r="BA144" s="399"/>
      <c r="BB144" s="399">
        <v>0</v>
      </c>
      <c r="BC144" s="399">
        <v>0</v>
      </c>
      <c r="BD144" s="399">
        <v>0</v>
      </c>
      <c r="BE144" s="399">
        <v>0</v>
      </c>
      <c r="BF144" s="399">
        <v>0</v>
      </c>
      <c r="BG144" s="399">
        <v>247.47427006202125</v>
      </c>
      <c r="BH144" s="399">
        <v>0</v>
      </c>
      <c r="BI144" s="399">
        <v>0</v>
      </c>
      <c r="BJ144" s="399">
        <v>0</v>
      </c>
      <c r="BK144" s="399">
        <v>0</v>
      </c>
      <c r="BL144" s="399">
        <v>0</v>
      </c>
      <c r="BM144" s="399"/>
      <c r="BN144" s="399"/>
      <c r="BO144" s="399"/>
      <c r="BP144" s="399"/>
      <c r="BQ144" s="399"/>
      <c r="BR144" s="399"/>
      <c r="BS144" s="399"/>
      <c r="BT144" s="399"/>
      <c r="BU144" s="399"/>
      <c r="BV144" s="399">
        <v>6260.932403456567</v>
      </c>
      <c r="BW144" s="399"/>
      <c r="BX144" s="399"/>
      <c r="BY144" s="399"/>
      <c r="BZ144" s="399"/>
      <c r="CA144" s="399"/>
      <c r="CB144" s="399"/>
      <c r="CC144" s="399"/>
      <c r="CD144" s="399"/>
      <c r="CE144" s="399"/>
      <c r="CF144" s="399"/>
      <c r="CG144" s="399"/>
      <c r="CH144" s="399"/>
      <c r="CI144" s="399">
        <v>6616.6799999999994</v>
      </c>
      <c r="CJ144" s="399">
        <v>-1506.3155000000015</v>
      </c>
      <c r="CK144" s="399"/>
      <c r="CL144" s="399"/>
      <c r="CM144" s="399"/>
      <c r="CN144" s="399"/>
      <c r="CO144" s="399">
        <v>-146.965</v>
      </c>
      <c r="CP144" s="399">
        <v>-1360.8959000000004</v>
      </c>
      <c r="CQ144" s="399">
        <v>31</v>
      </c>
      <c r="CR144" s="399">
        <v>-1507.9092419617064</v>
      </c>
      <c r="CS144" s="399">
        <v>0</v>
      </c>
      <c r="CT144" s="399">
        <v>0</v>
      </c>
      <c r="CU144" s="399">
        <v>0</v>
      </c>
      <c r="CV144" s="399">
        <v>0</v>
      </c>
      <c r="CW144" s="399">
        <v>0</v>
      </c>
      <c r="CX144" s="399">
        <v>0</v>
      </c>
      <c r="CY144" s="399">
        <v>0</v>
      </c>
      <c r="CZ144" s="399">
        <v>0</v>
      </c>
      <c r="DA144" s="399">
        <v>0</v>
      </c>
      <c r="DB144" s="399">
        <v>0</v>
      </c>
      <c r="DC144" s="399">
        <v>-1361.0380253803196</v>
      </c>
      <c r="DD144" s="399">
        <v>0</v>
      </c>
      <c r="DE144" s="399">
        <v>0</v>
      </c>
      <c r="DF144" s="399">
        <v>0</v>
      </c>
      <c r="DG144" s="399">
        <v>-56.011347279060431</v>
      </c>
      <c r="DH144" s="399">
        <v>0</v>
      </c>
      <c r="DI144" s="399">
        <v>-77.123595427270175</v>
      </c>
      <c r="DJ144" s="399"/>
      <c r="DK144" s="399">
        <v>0</v>
      </c>
      <c r="DL144" s="399">
        <v>0</v>
      </c>
      <c r="DM144" s="399">
        <v>0</v>
      </c>
      <c r="DN144" s="399">
        <v>0</v>
      </c>
      <c r="DO144" s="399">
        <v>-11.30125204957065</v>
      </c>
      <c r="DP144" s="399">
        <v>-2.435021825485542</v>
      </c>
      <c r="DQ144" s="399">
        <v>0</v>
      </c>
      <c r="DR144" s="399">
        <v>0</v>
      </c>
      <c r="DS144" s="399"/>
      <c r="DT144" s="399"/>
      <c r="DU144" s="399"/>
      <c r="DV144" s="399">
        <v>0</v>
      </c>
      <c r="DW144" s="399">
        <v>0</v>
      </c>
      <c r="DX144" s="399">
        <v>0</v>
      </c>
      <c r="DY144" s="399">
        <v>-146.96499999999992</v>
      </c>
      <c r="DZ144" s="399">
        <v>-1360.8959000000004</v>
      </c>
      <c r="EA144" s="399">
        <v>0</v>
      </c>
      <c r="EB144" s="399">
        <v>0</v>
      </c>
      <c r="EC144" s="399">
        <v>0</v>
      </c>
      <c r="ED144" s="399">
        <v>0</v>
      </c>
      <c r="EE144" s="399">
        <v>0</v>
      </c>
      <c r="EF144" s="399">
        <v>0</v>
      </c>
      <c r="EG144" s="399">
        <v>0</v>
      </c>
      <c r="EH144" s="399">
        <v>0</v>
      </c>
      <c r="EI144" s="399">
        <v>0</v>
      </c>
      <c r="EJ144" s="399">
        <v>0</v>
      </c>
      <c r="EK144" s="399">
        <v>0</v>
      </c>
      <c r="EL144" s="399">
        <v>0</v>
      </c>
      <c r="EM144" s="399">
        <v>0</v>
      </c>
      <c r="EN144" s="399">
        <v>0</v>
      </c>
      <c r="EO144" s="399">
        <v>0</v>
      </c>
      <c r="EP144" s="399">
        <v>524.19186109212467</v>
      </c>
      <c r="EQ144" s="399">
        <v>0</v>
      </c>
      <c r="ER144" s="399">
        <v>0</v>
      </c>
      <c r="ES144" s="399">
        <v>0</v>
      </c>
      <c r="ET144" s="399">
        <v>0</v>
      </c>
      <c r="EU144" s="399">
        <v>0</v>
      </c>
      <c r="EV144" s="399">
        <v>202</v>
      </c>
      <c r="EW144" s="399">
        <v>0</v>
      </c>
      <c r="EX144" s="399">
        <v>0</v>
      </c>
      <c r="EY144" s="399">
        <v>0</v>
      </c>
      <c r="EZ144" s="399"/>
      <c r="FA144" s="399">
        <v>0</v>
      </c>
      <c r="FB144" s="399">
        <v>-17.698635468909799</v>
      </c>
      <c r="FC144" s="399"/>
      <c r="FD144" s="399">
        <v>-17.698635468909799</v>
      </c>
      <c r="FE144" s="399"/>
      <c r="FF144" s="399">
        <v>0</v>
      </c>
      <c r="FG144" s="399">
        <v>0</v>
      </c>
      <c r="FH144" s="399">
        <v>0</v>
      </c>
      <c r="FI144" s="399">
        <v>0</v>
      </c>
    </row>
    <row r="145" spans="1:165">
      <c r="A145" s="399">
        <v>152</v>
      </c>
      <c r="B145" s="399" t="s">
        <v>956</v>
      </c>
      <c r="C145" s="399" t="s">
        <v>2399</v>
      </c>
      <c r="D145" s="399" t="s">
        <v>533</v>
      </c>
      <c r="E145" s="399" t="s">
        <v>918</v>
      </c>
      <c r="F145" s="399" t="s">
        <v>1239</v>
      </c>
      <c r="G145" s="399" t="s">
        <v>1239</v>
      </c>
      <c r="H145" s="399" t="s">
        <v>1239</v>
      </c>
      <c r="I145" s="399" t="s">
        <v>1239</v>
      </c>
      <c r="J145" s="399" t="s">
        <v>2400</v>
      </c>
      <c r="K145" s="788">
        <v>44621</v>
      </c>
      <c r="L145" s="399">
        <v>200</v>
      </c>
      <c r="M145" s="399">
        <v>200</v>
      </c>
      <c r="N145" s="399">
        <v>0</v>
      </c>
      <c r="O145" s="399">
        <v>0</v>
      </c>
      <c r="P145" s="399">
        <v>0</v>
      </c>
      <c r="Q145" s="399">
        <v>0</v>
      </c>
      <c r="R145" s="399">
        <v>39.21</v>
      </c>
      <c r="S145" s="399"/>
      <c r="T145" s="399"/>
      <c r="U145" s="399">
        <v>7842</v>
      </c>
      <c r="V145" s="399"/>
      <c r="W145" s="399">
        <v>7842</v>
      </c>
      <c r="X145" s="399">
        <v>5968</v>
      </c>
      <c r="Y145" s="399">
        <v>0</v>
      </c>
      <c r="Z145" s="399">
        <v>0</v>
      </c>
      <c r="AA145" s="399">
        <v>0</v>
      </c>
      <c r="AB145" s="399">
        <v>0</v>
      </c>
      <c r="AC145" s="399">
        <v>0</v>
      </c>
      <c r="AD145" s="399">
        <v>2470.4459924729599</v>
      </c>
      <c r="AE145" s="399">
        <v>5372.3982459365207</v>
      </c>
      <c r="AF145" s="399"/>
      <c r="AG145" s="399"/>
      <c r="AH145" s="399"/>
      <c r="AI145" s="399">
        <v>0</v>
      </c>
      <c r="AJ145" s="399">
        <v>0</v>
      </c>
      <c r="AK145" s="399">
        <v>0</v>
      </c>
      <c r="AL145" s="399">
        <v>0</v>
      </c>
      <c r="AM145" s="399"/>
      <c r="AN145" s="399">
        <v>0</v>
      </c>
      <c r="AO145" s="399">
        <v>0</v>
      </c>
      <c r="AP145" s="399">
        <v>0</v>
      </c>
      <c r="AQ145" s="399">
        <v>0</v>
      </c>
      <c r="AR145" s="399">
        <v>0</v>
      </c>
      <c r="AS145" s="399"/>
      <c r="AT145" s="399"/>
      <c r="AU145" s="399">
        <v>0</v>
      </c>
      <c r="AV145" s="399">
        <v>0</v>
      </c>
      <c r="AW145" s="399">
        <v>0</v>
      </c>
      <c r="AX145" s="399"/>
      <c r="AY145" s="399"/>
      <c r="AZ145" s="399">
        <v>0</v>
      </c>
      <c r="BA145" s="399"/>
      <c r="BB145" s="399">
        <v>0</v>
      </c>
      <c r="BC145" s="399">
        <v>0</v>
      </c>
      <c r="BD145" s="399">
        <v>0</v>
      </c>
      <c r="BE145" s="399">
        <v>0</v>
      </c>
      <c r="BF145" s="399"/>
      <c r="BG145" s="399">
        <v>0</v>
      </c>
      <c r="BH145" s="399">
        <v>0</v>
      </c>
      <c r="BI145" s="399">
        <v>124.33</v>
      </c>
      <c r="BJ145" s="399">
        <v>573.86</v>
      </c>
      <c r="BK145" s="399">
        <v>3825.03</v>
      </c>
      <c r="BL145" s="399">
        <v>1</v>
      </c>
      <c r="BM145" s="399"/>
      <c r="BN145" s="399"/>
      <c r="BO145" s="399"/>
      <c r="BP145" s="399"/>
      <c r="BQ145" s="399"/>
      <c r="BR145" s="399"/>
      <c r="BS145" s="399"/>
      <c r="BT145" s="399"/>
      <c r="BU145" s="399"/>
      <c r="BV145" s="399">
        <v>0</v>
      </c>
      <c r="BW145" s="399"/>
      <c r="BX145" s="399"/>
      <c r="BY145" s="399"/>
      <c r="BZ145" s="399"/>
      <c r="CA145" s="399"/>
      <c r="CB145" s="399"/>
      <c r="CC145" s="399"/>
      <c r="CD145" s="399"/>
      <c r="CE145" s="399"/>
      <c r="CF145" s="399"/>
      <c r="CG145" s="399"/>
      <c r="CH145" s="399"/>
      <c r="CI145" s="399">
        <v>5968</v>
      </c>
      <c r="CJ145" s="399">
        <v>-1874.0300000000007</v>
      </c>
      <c r="CK145" s="399"/>
      <c r="CL145" s="399"/>
      <c r="CM145" s="399"/>
      <c r="CN145" s="399"/>
      <c r="CO145" s="399">
        <v>-1874.0000000000002</v>
      </c>
      <c r="CP145" s="399">
        <v>0</v>
      </c>
      <c r="CQ145" s="399">
        <v>31</v>
      </c>
      <c r="CR145" s="399">
        <v>84.77806630906025</v>
      </c>
      <c r="CS145" s="399">
        <v>0</v>
      </c>
      <c r="CT145" s="399">
        <v>0</v>
      </c>
      <c r="CU145" s="399">
        <v>0</v>
      </c>
      <c r="CV145" s="399">
        <v>0</v>
      </c>
      <c r="CW145" s="399"/>
      <c r="CX145" s="399"/>
      <c r="CY145" s="399"/>
      <c r="CZ145" s="399">
        <v>84.77806630906025</v>
      </c>
      <c r="DA145" s="399">
        <v>0</v>
      </c>
      <c r="DB145" s="399">
        <v>0</v>
      </c>
      <c r="DC145" s="399"/>
      <c r="DD145" s="399"/>
      <c r="DE145" s="399">
        <v>0</v>
      </c>
      <c r="DF145" s="399">
        <v>0</v>
      </c>
      <c r="DG145" s="399">
        <v>0</v>
      </c>
      <c r="DH145" s="399">
        <v>0</v>
      </c>
      <c r="DI145" s="399">
        <v>0</v>
      </c>
      <c r="DJ145" s="399"/>
      <c r="DK145" s="399">
        <v>0</v>
      </c>
      <c r="DL145" s="399">
        <v>0</v>
      </c>
      <c r="DM145" s="399"/>
      <c r="DN145" s="399">
        <v>0</v>
      </c>
      <c r="DO145" s="399">
        <v>0</v>
      </c>
      <c r="DP145" s="399">
        <v>0</v>
      </c>
      <c r="DQ145" s="399">
        <v>0</v>
      </c>
      <c r="DR145" s="399">
        <v>0</v>
      </c>
      <c r="DS145" s="399"/>
      <c r="DT145" s="399"/>
      <c r="DU145" s="399">
        <v>5372.3982459365207</v>
      </c>
      <c r="DV145" s="399"/>
      <c r="DW145" s="399">
        <v>0</v>
      </c>
      <c r="DX145" s="399">
        <v>0</v>
      </c>
      <c r="DY145" s="399">
        <v>-1874</v>
      </c>
      <c r="DZ145" s="399"/>
      <c r="EA145" s="399">
        <v>0</v>
      </c>
      <c r="EB145" s="399"/>
      <c r="EC145" s="399">
        <v>-1960.3887537343408</v>
      </c>
      <c r="ED145" s="399"/>
      <c r="EE145" s="399">
        <v>0</v>
      </c>
      <c r="EF145" s="399">
        <v>0</v>
      </c>
      <c r="EG145" s="399"/>
      <c r="EH145" s="399">
        <v>0</v>
      </c>
      <c r="EI145" s="399">
        <v>0</v>
      </c>
      <c r="EJ145" s="399">
        <v>0</v>
      </c>
      <c r="EK145" s="399">
        <v>0</v>
      </c>
      <c r="EL145" s="399">
        <v>0</v>
      </c>
      <c r="EM145" s="399"/>
      <c r="EN145" s="399"/>
      <c r="EO145" s="399">
        <v>0</v>
      </c>
      <c r="EP145" s="399">
        <v>0</v>
      </c>
      <c r="EQ145" s="399"/>
      <c r="ER145" s="399">
        <v>0</v>
      </c>
      <c r="ES145" s="399"/>
      <c r="ET145" s="399">
        <v>0</v>
      </c>
      <c r="EU145" s="399"/>
      <c r="EV145" s="399">
        <v>202</v>
      </c>
      <c r="EW145" s="399"/>
      <c r="EX145" s="399"/>
      <c r="EY145" s="399"/>
      <c r="EZ145" s="399"/>
      <c r="FA145" s="399">
        <v>0</v>
      </c>
      <c r="FB145" s="399">
        <v>-17.698635468909799</v>
      </c>
      <c r="FC145" s="399"/>
      <c r="FD145" s="399">
        <v>-17.698635468909799</v>
      </c>
      <c r="FE145" s="399"/>
      <c r="FF145" s="399">
        <v>0</v>
      </c>
      <c r="FG145" s="399">
        <v>0</v>
      </c>
      <c r="FH145" s="399">
        <v>0</v>
      </c>
      <c r="FI145" s="399">
        <v>0</v>
      </c>
    </row>
    <row r="146" spans="1:165">
      <c r="A146" s="399">
        <v>157</v>
      </c>
      <c r="B146" s="399" t="s">
        <v>956</v>
      </c>
      <c r="C146" s="399" t="s">
        <v>2399</v>
      </c>
      <c r="D146" s="399" t="s">
        <v>533</v>
      </c>
      <c r="E146" s="399" t="s">
        <v>921</v>
      </c>
      <c r="F146" s="399" t="s">
        <v>2401</v>
      </c>
      <c r="G146" s="399" t="s">
        <v>1239</v>
      </c>
      <c r="H146" s="399" t="s">
        <v>1239</v>
      </c>
      <c r="I146" s="399" t="s">
        <v>893</v>
      </c>
      <c r="J146" s="399" t="s">
        <v>2400</v>
      </c>
      <c r="K146" s="788">
        <v>44621</v>
      </c>
      <c r="L146" s="399">
        <v>0</v>
      </c>
      <c r="M146" s="399">
        <v>0</v>
      </c>
      <c r="N146" s="399">
        <v>20.591999999999999</v>
      </c>
      <c r="O146" s="399">
        <v>19.356480000000001</v>
      </c>
      <c r="P146" s="399">
        <v>20.591999999999999</v>
      </c>
      <c r="Q146" s="399">
        <v>19.356480000000001</v>
      </c>
      <c r="R146" s="399"/>
      <c r="S146" s="399">
        <v>3305.85</v>
      </c>
      <c r="T146" s="399">
        <v>286.42</v>
      </c>
      <c r="U146" s="399"/>
      <c r="V146" s="399">
        <v>73972.023839999994</v>
      </c>
      <c r="W146" s="399">
        <v>73972.023839999994</v>
      </c>
      <c r="X146" s="399">
        <v>53767.771199999996</v>
      </c>
      <c r="Y146" s="399">
        <v>0</v>
      </c>
      <c r="Z146" s="399">
        <v>1090.3343970268252</v>
      </c>
      <c r="AA146" s="399">
        <v>0</v>
      </c>
      <c r="AB146" s="399">
        <v>0</v>
      </c>
      <c r="AC146" s="399">
        <v>0</v>
      </c>
      <c r="AD146" s="399">
        <v>13425.676581753616</v>
      </c>
      <c r="AE146" s="399">
        <v>52579.379374754091</v>
      </c>
      <c r="AF146" s="399">
        <v>5898.0295252612759</v>
      </c>
      <c r="AG146" s="399">
        <v>0</v>
      </c>
      <c r="AH146" s="399">
        <v>0</v>
      </c>
      <c r="AI146" s="399">
        <v>0</v>
      </c>
      <c r="AJ146" s="399">
        <v>0</v>
      </c>
      <c r="AK146" s="399">
        <v>0</v>
      </c>
      <c r="AL146" s="399">
        <v>193.68606535690492</v>
      </c>
      <c r="AM146" s="399"/>
      <c r="AN146" s="399">
        <v>28.212840302941625</v>
      </c>
      <c r="AO146" s="399">
        <v>0</v>
      </c>
      <c r="AP146" s="399">
        <v>0</v>
      </c>
      <c r="AQ146" s="399">
        <v>0</v>
      </c>
      <c r="AR146" s="399">
        <v>0</v>
      </c>
      <c r="AS146" s="399">
        <v>0</v>
      </c>
      <c r="AT146" s="399">
        <v>0</v>
      </c>
      <c r="AU146" s="399">
        <v>0</v>
      </c>
      <c r="AV146" s="399">
        <v>0</v>
      </c>
      <c r="AW146" s="399">
        <v>0</v>
      </c>
      <c r="AX146" s="399">
        <v>0</v>
      </c>
      <c r="AY146" s="399">
        <v>0</v>
      </c>
      <c r="AZ146" s="399">
        <v>0</v>
      </c>
      <c r="BA146" s="399"/>
      <c r="BB146" s="399">
        <v>0</v>
      </c>
      <c r="BC146" s="399">
        <v>0</v>
      </c>
      <c r="BD146" s="399">
        <v>0</v>
      </c>
      <c r="BE146" s="399">
        <v>0</v>
      </c>
      <c r="BF146" s="399">
        <v>0</v>
      </c>
      <c r="BG146" s="399">
        <v>242.72398995556756</v>
      </c>
      <c r="BH146" s="399">
        <v>0</v>
      </c>
      <c r="BI146" s="399">
        <v>0</v>
      </c>
      <c r="BJ146" s="399">
        <v>0</v>
      </c>
      <c r="BK146" s="399">
        <v>0</v>
      </c>
      <c r="BL146" s="399">
        <v>0</v>
      </c>
      <c r="BM146" s="399"/>
      <c r="BN146" s="399"/>
      <c r="BO146" s="399"/>
      <c r="BP146" s="399"/>
      <c r="BQ146" s="399">
        <v>3226.0662719999937</v>
      </c>
      <c r="BR146" s="399"/>
      <c r="BS146" s="399"/>
      <c r="BT146" s="399"/>
      <c r="BU146" s="399"/>
      <c r="BV146" s="399">
        <v>6140.7535152168439</v>
      </c>
      <c r="BW146" s="399"/>
      <c r="BX146" s="399"/>
      <c r="BY146" s="399"/>
      <c r="BZ146" s="399"/>
      <c r="CA146" s="399"/>
      <c r="CB146" s="399"/>
      <c r="CC146" s="399"/>
      <c r="CD146" s="399"/>
      <c r="CE146" s="399"/>
      <c r="CF146" s="399"/>
      <c r="CG146" s="399"/>
      <c r="CH146" s="399"/>
      <c r="CI146" s="399">
        <v>50550.896000000001</v>
      </c>
      <c r="CJ146" s="399">
        <v>-18982.836409600008</v>
      </c>
      <c r="CK146" s="399"/>
      <c r="CL146" s="399"/>
      <c r="CM146" s="399"/>
      <c r="CN146" s="399"/>
      <c r="CO146" s="399">
        <v>-18869.479199999998</v>
      </c>
      <c r="CP146" s="399">
        <v>-1334.7734400000004</v>
      </c>
      <c r="CQ146" s="399">
        <v>31</v>
      </c>
      <c r="CR146" s="399">
        <v>-1018.237154276092</v>
      </c>
      <c r="CS146" s="399">
        <v>0</v>
      </c>
      <c r="CT146" s="399">
        <v>0</v>
      </c>
      <c r="CU146" s="399">
        <v>0</v>
      </c>
      <c r="CV146" s="399">
        <v>0</v>
      </c>
      <c r="CW146" s="399">
        <v>0</v>
      </c>
      <c r="CX146" s="399">
        <v>0</v>
      </c>
      <c r="CY146" s="399">
        <v>0</v>
      </c>
      <c r="CZ146" s="399">
        <v>460.72769975941628</v>
      </c>
      <c r="DA146" s="399">
        <v>0</v>
      </c>
      <c r="DB146" s="399">
        <v>0</v>
      </c>
      <c r="DC146" s="399">
        <v>-1334.9128372770447</v>
      </c>
      <c r="DD146" s="399">
        <v>0</v>
      </c>
      <c r="DE146" s="399">
        <v>0</v>
      </c>
      <c r="DF146" s="399">
        <v>0</v>
      </c>
      <c r="DG146" s="399">
        <v>-54.93620686689269</v>
      </c>
      <c r="DH146" s="399">
        <v>0</v>
      </c>
      <c r="DI146" s="399">
        <v>-75.643204431452546</v>
      </c>
      <c r="DJ146" s="399"/>
      <c r="DK146" s="399">
        <v>0</v>
      </c>
      <c r="DL146" s="399">
        <v>0</v>
      </c>
      <c r="DM146" s="399">
        <v>0</v>
      </c>
      <c r="DN146" s="399">
        <v>0</v>
      </c>
      <c r="DO146" s="399">
        <v>-11.084323991653207</v>
      </c>
      <c r="DP146" s="399">
        <v>-2.3882814684638376</v>
      </c>
      <c r="DQ146" s="399">
        <v>0</v>
      </c>
      <c r="DR146" s="399">
        <v>0</v>
      </c>
      <c r="DS146" s="399"/>
      <c r="DT146" s="399"/>
      <c r="DU146" s="399"/>
      <c r="DV146" s="399">
        <v>52579.379374754091</v>
      </c>
      <c r="DW146" s="399">
        <v>0</v>
      </c>
      <c r="DX146" s="399">
        <v>0</v>
      </c>
      <c r="DY146" s="399">
        <v>-18869.479199999994</v>
      </c>
      <c r="DZ146" s="399">
        <v>-1334.7734400000008</v>
      </c>
      <c r="EA146" s="399">
        <v>0</v>
      </c>
      <c r="EB146" s="399">
        <v>0</v>
      </c>
      <c r="EC146" s="399">
        <v>-19186.22173673792</v>
      </c>
      <c r="ED146" s="399">
        <v>0</v>
      </c>
      <c r="EE146" s="399">
        <v>0</v>
      </c>
      <c r="EF146" s="399">
        <v>0</v>
      </c>
      <c r="EG146" s="399">
        <v>0</v>
      </c>
      <c r="EH146" s="399">
        <v>0</v>
      </c>
      <c r="EI146" s="399">
        <v>0</v>
      </c>
      <c r="EJ146" s="399">
        <v>0</v>
      </c>
      <c r="EK146" s="399">
        <v>0</v>
      </c>
      <c r="EL146" s="399">
        <v>0</v>
      </c>
      <c r="EM146" s="399">
        <v>0</v>
      </c>
      <c r="EN146" s="399">
        <v>0</v>
      </c>
      <c r="EO146" s="399">
        <v>0</v>
      </c>
      <c r="EP146" s="399">
        <v>514.12997397518598</v>
      </c>
      <c r="EQ146" s="399">
        <v>0</v>
      </c>
      <c r="ER146" s="399">
        <v>0</v>
      </c>
      <c r="ES146" s="399">
        <v>0</v>
      </c>
      <c r="ET146" s="399">
        <v>0</v>
      </c>
      <c r="EU146" s="399">
        <v>0</v>
      </c>
      <c r="EV146" s="399">
        <v>202</v>
      </c>
      <c r="EW146" s="399">
        <v>0</v>
      </c>
      <c r="EX146" s="399">
        <v>0</v>
      </c>
      <c r="EY146" s="399">
        <v>0</v>
      </c>
      <c r="EZ146" s="399"/>
      <c r="FA146" s="399">
        <v>0</v>
      </c>
      <c r="FB146" s="399">
        <v>-17.698635468909799</v>
      </c>
      <c r="FC146" s="399"/>
      <c r="FD146" s="399">
        <v>-17.698635468909799</v>
      </c>
      <c r="FE146" s="399"/>
      <c r="FF146" s="399">
        <v>0</v>
      </c>
      <c r="FG146" s="399">
        <v>0</v>
      </c>
      <c r="FH146" s="399">
        <v>0</v>
      </c>
      <c r="FI146" s="399">
        <v>0</v>
      </c>
    </row>
    <row r="147" spans="1:165">
      <c r="A147" s="399">
        <v>158</v>
      </c>
      <c r="B147" s="399" t="s">
        <v>956</v>
      </c>
      <c r="C147" s="399" t="s">
        <v>2399</v>
      </c>
      <c r="D147" s="399" t="s">
        <v>533</v>
      </c>
      <c r="E147" s="399" t="s">
        <v>921</v>
      </c>
      <c r="F147" s="399" t="s">
        <v>2401</v>
      </c>
      <c r="G147" s="399" t="s">
        <v>1239</v>
      </c>
      <c r="H147" s="399" t="s">
        <v>1239</v>
      </c>
      <c r="I147" s="399" t="s">
        <v>2326</v>
      </c>
      <c r="J147" s="399" t="s">
        <v>2400</v>
      </c>
      <c r="K147" s="788">
        <v>44621</v>
      </c>
      <c r="L147" s="399">
        <v>0</v>
      </c>
      <c r="M147" s="399">
        <v>0</v>
      </c>
      <c r="N147" s="399">
        <v>190.35400000000001</v>
      </c>
      <c r="O147" s="399">
        <v>178.93276</v>
      </c>
      <c r="P147" s="399">
        <v>190.35400000000001</v>
      </c>
      <c r="Q147" s="399">
        <v>178.93276</v>
      </c>
      <c r="R147" s="399"/>
      <c r="S147" s="399">
        <v>100.48</v>
      </c>
      <c r="T147" s="399">
        <v>286.42</v>
      </c>
      <c r="U147" s="399"/>
      <c r="V147" s="399">
        <v>73647.962600000013</v>
      </c>
      <c r="W147" s="399">
        <v>73647.962600000013</v>
      </c>
      <c r="X147" s="399">
        <v>59976.738320000004</v>
      </c>
      <c r="Y147" s="399">
        <v>0</v>
      </c>
      <c r="Z147" s="399">
        <v>10079.13334361132</v>
      </c>
      <c r="AA147" s="399">
        <v>0</v>
      </c>
      <c r="AB147" s="399">
        <v>0</v>
      </c>
      <c r="AC147" s="399">
        <v>0</v>
      </c>
      <c r="AD147" s="399">
        <v>0</v>
      </c>
      <c r="AE147" s="399">
        <v>0</v>
      </c>
      <c r="AF147" s="399">
        <v>54521.829460547058</v>
      </c>
      <c r="AG147" s="399">
        <v>0</v>
      </c>
      <c r="AH147" s="399">
        <v>0</v>
      </c>
      <c r="AI147" s="399">
        <v>0</v>
      </c>
      <c r="AJ147" s="399">
        <v>0</v>
      </c>
      <c r="AK147" s="399">
        <v>0</v>
      </c>
      <c r="AL147" s="399">
        <v>1790.4485860988871</v>
      </c>
      <c r="AM147" s="399"/>
      <c r="AN147" s="399">
        <v>260.80162213607957</v>
      </c>
      <c r="AO147" s="399">
        <v>0</v>
      </c>
      <c r="AP147" s="399">
        <v>0</v>
      </c>
      <c r="AQ147" s="399">
        <v>0</v>
      </c>
      <c r="AR147" s="399">
        <v>0</v>
      </c>
      <c r="AS147" s="399">
        <v>0</v>
      </c>
      <c r="AT147" s="399">
        <v>0</v>
      </c>
      <c r="AU147" s="399">
        <v>0</v>
      </c>
      <c r="AV147" s="399">
        <v>0</v>
      </c>
      <c r="AW147" s="399">
        <v>0</v>
      </c>
      <c r="AX147" s="399">
        <v>0</v>
      </c>
      <c r="AY147" s="399">
        <v>0</v>
      </c>
      <c r="AZ147" s="399">
        <v>0</v>
      </c>
      <c r="BA147" s="399"/>
      <c r="BB147" s="399">
        <v>0</v>
      </c>
      <c r="BC147" s="399">
        <v>0</v>
      </c>
      <c r="BD147" s="399">
        <v>0</v>
      </c>
      <c r="BE147" s="399">
        <v>0</v>
      </c>
      <c r="BF147" s="399">
        <v>0</v>
      </c>
      <c r="BG147" s="399">
        <v>2243.7588570319599</v>
      </c>
      <c r="BH147" s="399">
        <v>0</v>
      </c>
      <c r="BI147" s="399">
        <v>0</v>
      </c>
      <c r="BJ147" s="399">
        <v>0</v>
      </c>
      <c r="BK147" s="399">
        <v>0</v>
      </c>
      <c r="BL147" s="399">
        <v>0</v>
      </c>
      <c r="BM147" s="399"/>
      <c r="BN147" s="399"/>
      <c r="BO147" s="399"/>
      <c r="BP147" s="399"/>
      <c r="BQ147" s="399">
        <v>3598.6042992000039</v>
      </c>
      <c r="BR147" s="399"/>
      <c r="BS147" s="399"/>
      <c r="BT147" s="399"/>
      <c r="BU147" s="399"/>
      <c r="BV147" s="399">
        <v>56765.588317579015</v>
      </c>
      <c r="BW147" s="399"/>
      <c r="BX147" s="399"/>
      <c r="BY147" s="399"/>
      <c r="BZ147" s="399"/>
      <c r="CA147" s="399"/>
      <c r="CB147" s="399"/>
      <c r="CC147" s="399"/>
      <c r="CD147" s="399"/>
      <c r="CE147" s="399"/>
      <c r="CF147" s="399"/>
      <c r="CG147" s="399"/>
      <c r="CH147" s="399"/>
      <c r="CI147" s="399">
        <v>56377.2644</v>
      </c>
      <c r="CJ147" s="399">
        <v>-12851.850443999996</v>
      </c>
      <c r="CK147" s="399"/>
      <c r="CL147" s="399"/>
      <c r="CM147" s="399"/>
      <c r="CN147" s="399"/>
      <c r="CO147" s="399">
        <v>-1332.4780000000001</v>
      </c>
      <c r="CP147" s="399">
        <v>-12338.746280000005</v>
      </c>
      <c r="CQ147" s="399">
        <v>31</v>
      </c>
      <c r="CR147" s="399">
        <v>-13671.662578917771</v>
      </c>
      <c r="CS147" s="399">
        <v>0</v>
      </c>
      <c r="CT147" s="399">
        <v>0</v>
      </c>
      <c r="CU147" s="399">
        <v>0</v>
      </c>
      <c r="CV147" s="399">
        <v>0</v>
      </c>
      <c r="CW147" s="399">
        <v>0</v>
      </c>
      <c r="CX147" s="399">
        <v>0</v>
      </c>
      <c r="CY147" s="399">
        <v>0</v>
      </c>
      <c r="CZ147" s="399">
        <v>0</v>
      </c>
      <c r="DA147" s="399">
        <v>0</v>
      </c>
      <c r="DB147" s="399">
        <v>0</v>
      </c>
      <c r="DC147" s="399">
        <v>-12340.034878935243</v>
      </c>
      <c r="DD147" s="399">
        <v>0</v>
      </c>
      <c r="DE147" s="399">
        <v>0</v>
      </c>
      <c r="DF147" s="399">
        <v>0</v>
      </c>
      <c r="DG147" s="399">
        <v>-507.83443676867228</v>
      </c>
      <c r="DH147" s="399">
        <v>0</v>
      </c>
      <c r="DI147" s="399">
        <v>-699.25148292272388</v>
      </c>
      <c r="DJ147" s="399"/>
      <c r="DK147" s="399">
        <v>0</v>
      </c>
      <c r="DL147" s="399">
        <v>0</v>
      </c>
      <c r="DM147" s="399">
        <v>0</v>
      </c>
      <c r="DN147" s="399">
        <v>0</v>
      </c>
      <c r="DO147" s="399">
        <v>-102.4643263940925</v>
      </c>
      <c r="DP147" s="399">
        <v>-22.0774538970457</v>
      </c>
      <c r="DQ147" s="399">
        <v>0</v>
      </c>
      <c r="DR147" s="399">
        <v>0</v>
      </c>
      <c r="DS147" s="399"/>
      <c r="DT147" s="399"/>
      <c r="DU147" s="399"/>
      <c r="DV147" s="399">
        <v>0</v>
      </c>
      <c r="DW147" s="399">
        <v>0</v>
      </c>
      <c r="DX147" s="399">
        <v>0</v>
      </c>
      <c r="DY147" s="399">
        <v>-1332.4779999999992</v>
      </c>
      <c r="DZ147" s="399">
        <v>-12338.746280000007</v>
      </c>
      <c r="EA147" s="399">
        <v>0</v>
      </c>
      <c r="EB147" s="399">
        <v>0</v>
      </c>
      <c r="EC147" s="399">
        <v>0</v>
      </c>
      <c r="ED147" s="399">
        <v>0</v>
      </c>
      <c r="EE147" s="399">
        <v>0</v>
      </c>
      <c r="EF147" s="399">
        <v>0</v>
      </c>
      <c r="EG147" s="399">
        <v>0</v>
      </c>
      <c r="EH147" s="399">
        <v>0</v>
      </c>
      <c r="EI147" s="399">
        <v>0</v>
      </c>
      <c r="EJ147" s="399">
        <v>0</v>
      </c>
      <c r="EK147" s="399">
        <v>0</v>
      </c>
      <c r="EL147" s="399">
        <v>0</v>
      </c>
      <c r="EM147" s="399">
        <v>0</v>
      </c>
      <c r="EN147" s="399">
        <v>0</v>
      </c>
      <c r="EO147" s="399">
        <v>0</v>
      </c>
      <c r="EP147" s="399">
        <v>4752.6562289273779</v>
      </c>
      <c r="EQ147" s="399">
        <v>0</v>
      </c>
      <c r="ER147" s="399">
        <v>0</v>
      </c>
      <c r="ES147" s="399">
        <v>0</v>
      </c>
      <c r="ET147" s="399">
        <v>0</v>
      </c>
      <c r="EU147" s="399">
        <v>0</v>
      </c>
      <c r="EV147" s="399">
        <v>202</v>
      </c>
      <c r="EW147" s="399">
        <v>0</v>
      </c>
      <c r="EX147" s="399">
        <v>0</v>
      </c>
      <c r="EY147" s="399">
        <v>0</v>
      </c>
      <c r="EZ147" s="399"/>
      <c r="FA147" s="399">
        <v>0</v>
      </c>
      <c r="FB147" s="399">
        <v>-17.698635468909799</v>
      </c>
      <c r="FC147" s="399"/>
      <c r="FD147" s="399">
        <v>-17.698635468909799</v>
      </c>
      <c r="FE147" s="399"/>
      <c r="FF147" s="399">
        <v>0</v>
      </c>
      <c r="FG147" s="399">
        <v>0</v>
      </c>
      <c r="FH147" s="399">
        <v>0</v>
      </c>
      <c r="FI147" s="399">
        <v>0</v>
      </c>
    </row>
    <row r="148" spans="1:165">
      <c r="A148" s="399">
        <v>159</v>
      </c>
      <c r="B148" s="399" t="s">
        <v>956</v>
      </c>
      <c r="C148" s="399" t="s">
        <v>2399</v>
      </c>
      <c r="D148" s="399" t="s">
        <v>533</v>
      </c>
      <c r="E148" s="399" t="s">
        <v>921</v>
      </c>
      <c r="F148" s="399" t="s">
        <v>2401</v>
      </c>
      <c r="G148" s="399" t="s">
        <v>1239</v>
      </c>
      <c r="H148" s="399" t="s">
        <v>1239</v>
      </c>
      <c r="I148" s="399" t="s">
        <v>1239</v>
      </c>
      <c r="J148" s="399" t="s">
        <v>2400</v>
      </c>
      <c r="K148" s="788">
        <v>44621</v>
      </c>
      <c r="L148" s="399">
        <v>556</v>
      </c>
      <c r="M148" s="399">
        <v>522.64</v>
      </c>
      <c r="N148" s="399">
        <v>0</v>
      </c>
      <c r="O148" s="399">
        <v>0</v>
      </c>
      <c r="P148" s="399">
        <v>0</v>
      </c>
      <c r="Q148" s="399">
        <v>0</v>
      </c>
      <c r="R148" s="399">
        <v>39.21</v>
      </c>
      <c r="S148" s="399"/>
      <c r="T148" s="399"/>
      <c r="U148" s="399">
        <v>21800.760000000002</v>
      </c>
      <c r="V148" s="399"/>
      <c r="W148" s="399">
        <v>21800.760000000002</v>
      </c>
      <c r="X148" s="399">
        <v>16591.04</v>
      </c>
      <c r="Y148" s="399">
        <v>0</v>
      </c>
      <c r="Z148" s="399">
        <v>0</v>
      </c>
      <c r="AA148" s="399">
        <v>0</v>
      </c>
      <c r="AB148" s="399">
        <v>0</v>
      </c>
      <c r="AC148" s="399">
        <v>0</v>
      </c>
      <c r="AD148" s="399">
        <v>6867.8398590748293</v>
      </c>
      <c r="AE148" s="399">
        <v>14935.267123703527</v>
      </c>
      <c r="AF148" s="399"/>
      <c r="AG148" s="399"/>
      <c r="AH148" s="399"/>
      <c r="AI148" s="399">
        <v>0</v>
      </c>
      <c r="AJ148" s="399">
        <v>0</v>
      </c>
      <c r="AK148" s="399">
        <v>0</v>
      </c>
      <c r="AL148" s="399">
        <v>0</v>
      </c>
      <c r="AM148" s="399"/>
      <c r="AN148" s="399">
        <v>0</v>
      </c>
      <c r="AO148" s="399">
        <v>0</v>
      </c>
      <c r="AP148" s="399">
        <v>0</v>
      </c>
      <c r="AQ148" s="399">
        <v>0</v>
      </c>
      <c r="AR148" s="399">
        <v>0</v>
      </c>
      <c r="AS148" s="399"/>
      <c r="AT148" s="399"/>
      <c r="AU148" s="399">
        <v>0</v>
      </c>
      <c r="AV148" s="399">
        <v>0</v>
      </c>
      <c r="AW148" s="399">
        <v>0</v>
      </c>
      <c r="AX148" s="399"/>
      <c r="AY148" s="399"/>
      <c r="AZ148" s="399">
        <v>0</v>
      </c>
      <c r="BA148" s="399"/>
      <c r="BB148" s="399">
        <v>0</v>
      </c>
      <c r="BC148" s="399">
        <v>0</v>
      </c>
      <c r="BD148" s="399">
        <v>0</v>
      </c>
      <c r="BE148" s="399">
        <v>0</v>
      </c>
      <c r="BF148" s="399"/>
      <c r="BG148" s="399">
        <v>0</v>
      </c>
      <c r="BH148" s="399">
        <v>0</v>
      </c>
      <c r="BI148" s="399">
        <v>187.29</v>
      </c>
      <c r="BJ148" s="399">
        <v>865.87</v>
      </c>
      <c r="BK148" s="399">
        <v>34478.839999999997</v>
      </c>
      <c r="BL148" s="399">
        <v>2</v>
      </c>
      <c r="BM148" s="399"/>
      <c r="BN148" s="399"/>
      <c r="BO148" s="399"/>
      <c r="BP148" s="399"/>
      <c r="BQ148" s="399">
        <v>995.46240000000046</v>
      </c>
      <c r="BR148" s="399"/>
      <c r="BS148" s="399"/>
      <c r="BT148" s="399"/>
      <c r="BU148" s="399"/>
      <c r="BV148" s="399">
        <v>0</v>
      </c>
      <c r="BW148" s="399"/>
      <c r="BX148" s="399"/>
      <c r="BY148" s="399"/>
      <c r="BZ148" s="399"/>
      <c r="CA148" s="399"/>
      <c r="CB148" s="399"/>
      <c r="CC148" s="399"/>
      <c r="CD148" s="399"/>
      <c r="CE148" s="399"/>
      <c r="CF148" s="399"/>
      <c r="CG148" s="399"/>
      <c r="CH148" s="399"/>
      <c r="CI148" s="399">
        <v>15595.577599999999</v>
      </c>
      <c r="CJ148" s="399">
        <v>-4897.1667999999972</v>
      </c>
      <c r="CK148" s="399"/>
      <c r="CL148" s="399"/>
      <c r="CM148" s="399"/>
      <c r="CN148" s="399"/>
      <c r="CO148" s="399">
        <v>-5209.72</v>
      </c>
      <c r="CP148" s="399">
        <v>0</v>
      </c>
      <c r="CQ148" s="399">
        <v>31</v>
      </c>
      <c r="CR148" s="399">
        <v>235.68302433918689</v>
      </c>
      <c r="CS148" s="399">
        <v>0</v>
      </c>
      <c r="CT148" s="399">
        <v>0</v>
      </c>
      <c r="CU148" s="399">
        <v>0</v>
      </c>
      <c r="CV148" s="399">
        <v>0</v>
      </c>
      <c r="CW148" s="399"/>
      <c r="CX148" s="399"/>
      <c r="CY148" s="399"/>
      <c r="CZ148" s="399">
        <v>235.68302433918689</v>
      </c>
      <c r="DA148" s="399">
        <v>0</v>
      </c>
      <c r="DB148" s="399">
        <v>0</v>
      </c>
      <c r="DC148" s="399"/>
      <c r="DD148" s="399"/>
      <c r="DE148" s="399">
        <v>0</v>
      </c>
      <c r="DF148" s="399">
        <v>0</v>
      </c>
      <c r="DG148" s="399">
        <v>0</v>
      </c>
      <c r="DH148" s="399">
        <v>0</v>
      </c>
      <c r="DI148" s="399">
        <v>0</v>
      </c>
      <c r="DJ148" s="399"/>
      <c r="DK148" s="399">
        <v>0</v>
      </c>
      <c r="DL148" s="399">
        <v>0</v>
      </c>
      <c r="DM148" s="399"/>
      <c r="DN148" s="399">
        <v>0</v>
      </c>
      <c r="DO148" s="399">
        <v>0</v>
      </c>
      <c r="DP148" s="399">
        <v>0</v>
      </c>
      <c r="DQ148" s="399">
        <v>0</v>
      </c>
      <c r="DR148" s="399">
        <v>0</v>
      </c>
      <c r="DS148" s="399"/>
      <c r="DT148" s="399"/>
      <c r="DU148" s="399">
        <v>14935.267123703527</v>
      </c>
      <c r="DV148" s="399"/>
      <c r="DW148" s="399">
        <v>0</v>
      </c>
      <c r="DX148" s="399">
        <v>0</v>
      </c>
      <c r="DY148" s="399">
        <v>-5209.7200000000012</v>
      </c>
      <c r="DZ148" s="399"/>
      <c r="EA148" s="399">
        <v>0</v>
      </c>
      <c r="EB148" s="399"/>
      <c r="EC148" s="399">
        <v>-5449.8807353814664</v>
      </c>
      <c r="ED148" s="399"/>
      <c r="EE148" s="399">
        <v>0</v>
      </c>
      <c r="EF148" s="399">
        <v>0</v>
      </c>
      <c r="EG148" s="399"/>
      <c r="EH148" s="399">
        <v>0</v>
      </c>
      <c r="EI148" s="399">
        <v>0</v>
      </c>
      <c r="EJ148" s="399">
        <v>0</v>
      </c>
      <c r="EK148" s="399">
        <v>0</v>
      </c>
      <c r="EL148" s="399">
        <v>0</v>
      </c>
      <c r="EM148" s="399"/>
      <c r="EN148" s="399"/>
      <c r="EO148" s="399">
        <v>0</v>
      </c>
      <c r="EP148" s="399">
        <v>0</v>
      </c>
      <c r="EQ148" s="399"/>
      <c r="ER148" s="399">
        <v>0</v>
      </c>
      <c r="ES148" s="399"/>
      <c r="ET148" s="399">
        <v>0</v>
      </c>
      <c r="EU148" s="399"/>
      <c r="EV148" s="399">
        <v>202</v>
      </c>
      <c r="EW148" s="399"/>
      <c r="EX148" s="399"/>
      <c r="EY148" s="399"/>
      <c r="EZ148" s="399"/>
      <c r="FA148" s="399">
        <v>0</v>
      </c>
      <c r="FB148" s="399">
        <v>-17.698635468909799</v>
      </c>
      <c r="FC148" s="399"/>
      <c r="FD148" s="399">
        <v>-17.698635468909799</v>
      </c>
      <c r="FE148" s="399"/>
      <c r="FF148" s="399">
        <v>0</v>
      </c>
      <c r="FG148" s="399">
        <v>0</v>
      </c>
      <c r="FH148" s="399">
        <v>0</v>
      </c>
      <c r="FI148" s="399">
        <v>0</v>
      </c>
    </row>
    <row r="149" spans="1:165">
      <c r="A149" s="399">
        <v>141</v>
      </c>
      <c r="B149" s="399" t="s">
        <v>956</v>
      </c>
      <c r="C149" s="399" t="s">
        <v>2402</v>
      </c>
      <c r="D149" s="399" t="s">
        <v>1823</v>
      </c>
      <c r="E149" s="399" t="s">
        <v>889</v>
      </c>
      <c r="F149" s="399" t="s">
        <v>889</v>
      </c>
      <c r="G149" s="399" t="s">
        <v>1239</v>
      </c>
      <c r="H149" s="399" t="s">
        <v>1239</v>
      </c>
      <c r="I149" s="399" t="s">
        <v>1239</v>
      </c>
      <c r="J149" s="399" t="s">
        <v>2400</v>
      </c>
      <c r="K149" s="788">
        <v>44621</v>
      </c>
      <c r="L149" s="399">
        <v>0</v>
      </c>
      <c r="M149" s="399">
        <v>0</v>
      </c>
      <c r="N149" s="399">
        <v>501.85</v>
      </c>
      <c r="O149" s="399">
        <v>501.85</v>
      </c>
      <c r="P149" s="399">
        <v>501.85</v>
      </c>
      <c r="Q149" s="399">
        <v>501.85</v>
      </c>
      <c r="R149" s="399"/>
      <c r="S149" s="399">
        <v>609.05999999999995</v>
      </c>
      <c r="T149" s="399">
        <v>286.42</v>
      </c>
      <c r="U149" s="399"/>
      <c r="V149" s="399">
        <v>449396.63800000004</v>
      </c>
      <c r="W149" s="399">
        <v>449396.63800000004</v>
      </c>
      <c r="X149" s="399">
        <v>343200.15950000001</v>
      </c>
      <c r="Y149" s="399">
        <v>0</v>
      </c>
      <c r="Z149" s="399">
        <v>30543.293073747656</v>
      </c>
      <c r="AA149" s="399">
        <v>0</v>
      </c>
      <c r="AB149" s="399">
        <v>0</v>
      </c>
      <c r="AC149" s="399">
        <v>0</v>
      </c>
      <c r="AD149" s="399">
        <v>49006.731454997804</v>
      </c>
      <c r="AE149" s="399">
        <v>189303.8397885164</v>
      </c>
      <c r="AF149" s="399">
        <v>143741.55581062409</v>
      </c>
      <c r="AG149" s="399">
        <v>0</v>
      </c>
      <c r="AH149" s="399">
        <v>0</v>
      </c>
      <c r="AI149" s="399">
        <v>0</v>
      </c>
      <c r="AJ149" s="399">
        <v>0</v>
      </c>
      <c r="AK149" s="399">
        <v>0</v>
      </c>
      <c r="AL149" s="399">
        <v>4720.3453719581748</v>
      </c>
      <c r="AM149" s="399"/>
      <c r="AN149" s="399">
        <v>857.07828269479887</v>
      </c>
      <c r="AO149" s="399">
        <v>0</v>
      </c>
      <c r="AP149" s="399">
        <v>0</v>
      </c>
      <c r="AQ149" s="399">
        <v>0</v>
      </c>
      <c r="AR149" s="399">
        <v>0</v>
      </c>
      <c r="AS149" s="399">
        <v>0</v>
      </c>
      <c r="AT149" s="399">
        <v>0</v>
      </c>
      <c r="AU149" s="399">
        <v>0</v>
      </c>
      <c r="AV149" s="399">
        <v>0</v>
      </c>
      <c r="AW149" s="399">
        <v>0</v>
      </c>
      <c r="AX149" s="399">
        <v>0</v>
      </c>
      <c r="AY149" s="399">
        <v>0</v>
      </c>
      <c r="AZ149" s="399">
        <v>0</v>
      </c>
      <c r="BA149" s="399"/>
      <c r="BB149" s="399">
        <v>0</v>
      </c>
      <c r="BC149" s="399">
        <v>0</v>
      </c>
      <c r="BD149" s="399">
        <v>0</v>
      </c>
      <c r="BE149" s="399">
        <v>0</v>
      </c>
      <c r="BF149" s="399">
        <v>0</v>
      </c>
      <c r="BG149" s="399">
        <v>16823.175719980482</v>
      </c>
      <c r="BH149" s="399">
        <v>0</v>
      </c>
      <c r="BI149" s="399">
        <v>1560.85</v>
      </c>
      <c r="BJ149" s="399">
        <v>7285.57</v>
      </c>
      <c r="BK149" s="399">
        <v>93235.71</v>
      </c>
      <c r="BL149" s="399">
        <v>3273</v>
      </c>
      <c r="BM149" s="399"/>
      <c r="BN149" s="399"/>
      <c r="BO149" s="399"/>
      <c r="BP149" s="399"/>
      <c r="BQ149" s="399"/>
      <c r="BR149" s="399"/>
      <c r="BS149" s="399"/>
      <c r="BT149" s="399"/>
      <c r="BU149" s="399"/>
      <c r="BV149" s="399">
        <v>160564.73153060456</v>
      </c>
      <c r="BW149" s="399"/>
      <c r="BX149" s="399"/>
      <c r="BY149" s="399"/>
      <c r="BZ149" s="399"/>
      <c r="CA149" s="399"/>
      <c r="CB149" s="399"/>
      <c r="CC149" s="399"/>
      <c r="CD149" s="399"/>
      <c r="CE149" s="399"/>
      <c r="CF149" s="399"/>
      <c r="CG149" s="399"/>
      <c r="CH149" s="399"/>
      <c r="CI149" s="399">
        <v>343200.15950000001</v>
      </c>
      <c r="CJ149" s="399">
        <v>-106196.50850000005</v>
      </c>
      <c r="CK149" s="399"/>
      <c r="CL149" s="399"/>
      <c r="CM149" s="399"/>
      <c r="CN149" s="399"/>
      <c r="CO149" s="399">
        <v>-73666.561499999982</v>
      </c>
      <c r="CP149" s="399">
        <v>-32529.917000000012</v>
      </c>
      <c r="CQ149" s="399">
        <v>31</v>
      </c>
      <c r="CR149" s="399">
        <v>-37120.844966088771</v>
      </c>
      <c r="CS149" s="399">
        <v>0</v>
      </c>
      <c r="CT149" s="399">
        <v>0</v>
      </c>
      <c r="CU149" s="399">
        <v>0</v>
      </c>
      <c r="CV149" s="399">
        <v>0</v>
      </c>
      <c r="CW149" s="399">
        <v>0</v>
      </c>
      <c r="CX149" s="399">
        <v>0</v>
      </c>
      <c r="CY149" s="399">
        <v>0</v>
      </c>
      <c r="CZ149" s="399">
        <v>1681.759464299721</v>
      </c>
      <c r="DA149" s="399">
        <v>0</v>
      </c>
      <c r="DB149" s="399">
        <v>0</v>
      </c>
      <c r="DC149" s="399">
        <v>-32533.314267068985</v>
      </c>
      <c r="DD149" s="399">
        <v>0</v>
      </c>
      <c r="DE149" s="399">
        <v>0</v>
      </c>
      <c r="DF149" s="399">
        <v>0</v>
      </c>
      <c r="DG149" s="399">
        <v>-3807.6230605805013</v>
      </c>
      <c r="DH149" s="399">
        <v>0</v>
      </c>
      <c r="DI149" s="399">
        <v>-2118.9761308891357</v>
      </c>
      <c r="DJ149" s="399"/>
      <c r="DK149" s="399">
        <v>0</v>
      </c>
      <c r="DL149" s="399">
        <v>0</v>
      </c>
      <c r="DM149" s="399">
        <v>0</v>
      </c>
      <c r="DN149" s="399">
        <v>0</v>
      </c>
      <c r="DO149" s="399">
        <v>-270.13733465477617</v>
      </c>
      <c r="DP149" s="399">
        <v>-72.553637195095462</v>
      </c>
      <c r="DQ149" s="399">
        <v>0</v>
      </c>
      <c r="DR149" s="399">
        <v>0</v>
      </c>
      <c r="DS149" s="399"/>
      <c r="DT149" s="399"/>
      <c r="DU149" s="399"/>
      <c r="DV149" s="399">
        <v>189303.8397885164</v>
      </c>
      <c r="DW149" s="399">
        <v>0</v>
      </c>
      <c r="DX149" s="399">
        <v>0</v>
      </c>
      <c r="DY149" s="399">
        <v>-73666.561500000011</v>
      </c>
      <c r="DZ149" s="399">
        <v>-32529.917000000001</v>
      </c>
      <c r="EA149" s="399">
        <v>0</v>
      </c>
      <c r="EB149" s="399">
        <v>0</v>
      </c>
      <c r="EC149" s="399">
        <v>-69076.99347136596</v>
      </c>
      <c r="ED149" s="399">
        <v>0</v>
      </c>
      <c r="EE149" s="399">
        <v>0</v>
      </c>
      <c r="EF149" s="399">
        <v>0</v>
      </c>
      <c r="EG149" s="399">
        <v>0</v>
      </c>
      <c r="EH149" s="399">
        <v>0</v>
      </c>
      <c r="EI149" s="399">
        <v>0</v>
      </c>
      <c r="EJ149" s="399">
        <v>0</v>
      </c>
      <c r="EK149" s="399">
        <v>0</v>
      </c>
      <c r="EL149" s="399">
        <v>0</v>
      </c>
      <c r="EM149" s="399">
        <v>0</v>
      </c>
      <c r="EN149" s="399">
        <v>0</v>
      </c>
      <c r="EO149" s="399">
        <v>0</v>
      </c>
      <c r="EP149" s="399">
        <v>14402.207722642375</v>
      </c>
      <c r="EQ149" s="399">
        <v>0</v>
      </c>
      <c r="ER149" s="399">
        <v>0</v>
      </c>
      <c r="ES149" s="399">
        <v>0</v>
      </c>
      <c r="ET149" s="399">
        <v>0</v>
      </c>
      <c r="EU149" s="399">
        <v>0</v>
      </c>
      <c r="EV149" s="399">
        <v>202</v>
      </c>
      <c r="EW149" s="399">
        <v>0</v>
      </c>
      <c r="EX149" s="399">
        <v>0</v>
      </c>
      <c r="EY149" s="399">
        <v>0</v>
      </c>
      <c r="EZ149" s="399"/>
      <c r="FA149" s="399">
        <v>0</v>
      </c>
      <c r="FB149" s="399">
        <v>-17.698635468909799</v>
      </c>
      <c r="FC149" s="399"/>
      <c r="FD149" s="399">
        <v>-17.698635468909799</v>
      </c>
      <c r="FE149" s="399"/>
      <c r="FF149" s="399">
        <v>0</v>
      </c>
      <c r="FG149" s="399">
        <v>0</v>
      </c>
      <c r="FH149" s="399">
        <v>0</v>
      </c>
      <c r="FI149" s="399">
        <v>0</v>
      </c>
    </row>
    <row r="150" spans="1:165">
      <c r="A150" s="399">
        <v>142</v>
      </c>
      <c r="B150" s="399" t="s">
        <v>956</v>
      </c>
      <c r="C150" s="399" t="s">
        <v>2402</v>
      </c>
      <c r="D150" s="399" t="s">
        <v>1823</v>
      </c>
      <c r="E150" s="399" t="s">
        <v>889</v>
      </c>
      <c r="F150" s="399" t="s">
        <v>2405</v>
      </c>
      <c r="G150" s="399" t="s">
        <v>1239</v>
      </c>
      <c r="H150" s="399" t="s">
        <v>1239</v>
      </c>
      <c r="I150" s="399" t="s">
        <v>1239</v>
      </c>
      <c r="J150" s="399" t="s">
        <v>2400</v>
      </c>
      <c r="K150" s="788">
        <v>44621</v>
      </c>
      <c r="L150" s="399">
        <v>0</v>
      </c>
      <c r="M150" s="399">
        <v>0</v>
      </c>
      <c r="N150" s="399">
        <v>3.74</v>
      </c>
      <c r="O150" s="399">
        <v>3.74</v>
      </c>
      <c r="P150" s="399">
        <v>3.74</v>
      </c>
      <c r="Q150" s="399">
        <v>3.74</v>
      </c>
      <c r="R150" s="399"/>
      <c r="S150" s="399">
        <v>510.09</v>
      </c>
      <c r="T150" s="399">
        <v>286.42</v>
      </c>
      <c r="U150" s="399"/>
      <c r="V150" s="399">
        <v>2978.9474</v>
      </c>
      <c r="W150" s="399">
        <v>2978.9474</v>
      </c>
      <c r="X150" s="399">
        <v>2205.3658</v>
      </c>
      <c r="Y150" s="399">
        <v>0</v>
      </c>
      <c r="Z150" s="399">
        <v>0</v>
      </c>
      <c r="AA150" s="399">
        <v>0</v>
      </c>
      <c r="AB150" s="399">
        <v>0</v>
      </c>
      <c r="AC150" s="399">
        <v>0</v>
      </c>
      <c r="AD150" s="399">
        <v>365.21904083230407</v>
      </c>
      <c r="AE150" s="399">
        <v>1410.772862028597</v>
      </c>
      <c r="AF150" s="399">
        <v>1071.2233112119841</v>
      </c>
      <c r="AG150" s="399">
        <v>0</v>
      </c>
      <c r="AH150" s="399">
        <v>0</v>
      </c>
      <c r="AI150" s="399">
        <v>0</v>
      </c>
      <c r="AJ150" s="399">
        <v>0</v>
      </c>
      <c r="AK150" s="399">
        <v>0</v>
      </c>
      <c r="AL150" s="399">
        <v>0</v>
      </c>
      <c r="AM150" s="399"/>
      <c r="AN150" s="399">
        <v>6.387312498313336</v>
      </c>
      <c r="AO150" s="399">
        <v>0</v>
      </c>
      <c r="AP150" s="399">
        <v>0</v>
      </c>
      <c r="AQ150" s="399">
        <v>0</v>
      </c>
      <c r="AR150" s="399">
        <v>0</v>
      </c>
      <c r="AS150" s="399">
        <v>0</v>
      </c>
      <c r="AT150" s="399">
        <v>0</v>
      </c>
      <c r="AU150" s="399">
        <v>0</v>
      </c>
      <c r="AV150" s="399">
        <v>0</v>
      </c>
      <c r="AW150" s="399">
        <v>0</v>
      </c>
      <c r="AX150" s="399">
        <v>0</v>
      </c>
      <c r="AY150" s="399">
        <v>0</v>
      </c>
      <c r="AZ150" s="399">
        <v>0</v>
      </c>
      <c r="BA150" s="399"/>
      <c r="BB150" s="399">
        <v>0</v>
      </c>
      <c r="BC150" s="399">
        <v>0</v>
      </c>
      <c r="BD150" s="399">
        <v>0</v>
      </c>
      <c r="BE150" s="399">
        <v>0</v>
      </c>
      <c r="BF150" s="399">
        <v>0</v>
      </c>
      <c r="BG150" s="399">
        <v>125.37347253706686</v>
      </c>
      <c r="BH150" s="399">
        <v>0</v>
      </c>
      <c r="BI150" s="399">
        <v>3.89</v>
      </c>
      <c r="BJ150" s="399">
        <v>17.95</v>
      </c>
      <c r="BK150" s="399">
        <v>485.37</v>
      </c>
      <c r="BL150" s="399">
        <v>2</v>
      </c>
      <c r="BM150" s="399"/>
      <c r="BN150" s="399"/>
      <c r="BO150" s="399"/>
      <c r="BP150" s="399"/>
      <c r="BQ150" s="399"/>
      <c r="BR150" s="399"/>
      <c r="BS150" s="399"/>
      <c r="BT150" s="399">
        <v>1433.5046000000002</v>
      </c>
      <c r="BU150" s="399"/>
      <c r="BV150" s="399">
        <v>1196.5967837490509</v>
      </c>
      <c r="BW150" s="399"/>
      <c r="BX150" s="399"/>
      <c r="BY150" s="399"/>
      <c r="BZ150" s="399"/>
      <c r="CA150" s="399"/>
      <c r="CB150" s="399"/>
      <c r="CC150" s="399"/>
      <c r="CD150" s="399"/>
      <c r="CE150" s="399"/>
      <c r="CF150" s="399"/>
      <c r="CG150" s="399"/>
      <c r="CH150" s="399"/>
      <c r="CI150" s="399">
        <v>771.86120000000005</v>
      </c>
      <c r="CJ150" s="399">
        <v>-270.80600000000004</v>
      </c>
      <c r="CK150" s="399"/>
      <c r="CL150" s="399"/>
      <c r="CM150" s="399"/>
      <c r="CN150" s="399"/>
      <c r="CO150" s="399">
        <v>-531.15479999999991</v>
      </c>
      <c r="CP150" s="399">
        <v>-242.4268000000001</v>
      </c>
      <c r="CQ150" s="399">
        <v>31</v>
      </c>
      <c r="CR150" s="399">
        <v>-258.83565968324774</v>
      </c>
      <c r="CS150" s="399">
        <v>0</v>
      </c>
      <c r="CT150" s="399">
        <v>0</v>
      </c>
      <c r="CU150" s="399">
        <v>0</v>
      </c>
      <c r="CV150" s="399">
        <v>0</v>
      </c>
      <c r="CW150" s="399">
        <v>0</v>
      </c>
      <c r="CX150" s="399">
        <v>0</v>
      </c>
      <c r="CY150" s="399">
        <v>0</v>
      </c>
      <c r="CZ150" s="399">
        <v>12.533187997371613</v>
      </c>
      <c r="DA150" s="399">
        <v>0</v>
      </c>
      <c r="DB150" s="399">
        <v>0</v>
      </c>
      <c r="DC150" s="399">
        <v>-242.4521178815146</v>
      </c>
      <c r="DD150" s="399">
        <v>0</v>
      </c>
      <c r="DE150" s="399">
        <v>0</v>
      </c>
      <c r="DF150" s="399">
        <v>0</v>
      </c>
      <c r="DG150" s="399">
        <v>-28.37602918515708</v>
      </c>
      <c r="DH150" s="399">
        <v>0</v>
      </c>
      <c r="DI150" s="399">
        <v>0</v>
      </c>
      <c r="DJ150" s="399"/>
      <c r="DK150" s="399">
        <v>0</v>
      </c>
      <c r="DL150" s="399">
        <v>0</v>
      </c>
      <c r="DM150" s="399">
        <v>0</v>
      </c>
      <c r="DN150" s="399">
        <v>0</v>
      </c>
      <c r="DO150" s="399">
        <v>0</v>
      </c>
      <c r="DP150" s="399">
        <v>-0.54070061394770708</v>
      </c>
      <c r="DQ150" s="399">
        <v>0</v>
      </c>
      <c r="DR150" s="399">
        <v>0</v>
      </c>
      <c r="DS150" s="399"/>
      <c r="DT150" s="399"/>
      <c r="DU150" s="399"/>
      <c r="DV150" s="399">
        <v>1410.772862028597</v>
      </c>
      <c r="DW150" s="399">
        <v>0</v>
      </c>
      <c r="DX150" s="399">
        <v>0</v>
      </c>
      <c r="DY150" s="399">
        <v>-531.1547999999998</v>
      </c>
      <c r="DZ150" s="399">
        <v>-242.42680000000007</v>
      </c>
      <c r="EA150" s="399">
        <v>0</v>
      </c>
      <c r="EB150" s="399">
        <v>0</v>
      </c>
      <c r="EC150" s="399">
        <v>-514.79118378581006</v>
      </c>
      <c r="ED150" s="399">
        <v>0</v>
      </c>
      <c r="EE150" s="399">
        <v>0</v>
      </c>
      <c r="EF150" s="399">
        <v>0</v>
      </c>
      <c r="EG150" s="399">
        <v>0</v>
      </c>
      <c r="EH150" s="399">
        <v>0</v>
      </c>
      <c r="EI150" s="399">
        <v>0</v>
      </c>
      <c r="EJ150" s="399">
        <v>0</v>
      </c>
      <c r="EK150" s="399">
        <v>0</v>
      </c>
      <c r="EL150" s="399">
        <v>0</v>
      </c>
      <c r="EM150" s="399">
        <v>0</v>
      </c>
      <c r="EN150" s="399">
        <v>0</v>
      </c>
      <c r="EO150" s="399">
        <v>0</v>
      </c>
      <c r="EP150" s="399">
        <v>0</v>
      </c>
      <c r="EQ150" s="399">
        <v>0</v>
      </c>
      <c r="ER150" s="399">
        <v>0</v>
      </c>
      <c r="ES150" s="399">
        <v>0</v>
      </c>
      <c r="ET150" s="399">
        <v>0</v>
      </c>
      <c r="EU150" s="399">
        <v>0</v>
      </c>
      <c r="EV150" s="399">
        <v>202</v>
      </c>
      <c r="EW150" s="399">
        <v>0</v>
      </c>
      <c r="EX150" s="399">
        <v>0</v>
      </c>
      <c r="EY150" s="399">
        <v>0</v>
      </c>
      <c r="EZ150" s="399"/>
      <c r="FA150" s="399">
        <v>0</v>
      </c>
      <c r="FB150" s="399">
        <v>-17.698635468909799</v>
      </c>
      <c r="FC150" s="399"/>
      <c r="FD150" s="399">
        <v>-17.698635468909799</v>
      </c>
      <c r="FE150" s="399"/>
      <c r="FF150" s="399">
        <v>0</v>
      </c>
      <c r="FG150" s="399">
        <v>0</v>
      </c>
      <c r="FH150" s="399">
        <v>0</v>
      </c>
      <c r="FI150" s="399">
        <v>0</v>
      </c>
    </row>
    <row r="151" spans="1:165">
      <c r="A151" s="399">
        <v>143</v>
      </c>
      <c r="B151" s="399" t="s">
        <v>956</v>
      </c>
      <c r="C151" s="399" t="s">
        <v>2402</v>
      </c>
      <c r="D151" s="399" t="s">
        <v>1823</v>
      </c>
      <c r="E151" s="399" t="s">
        <v>889</v>
      </c>
      <c r="F151" s="399" t="s">
        <v>2406</v>
      </c>
      <c r="G151" s="399" t="s">
        <v>1239</v>
      </c>
      <c r="H151" s="399" t="s">
        <v>1239</v>
      </c>
      <c r="I151" s="399" t="s">
        <v>1239</v>
      </c>
      <c r="J151" s="399" t="s">
        <v>2400</v>
      </c>
      <c r="K151" s="788">
        <v>44621</v>
      </c>
      <c r="L151" s="399">
        <v>0</v>
      </c>
      <c r="M151" s="399">
        <v>0</v>
      </c>
      <c r="N151" s="399">
        <v>8.0980000000000008</v>
      </c>
      <c r="O151" s="399">
        <v>8.0980000000000008</v>
      </c>
      <c r="P151" s="399">
        <v>8.0980000000000008</v>
      </c>
      <c r="Q151" s="399">
        <v>8.0980000000000008</v>
      </c>
      <c r="R151" s="399"/>
      <c r="S151" s="399">
        <v>510.09</v>
      </c>
      <c r="T151" s="399">
        <v>286.42</v>
      </c>
      <c r="U151" s="399"/>
      <c r="V151" s="399">
        <v>6450.1379799999995</v>
      </c>
      <c r="W151" s="399">
        <v>6450.1379799999995</v>
      </c>
      <c r="X151" s="399">
        <v>4775.1476600000005</v>
      </c>
      <c r="Y151" s="399">
        <v>0</v>
      </c>
      <c r="Z151" s="399">
        <v>0</v>
      </c>
      <c r="AA151" s="399">
        <v>0</v>
      </c>
      <c r="AB151" s="399">
        <v>0</v>
      </c>
      <c r="AC151" s="399">
        <v>0</v>
      </c>
      <c r="AD151" s="399">
        <v>790.78711033689797</v>
      </c>
      <c r="AE151" s="399">
        <v>3054.6627370875881</v>
      </c>
      <c r="AF151" s="399">
        <v>2319.456249784665</v>
      </c>
      <c r="AG151" s="399">
        <v>0</v>
      </c>
      <c r="AH151" s="399">
        <v>0</v>
      </c>
      <c r="AI151" s="399">
        <v>0</v>
      </c>
      <c r="AJ151" s="399">
        <v>0</v>
      </c>
      <c r="AK151" s="399">
        <v>0</v>
      </c>
      <c r="AL151" s="399">
        <v>0</v>
      </c>
      <c r="AM151" s="399"/>
      <c r="AN151" s="399">
        <v>13.830068612658128</v>
      </c>
      <c r="AO151" s="399">
        <v>0</v>
      </c>
      <c r="AP151" s="399">
        <v>0</v>
      </c>
      <c r="AQ151" s="399">
        <v>0</v>
      </c>
      <c r="AR151" s="399">
        <v>0</v>
      </c>
      <c r="AS151" s="399">
        <v>0</v>
      </c>
      <c r="AT151" s="399">
        <v>0</v>
      </c>
      <c r="AU151" s="399">
        <v>0</v>
      </c>
      <c r="AV151" s="399">
        <v>0</v>
      </c>
      <c r="AW151" s="399">
        <v>0</v>
      </c>
      <c r="AX151" s="399">
        <v>0</v>
      </c>
      <c r="AY151" s="399">
        <v>0</v>
      </c>
      <c r="AZ151" s="399">
        <v>0</v>
      </c>
      <c r="BA151" s="399"/>
      <c r="BB151" s="399">
        <v>0</v>
      </c>
      <c r="BC151" s="399">
        <v>0</v>
      </c>
      <c r="BD151" s="399">
        <v>0</v>
      </c>
      <c r="BE151" s="399">
        <v>0</v>
      </c>
      <c r="BF151" s="399">
        <v>0</v>
      </c>
      <c r="BG151" s="399">
        <v>271.46373812972394</v>
      </c>
      <c r="BH151" s="399">
        <v>0</v>
      </c>
      <c r="BI151" s="399">
        <v>14.52</v>
      </c>
      <c r="BJ151" s="399">
        <v>67.709999999999994</v>
      </c>
      <c r="BK151" s="399">
        <v>1130.3800000000001</v>
      </c>
      <c r="BL151" s="399">
        <v>20</v>
      </c>
      <c r="BM151" s="399"/>
      <c r="BN151" s="399"/>
      <c r="BO151" s="399"/>
      <c r="BP151" s="399"/>
      <c r="BQ151" s="399"/>
      <c r="BR151" s="399"/>
      <c r="BS151" s="399"/>
      <c r="BT151" s="399">
        <v>1910.0752600000001</v>
      </c>
      <c r="BU151" s="399"/>
      <c r="BV151" s="399">
        <v>2590.9199879143889</v>
      </c>
      <c r="BW151" s="399"/>
      <c r="BX151" s="399"/>
      <c r="BY151" s="399"/>
      <c r="BZ151" s="399"/>
      <c r="CA151" s="399"/>
      <c r="CB151" s="399"/>
      <c r="CC151" s="399"/>
      <c r="CD151" s="399"/>
      <c r="CE151" s="399"/>
      <c r="CF151" s="399"/>
      <c r="CG151" s="399"/>
      <c r="CH151" s="399"/>
      <c r="CI151" s="399">
        <v>2865.7799999999997</v>
      </c>
      <c r="CJ151" s="399">
        <v>-1004.3651800000016</v>
      </c>
      <c r="CK151" s="399"/>
      <c r="CL151" s="399"/>
      <c r="CM151" s="399"/>
      <c r="CN151" s="399"/>
      <c r="CO151" s="399">
        <v>-1150.0779599999998</v>
      </c>
      <c r="CP151" s="399">
        <v>-524.91236000000026</v>
      </c>
      <c r="CQ151" s="399">
        <v>31</v>
      </c>
      <c r="CR151" s="399">
        <v>-560.44148987030485</v>
      </c>
      <c r="CS151" s="399">
        <v>0</v>
      </c>
      <c r="CT151" s="399">
        <v>0</v>
      </c>
      <c r="CU151" s="399">
        <v>0</v>
      </c>
      <c r="CV151" s="399">
        <v>0</v>
      </c>
      <c r="CW151" s="399">
        <v>0</v>
      </c>
      <c r="CX151" s="399">
        <v>0</v>
      </c>
      <c r="CY151" s="399">
        <v>0</v>
      </c>
      <c r="CZ151" s="399">
        <v>27.137368022116448</v>
      </c>
      <c r="DA151" s="399">
        <v>0</v>
      </c>
      <c r="DB151" s="399">
        <v>0</v>
      </c>
      <c r="DC151" s="399">
        <v>-524.96717930601744</v>
      </c>
      <c r="DD151" s="399">
        <v>0</v>
      </c>
      <c r="DE151" s="399">
        <v>0</v>
      </c>
      <c r="DF151" s="399">
        <v>0</v>
      </c>
      <c r="DG151" s="399">
        <v>-61.440931642086127</v>
      </c>
      <c r="DH151" s="399">
        <v>0</v>
      </c>
      <c r="DI151" s="399">
        <v>0</v>
      </c>
      <c r="DJ151" s="399"/>
      <c r="DK151" s="399">
        <v>0</v>
      </c>
      <c r="DL151" s="399">
        <v>0</v>
      </c>
      <c r="DM151" s="399">
        <v>0</v>
      </c>
      <c r="DN151" s="399">
        <v>0</v>
      </c>
      <c r="DO151" s="399">
        <v>0</v>
      </c>
      <c r="DP151" s="399">
        <v>-1.1707469443177896</v>
      </c>
      <c r="DQ151" s="399">
        <v>0</v>
      </c>
      <c r="DR151" s="399">
        <v>0</v>
      </c>
      <c r="DS151" s="399"/>
      <c r="DT151" s="399"/>
      <c r="DU151" s="399"/>
      <c r="DV151" s="399">
        <v>3054.6627370875881</v>
      </c>
      <c r="DW151" s="399">
        <v>0</v>
      </c>
      <c r="DX151" s="399">
        <v>0</v>
      </c>
      <c r="DY151" s="399">
        <v>-1150.0779599999996</v>
      </c>
      <c r="DZ151" s="399">
        <v>-524.91236000000004</v>
      </c>
      <c r="EA151" s="399">
        <v>0</v>
      </c>
      <c r="EB151" s="399">
        <v>0</v>
      </c>
      <c r="EC151" s="399">
        <v>-1114.6467931276711</v>
      </c>
      <c r="ED151" s="399">
        <v>0</v>
      </c>
      <c r="EE151" s="399">
        <v>0</v>
      </c>
      <c r="EF151" s="399">
        <v>0</v>
      </c>
      <c r="EG151" s="399">
        <v>0</v>
      </c>
      <c r="EH151" s="399">
        <v>0</v>
      </c>
      <c r="EI151" s="399">
        <v>0</v>
      </c>
      <c r="EJ151" s="399">
        <v>0</v>
      </c>
      <c r="EK151" s="399">
        <v>0</v>
      </c>
      <c r="EL151" s="399">
        <v>0</v>
      </c>
      <c r="EM151" s="399">
        <v>0</v>
      </c>
      <c r="EN151" s="399">
        <v>0</v>
      </c>
      <c r="EO151" s="399">
        <v>0</v>
      </c>
      <c r="EP151" s="399">
        <v>0</v>
      </c>
      <c r="EQ151" s="399">
        <v>0</v>
      </c>
      <c r="ER151" s="399">
        <v>0</v>
      </c>
      <c r="ES151" s="399">
        <v>0</v>
      </c>
      <c r="ET151" s="399">
        <v>0</v>
      </c>
      <c r="EU151" s="399">
        <v>0</v>
      </c>
      <c r="EV151" s="399">
        <v>202</v>
      </c>
      <c r="EW151" s="399">
        <v>0</v>
      </c>
      <c r="EX151" s="399">
        <v>0</v>
      </c>
      <c r="EY151" s="399">
        <v>0</v>
      </c>
      <c r="EZ151" s="399"/>
      <c r="FA151" s="399">
        <v>0</v>
      </c>
      <c r="FB151" s="399">
        <v>-17.698635468909799</v>
      </c>
      <c r="FC151" s="399"/>
      <c r="FD151" s="399">
        <v>-17.698635468909799</v>
      </c>
      <c r="FE151" s="399"/>
      <c r="FF151" s="399">
        <v>0</v>
      </c>
      <c r="FG151" s="399">
        <v>0</v>
      </c>
      <c r="FH151" s="399">
        <v>0</v>
      </c>
      <c r="FI151" s="399">
        <v>0</v>
      </c>
    </row>
    <row r="152" spans="1:165">
      <c r="A152" s="399">
        <v>144</v>
      </c>
      <c r="B152" s="399" t="s">
        <v>956</v>
      </c>
      <c r="C152" s="399" t="s">
        <v>2402</v>
      </c>
      <c r="D152" s="399" t="s">
        <v>1823</v>
      </c>
      <c r="E152" s="399" t="s">
        <v>889</v>
      </c>
      <c r="F152" s="399" t="s">
        <v>2407</v>
      </c>
      <c r="G152" s="399" t="s">
        <v>1239</v>
      </c>
      <c r="H152" s="399" t="s">
        <v>1239</v>
      </c>
      <c r="I152" s="399" t="s">
        <v>1239</v>
      </c>
      <c r="J152" s="399" t="s">
        <v>2400</v>
      </c>
      <c r="K152" s="788">
        <v>44621</v>
      </c>
      <c r="L152" s="399">
        <v>0</v>
      </c>
      <c r="M152" s="399">
        <v>0</v>
      </c>
      <c r="N152" s="399">
        <v>7.8490000000000002</v>
      </c>
      <c r="O152" s="399">
        <v>7.8490000000000002</v>
      </c>
      <c r="P152" s="399">
        <v>7.8490000000000002</v>
      </c>
      <c r="Q152" s="399">
        <v>7.8490000000000002</v>
      </c>
      <c r="R152" s="399"/>
      <c r="S152" s="399">
        <v>510.09</v>
      </c>
      <c r="T152" s="399">
        <v>286.42</v>
      </c>
      <c r="U152" s="399"/>
      <c r="V152" s="399">
        <v>6251.80699</v>
      </c>
      <c r="W152" s="399">
        <v>6251.80699</v>
      </c>
      <c r="X152" s="399">
        <v>4628.3198300000004</v>
      </c>
      <c r="Y152" s="399">
        <v>0</v>
      </c>
      <c r="Z152" s="399">
        <v>0</v>
      </c>
      <c r="AA152" s="399">
        <v>0</v>
      </c>
      <c r="AB152" s="399">
        <v>0</v>
      </c>
      <c r="AC152" s="399">
        <v>0</v>
      </c>
      <c r="AD152" s="399">
        <v>766.47172499806265</v>
      </c>
      <c r="AE152" s="399">
        <v>2960.7369502840793</v>
      </c>
      <c r="AF152" s="399">
        <v>2248.1368368189469</v>
      </c>
      <c r="AG152" s="399">
        <v>0</v>
      </c>
      <c r="AH152" s="399">
        <v>0</v>
      </c>
      <c r="AI152" s="399">
        <v>0</v>
      </c>
      <c r="AJ152" s="399">
        <v>0</v>
      </c>
      <c r="AK152" s="399">
        <v>0</v>
      </c>
      <c r="AL152" s="399">
        <v>0</v>
      </c>
      <c r="AM152" s="399"/>
      <c r="AN152" s="399">
        <v>13.404817058626035</v>
      </c>
      <c r="AO152" s="399">
        <v>0</v>
      </c>
      <c r="AP152" s="399">
        <v>0</v>
      </c>
      <c r="AQ152" s="399">
        <v>0</v>
      </c>
      <c r="AR152" s="399">
        <v>0</v>
      </c>
      <c r="AS152" s="399">
        <v>0</v>
      </c>
      <c r="AT152" s="399">
        <v>0</v>
      </c>
      <c r="AU152" s="399">
        <v>0</v>
      </c>
      <c r="AV152" s="399">
        <v>0</v>
      </c>
      <c r="AW152" s="399">
        <v>0</v>
      </c>
      <c r="AX152" s="399">
        <v>0</v>
      </c>
      <c r="AY152" s="399">
        <v>0</v>
      </c>
      <c r="AZ152" s="399">
        <v>0</v>
      </c>
      <c r="BA152" s="399"/>
      <c r="BB152" s="399">
        <v>0</v>
      </c>
      <c r="BC152" s="399">
        <v>0</v>
      </c>
      <c r="BD152" s="399">
        <v>0</v>
      </c>
      <c r="BE152" s="399">
        <v>0</v>
      </c>
      <c r="BF152" s="399">
        <v>0</v>
      </c>
      <c r="BG152" s="399">
        <v>263.11668073353951</v>
      </c>
      <c r="BH152" s="399">
        <v>0</v>
      </c>
      <c r="BI152" s="399">
        <v>21.97</v>
      </c>
      <c r="BJ152" s="399">
        <v>103.21</v>
      </c>
      <c r="BK152" s="399">
        <v>1408.57</v>
      </c>
      <c r="BL152" s="399">
        <v>72</v>
      </c>
      <c r="BM152" s="399"/>
      <c r="BN152" s="399"/>
      <c r="BO152" s="399"/>
      <c r="BP152" s="399"/>
      <c r="BQ152" s="399"/>
      <c r="BR152" s="399"/>
      <c r="BS152" s="399"/>
      <c r="BT152" s="399">
        <v>462.85552999999999</v>
      </c>
      <c r="BU152" s="399"/>
      <c r="BV152" s="399">
        <v>2511.2535175524863</v>
      </c>
      <c r="BW152" s="399"/>
      <c r="BX152" s="399"/>
      <c r="BY152" s="399"/>
      <c r="BZ152" s="399"/>
      <c r="CA152" s="399"/>
      <c r="CB152" s="399"/>
      <c r="CC152" s="399"/>
      <c r="CD152" s="399"/>
      <c r="CE152" s="399"/>
      <c r="CF152" s="399"/>
      <c r="CG152" s="399"/>
      <c r="CH152" s="399"/>
      <c r="CI152" s="399">
        <v>4165.994999999999</v>
      </c>
      <c r="CJ152" s="399">
        <v>-1460.6691400000018</v>
      </c>
      <c r="CK152" s="399"/>
      <c r="CL152" s="399"/>
      <c r="CM152" s="399"/>
      <c r="CN152" s="399"/>
      <c r="CO152" s="399">
        <v>-1114.71498</v>
      </c>
      <c r="CP152" s="399">
        <v>-508.77218000000016</v>
      </c>
      <c r="CQ152" s="399">
        <v>31</v>
      </c>
      <c r="CR152" s="399">
        <v>-543.20884835663355</v>
      </c>
      <c r="CS152" s="399">
        <v>0</v>
      </c>
      <c r="CT152" s="399">
        <v>0</v>
      </c>
      <c r="CU152" s="399">
        <v>0</v>
      </c>
      <c r="CV152" s="399">
        <v>0</v>
      </c>
      <c r="CW152" s="399">
        <v>0</v>
      </c>
      <c r="CX152" s="399">
        <v>0</v>
      </c>
      <c r="CY152" s="399">
        <v>0</v>
      </c>
      <c r="CZ152" s="399">
        <v>26.302939195553563</v>
      </c>
      <c r="DA152" s="399">
        <v>0</v>
      </c>
      <c r="DB152" s="399">
        <v>0</v>
      </c>
      <c r="DC152" s="399">
        <v>-508.825313703745</v>
      </c>
      <c r="DD152" s="399">
        <v>0</v>
      </c>
      <c r="DE152" s="399">
        <v>0</v>
      </c>
      <c r="DF152" s="399">
        <v>0</v>
      </c>
      <c r="DG152" s="399">
        <v>-59.55172542093527</v>
      </c>
      <c r="DH152" s="399">
        <v>0</v>
      </c>
      <c r="DI152" s="399">
        <v>0</v>
      </c>
      <c r="DJ152" s="399"/>
      <c r="DK152" s="399">
        <v>0</v>
      </c>
      <c r="DL152" s="399">
        <v>0</v>
      </c>
      <c r="DM152" s="399">
        <v>0</v>
      </c>
      <c r="DN152" s="399">
        <v>0</v>
      </c>
      <c r="DO152" s="399">
        <v>0</v>
      </c>
      <c r="DP152" s="399">
        <v>-1.1347484275068318</v>
      </c>
      <c r="DQ152" s="399">
        <v>0</v>
      </c>
      <c r="DR152" s="399">
        <v>0</v>
      </c>
      <c r="DS152" s="399"/>
      <c r="DT152" s="399"/>
      <c r="DU152" s="399"/>
      <c r="DV152" s="399">
        <v>2960.7369502840793</v>
      </c>
      <c r="DW152" s="399">
        <v>0</v>
      </c>
      <c r="DX152" s="399">
        <v>0</v>
      </c>
      <c r="DY152" s="399">
        <v>-1114.7149800000002</v>
      </c>
      <c r="DZ152" s="399">
        <v>-508.77217999999993</v>
      </c>
      <c r="EA152" s="399">
        <v>0</v>
      </c>
      <c r="EB152" s="399">
        <v>0</v>
      </c>
      <c r="EC152" s="399">
        <v>-1080.3732624424656</v>
      </c>
      <c r="ED152" s="399">
        <v>0</v>
      </c>
      <c r="EE152" s="399">
        <v>0</v>
      </c>
      <c r="EF152" s="399">
        <v>0</v>
      </c>
      <c r="EG152" s="399">
        <v>0</v>
      </c>
      <c r="EH152" s="399">
        <v>0</v>
      </c>
      <c r="EI152" s="399">
        <v>0</v>
      </c>
      <c r="EJ152" s="399">
        <v>0</v>
      </c>
      <c r="EK152" s="399">
        <v>0</v>
      </c>
      <c r="EL152" s="399">
        <v>0</v>
      </c>
      <c r="EM152" s="399">
        <v>0</v>
      </c>
      <c r="EN152" s="399">
        <v>0</v>
      </c>
      <c r="EO152" s="399">
        <v>0</v>
      </c>
      <c r="EP152" s="399">
        <v>0</v>
      </c>
      <c r="EQ152" s="399">
        <v>0</v>
      </c>
      <c r="ER152" s="399">
        <v>0</v>
      </c>
      <c r="ES152" s="399">
        <v>0</v>
      </c>
      <c r="ET152" s="399">
        <v>0</v>
      </c>
      <c r="EU152" s="399">
        <v>0</v>
      </c>
      <c r="EV152" s="399">
        <v>202</v>
      </c>
      <c r="EW152" s="399">
        <v>0</v>
      </c>
      <c r="EX152" s="399">
        <v>0</v>
      </c>
      <c r="EY152" s="399">
        <v>0</v>
      </c>
      <c r="EZ152" s="399"/>
      <c r="FA152" s="399">
        <v>0</v>
      </c>
      <c r="FB152" s="399">
        <v>-17.698635468909799</v>
      </c>
      <c r="FC152" s="399"/>
      <c r="FD152" s="399">
        <v>-17.698635468909799</v>
      </c>
      <c r="FE152" s="399"/>
      <c r="FF152" s="399">
        <v>0</v>
      </c>
      <c r="FG152" s="399">
        <v>0</v>
      </c>
      <c r="FH152" s="399">
        <v>0</v>
      </c>
      <c r="FI152" s="399">
        <v>0</v>
      </c>
    </row>
    <row r="153" spans="1:165">
      <c r="A153" s="399">
        <v>145</v>
      </c>
      <c r="B153" s="399" t="s">
        <v>956</v>
      </c>
      <c r="C153" s="399" t="s">
        <v>2402</v>
      </c>
      <c r="D153" s="399" t="s">
        <v>1823</v>
      </c>
      <c r="E153" s="399" t="s">
        <v>889</v>
      </c>
      <c r="F153" s="399" t="s">
        <v>2408</v>
      </c>
      <c r="G153" s="399" t="s">
        <v>1239</v>
      </c>
      <c r="H153" s="399" t="s">
        <v>1239</v>
      </c>
      <c r="I153" s="399" t="s">
        <v>1239</v>
      </c>
      <c r="J153" s="399" t="s">
        <v>2400</v>
      </c>
      <c r="K153" s="788">
        <v>44621</v>
      </c>
      <c r="L153" s="399">
        <v>0</v>
      </c>
      <c r="M153" s="399">
        <v>0</v>
      </c>
      <c r="N153" s="399">
        <v>2.6110000000000002</v>
      </c>
      <c r="O153" s="399">
        <v>2.6110000000000002</v>
      </c>
      <c r="P153" s="399">
        <v>2.6110000000000002</v>
      </c>
      <c r="Q153" s="399">
        <v>2.6110000000000002</v>
      </c>
      <c r="R153" s="399"/>
      <c r="S153" s="399">
        <v>510.09</v>
      </c>
      <c r="T153" s="399">
        <v>286.42</v>
      </c>
      <c r="U153" s="399"/>
      <c r="V153" s="399">
        <v>2079.6876099999999</v>
      </c>
      <c r="W153" s="399">
        <v>2079.6876099999999</v>
      </c>
      <c r="X153" s="399">
        <v>1539.6283700000001</v>
      </c>
      <c r="Y153" s="399">
        <v>0</v>
      </c>
      <c r="Z153" s="399">
        <v>0</v>
      </c>
      <c r="AA153" s="399">
        <v>0</v>
      </c>
      <c r="AB153" s="399">
        <v>0</v>
      </c>
      <c r="AC153" s="399">
        <v>0</v>
      </c>
      <c r="AD153" s="399">
        <v>254.96976353292672</v>
      </c>
      <c r="AE153" s="399">
        <v>984.90051945365417</v>
      </c>
      <c r="AF153" s="399">
        <v>747.8513544316819</v>
      </c>
      <c r="AG153" s="399">
        <v>0</v>
      </c>
      <c r="AH153" s="399">
        <v>0</v>
      </c>
      <c r="AI153" s="399">
        <v>0</v>
      </c>
      <c r="AJ153" s="399">
        <v>0</v>
      </c>
      <c r="AK153" s="399">
        <v>0</v>
      </c>
      <c r="AL153" s="399">
        <v>0</v>
      </c>
      <c r="AM153" s="399"/>
      <c r="AN153" s="399">
        <v>4.4591638858545775</v>
      </c>
      <c r="AO153" s="399">
        <v>0</v>
      </c>
      <c r="AP153" s="399">
        <v>0</v>
      </c>
      <c r="AQ153" s="399">
        <v>0</v>
      </c>
      <c r="AR153" s="399">
        <v>0</v>
      </c>
      <c r="AS153" s="399">
        <v>0</v>
      </c>
      <c r="AT153" s="399">
        <v>0</v>
      </c>
      <c r="AU153" s="399">
        <v>0</v>
      </c>
      <c r="AV153" s="399">
        <v>0</v>
      </c>
      <c r="AW153" s="399">
        <v>0</v>
      </c>
      <c r="AX153" s="399">
        <v>0</v>
      </c>
      <c r="AY153" s="399">
        <v>0</v>
      </c>
      <c r="AZ153" s="399">
        <v>0</v>
      </c>
      <c r="BA153" s="399"/>
      <c r="BB153" s="399">
        <v>0</v>
      </c>
      <c r="BC153" s="399">
        <v>0</v>
      </c>
      <c r="BD153" s="399">
        <v>0</v>
      </c>
      <c r="BE153" s="399">
        <v>0</v>
      </c>
      <c r="BF153" s="399">
        <v>0</v>
      </c>
      <c r="BG153" s="399">
        <v>87.526774543925555</v>
      </c>
      <c r="BH153" s="399">
        <v>0</v>
      </c>
      <c r="BI153" s="399">
        <v>8.81</v>
      </c>
      <c r="BJ153" s="399">
        <v>41.47</v>
      </c>
      <c r="BK153" s="399">
        <v>614.46</v>
      </c>
      <c r="BL153" s="399">
        <v>32</v>
      </c>
      <c r="BM153" s="399"/>
      <c r="BN153" s="399"/>
      <c r="BO153" s="399"/>
      <c r="BP153" s="399"/>
      <c r="BQ153" s="399"/>
      <c r="BR153" s="399"/>
      <c r="BS153" s="399"/>
      <c r="BT153" s="399"/>
      <c r="BU153" s="399"/>
      <c r="BV153" s="399">
        <v>835.37812897560741</v>
      </c>
      <c r="BW153" s="399"/>
      <c r="BX153" s="399"/>
      <c r="BY153" s="399"/>
      <c r="BZ153" s="399"/>
      <c r="CA153" s="399"/>
      <c r="CB153" s="399"/>
      <c r="CC153" s="399"/>
      <c r="CD153" s="399"/>
      <c r="CE153" s="399"/>
      <c r="CF153" s="399"/>
      <c r="CG153" s="399"/>
      <c r="CH153" s="399"/>
      <c r="CI153" s="399">
        <v>1539.0387000000001</v>
      </c>
      <c r="CJ153" s="399">
        <v>-540.67891000000054</v>
      </c>
      <c r="CK153" s="399"/>
      <c r="CL153" s="399"/>
      <c r="CM153" s="399"/>
      <c r="CN153" s="399"/>
      <c r="CO153" s="399">
        <v>-370.81421999999998</v>
      </c>
      <c r="CP153" s="399">
        <v>-169.24502000000007</v>
      </c>
      <c r="CQ153" s="399">
        <v>31</v>
      </c>
      <c r="CR153" s="399">
        <v>-180.70051000881278</v>
      </c>
      <c r="CS153" s="399">
        <v>0</v>
      </c>
      <c r="CT153" s="399">
        <v>0</v>
      </c>
      <c r="CU153" s="399">
        <v>0</v>
      </c>
      <c r="CV153" s="399">
        <v>0</v>
      </c>
      <c r="CW153" s="399">
        <v>0</v>
      </c>
      <c r="CX153" s="399">
        <v>0</v>
      </c>
      <c r="CY153" s="399">
        <v>0</v>
      </c>
      <c r="CZ153" s="399">
        <v>8.7497737596623892</v>
      </c>
      <c r="DA153" s="399">
        <v>0</v>
      </c>
      <c r="DB153" s="399">
        <v>0</v>
      </c>
      <c r="DC153" s="399">
        <v>-169.26269513065085</v>
      </c>
      <c r="DD153" s="399">
        <v>0</v>
      </c>
      <c r="DE153" s="399">
        <v>0</v>
      </c>
      <c r="DF153" s="399">
        <v>0</v>
      </c>
      <c r="DG153" s="399">
        <v>-19.810110214557525</v>
      </c>
      <c r="DH153" s="399">
        <v>0</v>
      </c>
      <c r="DI153" s="399">
        <v>0</v>
      </c>
      <c r="DJ153" s="399"/>
      <c r="DK153" s="399">
        <v>0</v>
      </c>
      <c r="DL153" s="399">
        <v>0</v>
      </c>
      <c r="DM153" s="399">
        <v>0</v>
      </c>
      <c r="DN153" s="399">
        <v>0</v>
      </c>
      <c r="DO153" s="399">
        <v>0</v>
      </c>
      <c r="DP153" s="399">
        <v>-0.37747842326670078</v>
      </c>
      <c r="DQ153" s="399">
        <v>0</v>
      </c>
      <c r="DR153" s="399">
        <v>0</v>
      </c>
      <c r="DS153" s="399"/>
      <c r="DT153" s="399"/>
      <c r="DU153" s="399"/>
      <c r="DV153" s="399">
        <v>984.90051945365417</v>
      </c>
      <c r="DW153" s="399">
        <v>0</v>
      </c>
      <c r="DX153" s="399">
        <v>0</v>
      </c>
      <c r="DY153" s="399">
        <v>-370.81421999999998</v>
      </c>
      <c r="DZ153" s="399">
        <v>-169.24502000000007</v>
      </c>
      <c r="EA153" s="399">
        <v>0</v>
      </c>
      <c r="EB153" s="399">
        <v>0</v>
      </c>
      <c r="EC153" s="399">
        <v>-359.39031573923785</v>
      </c>
      <c r="ED153" s="399">
        <v>0</v>
      </c>
      <c r="EE153" s="399">
        <v>0</v>
      </c>
      <c r="EF153" s="399">
        <v>0</v>
      </c>
      <c r="EG153" s="399">
        <v>0</v>
      </c>
      <c r="EH153" s="399">
        <v>0</v>
      </c>
      <c r="EI153" s="399">
        <v>0</v>
      </c>
      <c r="EJ153" s="399">
        <v>0</v>
      </c>
      <c r="EK153" s="399">
        <v>0</v>
      </c>
      <c r="EL153" s="399">
        <v>0</v>
      </c>
      <c r="EM153" s="399">
        <v>0</v>
      </c>
      <c r="EN153" s="399">
        <v>0</v>
      </c>
      <c r="EO153" s="399">
        <v>0</v>
      </c>
      <c r="EP153" s="399">
        <v>0</v>
      </c>
      <c r="EQ153" s="399">
        <v>0</v>
      </c>
      <c r="ER153" s="399">
        <v>0</v>
      </c>
      <c r="ES153" s="399">
        <v>0</v>
      </c>
      <c r="ET153" s="399">
        <v>0</v>
      </c>
      <c r="EU153" s="399">
        <v>0</v>
      </c>
      <c r="EV153" s="399">
        <v>202</v>
      </c>
      <c r="EW153" s="399">
        <v>0</v>
      </c>
      <c r="EX153" s="399">
        <v>0</v>
      </c>
      <c r="EY153" s="399">
        <v>0</v>
      </c>
      <c r="EZ153" s="399"/>
      <c r="FA153" s="399">
        <v>0</v>
      </c>
      <c r="FB153" s="399">
        <v>-17.698635468909799</v>
      </c>
      <c r="FC153" s="399"/>
      <c r="FD153" s="399">
        <v>-17.698635468909799</v>
      </c>
      <c r="FE153" s="399"/>
      <c r="FF153" s="399">
        <v>0</v>
      </c>
      <c r="FG153" s="399">
        <v>0</v>
      </c>
      <c r="FH153" s="399">
        <v>0</v>
      </c>
      <c r="FI153" s="399">
        <v>0</v>
      </c>
    </row>
    <row r="154" spans="1:165">
      <c r="A154" s="399">
        <v>146</v>
      </c>
      <c r="B154" s="399" t="s">
        <v>956</v>
      </c>
      <c r="C154" s="399" t="s">
        <v>2409</v>
      </c>
      <c r="D154" s="399" t="s">
        <v>1823</v>
      </c>
      <c r="E154" s="399" t="s">
        <v>889</v>
      </c>
      <c r="F154" s="399" t="s">
        <v>889</v>
      </c>
      <c r="G154" s="399" t="s">
        <v>1239</v>
      </c>
      <c r="H154" s="399" t="s">
        <v>1239</v>
      </c>
      <c r="I154" s="399" t="s">
        <v>2326</v>
      </c>
      <c r="J154" s="399" t="s">
        <v>2400</v>
      </c>
      <c r="K154" s="788">
        <v>44621</v>
      </c>
      <c r="L154" s="399">
        <v>0</v>
      </c>
      <c r="M154" s="399">
        <v>0</v>
      </c>
      <c r="N154" s="399">
        <v>6.2E-2</v>
      </c>
      <c r="O154" s="399">
        <v>6.2E-2</v>
      </c>
      <c r="P154" s="399">
        <v>6.2E-2</v>
      </c>
      <c r="Q154" s="399">
        <v>6.2E-2</v>
      </c>
      <c r="R154" s="399"/>
      <c r="S154" s="399">
        <v>409.62</v>
      </c>
      <c r="T154" s="399">
        <v>286.42</v>
      </c>
      <c r="U154" s="399"/>
      <c r="V154" s="399">
        <v>43.15448</v>
      </c>
      <c r="W154" s="399">
        <v>43.15448</v>
      </c>
      <c r="X154" s="399">
        <v>33.532080000000001</v>
      </c>
      <c r="Y154" s="399">
        <v>0</v>
      </c>
      <c r="Z154" s="399">
        <v>3.7734067362206929</v>
      </c>
      <c r="AA154" s="399">
        <v>0</v>
      </c>
      <c r="AB154" s="399">
        <v>0</v>
      </c>
      <c r="AC154" s="399">
        <v>0</v>
      </c>
      <c r="AD154" s="399">
        <v>3.5118792008445947</v>
      </c>
      <c r="AE154" s="399">
        <v>13.56453806164617</v>
      </c>
      <c r="AF154" s="399">
        <v>17.75824740511845</v>
      </c>
      <c r="AG154" s="399">
        <v>0</v>
      </c>
      <c r="AH154" s="399">
        <v>0</v>
      </c>
      <c r="AI154" s="399">
        <v>0</v>
      </c>
      <c r="AJ154" s="399">
        <v>0</v>
      </c>
      <c r="AK154" s="399">
        <v>0</v>
      </c>
      <c r="AL154" s="399">
        <v>0.58316511519658631</v>
      </c>
      <c r="AM154" s="399"/>
      <c r="AN154" s="399">
        <v>0.10588592911642428</v>
      </c>
      <c r="AO154" s="399">
        <v>0</v>
      </c>
      <c r="AP154" s="399">
        <v>0</v>
      </c>
      <c r="AQ154" s="399">
        <v>0</v>
      </c>
      <c r="AR154" s="399">
        <v>0</v>
      </c>
      <c r="AS154" s="399">
        <v>0</v>
      </c>
      <c r="AT154" s="399">
        <v>0</v>
      </c>
      <c r="AU154" s="399">
        <v>0</v>
      </c>
      <c r="AV154" s="399">
        <v>0</v>
      </c>
      <c r="AW154" s="399">
        <v>0</v>
      </c>
      <c r="AX154" s="399">
        <v>0</v>
      </c>
      <c r="AY154" s="399">
        <v>0</v>
      </c>
      <c r="AZ154" s="399">
        <v>0</v>
      </c>
      <c r="BA154" s="399"/>
      <c r="BB154" s="399">
        <v>0</v>
      </c>
      <c r="BC154" s="399">
        <v>0</v>
      </c>
      <c r="BD154" s="399">
        <v>0</v>
      </c>
      <c r="BE154" s="399">
        <v>0</v>
      </c>
      <c r="BF154" s="399">
        <v>0</v>
      </c>
      <c r="BG154" s="399">
        <v>2.0783837693310545</v>
      </c>
      <c r="BH154" s="399">
        <v>0</v>
      </c>
      <c r="BI154" s="399">
        <v>0</v>
      </c>
      <c r="BJ154" s="399">
        <v>0</v>
      </c>
      <c r="BK154" s="399">
        <v>0</v>
      </c>
      <c r="BL154" s="399">
        <v>0</v>
      </c>
      <c r="BM154" s="399"/>
      <c r="BN154" s="399"/>
      <c r="BO154" s="399"/>
      <c r="BP154" s="399"/>
      <c r="BQ154" s="399"/>
      <c r="BR154" s="399"/>
      <c r="BS154" s="399"/>
      <c r="BT154" s="399"/>
      <c r="BU154" s="399"/>
      <c r="BV154" s="399">
        <v>19.836631174449504</v>
      </c>
      <c r="BW154" s="399"/>
      <c r="BX154" s="399"/>
      <c r="BY154" s="399"/>
      <c r="BZ154" s="399"/>
      <c r="CA154" s="399"/>
      <c r="CB154" s="399"/>
      <c r="CC154" s="399"/>
      <c r="CD154" s="399"/>
      <c r="CE154" s="399"/>
      <c r="CF154" s="399"/>
      <c r="CG154" s="399"/>
      <c r="CH154" s="399"/>
      <c r="CI154" s="399">
        <v>32.450400000000002</v>
      </c>
      <c r="CJ154" s="399">
        <v>-10.734079999999999</v>
      </c>
      <c r="CK154" s="399"/>
      <c r="CL154" s="399"/>
      <c r="CM154" s="399"/>
      <c r="CN154" s="399"/>
      <c r="CO154" s="399">
        <v>-5.6035599999999999</v>
      </c>
      <c r="CP154" s="399">
        <v>-4.0188400000000017</v>
      </c>
      <c r="CQ154" s="399">
        <v>31</v>
      </c>
      <c r="CR154" s="399">
        <v>-4.6732691081226569</v>
      </c>
      <c r="CS154" s="399">
        <v>0</v>
      </c>
      <c r="CT154" s="399">
        <v>0</v>
      </c>
      <c r="CU154" s="399">
        <v>0</v>
      </c>
      <c r="CV154" s="399">
        <v>0</v>
      </c>
      <c r="CW154" s="399">
        <v>0</v>
      </c>
      <c r="CX154" s="399">
        <v>0</v>
      </c>
      <c r="CY154" s="399">
        <v>0</v>
      </c>
      <c r="CZ154" s="399">
        <v>0.12051683326239138</v>
      </c>
      <c r="DA154" s="399">
        <v>0</v>
      </c>
      <c r="DB154" s="399">
        <v>0</v>
      </c>
      <c r="DC154" s="399">
        <v>-4.0192597081962287</v>
      </c>
      <c r="DD154" s="399">
        <v>0</v>
      </c>
      <c r="DE154" s="399">
        <v>0</v>
      </c>
      <c r="DF154" s="399">
        <v>0</v>
      </c>
      <c r="DG154" s="399">
        <v>-0.47040476189297808</v>
      </c>
      <c r="DH154" s="399">
        <v>0</v>
      </c>
      <c r="DI154" s="399">
        <v>-0.26178443781035465</v>
      </c>
      <c r="DJ154" s="399"/>
      <c r="DK154" s="399">
        <v>0</v>
      </c>
      <c r="DL154" s="399">
        <v>0</v>
      </c>
      <c r="DM154" s="399">
        <v>0</v>
      </c>
      <c r="DN154" s="399">
        <v>0</v>
      </c>
      <c r="DO154" s="399">
        <v>-3.3373547371916223E-2</v>
      </c>
      <c r="DP154" s="399">
        <v>-8.9634861135716171E-3</v>
      </c>
      <c r="DQ154" s="399">
        <v>0</v>
      </c>
      <c r="DR154" s="399">
        <v>0</v>
      </c>
      <c r="DS154" s="399"/>
      <c r="DT154" s="399"/>
      <c r="DU154" s="399"/>
      <c r="DV154" s="399">
        <v>13.56453806164617</v>
      </c>
      <c r="DW154" s="399">
        <v>0</v>
      </c>
      <c r="DX154" s="399">
        <v>0</v>
      </c>
      <c r="DY154" s="399">
        <v>-5.6035599999999981</v>
      </c>
      <c r="DZ154" s="399">
        <v>-4.0188400000000009</v>
      </c>
      <c r="EA154" s="399">
        <v>0</v>
      </c>
      <c r="EB154" s="399">
        <v>0</v>
      </c>
      <c r="EC154" s="399">
        <v>-4.9497015389292223</v>
      </c>
      <c r="ED154" s="399">
        <v>0</v>
      </c>
      <c r="EE154" s="399">
        <v>0</v>
      </c>
      <c r="EF154" s="399">
        <v>0</v>
      </c>
      <c r="EG154" s="399">
        <v>0</v>
      </c>
      <c r="EH154" s="399">
        <v>0</v>
      </c>
      <c r="EI154" s="399">
        <v>0</v>
      </c>
      <c r="EJ154" s="399">
        <v>0</v>
      </c>
      <c r="EK154" s="399">
        <v>0</v>
      </c>
      <c r="EL154" s="399">
        <v>0</v>
      </c>
      <c r="EM154" s="399">
        <v>0</v>
      </c>
      <c r="EN154" s="399">
        <v>0</v>
      </c>
      <c r="EO154" s="399">
        <v>0</v>
      </c>
      <c r="EP154" s="399">
        <v>1.7792903831898521</v>
      </c>
      <c r="EQ154" s="399">
        <v>0</v>
      </c>
      <c r="ER154" s="399">
        <v>0</v>
      </c>
      <c r="ES154" s="399">
        <v>0</v>
      </c>
      <c r="ET154" s="399">
        <v>0</v>
      </c>
      <c r="EU154" s="399">
        <v>0</v>
      </c>
      <c r="EV154" s="399">
        <v>202</v>
      </c>
      <c r="EW154" s="399">
        <v>0</v>
      </c>
      <c r="EX154" s="399">
        <v>0</v>
      </c>
      <c r="EY154" s="399">
        <v>0</v>
      </c>
      <c r="EZ154" s="399"/>
      <c r="FA154" s="399">
        <v>0</v>
      </c>
      <c r="FB154" s="399">
        <v>-17.698635468909799</v>
      </c>
      <c r="FC154" s="399"/>
      <c r="FD154" s="399">
        <v>-17.698635468909799</v>
      </c>
      <c r="FE154" s="399"/>
      <c r="FF154" s="399">
        <v>0</v>
      </c>
      <c r="FG154" s="399">
        <v>0</v>
      </c>
      <c r="FH154" s="399">
        <v>0</v>
      </c>
      <c r="FI154" s="399">
        <v>0</v>
      </c>
    </row>
    <row r="155" spans="1:165">
      <c r="A155" s="399">
        <v>147</v>
      </c>
      <c r="B155" s="399" t="s">
        <v>956</v>
      </c>
      <c r="C155" s="399" t="s">
        <v>2409</v>
      </c>
      <c r="D155" s="399" t="s">
        <v>1823</v>
      </c>
      <c r="E155" s="399" t="s">
        <v>889</v>
      </c>
      <c r="F155" s="399" t="s">
        <v>889</v>
      </c>
      <c r="G155" s="399" t="s">
        <v>1239</v>
      </c>
      <c r="H155" s="399" t="s">
        <v>1239</v>
      </c>
      <c r="I155" s="399" t="s">
        <v>1239</v>
      </c>
      <c r="J155" s="399" t="s">
        <v>2400</v>
      </c>
      <c r="K155" s="788">
        <v>44621</v>
      </c>
      <c r="L155" s="399">
        <v>0</v>
      </c>
      <c r="M155" s="399">
        <v>0</v>
      </c>
      <c r="N155" s="399">
        <v>0</v>
      </c>
      <c r="O155" s="399">
        <v>0</v>
      </c>
      <c r="P155" s="399">
        <v>0</v>
      </c>
      <c r="Q155" s="399">
        <v>0</v>
      </c>
      <c r="R155" s="399"/>
      <c r="S155" s="399"/>
      <c r="T155" s="399"/>
      <c r="U155" s="399"/>
      <c r="V155" s="399"/>
      <c r="W155" s="399"/>
      <c r="X155" s="399"/>
      <c r="Y155" s="399"/>
      <c r="Z155" s="399"/>
      <c r="AA155" s="399">
        <v>0</v>
      </c>
      <c r="AB155" s="399"/>
      <c r="AC155" s="399"/>
      <c r="AD155" s="399"/>
      <c r="AE155" s="399"/>
      <c r="AF155" s="399"/>
      <c r="AG155" s="399"/>
      <c r="AH155" s="399"/>
      <c r="AI155" s="399"/>
      <c r="AJ155" s="399"/>
      <c r="AK155" s="399"/>
      <c r="AL155" s="399"/>
      <c r="AM155" s="399"/>
      <c r="AN155" s="399"/>
      <c r="AO155" s="399"/>
      <c r="AP155" s="399"/>
      <c r="AQ155" s="399"/>
      <c r="AR155" s="399"/>
      <c r="AS155" s="399"/>
      <c r="AT155" s="399"/>
      <c r="AU155" s="399"/>
      <c r="AV155" s="399"/>
      <c r="AW155" s="399"/>
      <c r="AX155" s="399"/>
      <c r="AY155" s="399"/>
      <c r="AZ155" s="399">
        <v>0</v>
      </c>
      <c r="BA155" s="399"/>
      <c r="BB155" s="399"/>
      <c r="BC155" s="399"/>
      <c r="BD155" s="399"/>
      <c r="BE155" s="399"/>
      <c r="BF155" s="399"/>
      <c r="BG155" s="399"/>
      <c r="BH155" s="399"/>
      <c r="BI155" s="399">
        <v>0.48</v>
      </c>
      <c r="BJ155" s="399">
        <v>2.2599999999999998</v>
      </c>
      <c r="BK155" s="399">
        <v>0</v>
      </c>
      <c r="BL155" s="399">
        <v>1</v>
      </c>
      <c r="BM155" s="399"/>
      <c r="BN155" s="399"/>
      <c r="BO155" s="399"/>
      <c r="BP155" s="399"/>
      <c r="BQ155" s="399"/>
      <c r="BR155" s="399"/>
      <c r="BS155" s="399"/>
      <c r="BT155" s="399"/>
      <c r="BU155" s="399"/>
      <c r="BV155" s="399"/>
      <c r="BW155" s="399"/>
      <c r="BX155" s="399"/>
      <c r="BY155" s="399"/>
      <c r="BZ155" s="399"/>
      <c r="CA155" s="399"/>
      <c r="CB155" s="399"/>
      <c r="CC155" s="399"/>
      <c r="CD155" s="399"/>
      <c r="CE155" s="399"/>
      <c r="CF155" s="399"/>
      <c r="CG155" s="399"/>
      <c r="CH155" s="399"/>
      <c r="CI155" s="399"/>
      <c r="CJ155" s="399">
        <v>-0.03</v>
      </c>
      <c r="CK155" s="399"/>
      <c r="CL155" s="399"/>
      <c r="CM155" s="399"/>
      <c r="CN155" s="399"/>
      <c r="CO155" s="399">
        <v>0</v>
      </c>
      <c r="CP155" s="399">
        <v>0</v>
      </c>
      <c r="CQ155" s="399">
        <v>31</v>
      </c>
      <c r="CR155" s="399"/>
      <c r="CS155" s="399"/>
      <c r="CT155" s="399"/>
      <c r="CU155" s="399"/>
      <c r="CV155" s="399"/>
      <c r="CW155" s="399"/>
      <c r="CX155" s="399"/>
      <c r="CY155" s="399"/>
      <c r="CZ155" s="399"/>
      <c r="DA155" s="399"/>
      <c r="DB155" s="399"/>
      <c r="DC155" s="399"/>
      <c r="DD155" s="399"/>
      <c r="DE155" s="399"/>
      <c r="DF155" s="399"/>
      <c r="DG155" s="399"/>
      <c r="DH155" s="399"/>
      <c r="DI155" s="399"/>
      <c r="DJ155" s="399"/>
      <c r="DK155" s="399">
        <v>0</v>
      </c>
      <c r="DL155" s="399"/>
      <c r="DM155" s="399"/>
      <c r="DN155" s="399"/>
      <c r="DO155" s="399"/>
      <c r="DP155" s="399"/>
      <c r="DQ155" s="399"/>
      <c r="DR155" s="399"/>
      <c r="DS155" s="399"/>
      <c r="DT155" s="399"/>
      <c r="DU155" s="399"/>
      <c r="DV155" s="399"/>
      <c r="DW155" s="399"/>
      <c r="DX155" s="399"/>
      <c r="DY155" s="399"/>
      <c r="DZ155" s="399"/>
      <c r="EA155" s="399"/>
      <c r="EB155" s="399"/>
      <c r="EC155" s="399"/>
      <c r="ED155" s="399"/>
      <c r="EE155" s="399"/>
      <c r="EF155" s="399"/>
      <c r="EG155" s="399"/>
      <c r="EH155" s="399"/>
      <c r="EI155" s="399"/>
      <c r="EJ155" s="399"/>
      <c r="EK155" s="399"/>
      <c r="EL155" s="399"/>
      <c r="EM155" s="399"/>
      <c r="EN155" s="399"/>
      <c r="EO155" s="399"/>
      <c r="EP155" s="399"/>
      <c r="EQ155" s="399"/>
      <c r="ER155" s="399"/>
      <c r="ES155" s="399"/>
      <c r="ET155" s="399"/>
      <c r="EU155" s="399"/>
      <c r="EV155" s="399">
        <v>202</v>
      </c>
      <c r="EW155" s="399"/>
      <c r="EX155" s="399"/>
      <c r="EY155" s="399"/>
      <c r="EZ155" s="399"/>
      <c r="FA155" s="399">
        <v>0</v>
      </c>
      <c r="FB155" s="399">
        <v>-17.698635468909799</v>
      </c>
      <c r="FC155" s="399"/>
      <c r="FD155" s="399">
        <v>-17.698635468909799</v>
      </c>
      <c r="FE155" s="399"/>
      <c r="FF155" s="399">
        <v>0</v>
      </c>
      <c r="FG155" s="399">
        <v>0</v>
      </c>
      <c r="FH155" s="399">
        <v>0</v>
      </c>
      <c r="FI155" s="399">
        <v>0</v>
      </c>
    </row>
    <row r="156" spans="1:165">
      <c r="A156" s="399">
        <v>148</v>
      </c>
      <c r="B156" s="399" t="s">
        <v>956</v>
      </c>
      <c r="C156" s="399" t="s">
        <v>2409</v>
      </c>
      <c r="D156" s="399" t="s">
        <v>1823</v>
      </c>
      <c r="E156" s="399" t="s">
        <v>889</v>
      </c>
      <c r="F156" s="399" t="s">
        <v>889</v>
      </c>
      <c r="G156" s="399" t="s">
        <v>1239</v>
      </c>
      <c r="H156" s="399" t="s">
        <v>1239</v>
      </c>
      <c r="I156" s="399" t="s">
        <v>2410</v>
      </c>
      <c r="J156" s="399" t="s">
        <v>2400</v>
      </c>
      <c r="K156" s="788">
        <v>44621</v>
      </c>
      <c r="L156" s="399">
        <v>0</v>
      </c>
      <c r="M156" s="399">
        <v>0</v>
      </c>
      <c r="N156" s="399">
        <v>2.8000000000000001E-2</v>
      </c>
      <c r="O156" s="399">
        <v>2.8000000000000001E-2</v>
      </c>
      <c r="P156" s="399">
        <v>2.8000000000000001E-2</v>
      </c>
      <c r="Q156" s="399">
        <v>2.8000000000000001E-2</v>
      </c>
      <c r="R156" s="399"/>
      <c r="S156" s="399">
        <v>960.47</v>
      </c>
      <c r="T156" s="399">
        <v>286.42</v>
      </c>
      <c r="U156" s="399"/>
      <c r="V156" s="399">
        <v>34.91292</v>
      </c>
      <c r="W156" s="399">
        <v>34.91292</v>
      </c>
      <c r="X156" s="399">
        <v>26.205479999999998</v>
      </c>
      <c r="Y156" s="399">
        <v>0</v>
      </c>
      <c r="Z156" s="399">
        <v>1.7041191711964419</v>
      </c>
      <c r="AA156" s="399">
        <v>0</v>
      </c>
      <c r="AB156" s="399">
        <v>0</v>
      </c>
      <c r="AC156" s="399">
        <v>0</v>
      </c>
      <c r="AD156" s="399">
        <v>4.7578807056793035</v>
      </c>
      <c r="AE156" s="399">
        <v>18.377770605700238</v>
      </c>
      <c r="AF156" s="399">
        <v>8.0198536668276876</v>
      </c>
      <c r="AG156" s="399">
        <v>0</v>
      </c>
      <c r="AH156" s="399">
        <v>0</v>
      </c>
      <c r="AI156" s="399">
        <v>0</v>
      </c>
      <c r="AJ156" s="399">
        <v>0</v>
      </c>
      <c r="AK156" s="399">
        <v>0</v>
      </c>
      <c r="AL156" s="399">
        <v>0.2633648907339422</v>
      </c>
      <c r="AM156" s="399"/>
      <c r="AN156" s="399">
        <v>4.7819451859030325E-2</v>
      </c>
      <c r="AO156" s="399">
        <v>0</v>
      </c>
      <c r="AP156" s="399">
        <v>0</v>
      </c>
      <c r="AQ156" s="399">
        <v>0</v>
      </c>
      <c r="AR156" s="399">
        <v>0</v>
      </c>
      <c r="AS156" s="399">
        <v>0</v>
      </c>
      <c r="AT156" s="399">
        <v>0</v>
      </c>
      <c r="AU156" s="399">
        <v>0</v>
      </c>
      <c r="AV156" s="399">
        <v>0</v>
      </c>
      <c r="AW156" s="399">
        <v>0</v>
      </c>
      <c r="AX156" s="399">
        <v>0</v>
      </c>
      <c r="AY156" s="399">
        <v>0</v>
      </c>
      <c r="AZ156" s="399">
        <v>0</v>
      </c>
      <c r="BA156" s="399"/>
      <c r="BB156" s="399">
        <v>0</v>
      </c>
      <c r="BC156" s="399">
        <v>0</v>
      </c>
      <c r="BD156" s="399">
        <v>0</v>
      </c>
      <c r="BE156" s="399">
        <v>0</v>
      </c>
      <c r="BF156" s="399">
        <v>0</v>
      </c>
      <c r="BG156" s="399">
        <v>0.93862492808499243</v>
      </c>
      <c r="BH156" s="399">
        <v>0</v>
      </c>
      <c r="BI156" s="399">
        <v>0</v>
      </c>
      <c r="BJ156" s="399">
        <v>0</v>
      </c>
      <c r="BK156" s="399">
        <v>0</v>
      </c>
      <c r="BL156" s="399">
        <v>0</v>
      </c>
      <c r="BM156" s="399"/>
      <c r="BN156" s="399"/>
      <c r="BO156" s="399"/>
      <c r="BP156" s="399"/>
      <c r="BQ156" s="399"/>
      <c r="BR156" s="399"/>
      <c r="BS156" s="399"/>
      <c r="BT156" s="399"/>
      <c r="BU156" s="399"/>
      <c r="BV156" s="399">
        <v>8.9584785949126804</v>
      </c>
      <c r="BW156" s="399"/>
      <c r="BX156" s="399"/>
      <c r="BY156" s="399"/>
      <c r="BZ156" s="399"/>
      <c r="CA156" s="399"/>
      <c r="CB156" s="399"/>
      <c r="CC156" s="399"/>
      <c r="CD156" s="399"/>
      <c r="CE156" s="399"/>
      <c r="CF156" s="399"/>
      <c r="CG156" s="399"/>
      <c r="CH156" s="399"/>
      <c r="CI156" s="399">
        <v>28.077299999999997</v>
      </c>
      <c r="CJ156" s="399">
        <v>-6.8656200000000034</v>
      </c>
      <c r="CK156" s="399"/>
      <c r="CL156" s="399"/>
      <c r="CM156" s="399"/>
      <c r="CN156" s="399"/>
      <c r="CO156" s="399">
        <v>-6.8924800000000026</v>
      </c>
      <c r="CP156" s="399">
        <v>-1.8149600000000006</v>
      </c>
      <c r="CQ156" s="399">
        <v>31</v>
      </c>
      <c r="CR156" s="399">
        <v>-2.0016598349337986</v>
      </c>
      <c r="CS156" s="399">
        <v>0</v>
      </c>
      <c r="CT156" s="399">
        <v>0</v>
      </c>
      <c r="CU156" s="399">
        <v>0</v>
      </c>
      <c r="CV156" s="399">
        <v>0</v>
      </c>
      <c r="CW156" s="399">
        <v>0</v>
      </c>
      <c r="CX156" s="399">
        <v>0</v>
      </c>
      <c r="CY156" s="399">
        <v>0</v>
      </c>
      <c r="CZ156" s="399">
        <v>0.1632757514981602</v>
      </c>
      <c r="DA156" s="399">
        <v>0</v>
      </c>
      <c r="DB156" s="399">
        <v>0</v>
      </c>
      <c r="DC156" s="399">
        <v>-1.8151495456370075</v>
      </c>
      <c r="DD156" s="399">
        <v>0</v>
      </c>
      <c r="DE156" s="399">
        <v>0</v>
      </c>
      <c r="DF156" s="399">
        <v>0</v>
      </c>
      <c r="DG156" s="399">
        <v>-0.21244086020973207</v>
      </c>
      <c r="DH156" s="399">
        <v>0</v>
      </c>
      <c r="DI156" s="399">
        <v>-0.11822522997886975</v>
      </c>
      <c r="DJ156" s="399"/>
      <c r="DK156" s="399">
        <v>0</v>
      </c>
      <c r="DL156" s="399">
        <v>0</v>
      </c>
      <c r="DM156" s="399">
        <v>0</v>
      </c>
      <c r="DN156" s="399">
        <v>0</v>
      </c>
      <c r="DO156" s="399">
        <v>-1.5071924619575044E-2</v>
      </c>
      <c r="DP156" s="399">
        <v>-4.048025986774284E-3</v>
      </c>
      <c r="DQ156" s="399">
        <v>0</v>
      </c>
      <c r="DR156" s="399">
        <v>0</v>
      </c>
      <c r="DS156" s="399"/>
      <c r="DT156" s="399"/>
      <c r="DU156" s="399"/>
      <c r="DV156" s="399">
        <v>18.377770605700238</v>
      </c>
      <c r="DW156" s="399">
        <v>0</v>
      </c>
      <c r="DX156" s="399">
        <v>0</v>
      </c>
      <c r="DY156" s="399">
        <v>-6.8924800000000026</v>
      </c>
      <c r="DZ156" s="399">
        <v>-1.8149600000000001</v>
      </c>
      <c r="EA156" s="399">
        <v>0</v>
      </c>
      <c r="EB156" s="399">
        <v>0</v>
      </c>
      <c r="EC156" s="399">
        <v>-6.7060506620808091</v>
      </c>
      <c r="ED156" s="399">
        <v>0</v>
      </c>
      <c r="EE156" s="399">
        <v>0</v>
      </c>
      <c r="EF156" s="399">
        <v>0</v>
      </c>
      <c r="EG156" s="399">
        <v>0</v>
      </c>
      <c r="EH156" s="399">
        <v>0</v>
      </c>
      <c r="EI156" s="399">
        <v>0</v>
      </c>
      <c r="EJ156" s="399">
        <v>0</v>
      </c>
      <c r="EK156" s="399">
        <v>0</v>
      </c>
      <c r="EL156" s="399">
        <v>0</v>
      </c>
      <c r="EM156" s="399">
        <v>0</v>
      </c>
      <c r="EN156" s="399">
        <v>0</v>
      </c>
      <c r="EO156" s="399">
        <v>0</v>
      </c>
      <c r="EP156" s="399">
        <v>0.80355049563412673</v>
      </c>
      <c r="EQ156" s="399">
        <v>0</v>
      </c>
      <c r="ER156" s="399">
        <v>0</v>
      </c>
      <c r="ES156" s="399">
        <v>0</v>
      </c>
      <c r="ET156" s="399">
        <v>0</v>
      </c>
      <c r="EU156" s="399">
        <v>0</v>
      </c>
      <c r="EV156" s="399">
        <v>202</v>
      </c>
      <c r="EW156" s="399">
        <v>0</v>
      </c>
      <c r="EX156" s="399">
        <v>0</v>
      </c>
      <c r="EY156" s="399">
        <v>0</v>
      </c>
      <c r="EZ156" s="399"/>
      <c r="FA156" s="399">
        <v>0</v>
      </c>
      <c r="FB156" s="399">
        <v>-17.698635468909799</v>
      </c>
      <c r="FC156" s="399"/>
      <c r="FD156" s="399">
        <v>-17.698635468909799</v>
      </c>
      <c r="FE156" s="399"/>
      <c r="FF156" s="399">
        <v>0</v>
      </c>
      <c r="FG156" s="399">
        <v>0</v>
      </c>
      <c r="FH156" s="399">
        <v>0</v>
      </c>
      <c r="FI156" s="399">
        <v>0</v>
      </c>
    </row>
    <row r="157" spans="1:165">
      <c r="A157" s="399">
        <v>160</v>
      </c>
      <c r="B157" s="399" t="s">
        <v>956</v>
      </c>
      <c r="C157" s="399" t="s">
        <v>2402</v>
      </c>
      <c r="D157" s="399" t="s">
        <v>1823</v>
      </c>
      <c r="E157" s="399" t="s">
        <v>889</v>
      </c>
      <c r="F157" s="399" t="s">
        <v>889</v>
      </c>
      <c r="G157" s="399" t="s">
        <v>1239</v>
      </c>
      <c r="H157" s="399" t="s">
        <v>1239</v>
      </c>
      <c r="I157" s="399" t="s">
        <v>1239</v>
      </c>
      <c r="J157" s="399" t="s">
        <v>2400</v>
      </c>
      <c r="K157" s="788">
        <v>44652</v>
      </c>
      <c r="L157" s="399">
        <v>0</v>
      </c>
      <c r="M157" s="399">
        <v>0</v>
      </c>
      <c r="N157" s="399">
        <v>454.63400000000001</v>
      </c>
      <c r="O157" s="399">
        <v>454.63400000000001</v>
      </c>
      <c r="P157" s="399">
        <v>454.63400000000001</v>
      </c>
      <c r="Q157" s="399">
        <v>454.63400000000001</v>
      </c>
      <c r="R157" s="399"/>
      <c r="S157" s="399">
        <v>609.05999999999995</v>
      </c>
      <c r="T157" s="399">
        <v>286.42</v>
      </c>
      <c r="U157" s="399"/>
      <c r="V157" s="399">
        <v>407115.65431999997</v>
      </c>
      <c r="W157" s="399">
        <v>407115.65431999997</v>
      </c>
      <c r="X157" s="399">
        <v>310910.55358000001</v>
      </c>
      <c r="Y157" s="399">
        <v>0</v>
      </c>
      <c r="Z157" s="399">
        <v>27669.661259918685</v>
      </c>
      <c r="AA157" s="399">
        <v>0</v>
      </c>
      <c r="AB157" s="399">
        <v>0</v>
      </c>
      <c r="AC157" s="399">
        <v>0</v>
      </c>
      <c r="AD157" s="399">
        <v>44395.987542714895</v>
      </c>
      <c r="AE157" s="399">
        <v>171493.39822339817</v>
      </c>
      <c r="AF157" s="399">
        <v>130217.79114159067</v>
      </c>
      <c r="AG157" s="399">
        <v>0</v>
      </c>
      <c r="AH157" s="399">
        <v>0</v>
      </c>
      <c r="AI157" s="399">
        <v>0</v>
      </c>
      <c r="AJ157" s="399">
        <v>0</v>
      </c>
      <c r="AK157" s="399">
        <v>0</v>
      </c>
      <c r="AL157" s="399">
        <v>4276.2369190691106</v>
      </c>
      <c r="AM157" s="399"/>
      <c r="AN157" s="399">
        <v>776.44102415994257</v>
      </c>
      <c r="AO157" s="399">
        <v>0</v>
      </c>
      <c r="AP157" s="399">
        <v>0</v>
      </c>
      <c r="AQ157" s="399">
        <v>0</v>
      </c>
      <c r="AR157" s="399">
        <v>0</v>
      </c>
      <c r="AS157" s="399">
        <v>0</v>
      </c>
      <c r="AT157" s="399">
        <v>0</v>
      </c>
      <c r="AU157" s="399">
        <v>0</v>
      </c>
      <c r="AV157" s="399">
        <v>0</v>
      </c>
      <c r="AW157" s="399">
        <v>0</v>
      </c>
      <c r="AX157" s="399">
        <v>0</v>
      </c>
      <c r="AY157" s="399">
        <v>0</v>
      </c>
      <c r="AZ157" s="399">
        <v>0</v>
      </c>
      <c r="BA157" s="399"/>
      <c r="BB157" s="399">
        <v>0</v>
      </c>
      <c r="BC157" s="399">
        <v>0</v>
      </c>
      <c r="BD157" s="399">
        <v>0</v>
      </c>
      <c r="BE157" s="399">
        <v>0</v>
      </c>
      <c r="BF157" s="399">
        <v>0</v>
      </c>
      <c r="BG157" s="399">
        <v>15240.385912678303</v>
      </c>
      <c r="BH157" s="399">
        <v>0</v>
      </c>
      <c r="BI157" s="399">
        <v>1762.15</v>
      </c>
      <c r="BJ157" s="399">
        <v>8215.77</v>
      </c>
      <c r="BK157" s="399">
        <v>75605.259999999995</v>
      </c>
      <c r="BL157" s="399">
        <v>3280</v>
      </c>
      <c r="BM157" s="399"/>
      <c r="BN157" s="399"/>
      <c r="BO157" s="399"/>
      <c r="BP157" s="399"/>
      <c r="BQ157" s="399"/>
      <c r="BR157" s="399"/>
      <c r="BS157" s="399"/>
      <c r="BT157" s="399"/>
      <c r="BU157" s="399"/>
      <c r="BV157" s="399">
        <v>145458.17705426898</v>
      </c>
      <c r="BW157" s="399"/>
      <c r="BX157" s="399"/>
      <c r="BY157" s="399"/>
      <c r="BZ157" s="399"/>
      <c r="CA157" s="399"/>
      <c r="CB157" s="399"/>
      <c r="CC157" s="399"/>
      <c r="CD157" s="399"/>
      <c r="CE157" s="399"/>
      <c r="CF157" s="399"/>
      <c r="CG157" s="399"/>
      <c r="CH157" s="399"/>
      <c r="CI157" s="399">
        <v>310907.81810000003</v>
      </c>
      <c r="CJ157" s="399">
        <v>-96207.866219999967</v>
      </c>
      <c r="CK157" s="399"/>
      <c r="CL157" s="399"/>
      <c r="CM157" s="399"/>
      <c r="CN157" s="399"/>
      <c r="CO157" s="399">
        <v>-66735.724859999988</v>
      </c>
      <c r="CP157" s="399">
        <v>-29469.375880000011</v>
      </c>
      <c r="CQ157" s="399">
        <v>30</v>
      </c>
      <c r="CR157" s="399">
        <v>-33628.37148612694</v>
      </c>
      <c r="CS157" s="399">
        <v>0</v>
      </c>
      <c r="CT157" s="399">
        <v>0</v>
      </c>
      <c r="CU157" s="399">
        <v>0</v>
      </c>
      <c r="CV157" s="399">
        <v>0</v>
      </c>
      <c r="CW157" s="399">
        <v>0</v>
      </c>
      <c r="CX157" s="399">
        <v>0</v>
      </c>
      <c r="CY157" s="399">
        <v>0</v>
      </c>
      <c r="CZ157" s="399">
        <v>1523.5329925125916</v>
      </c>
      <c r="DA157" s="399">
        <v>0</v>
      </c>
      <c r="DB157" s="399">
        <v>0</v>
      </c>
      <c r="DC157" s="399">
        <v>-29472.453518969109</v>
      </c>
      <c r="DD157" s="399">
        <v>0</v>
      </c>
      <c r="DE157" s="399">
        <v>0</v>
      </c>
      <c r="DF157" s="399">
        <v>0</v>
      </c>
      <c r="DG157" s="399">
        <v>-3449.3870728782622</v>
      </c>
      <c r="DH157" s="399">
        <v>0</v>
      </c>
      <c r="DI157" s="399">
        <v>-1919.6146145076236</v>
      </c>
      <c r="DJ157" s="399"/>
      <c r="DK157" s="399">
        <v>0</v>
      </c>
      <c r="DL157" s="399">
        <v>0</v>
      </c>
      <c r="DM157" s="399">
        <v>0</v>
      </c>
      <c r="DN157" s="399">
        <v>0</v>
      </c>
      <c r="DO157" s="399">
        <v>-244.72176348199628</v>
      </c>
      <c r="DP157" s="399">
        <v>-65.727508802540683</v>
      </c>
      <c r="DQ157" s="399">
        <v>0</v>
      </c>
      <c r="DR157" s="399">
        <v>0</v>
      </c>
      <c r="DS157" s="399"/>
      <c r="DT157" s="399"/>
      <c r="DU157" s="399"/>
      <c r="DV157" s="399">
        <v>171493.39822339817</v>
      </c>
      <c r="DW157" s="399">
        <v>0</v>
      </c>
      <c r="DX157" s="399">
        <v>0</v>
      </c>
      <c r="DY157" s="399">
        <v>-66735.724859999988</v>
      </c>
      <c r="DZ157" s="399">
        <v>-29469.375880000007</v>
      </c>
      <c r="EA157" s="399">
        <v>0</v>
      </c>
      <c r="EB157" s="399">
        <v>0</v>
      </c>
      <c r="EC157" s="399">
        <v>-62577.961243122438</v>
      </c>
      <c r="ED157" s="399">
        <v>0</v>
      </c>
      <c r="EE157" s="399">
        <v>0</v>
      </c>
      <c r="EF157" s="399">
        <v>0</v>
      </c>
      <c r="EG157" s="399">
        <v>0</v>
      </c>
      <c r="EH157" s="399">
        <v>0</v>
      </c>
      <c r="EI157" s="399">
        <v>0</v>
      </c>
      <c r="EJ157" s="399">
        <v>0</v>
      </c>
      <c r="EK157" s="399">
        <v>0</v>
      </c>
      <c r="EL157" s="399">
        <v>0</v>
      </c>
      <c r="EM157" s="399">
        <v>0</v>
      </c>
      <c r="EN157" s="399">
        <v>0</v>
      </c>
      <c r="EO157" s="399">
        <v>0</v>
      </c>
      <c r="EP157" s="399">
        <v>13047.192001147343</v>
      </c>
      <c r="EQ157" s="399">
        <v>0</v>
      </c>
      <c r="ER157" s="399">
        <v>0</v>
      </c>
      <c r="ES157" s="399">
        <v>0</v>
      </c>
      <c r="ET157" s="399">
        <v>0</v>
      </c>
      <c r="EU157" s="399">
        <v>0</v>
      </c>
      <c r="EV157" s="399">
        <v>202</v>
      </c>
      <c r="EW157" s="399">
        <v>0</v>
      </c>
      <c r="EX157" s="399">
        <v>0</v>
      </c>
      <c r="EY157" s="399">
        <v>0</v>
      </c>
      <c r="EZ157" s="399"/>
      <c r="FA157" s="399">
        <v>0</v>
      </c>
      <c r="FB157" s="399">
        <v>-17.698635468909799</v>
      </c>
      <c r="FC157" s="399"/>
      <c r="FD157" s="399">
        <v>-17.698635468909799</v>
      </c>
      <c r="FE157" s="399"/>
      <c r="FF157" s="399">
        <v>0</v>
      </c>
      <c r="FG157" s="399">
        <v>0</v>
      </c>
      <c r="FH157" s="399">
        <v>0</v>
      </c>
      <c r="FI157" s="399">
        <v>0</v>
      </c>
    </row>
    <row r="158" spans="1:165">
      <c r="A158" s="399">
        <v>161</v>
      </c>
      <c r="B158" s="399" t="s">
        <v>2403</v>
      </c>
      <c r="C158" s="399" t="s">
        <v>2402</v>
      </c>
      <c r="D158" s="399" t="s">
        <v>1823</v>
      </c>
      <c r="E158" s="399" t="s">
        <v>889</v>
      </c>
      <c r="F158" s="399" t="s">
        <v>889</v>
      </c>
      <c r="G158" s="399" t="s">
        <v>1239</v>
      </c>
      <c r="H158" s="399" t="s">
        <v>1239</v>
      </c>
      <c r="I158" s="399" t="s">
        <v>1239</v>
      </c>
      <c r="J158" s="399" t="s">
        <v>2400</v>
      </c>
      <c r="K158" s="788">
        <v>44652</v>
      </c>
      <c r="L158" s="399">
        <v>0</v>
      </c>
      <c r="M158" s="399">
        <v>0</v>
      </c>
      <c r="N158" s="399">
        <v>-0.56000000000000005</v>
      </c>
      <c r="O158" s="399">
        <v>-0.56000000000000005</v>
      </c>
      <c r="P158" s="399">
        <v>-0.56000000000000005</v>
      </c>
      <c r="Q158" s="399">
        <v>-0.56000000000000005</v>
      </c>
      <c r="R158" s="399"/>
      <c r="S158" s="399">
        <v>609.05999999999995</v>
      </c>
      <c r="T158" s="399">
        <v>286.42</v>
      </c>
      <c r="U158" s="399"/>
      <c r="V158" s="399">
        <v>-501.46879999999999</v>
      </c>
      <c r="W158" s="399">
        <v>-501.46879999999999</v>
      </c>
      <c r="X158" s="399">
        <v>-382.96719999999999</v>
      </c>
      <c r="Y158" s="399">
        <v>0</v>
      </c>
      <c r="Z158" s="399">
        <v>-34.082383423928839</v>
      </c>
      <c r="AA158" s="399">
        <v>0</v>
      </c>
      <c r="AB158" s="399">
        <v>0</v>
      </c>
      <c r="AC158" s="399">
        <v>0</v>
      </c>
      <c r="AD158" s="399">
        <v>-54.685203974890449</v>
      </c>
      <c r="AE158" s="399">
        <v>-211.23871730909474</v>
      </c>
      <c r="AF158" s="399">
        <v>-160.39707333655375</v>
      </c>
      <c r="AG158" s="399">
        <v>0</v>
      </c>
      <c r="AH158" s="399">
        <v>0</v>
      </c>
      <c r="AI158" s="399">
        <v>0</v>
      </c>
      <c r="AJ158" s="399">
        <v>0</v>
      </c>
      <c r="AK158" s="399">
        <v>0</v>
      </c>
      <c r="AL158" s="399">
        <v>-5.2672978146788445</v>
      </c>
      <c r="AM158" s="399"/>
      <c r="AN158" s="399">
        <v>-0.95638903718060653</v>
      </c>
      <c r="AO158" s="399">
        <v>0</v>
      </c>
      <c r="AP158" s="399">
        <v>0</v>
      </c>
      <c r="AQ158" s="399">
        <v>0</v>
      </c>
      <c r="AR158" s="399">
        <v>0</v>
      </c>
      <c r="AS158" s="399">
        <v>0</v>
      </c>
      <c r="AT158" s="399">
        <v>0</v>
      </c>
      <c r="AU158" s="399">
        <v>0</v>
      </c>
      <c r="AV158" s="399">
        <v>0</v>
      </c>
      <c r="AW158" s="399">
        <v>0</v>
      </c>
      <c r="AX158" s="399">
        <v>0</v>
      </c>
      <c r="AY158" s="399">
        <v>0</v>
      </c>
      <c r="AZ158" s="399">
        <v>0</v>
      </c>
      <c r="BA158" s="399"/>
      <c r="BB158" s="399">
        <v>0</v>
      </c>
      <c r="BC158" s="399">
        <v>0</v>
      </c>
      <c r="BD158" s="399">
        <v>0</v>
      </c>
      <c r="BE158" s="399">
        <v>0</v>
      </c>
      <c r="BF158" s="399">
        <v>0</v>
      </c>
      <c r="BG158" s="399">
        <v>-18.772498561699852</v>
      </c>
      <c r="BH158" s="399">
        <v>0</v>
      </c>
      <c r="BI158" s="399">
        <v>-2.7</v>
      </c>
      <c r="BJ158" s="399">
        <v>-12.88</v>
      </c>
      <c r="BK158" s="399">
        <v>-194.34</v>
      </c>
      <c r="BL158" s="399">
        <v>0</v>
      </c>
      <c r="BM158" s="399"/>
      <c r="BN158" s="399"/>
      <c r="BO158" s="399"/>
      <c r="BP158" s="399"/>
      <c r="BQ158" s="399"/>
      <c r="BR158" s="399"/>
      <c r="BS158" s="399"/>
      <c r="BT158" s="399"/>
      <c r="BU158" s="399"/>
      <c r="BV158" s="399">
        <v>-179.16957189825359</v>
      </c>
      <c r="BW158" s="399"/>
      <c r="BX158" s="399"/>
      <c r="BY158" s="399"/>
      <c r="BZ158" s="399"/>
      <c r="CA158" s="399"/>
      <c r="CB158" s="399"/>
      <c r="CC158" s="399"/>
      <c r="CD158" s="399"/>
      <c r="CE158" s="399"/>
      <c r="CF158" s="399"/>
      <c r="CG158" s="399"/>
      <c r="CH158" s="399"/>
      <c r="CI158" s="399">
        <v>-382.96719999999999</v>
      </c>
      <c r="CJ158" s="399">
        <v>118.47160000000002</v>
      </c>
      <c r="CK158" s="399"/>
      <c r="CL158" s="399"/>
      <c r="CM158" s="399"/>
      <c r="CN158" s="399"/>
      <c r="CO158" s="399">
        <v>82.202399999999983</v>
      </c>
      <c r="CP158" s="399">
        <v>36.299200000000013</v>
      </c>
      <c r="CQ158" s="399">
        <v>30</v>
      </c>
      <c r="CR158" s="399">
        <v>41.422084648818753</v>
      </c>
      <c r="CS158" s="399">
        <v>0</v>
      </c>
      <c r="CT158" s="399">
        <v>0</v>
      </c>
      <c r="CU158" s="399">
        <v>0</v>
      </c>
      <c r="CV158" s="399">
        <v>0</v>
      </c>
      <c r="CW158" s="399">
        <v>0</v>
      </c>
      <c r="CX158" s="399">
        <v>0</v>
      </c>
      <c r="CY158" s="399">
        <v>0</v>
      </c>
      <c r="CZ158" s="399">
        <v>-1.8766270798203522</v>
      </c>
      <c r="DA158" s="399">
        <v>0</v>
      </c>
      <c r="DB158" s="399">
        <v>0</v>
      </c>
      <c r="DC158" s="399">
        <v>36.302990912740128</v>
      </c>
      <c r="DD158" s="399">
        <v>0</v>
      </c>
      <c r="DE158" s="399">
        <v>0</v>
      </c>
      <c r="DF158" s="399">
        <v>0</v>
      </c>
      <c r="DG158" s="399">
        <v>4.2488172041946424</v>
      </c>
      <c r="DH158" s="399">
        <v>0</v>
      </c>
      <c r="DI158" s="399">
        <v>2.3645045995773941</v>
      </c>
      <c r="DJ158" s="399"/>
      <c r="DK158" s="399">
        <v>0</v>
      </c>
      <c r="DL158" s="399">
        <v>0</v>
      </c>
      <c r="DM158" s="399">
        <v>0</v>
      </c>
      <c r="DN158" s="399">
        <v>0</v>
      </c>
      <c r="DO158" s="399">
        <v>0.301438492391501</v>
      </c>
      <c r="DP158" s="399">
        <v>8.096051973548557E-2</v>
      </c>
      <c r="DQ158" s="399">
        <v>0</v>
      </c>
      <c r="DR158" s="399">
        <v>0</v>
      </c>
      <c r="DS158" s="399"/>
      <c r="DT158" s="399"/>
      <c r="DU158" s="399"/>
      <c r="DV158" s="399">
        <v>-211.23871730909474</v>
      </c>
      <c r="DW158" s="399">
        <v>0</v>
      </c>
      <c r="DX158" s="399">
        <v>0</v>
      </c>
      <c r="DY158" s="399">
        <v>82.202400000000011</v>
      </c>
      <c r="DZ158" s="399">
        <v>36.299200000000013</v>
      </c>
      <c r="EA158" s="399">
        <v>0</v>
      </c>
      <c r="EB158" s="399">
        <v>0</v>
      </c>
      <c r="EC158" s="399">
        <v>77.081032866324477</v>
      </c>
      <c r="ED158" s="399">
        <v>0</v>
      </c>
      <c r="EE158" s="399">
        <v>0</v>
      </c>
      <c r="EF158" s="399">
        <v>0</v>
      </c>
      <c r="EG158" s="399">
        <v>0</v>
      </c>
      <c r="EH158" s="399">
        <v>0</v>
      </c>
      <c r="EI158" s="399">
        <v>0</v>
      </c>
      <c r="EJ158" s="399">
        <v>0</v>
      </c>
      <c r="EK158" s="399">
        <v>0</v>
      </c>
      <c r="EL158" s="399">
        <v>0</v>
      </c>
      <c r="EM158" s="399">
        <v>0</v>
      </c>
      <c r="EN158" s="399">
        <v>0</v>
      </c>
      <c r="EO158" s="399">
        <v>0</v>
      </c>
      <c r="EP158" s="399">
        <v>-16.071009912682538</v>
      </c>
      <c r="EQ158" s="399">
        <v>0</v>
      </c>
      <c r="ER158" s="399">
        <v>0</v>
      </c>
      <c r="ES158" s="399">
        <v>0</v>
      </c>
      <c r="ET158" s="399">
        <v>0</v>
      </c>
      <c r="EU158" s="399">
        <v>0</v>
      </c>
      <c r="EV158" s="399">
        <v>202</v>
      </c>
      <c r="EW158" s="399">
        <v>0</v>
      </c>
      <c r="EX158" s="399">
        <v>0</v>
      </c>
      <c r="EY158" s="399">
        <v>0</v>
      </c>
      <c r="EZ158" s="399"/>
      <c r="FA158" s="399">
        <v>0</v>
      </c>
      <c r="FB158" s="399">
        <v>-17.698635468909799</v>
      </c>
      <c r="FC158" s="399"/>
      <c r="FD158" s="399">
        <v>-17.698635468909799</v>
      </c>
      <c r="FE158" s="399"/>
      <c r="FF158" s="399">
        <v>0</v>
      </c>
      <c r="FG158" s="399">
        <v>0</v>
      </c>
      <c r="FH158" s="399">
        <v>0</v>
      </c>
      <c r="FI158" s="399">
        <v>0</v>
      </c>
    </row>
    <row r="159" spans="1:165">
      <c r="A159" s="399">
        <v>153</v>
      </c>
      <c r="B159" s="399" t="s">
        <v>956</v>
      </c>
      <c r="C159" s="399" t="s">
        <v>2402</v>
      </c>
      <c r="D159" s="399" t="s">
        <v>2411</v>
      </c>
      <c r="E159" s="399" t="s">
        <v>894</v>
      </c>
      <c r="F159" s="399" t="s">
        <v>1239</v>
      </c>
      <c r="G159" s="399" t="s">
        <v>1239</v>
      </c>
      <c r="H159" s="399" t="s">
        <v>1239</v>
      </c>
      <c r="I159" s="399" t="s">
        <v>1239</v>
      </c>
      <c r="J159" s="399" t="s">
        <v>2400</v>
      </c>
      <c r="K159" s="788">
        <v>44621</v>
      </c>
      <c r="L159" s="399">
        <v>0</v>
      </c>
      <c r="M159" s="399">
        <v>0</v>
      </c>
      <c r="N159" s="399">
        <v>132.58600000000001</v>
      </c>
      <c r="O159" s="399">
        <v>132.58600000000001</v>
      </c>
      <c r="P159" s="399">
        <v>132.58600000000001</v>
      </c>
      <c r="Q159" s="399">
        <v>132.58600000000001</v>
      </c>
      <c r="R159" s="399"/>
      <c r="S159" s="399">
        <v>609.05999999999995</v>
      </c>
      <c r="T159" s="399">
        <v>286.42</v>
      </c>
      <c r="U159" s="399"/>
      <c r="V159" s="399">
        <v>118728.11128</v>
      </c>
      <c r="W159" s="399">
        <v>118728.11128</v>
      </c>
      <c r="X159" s="399">
        <v>90671.587820000001</v>
      </c>
      <c r="Y159" s="399">
        <v>0</v>
      </c>
      <c r="Z159" s="399">
        <v>8069.3694440089812</v>
      </c>
      <c r="AA159" s="399">
        <v>0</v>
      </c>
      <c r="AB159" s="399">
        <v>0</v>
      </c>
      <c r="AC159" s="399">
        <v>0</v>
      </c>
      <c r="AD159" s="399">
        <v>12947.307953955045</v>
      </c>
      <c r="AE159" s="399">
        <v>50013.029594899352</v>
      </c>
      <c r="AF159" s="399">
        <v>37975.725652500565</v>
      </c>
      <c r="AG159" s="399">
        <v>0</v>
      </c>
      <c r="AH159" s="399">
        <v>0</v>
      </c>
      <c r="AI159" s="399">
        <v>0</v>
      </c>
      <c r="AJ159" s="399">
        <v>0</v>
      </c>
      <c r="AK159" s="399">
        <v>0</v>
      </c>
      <c r="AL159" s="399">
        <v>1247.0891929589452</v>
      </c>
      <c r="AM159" s="399"/>
      <c r="AN159" s="399">
        <v>226.43535157790694</v>
      </c>
      <c r="AO159" s="399">
        <v>0</v>
      </c>
      <c r="AP159" s="399">
        <v>0</v>
      </c>
      <c r="AQ159" s="399">
        <v>0</v>
      </c>
      <c r="AR159" s="399">
        <v>0</v>
      </c>
      <c r="AS159" s="399">
        <v>0</v>
      </c>
      <c r="AT159" s="399">
        <v>0</v>
      </c>
      <c r="AU159" s="399">
        <v>0</v>
      </c>
      <c r="AV159" s="399">
        <v>0</v>
      </c>
      <c r="AW159" s="399">
        <v>0</v>
      </c>
      <c r="AX159" s="399">
        <v>0</v>
      </c>
      <c r="AY159" s="399">
        <v>0</v>
      </c>
      <c r="AZ159" s="399">
        <v>0</v>
      </c>
      <c r="BA159" s="399"/>
      <c r="BB159" s="399">
        <v>0</v>
      </c>
      <c r="BC159" s="399">
        <v>0</v>
      </c>
      <c r="BD159" s="399">
        <v>0</v>
      </c>
      <c r="BE159" s="399">
        <v>0</v>
      </c>
      <c r="BF159" s="399">
        <v>0</v>
      </c>
      <c r="BG159" s="399">
        <v>4444.5901683956008</v>
      </c>
      <c r="BH159" s="399">
        <v>0</v>
      </c>
      <c r="BI159" s="399">
        <v>370.9</v>
      </c>
      <c r="BJ159" s="399">
        <v>1719.54</v>
      </c>
      <c r="BK159" s="399">
        <v>3343.99</v>
      </c>
      <c r="BL159" s="399">
        <v>332</v>
      </c>
      <c r="BM159" s="399"/>
      <c r="BN159" s="399"/>
      <c r="BO159" s="399"/>
      <c r="BP159" s="399"/>
      <c r="BQ159" s="399"/>
      <c r="BR159" s="399">
        <v>10881.333019999996</v>
      </c>
      <c r="BS159" s="399"/>
      <c r="BT159" s="399"/>
      <c r="BU159" s="399"/>
      <c r="BV159" s="399">
        <v>42420.315820896169</v>
      </c>
      <c r="BW159" s="399"/>
      <c r="BX159" s="399"/>
      <c r="BY159" s="399"/>
      <c r="BZ159" s="399"/>
      <c r="CA159" s="399"/>
      <c r="CB159" s="399"/>
      <c r="CC159" s="399"/>
      <c r="CD159" s="399"/>
      <c r="CE159" s="399"/>
      <c r="CF159" s="399"/>
      <c r="CG159" s="399"/>
      <c r="CH159" s="399"/>
      <c r="CI159" s="399">
        <v>79792.661999999997</v>
      </c>
      <c r="CJ159" s="399">
        <v>-24687.787720000008</v>
      </c>
      <c r="CK159" s="399"/>
      <c r="CL159" s="399"/>
      <c r="CM159" s="399"/>
      <c r="CN159" s="399"/>
      <c r="CO159" s="399">
        <v>-19462.298939999997</v>
      </c>
      <c r="CP159" s="399">
        <v>-8594.2245200000034</v>
      </c>
      <c r="CQ159" s="399">
        <v>31</v>
      </c>
      <c r="CR159" s="399">
        <v>-9807.122348657671</v>
      </c>
      <c r="CS159" s="399">
        <v>0</v>
      </c>
      <c r="CT159" s="399">
        <v>0</v>
      </c>
      <c r="CU159" s="399">
        <v>0</v>
      </c>
      <c r="CV159" s="399">
        <v>0</v>
      </c>
      <c r="CW159" s="399">
        <v>0</v>
      </c>
      <c r="CX159" s="399">
        <v>0</v>
      </c>
      <c r="CY159" s="399">
        <v>0</v>
      </c>
      <c r="CZ159" s="399">
        <v>444.31156786618158</v>
      </c>
      <c r="DA159" s="399">
        <v>0</v>
      </c>
      <c r="DB159" s="399">
        <v>0</v>
      </c>
      <c r="DC159" s="399">
        <v>-8595.1220592081518</v>
      </c>
      <c r="DD159" s="399">
        <v>0</v>
      </c>
      <c r="DE159" s="399">
        <v>0</v>
      </c>
      <c r="DF159" s="399">
        <v>0</v>
      </c>
      <c r="DG159" s="399">
        <v>-1005.9529961345552</v>
      </c>
      <c r="DH159" s="399">
        <v>0</v>
      </c>
      <c r="DI159" s="399">
        <v>-559.82179792780153</v>
      </c>
      <c r="DJ159" s="399"/>
      <c r="DK159" s="399">
        <v>0</v>
      </c>
      <c r="DL159" s="399">
        <v>0</v>
      </c>
      <c r="DM159" s="399">
        <v>0</v>
      </c>
      <c r="DN159" s="399">
        <v>0</v>
      </c>
      <c r="DO159" s="399">
        <v>-71.368792771820608</v>
      </c>
      <c r="DP159" s="399">
        <v>-19.168270481516231</v>
      </c>
      <c r="DQ159" s="399">
        <v>0</v>
      </c>
      <c r="DR159" s="399">
        <v>0</v>
      </c>
      <c r="DS159" s="399"/>
      <c r="DT159" s="399"/>
      <c r="DU159" s="399"/>
      <c r="DV159" s="399">
        <v>50013.029594899352</v>
      </c>
      <c r="DW159" s="399">
        <v>0</v>
      </c>
      <c r="DX159" s="399">
        <v>0</v>
      </c>
      <c r="DY159" s="399">
        <v>-19462.298939999993</v>
      </c>
      <c r="DZ159" s="399">
        <v>-8594.2245199999998</v>
      </c>
      <c r="EA159" s="399">
        <v>0</v>
      </c>
      <c r="EB159" s="399">
        <v>0</v>
      </c>
      <c r="EC159" s="399">
        <v>-18249.760399311606</v>
      </c>
      <c r="ED159" s="399">
        <v>0</v>
      </c>
      <c r="EE159" s="399">
        <v>0</v>
      </c>
      <c r="EF159" s="399">
        <v>0</v>
      </c>
      <c r="EG159" s="399">
        <v>0</v>
      </c>
      <c r="EH159" s="399">
        <v>0</v>
      </c>
      <c r="EI159" s="399">
        <v>0</v>
      </c>
      <c r="EJ159" s="399">
        <v>0</v>
      </c>
      <c r="EK159" s="399">
        <v>0</v>
      </c>
      <c r="EL159" s="399">
        <v>0</v>
      </c>
      <c r="EM159" s="399">
        <v>0</v>
      </c>
      <c r="EN159" s="399">
        <v>0</v>
      </c>
      <c r="EO159" s="399">
        <v>0</v>
      </c>
      <c r="EP159" s="399">
        <v>3804.9837862195122</v>
      </c>
      <c r="EQ159" s="399">
        <v>0</v>
      </c>
      <c r="ER159" s="399">
        <v>0</v>
      </c>
      <c r="ES159" s="399">
        <v>0</v>
      </c>
      <c r="ET159" s="399">
        <v>0</v>
      </c>
      <c r="EU159" s="399">
        <v>0</v>
      </c>
      <c r="EV159" s="399">
        <v>202</v>
      </c>
      <c r="EW159" s="399">
        <v>0</v>
      </c>
      <c r="EX159" s="399">
        <v>0</v>
      </c>
      <c r="EY159" s="399">
        <v>0</v>
      </c>
      <c r="EZ159" s="399"/>
      <c r="FA159" s="399">
        <v>0</v>
      </c>
      <c r="FB159" s="399">
        <v>-12.3890448282368</v>
      </c>
      <c r="FC159" s="399"/>
      <c r="FD159" s="399">
        <v>-17.698635468909799</v>
      </c>
      <c r="FE159" s="399"/>
      <c r="FF159" s="399">
        <v>0</v>
      </c>
      <c r="FG159" s="399">
        <v>0</v>
      </c>
      <c r="FH159" s="399">
        <v>0</v>
      </c>
      <c r="FI159" s="399">
        <v>0</v>
      </c>
    </row>
    <row r="160" spans="1:165">
      <c r="A160" s="399">
        <v>149</v>
      </c>
      <c r="B160" s="399" t="s">
        <v>956</v>
      </c>
      <c r="C160" s="399" t="s">
        <v>2402</v>
      </c>
      <c r="D160" s="399" t="s">
        <v>1826</v>
      </c>
      <c r="E160" s="399" t="s">
        <v>918</v>
      </c>
      <c r="F160" s="399" t="s">
        <v>1239</v>
      </c>
      <c r="G160" s="399" t="s">
        <v>1239</v>
      </c>
      <c r="H160" s="399" t="s">
        <v>1239</v>
      </c>
      <c r="I160" s="399" t="s">
        <v>1239</v>
      </c>
      <c r="J160" s="399" t="s">
        <v>2400</v>
      </c>
      <c r="K160" s="788">
        <v>44621</v>
      </c>
      <c r="L160" s="399">
        <v>0</v>
      </c>
      <c r="M160" s="399">
        <v>0</v>
      </c>
      <c r="N160" s="399">
        <v>19.779</v>
      </c>
      <c r="O160" s="399">
        <v>19.779</v>
      </c>
      <c r="P160" s="399">
        <v>19.779</v>
      </c>
      <c r="Q160" s="399">
        <v>19.779</v>
      </c>
      <c r="R160" s="399"/>
      <c r="S160" s="399">
        <v>609.05999999999995</v>
      </c>
      <c r="T160" s="399">
        <v>286.42</v>
      </c>
      <c r="U160" s="399"/>
      <c r="V160" s="399">
        <v>17711.698919999999</v>
      </c>
      <c r="W160" s="399">
        <v>17711.698919999999</v>
      </c>
      <c r="X160" s="399">
        <v>13526.264729999999</v>
      </c>
      <c r="Y160" s="399">
        <v>0</v>
      </c>
      <c r="Z160" s="399">
        <v>1203.7776102533724</v>
      </c>
      <c r="AA160" s="399">
        <v>0</v>
      </c>
      <c r="AB160" s="399">
        <v>0</v>
      </c>
      <c r="AC160" s="399">
        <v>0</v>
      </c>
      <c r="AD160" s="399">
        <v>1931.4618739631394</v>
      </c>
      <c r="AE160" s="399">
        <v>7460.8760529581868</v>
      </c>
      <c r="AF160" s="399">
        <v>5665.1673455780292</v>
      </c>
      <c r="AG160" s="399">
        <v>0</v>
      </c>
      <c r="AH160" s="399">
        <v>0</v>
      </c>
      <c r="AI160" s="399">
        <v>0</v>
      </c>
      <c r="AJ160" s="399">
        <v>0</v>
      </c>
      <c r="AK160" s="399">
        <v>0</v>
      </c>
      <c r="AL160" s="399">
        <v>186.03907763666581</v>
      </c>
      <c r="AM160" s="399"/>
      <c r="AN160" s="399">
        <v>33.779319225705741</v>
      </c>
      <c r="AO160" s="399">
        <v>0</v>
      </c>
      <c r="AP160" s="399">
        <v>0</v>
      </c>
      <c r="AQ160" s="399">
        <v>0</v>
      </c>
      <c r="AR160" s="399">
        <v>0</v>
      </c>
      <c r="AS160" s="399">
        <v>0</v>
      </c>
      <c r="AT160" s="399">
        <v>0</v>
      </c>
      <c r="AU160" s="399">
        <v>0</v>
      </c>
      <c r="AV160" s="399">
        <v>0</v>
      </c>
      <c r="AW160" s="399">
        <v>0</v>
      </c>
      <c r="AX160" s="399">
        <v>0</v>
      </c>
      <c r="AY160" s="399">
        <v>0</v>
      </c>
      <c r="AZ160" s="399">
        <v>0</v>
      </c>
      <c r="BA160" s="399"/>
      <c r="BB160" s="399">
        <v>0</v>
      </c>
      <c r="BC160" s="399">
        <v>0</v>
      </c>
      <c r="BD160" s="399">
        <v>0</v>
      </c>
      <c r="BE160" s="399">
        <v>0</v>
      </c>
      <c r="BF160" s="399">
        <v>0</v>
      </c>
      <c r="BG160" s="399">
        <v>663.03794473546668</v>
      </c>
      <c r="BH160" s="399">
        <v>0</v>
      </c>
      <c r="BI160" s="399">
        <v>48.56</v>
      </c>
      <c r="BJ160" s="399">
        <v>225.14</v>
      </c>
      <c r="BK160" s="399">
        <v>3645.45</v>
      </c>
      <c r="BL160" s="399">
        <v>44</v>
      </c>
      <c r="BM160" s="399"/>
      <c r="BN160" s="399"/>
      <c r="BO160" s="399"/>
      <c r="BP160" s="399"/>
      <c r="BQ160" s="399"/>
      <c r="BR160" s="399"/>
      <c r="BS160" s="399"/>
      <c r="BT160" s="399"/>
      <c r="BU160" s="399"/>
      <c r="BV160" s="399">
        <v>6328.2052903134954</v>
      </c>
      <c r="BW160" s="399"/>
      <c r="BX160" s="399"/>
      <c r="BY160" s="399"/>
      <c r="BZ160" s="399"/>
      <c r="CA160" s="399"/>
      <c r="CB160" s="399"/>
      <c r="CC160" s="399"/>
      <c r="CD160" s="399"/>
      <c r="CE160" s="399"/>
      <c r="CF160" s="399"/>
      <c r="CG160" s="399"/>
      <c r="CH160" s="399"/>
      <c r="CI160" s="399">
        <v>13526.9486</v>
      </c>
      <c r="CJ160" s="399">
        <v>-4184.780319999998</v>
      </c>
      <c r="CK160" s="399"/>
      <c r="CL160" s="399"/>
      <c r="CM160" s="399"/>
      <c r="CN160" s="399"/>
      <c r="CO160" s="399">
        <v>-2903.3594099999991</v>
      </c>
      <c r="CP160" s="399">
        <v>-1282.0747800000004</v>
      </c>
      <c r="CQ160" s="399">
        <v>31</v>
      </c>
      <c r="CR160" s="399">
        <v>-1463.013236194618</v>
      </c>
      <c r="CS160" s="399">
        <v>0</v>
      </c>
      <c r="CT160" s="399">
        <v>0</v>
      </c>
      <c r="CU160" s="399">
        <v>0</v>
      </c>
      <c r="CV160" s="399">
        <v>0</v>
      </c>
      <c r="CW160" s="399">
        <v>0</v>
      </c>
      <c r="CX160" s="399">
        <v>0</v>
      </c>
      <c r="CY160" s="399">
        <v>0</v>
      </c>
      <c r="CZ160" s="399">
        <v>66.281798235297856</v>
      </c>
      <c r="DA160" s="399">
        <v>0</v>
      </c>
      <c r="DB160" s="399">
        <v>0</v>
      </c>
      <c r="DC160" s="399">
        <v>-1282.2086736840838</v>
      </c>
      <c r="DD160" s="399">
        <v>0</v>
      </c>
      <c r="DE160" s="399">
        <v>0</v>
      </c>
      <c r="DF160" s="399">
        <v>0</v>
      </c>
      <c r="DG160" s="399">
        <v>-150.06670621743899</v>
      </c>
      <c r="DH160" s="399">
        <v>0</v>
      </c>
      <c r="DI160" s="399">
        <v>-83.513457991145287</v>
      </c>
      <c r="DJ160" s="399"/>
      <c r="DK160" s="399">
        <v>0</v>
      </c>
      <c r="DL160" s="399">
        <v>0</v>
      </c>
      <c r="DM160" s="399">
        <v>0</v>
      </c>
      <c r="DN160" s="399">
        <v>0</v>
      </c>
      <c r="DO160" s="399">
        <v>-10.646699894663385</v>
      </c>
      <c r="DP160" s="399">
        <v>-2.8594966425860164</v>
      </c>
      <c r="DQ160" s="399">
        <v>0</v>
      </c>
      <c r="DR160" s="399">
        <v>0</v>
      </c>
      <c r="DS160" s="399"/>
      <c r="DT160" s="399"/>
      <c r="DU160" s="399"/>
      <c r="DV160" s="399">
        <v>7460.8760529581868</v>
      </c>
      <c r="DW160" s="399">
        <v>0</v>
      </c>
      <c r="DX160" s="399">
        <v>0</v>
      </c>
      <c r="DY160" s="399">
        <v>-2903.3594099999991</v>
      </c>
      <c r="DZ160" s="399">
        <v>-1282.0747800000008</v>
      </c>
      <c r="EA160" s="399">
        <v>0</v>
      </c>
      <c r="EB160" s="399">
        <v>0</v>
      </c>
      <c r="EC160" s="399">
        <v>-2722.4745518982718</v>
      </c>
      <c r="ED160" s="399">
        <v>0</v>
      </c>
      <c r="EE160" s="399">
        <v>0</v>
      </c>
      <c r="EF160" s="399">
        <v>0</v>
      </c>
      <c r="EG160" s="399">
        <v>0</v>
      </c>
      <c r="EH160" s="399">
        <v>0</v>
      </c>
      <c r="EI160" s="399">
        <v>0</v>
      </c>
      <c r="EJ160" s="399">
        <v>0</v>
      </c>
      <c r="EK160" s="399">
        <v>0</v>
      </c>
      <c r="EL160" s="399">
        <v>0</v>
      </c>
      <c r="EM160" s="399">
        <v>0</v>
      </c>
      <c r="EN160" s="399">
        <v>0</v>
      </c>
      <c r="EO160" s="399">
        <v>0</v>
      </c>
      <c r="EP160" s="399">
        <v>567.62233046954975</v>
      </c>
      <c r="EQ160" s="399">
        <v>0</v>
      </c>
      <c r="ER160" s="399">
        <v>0</v>
      </c>
      <c r="ES160" s="399">
        <v>0</v>
      </c>
      <c r="ET160" s="399">
        <v>0</v>
      </c>
      <c r="EU160" s="399">
        <v>0</v>
      </c>
      <c r="EV160" s="399">
        <v>202</v>
      </c>
      <c r="EW160" s="399">
        <v>0</v>
      </c>
      <c r="EX160" s="399">
        <v>0</v>
      </c>
      <c r="EY160" s="399">
        <v>0</v>
      </c>
      <c r="EZ160" s="399"/>
      <c r="FA160" s="399">
        <v>0</v>
      </c>
      <c r="FB160" s="399">
        <v>-17.698635468909799</v>
      </c>
      <c r="FC160" s="399"/>
      <c r="FD160" s="399">
        <v>-17.698635468909799</v>
      </c>
      <c r="FE160" s="399"/>
      <c r="FF160" s="399">
        <v>0</v>
      </c>
      <c r="FG160" s="399">
        <v>0</v>
      </c>
      <c r="FH160" s="399">
        <v>0</v>
      </c>
      <c r="FI160" s="399">
        <v>0</v>
      </c>
    </row>
    <row r="161" spans="1:165">
      <c r="A161" s="399">
        <v>154</v>
      </c>
      <c r="B161" s="399" t="s">
        <v>956</v>
      </c>
      <c r="C161" s="399" t="s">
        <v>2402</v>
      </c>
      <c r="D161" s="399" t="s">
        <v>1826</v>
      </c>
      <c r="E161" s="399" t="s">
        <v>2412</v>
      </c>
      <c r="F161" s="399" t="s">
        <v>1239</v>
      </c>
      <c r="G161" s="399" t="s">
        <v>1239</v>
      </c>
      <c r="H161" s="399" t="s">
        <v>1239</v>
      </c>
      <c r="I161" s="399" t="s">
        <v>1239</v>
      </c>
      <c r="J161" s="399" t="s">
        <v>2400</v>
      </c>
      <c r="K161" s="788">
        <v>44621</v>
      </c>
      <c r="L161" s="399">
        <v>0</v>
      </c>
      <c r="M161" s="399">
        <v>0</v>
      </c>
      <c r="N161" s="399">
        <v>7.6479999999999997</v>
      </c>
      <c r="O161" s="399">
        <v>7.6479999999999997</v>
      </c>
      <c r="P161" s="399">
        <v>7.6479999999999997</v>
      </c>
      <c r="Q161" s="399">
        <v>7.6479999999999997</v>
      </c>
      <c r="R161" s="399"/>
      <c r="S161" s="399">
        <v>609.05999999999995</v>
      </c>
      <c r="T161" s="399">
        <v>286.42</v>
      </c>
      <c r="U161" s="399"/>
      <c r="V161" s="399">
        <v>6848.6310400000002</v>
      </c>
      <c r="W161" s="399">
        <v>6848.6310400000002</v>
      </c>
      <c r="X161" s="399">
        <v>5230.23776</v>
      </c>
      <c r="Y161" s="399">
        <v>0</v>
      </c>
      <c r="Z161" s="399">
        <v>465.46797933251383</v>
      </c>
      <c r="AA161" s="399">
        <v>0</v>
      </c>
      <c r="AB161" s="399">
        <v>0</v>
      </c>
      <c r="AC161" s="399">
        <v>0</v>
      </c>
      <c r="AD161" s="399">
        <v>746.84364285707511</v>
      </c>
      <c r="AE161" s="399">
        <v>2884.917339249922</v>
      </c>
      <c r="AF161" s="399">
        <v>2190.5657444249341</v>
      </c>
      <c r="AG161" s="399">
        <v>0</v>
      </c>
      <c r="AH161" s="399">
        <v>0</v>
      </c>
      <c r="AI161" s="399">
        <v>0</v>
      </c>
      <c r="AJ161" s="399">
        <v>0</v>
      </c>
      <c r="AK161" s="399">
        <v>0</v>
      </c>
      <c r="AL161" s="399">
        <v>71.936238726185351</v>
      </c>
      <c r="AM161" s="399"/>
      <c r="AN161" s="399">
        <v>13.061541707780853</v>
      </c>
      <c r="AO161" s="399">
        <v>0</v>
      </c>
      <c r="AP161" s="399">
        <v>0</v>
      </c>
      <c r="AQ161" s="399">
        <v>0</v>
      </c>
      <c r="AR161" s="399">
        <v>0</v>
      </c>
      <c r="AS161" s="399">
        <v>0</v>
      </c>
      <c r="AT161" s="399">
        <v>0</v>
      </c>
      <c r="AU161" s="399">
        <v>0</v>
      </c>
      <c r="AV161" s="399">
        <v>0</v>
      </c>
      <c r="AW161" s="399">
        <v>0</v>
      </c>
      <c r="AX161" s="399">
        <v>0</v>
      </c>
      <c r="AY161" s="399">
        <v>0</v>
      </c>
      <c r="AZ161" s="399">
        <v>0</v>
      </c>
      <c r="BA161" s="399"/>
      <c r="BB161" s="399">
        <v>0</v>
      </c>
      <c r="BC161" s="399">
        <v>0</v>
      </c>
      <c r="BD161" s="399">
        <v>0</v>
      </c>
      <c r="BE161" s="399">
        <v>0</v>
      </c>
      <c r="BF161" s="399">
        <v>0</v>
      </c>
      <c r="BG161" s="399">
        <v>256.37869464264367</v>
      </c>
      <c r="BH161" s="399">
        <v>0</v>
      </c>
      <c r="BI161" s="399">
        <v>28.7</v>
      </c>
      <c r="BJ161" s="399">
        <v>132.82</v>
      </c>
      <c r="BK161" s="399">
        <v>563.88</v>
      </c>
      <c r="BL161" s="399">
        <v>10</v>
      </c>
      <c r="BM161" s="399"/>
      <c r="BN161" s="399"/>
      <c r="BO161" s="399"/>
      <c r="BP161" s="399"/>
      <c r="BQ161" s="399"/>
      <c r="BR161" s="399"/>
      <c r="BS161" s="399"/>
      <c r="BT161" s="399"/>
      <c r="BU161" s="399"/>
      <c r="BV161" s="399">
        <v>2446.9444390675776</v>
      </c>
      <c r="BW161" s="399"/>
      <c r="BX161" s="399"/>
      <c r="BY161" s="399"/>
      <c r="BZ161" s="399"/>
      <c r="CA161" s="399"/>
      <c r="CB161" s="399"/>
      <c r="CC161" s="399"/>
      <c r="CD161" s="399"/>
      <c r="CE161" s="399"/>
      <c r="CF161" s="399"/>
      <c r="CG161" s="399"/>
      <c r="CH161" s="399"/>
      <c r="CI161" s="399">
        <v>5231.6054999999997</v>
      </c>
      <c r="CJ161" s="399">
        <v>-1617.0555400000012</v>
      </c>
      <c r="CK161" s="399"/>
      <c r="CL161" s="399"/>
      <c r="CM161" s="399"/>
      <c r="CN161" s="399"/>
      <c r="CO161" s="399">
        <v>-1122.6499199999996</v>
      </c>
      <c r="CP161" s="399">
        <v>-495.74336000000017</v>
      </c>
      <c r="CQ161" s="399">
        <v>31</v>
      </c>
      <c r="CR161" s="399">
        <v>-565.70732748958289</v>
      </c>
      <c r="CS161" s="399">
        <v>0</v>
      </c>
      <c r="CT161" s="399">
        <v>0</v>
      </c>
      <c r="CU161" s="399">
        <v>0</v>
      </c>
      <c r="CV161" s="399">
        <v>0</v>
      </c>
      <c r="CW161" s="399">
        <v>0</v>
      </c>
      <c r="CX161" s="399">
        <v>0</v>
      </c>
      <c r="CY161" s="399">
        <v>0</v>
      </c>
      <c r="CZ161" s="399">
        <v>25.629364118689523</v>
      </c>
      <c r="DA161" s="399">
        <v>0</v>
      </c>
      <c r="DB161" s="399">
        <v>0</v>
      </c>
      <c r="DC161" s="399">
        <v>-495.79513303685121</v>
      </c>
      <c r="DD161" s="399">
        <v>0</v>
      </c>
      <c r="DE161" s="399">
        <v>0</v>
      </c>
      <c r="DF161" s="399">
        <v>0</v>
      </c>
      <c r="DG161" s="399">
        <v>-58.026703531572565</v>
      </c>
      <c r="DH161" s="399">
        <v>0</v>
      </c>
      <c r="DI161" s="399">
        <v>-32.29237710279989</v>
      </c>
      <c r="DJ161" s="399"/>
      <c r="DK161" s="399">
        <v>0</v>
      </c>
      <c r="DL161" s="399">
        <v>0</v>
      </c>
      <c r="DM161" s="399">
        <v>0</v>
      </c>
      <c r="DN161" s="399">
        <v>0</v>
      </c>
      <c r="DO161" s="399">
        <v>-4.1167885532324959</v>
      </c>
      <c r="DP161" s="399">
        <v>-1.1056893838160597</v>
      </c>
      <c r="DQ161" s="399">
        <v>0</v>
      </c>
      <c r="DR161" s="399">
        <v>0</v>
      </c>
      <c r="DS161" s="399"/>
      <c r="DT161" s="399"/>
      <c r="DU161" s="399"/>
      <c r="DV161" s="399">
        <v>2884.917339249922</v>
      </c>
      <c r="DW161" s="399">
        <v>0</v>
      </c>
      <c r="DX161" s="399">
        <v>0</v>
      </c>
      <c r="DY161" s="399">
        <v>-1122.6499199999998</v>
      </c>
      <c r="DZ161" s="399">
        <v>-495.74336000000017</v>
      </c>
      <c r="EA161" s="399">
        <v>0</v>
      </c>
      <c r="EB161" s="399">
        <v>0</v>
      </c>
      <c r="EC161" s="399">
        <v>-1052.7066774315169</v>
      </c>
      <c r="ED161" s="399">
        <v>0</v>
      </c>
      <c r="EE161" s="399">
        <v>0</v>
      </c>
      <c r="EF161" s="399">
        <v>0</v>
      </c>
      <c r="EG161" s="399">
        <v>0</v>
      </c>
      <c r="EH161" s="399">
        <v>0</v>
      </c>
      <c r="EI161" s="399">
        <v>0</v>
      </c>
      <c r="EJ161" s="399">
        <v>0</v>
      </c>
      <c r="EK161" s="399">
        <v>0</v>
      </c>
      <c r="EL161" s="399">
        <v>0</v>
      </c>
      <c r="EM161" s="399">
        <v>0</v>
      </c>
      <c r="EN161" s="399">
        <v>0</v>
      </c>
      <c r="EO161" s="399">
        <v>0</v>
      </c>
      <c r="EP161" s="399">
        <v>219.48407823606433</v>
      </c>
      <c r="EQ161" s="399">
        <v>0</v>
      </c>
      <c r="ER161" s="399">
        <v>0</v>
      </c>
      <c r="ES161" s="399">
        <v>0</v>
      </c>
      <c r="ET161" s="399">
        <v>0</v>
      </c>
      <c r="EU161" s="399">
        <v>0</v>
      </c>
      <c r="EV161" s="399">
        <v>202</v>
      </c>
      <c r="EW161" s="399">
        <v>0</v>
      </c>
      <c r="EX161" s="399">
        <v>0</v>
      </c>
      <c r="EY161" s="399">
        <v>0</v>
      </c>
      <c r="EZ161" s="399"/>
      <c r="FA161" s="399">
        <v>0</v>
      </c>
      <c r="FB161" s="399">
        <v>-17.698635468909799</v>
      </c>
      <c r="FC161" s="399"/>
      <c r="FD161" s="399">
        <v>-17.698635468909799</v>
      </c>
      <c r="FE161" s="399"/>
      <c r="FF161" s="399">
        <v>0</v>
      </c>
      <c r="FG161" s="399">
        <v>0</v>
      </c>
      <c r="FH161" s="399">
        <v>0</v>
      </c>
      <c r="FI161" s="399">
        <v>0</v>
      </c>
    </row>
    <row r="162" spans="1:165">
      <c r="A162" s="399">
        <v>156</v>
      </c>
      <c r="B162" s="399" t="s">
        <v>956</v>
      </c>
      <c r="C162" s="399" t="s">
        <v>2402</v>
      </c>
      <c r="D162" s="399" t="s">
        <v>1826</v>
      </c>
      <c r="E162" s="399" t="s">
        <v>921</v>
      </c>
      <c r="F162" s="399" t="s">
        <v>2401</v>
      </c>
      <c r="G162" s="399" t="s">
        <v>1239</v>
      </c>
      <c r="H162" s="399" t="s">
        <v>1239</v>
      </c>
      <c r="I162" s="399" t="s">
        <v>1239</v>
      </c>
      <c r="J162" s="399" t="s">
        <v>2400</v>
      </c>
      <c r="K162" s="788">
        <v>44621</v>
      </c>
      <c r="L162" s="399">
        <v>0</v>
      </c>
      <c r="M162" s="399">
        <v>0</v>
      </c>
      <c r="N162" s="399">
        <v>24.367000000000001</v>
      </c>
      <c r="O162" s="399">
        <v>22.904979999999998</v>
      </c>
      <c r="P162" s="399">
        <v>24.367000000000001</v>
      </c>
      <c r="Q162" s="399">
        <v>22.904979999999998</v>
      </c>
      <c r="R162" s="399"/>
      <c r="S162" s="399">
        <v>609.05999999999995</v>
      </c>
      <c r="T162" s="399">
        <v>286.42</v>
      </c>
      <c r="U162" s="399"/>
      <c r="V162" s="399">
        <v>21820.16116</v>
      </c>
      <c r="W162" s="399">
        <v>21820.16116</v>
      </c>
      <c r="X162" s="399">
        <v>16663.860290000001</v>
      </c>
      <c r="Y162" s="399">
        <v>0</v>
      </c>
      <c r="Z162" s="399">
        <v>1483.0097087337037</v>
      </c>
      <c r="AA162" s="399">
        <v>0</v>
      </c>
      <c r="AB162" s="399">
        <v>0</v>
      </c>
      <c r="AC162" s="399">
        <v>0</v>
      </c>
      <c r="AD162" s="399">
        <v>2379.4899379574204</v>
      </c>
      <c r="AE162" s="399">
        <v>9191.5246869119837</v>
      </c>
      <c r="AF162" s="399">
        <v>6979.2776535567955</v>
      </c>
      <c r="AG162" s="399">
        <v>0</v>
      </c>
      <c r="AH162" s="399">
        <v>0</v>
      </c>
      <c r="AI162" s="399">
        <v>0</v>
      </c>
      <c r="AJ162" s="399">
        <v>0</v>
      </c>
      <c r="AK162" s="399">
        <v>0</v>
      </c>
      <c r="AL162" s="399">
        <v>229.19329616121323</v>
      </c>
      <c r="AM162" s="399"/>
      <c r="AN162" s="399">
        <v>41.61487798032114</v>
      </c>
      <c r="AO162" s="399">
        <v>0</v>
      </c>
      <c r="AP162" s="399">
        <v>0</v>
      </c>
      <c r="AQ162" s="399">
        <v>0</v>
      </c>
      <c r="AR162" s="399">
        <v>0</v>
      </c>
      <c r="AS162" s="399">
        <v>0</v>
      </c>
      <c r="AT162" s="399">
        <v>0</v>
      </c>
      <c r="AU162" s="399">
        <v>0</v>
      </c>
      <c r="AV162" s="399">
        <v>0</v>
      </c>
      <c r="AW162" s="399">
        <v>0</v>
      </c>
      <c r="AX162" s="399">
        <v>0</v>
      </c>
      <c r="AY162" s="399">
        <v>0</v>
      </c>
      <c r="AZ162" s="399">
        <v>0</v>
      </c>
      <c r="BA162" s="399"/>
      <c r="BB162" s="399">
        <v>0</v>
      </c>
      <c r="BC162" s="399">
        <v>0</v>
      </c>
      <c r="BD162" s="399">
        <v>0</v>
      </c>
      <c r="BE162" s="399">
        <v>0</v>
      </c>
      <c r="BF162" s="399">
        <v>0</v>
      </c>
      <c r="BG162" s="399">
        <v>816.83834366596477</v>
      </c>
      <c r="BH162" s="399">
        <v>0</v>
      </c>
      <c r="BI162" s="399">
        <v>23.47</v>
      </c>
      <c r="BJ162" s="399">
        <v>108.6</v>
      </c>
      <c r="BK162" s="399">
        <v>4447.92</v>
      </c>
      <c r="BL162" s="399">
        <v>6</v>
      </c>
      <c r="BM162" s="399"/>
      <c r="BN162" s="399"/>
      <c r="BO162" s="399"/>
      <c r="BP162" s="399"/>
      <c r="BQ162" s="399">
        <v>999.83161740000173</v>
      </c>
      <c r="BR162" s="399"/>
      <c r="BS162" s="399"/>
      <c r="BT162" s="399"/>
      <c r="BU162" s="399"/>
      <c r="BV162" s="399">
        <v>7796.1159972227606</v>
      </c>
      <c r="BW162" s="399"/>
      <c r="BX162" s="399"/>
      <c r="BY162" s="399"/>
      <c r="BZ162" s="399"/>
      <c r="CA162" s="399"/>
      <c r="CB162" s="399"/>
      <c r="CC162" s="399"/>
      <c r="CD162" s="399"/>
      <c r="CE162" s="399"/>
      <c r="CF162" s="399"/>
      <c r="CG162" s="399"/>
      <c r="CH162" s="399"/>
      <c r="CI162" s="399">
        <v>15660.622999999998</v>
      </c>
      <c r="CJ162" s="399">
        <v>-4850.3584903999999</v>
      </c>
      <c r="CK162" s="399"/>
      <c r="CL162" s="399"/>
      <c r="CM162" s="399"/>
      <c r="CN162" s="399"/>
      <c r="CO162" s="399">
        <v>-3576.8319299999994</v>
      </c>
      <c r="CP162" s="399">
        <v>-1579.4689400000007</v>
      </c>
      <c r="CQ162" s="399">
        <v>31</v>
      </c>
      <c r="CR162" s="399">
        <v>-1802.3784582817261</v>
      </c>
      <c r="CS162" s="399">
        <v>0</v>
      </c>
      <c r="CT162" s="399">
        <v>0</v>
      </c>
      <c r="CU162" s="399">
        <v>0</v>
      </c>
      <c r="CV162" s="399">
        <v>0</v>
      </c>
      <c r="CW162" s="399">
        <v>0</v>
      </c>
      <c r="CX162" s="399">
        <v>0</v>
      </c>
      <c r="CY162" s="399">
        <v>0</v>
      </c>
      <c r="CZ162" s="399">
        <v>81.656735810683585</v>
      </c>
      <c r="DA162" s="399">
        <v>0</v>
      </c>
      <c r="DB162" s="399">
        <v>0</v>
      </c>
      <c r="DC162" s="399">
        <v>-1579.6338920906055</v>
      </c>
      <c r="DD162" s="399">
        <v>0</v>
      </c>
      <c r="DE162" s="399">
        <v>0</v>
      </c>
      <c r="DF162" s="399">
        <v>0</v>
      </c>
      <c r="DG162" s="399">
        <v>-184.87665859751939</v>
      </c>
      <c r="DH162" s="399">
        <v>0</v>
      </c>
      <c r="DI162" s="399">
        <v>-102.8855063891117</v>
      </c>
      <c r="DJ162" s="399"/>
      <c r="DK162" s="399">
        <v>0</v>
      </c>
      <c r="DL162" s="399">
        <v>0</v>
      </c>
      <c r="DM162" s="399">
        <v>0</v>
      </c>
      <c r="DN162" s="399">
        <v>0</v>
      </c>
      <c r="DO162" s="399">
        <v>-13.116342400185204</v>
      </c>
      <c r="DP162" s="399">
        <v>-3.5227946149903175</v>
      </c>
      <c r="DQ162" s="399">
        <v>0</v>
      </c>
      <c r="DR162" s="399">
        <v>0</v>
      </c>
      <c r="DS162" s="399"/>
      <c r="DT162" s="399"/>
      <c r="DU162" s="399"/>
      <c r="DV162" s="399">
        <v>9191.5246869119837</v>
      </c>
      <c r="DW162" s="399">
        <v>0</v>
      </c>
      <c r="DX162" s="399">
        <v>0</v>
      </c>
      <c r="DY162" s="399">
        <v>-3576.8319300000003</v>
      </c>
      <c r="DZ162" s="399">
        <v>-1579.4689400000007</v>
      </c>
      <c r="EA162" s="399">
        <v>0</v>
      </c>
      <c r="EB162" s="399">
        <v>0</v>
      </c>
      <c r="EC162" s="399">
        <v>-3353.9884425959435</v>
      </c>
      <c r="ED162" s="399">
        <v>0</v>
      </c>
      <c r="EE162" s="399">
        <v>0</v>
      </c>
      <c r="EF162" s="399">
        <v>0</v>
      </c>
      <c r="EG162" s="399">
        <v>0</v>
      </c>
      <c r="EH162" s="399">
        <v>0</v>
      </c>
      <c r="EI162" s="399">
        <v>0</v>
      </c>
      <c r="EJ162" s="399">
        <v>0</v>
      </c>
      <c r="EK162" s="399">
        <v>0</v>
      </c>
      <c r="EL162" s="399">
        <v>0</v>
      </c>
      <c r="EM162" s="399">
        <v>0</v>
      </c>
      <c r="EN162" s="399">
        <v>0</v>
      </c>
      <c r="EO162" s="399">
        <v>0</v>
      </c>
      <c r="EP162" s="399">
        <v>699.28981882559879</v>
      </c>
      <c r="EQ162" s="399">
        <v>0</v>
      </c>
      <c r="ER162" s="399">
        <v>0</v>
      </c>
      <c r="ES162" s="399">
        <v>0</v>
      </c>
      <c r="ET162" s="399">
        <v>0</v>
      </c>
      <c r="EU162" s="399">
        <v>0</v>
      </c>
      <c r="EV162" s="399">
        <v>202</v>
      </c>
      <c r="EW162" s="399">
        <v>0</v>
      </c>
      <c r="EX162" s="399">
        <v>0</v>
      </c>
      <c r="EY162" s="399">
        <v>0</v>
      </c>
      <c r="EZ162" s="399"/>
      <c r="FA162" s="399">
        <v>0</v>
      </c>
      <c r="FB162" s="399">
        <v>-17.698635468909799</v>
      </c>
      <c r="FC162" s="399"/>
      <c r="FD162" s="399">
        <v>-17.698635468909799</v>
      </c>
      <c r="FE162" s="399"/>
      <c r="FF162" s="399">
        <v>0</v>
      </c>
      <c r="FG162" s="399">
        <v>0</v>
      </c>
      <c r="FH162" s="399">
        <v>0</v>
      </c>
      <c r="FI162" s="399">
        <v>0</v>
      </c>
    </row>
    <row r="163" spans="1:165">
      <c r="A163" s="399">
        <v>155</v>
      </c>
      <c r="B163" s="399" t="s">
        <v>956</v>
      </c>
      <c r="C163" s="399" t="s">
        <v>2402</v>
      </c>
      <c r="D163" s="399" t="s">
        <v>2413</v>
      </c>
      <c r="E163" s="399" t="s">
        <v>2414</v>
      </c>
      <c r="F163" s="399" t="s">
        <v>2415</v>
      </c>
      <c r="G163" s="399" t="s">
        <v>1239</v>
      </c>
      <c r="H163" s="399" t="s">
        <v>1239</v>
      </c>
      <c r="I163" s="399" t="s">
        <v>1239</v>
      </c>
      <c r="J163" s="399" t="s">
        <v>2400</v>
      </c>
      <c r="K163" s="788">
        <v>44621</v>
      </c>
      <c r="L163" s="399">
        <v>0</v>
      </c>
      <c r="M163" s="399">
        <v>0</v>
      </c>
      <c r="N163" s="399">
        <v>46.963999999999999</v>
      </c>
      <c r="O163" s="399">
        <v>46.963999999999999</v>
      </c>
      <c r="P163" s="399">
        <v>46.963999999999999</v>
      </c>
      <c r="Q163" s="399">
        <v>46.963999999999999</v>
      </c>
      <c r="R163" s="399"/>
      <c r="S163" s="399">
        <v>334.98</v>
      </c>
      <c r="T163" s="399">
        <v>157.53</v>
      </c>
      <c r="U163" s="399"/>
      <c r="V163" s="399">
        <v>23130.23964</v>
      </c>
      <c r="W163" s="399">
        <v>23130.23964</v>
      </c>
      <c r="X163" s="399">
        <v>17664.569319999999</v>
      </c>
      <c r="Y163" s="399">
        <v>0</v>
      </c>
      <c r="Z163" s="399">
        <v>1572.0621077085107</v>
      </c>
      <c r="AA163" s="399">
        <v>0</v>
      </c>
      <c r="AB163" s="399">
        <v>0</v>
      </c>
      <c r="AC163" s="399">
        <v>0</v>
      </c>
      <c r="AD163" s="399">
        <v>2522.3745637718112</v>
      </c>
      <c r="AE163" s="399">
        <v>9743.4612782810527</v>
      </c>
      <c r="AF163" s="399">
        <v>7398.3722923175765</v>
      </c>
      <c r="AG163" s="399">
        <v>0</v>
      </c>
      <c r="AH163" s="399">
        <v>0</v>
      </c>
      <c r="AI163" s="399">
        <v>0</v>
      </c>
      <c r="AJ163" s="399">
        <v>0</v>
      </c>
      <c r="AK163" s="399">
        <v>0</v>
      </c>
      <c r="AL163" s="399">
        <v>242.95599287985272</v>
      </c>
      <c r="AM163" s="399"/>
      <c r="AN163" s="399">
        <v>44.113785907468746</v>
      </c>
      <c r="AO163" s="399">
        <v>0</v>
      </c>
      <c r="AP163" s="399">
        <v>0</v>
      </c>
      <c r="AQ163" s="399">
        <v>0</v>
      </c>
      <c r="AR163" s="399">
        <v>0</v>
      </c>
      <c r="AS163" s="399">
        <v>0</v>
      </c>
      <c r="AT163" s="399">
        <v>0</v>
      </c>
      <c r="AU163" s="399">
        <v>0</v>
      </c>
      <c r="AV163" s="399">
        <v>0</v>
      </c>
      <c r="AW163" s="399">
        <v>0</v>
      </c>
      <c r="AX163" s="399">
        <v>0</v>
      </c>
      <c r="AY163" s="399">
        <v>0</v>
      </c>
      <c r="AZ163" s="399">
        <v>0</v>
      </c>
      <c r="BA163" s="399"/>
      <c r="BB163" s="399">
        <v>0</v>
      </c>
      <c r="BC163" s="399">
        <v>0</v>
      </c>
      <c r="BD163" s="399">
        <v>0</v>
      </c>
      <c r="BE163" s="399">
        <v>0</v>
      </c>
      <c r="BF163" s="399">
        <v>0</v>
      </c>
      <c r="BG163" s="399">
        <v>865.88820062217917</v>
      </c>
      <c r="BH163" s="399">
        <v>0</v>
      </c>
      <c r="BI163" s="399">
        <v>29.88</v>
      </c>
      <c r="BJ163" s="399">
        <v>138.18</v>
      </c>
      <c r="BK163" s="399">
        <v>5378.35</v>
      </c>
      <c r="BL163" s="399">
        <v>3</v>
      </c>
      <c r="BM163" s="399"/>
      <c r="BN163" s="399"/>
      <c r="BO163" s="399"/>
      <c r="BP163" s="399"/>
      <c r="BQ163" s="399"/>
      <c r="BR163" s="399"/>
      <c r="BS163" s="399"/>
      <c r="BT163" s="399"/>
      <c r="BU163" s="399"/>
      <c r="BV163" s="399">
        <v>8264.2604929397548</v>
      </c>
      <c r="BW163" s="399"/>
      <c r="BX163" s="399"/>
      <c r="BY163" s="399"/>
      <c r="BZ163" s="399"/>
      <c r="CA163" s="399"/>
      <c r="CB163" s="399"/>
      <c r="CC163" s="399"/>
      <c r="CD163" s="399"/>
      <c r="CE163" s="399"/>
      <c r="CF163" s="399"/>
      <c r="CG163" s="399"/>
      <c r="CH163" s="399"/>
      <c r="CI163" s="399">
        <v>17663.0648</v>
      </c>
      <c r="CJ163" s="399">
        <v>-5467.2048399999985</v>
      </c>
      <c r="CK163" s="399"/>
      <c r="CL163" s="399"/>
      <c r="CM163" s="399"/>
      <c r="CN163" s="399"/>
      <c r="CO163" s="399">
        <v>-3791.4037200000007</v>
      </c>
      <c r="CP163" s="399">
        <v>-1674.2666000000002</v>
      </c>
      <c r="CQ163" s="399">
        <v>31</v>
      </c>
      <c r="CR163" s="399">
        <v>-1910.6084480284517</v>
      </c>
      <c r="CS163" s="399">
        <v>0</v>
      </c>
      <c r="CT163" s="399">
        <v>0</v>
      </c>
      <c r="CU163" s="399">
        <v>0</v>
      </c>
      <c r="CV163" s="399">
        <v>0</v>
      </c>
      <c r="CW163" s="399">
        <v>0</v>
      </c>
      <c r="CX163" s="399">
        <v>0</v>
      </c>
      <c r="CY163" s="399">
        <v>0</v>
      </c>
      <c r="CZ163" s="399">
        <v>86.560094280660905</v>
      </c>
      <c r="DA163" s="399">
        <v>0</v>
      </c>
      <c r="DB163" s="399">
        <v>0</v>
      </c>
      <c r="DC163" s="399">
        <v>-1674.4884212040461</v>
      </c>
      <c r="DD163" s="399">
        <v>0</v>
      </c>
      <c r="DE163" s="399">
        <v>0</v>
      </c>
      <c r="DF163" s="399">
        <v>0</v>
      </c>
      <c r="DG163" s="399">
        <v>-195.97821097819588</v>
      </c>
      <c r="DH163" s="399">
        <v>0</v>
      </c>
      <c r="DI163" s="399">
        <v>-109.06361912143711</v>
      </c>
      <c r="DJ163" s="399"/>
      <c r="DK163" s="399">
        <v>0</v>
      </c>
      <c r="DL163" s="399">
        <v>0</v>
      </c>
      <c r="DM163" s="399">
        <v>0</v>
      </c>
      <c r="DN163" s="399">
        <v>0</v>
      </c>
      <c r="DO163" s="399">
        <v>-13.903958118162649</v>
      </c>
      <c r="DP163" s="399">
        <v>-3.7343328872704902</v>
      </c>
      <c r="DQ163" s="399">
        <v>0</v>
      </c>
      <c r="DR163" s="399">
        <v>0</v>
      </c>
      <c r="DS163" s="399"/>
      <c r="DT163" s="399"/>
      <c r="DU163" s="399"/>
      <c r="DV163" s="399">
        <v>9743.4612782810527</v>
      </c>
      <c r="DW163" s="399">
        <v>0</v>
      </c>
      <c r="DX163" s="399">
        <v>0</v>
      </c>
      <c r="DY163" s="399">
        <v>-3791.4037200000002</v>
      </c>
      <c r="DZ163" s="399">
        <v>-1674.2665999999999</v>
      </c>
      <c r="EA163" s="399">
        <v>0</v>
      </c>
      <c r="EB163" s="399">
        <v>0</v>
      </c>
      <c r="EC163" s="399">
        <v>-3555.3901698995551</v>
      </c>
      <c r="ED163" s="399">
        <v>0</v>
      </c>
      <c r="EE163" s="399">
        <v>0</v>
      </c>
      <c r="EF163" s="399">
        <v>0</v>
      </c>
      <c r="EG163" s="399">
        <v>0</v>
      </c>
      <c r="EH163" s="399">
        <v>0</v>
      </c>
      <c r="EI163" s="399">
        <v>0</v>
      </c>
      <c r="EJ163" s="399">
        <v>0</v>
      </c>
      <c r="EK163" s="399">
        <v>0</v>
      </c>
      <c r="EL163" s="399">
        <v>0</v>
      </c>
      <c r="EM163" s="399">
        <v>0</v>
      </c>
      <c r="EN163" s="399">
        <v>0</v>
      </c>
      <c r="EO163" s="399">
        <v>0</v>
      </c>
      <c r="EP163" s="399">
        <v>741.28107186887905</v>
      </c>
      <c r="EQ163" s="399">
        <v>0</v>
      </c>
      <c r="ER163" s="399">
        <v>0</v>
      </c>
      <c r="ES163" s="399">
        <v>0</v>
      </c>
      <c r="ET163" s="399">
        <v>0</v>
      </c>
      <c r="EU163" s="399">
        <v>0</v>
      </c>
      <c r="EV163" s="399">
        <v>202</v>
      </c>
      <c r="EW163" s="399">
        <v>0</v>
      </c>
      <c r="EX163" s="399">
        <v>0</v>
      </c>
      <c r="EY163" s="399">
        <v>0</v>
      </c>
      <c r="EZ163" s="399"/>
      <c r="FA163" s="399">
        <v>0</v>
      </c>
      <c r="FB163" s="399">
        <v>-9.7342495079003708</v>
      </c>
      <c r="FC163" s="399"/>
      <c r="FD163" s="399">
        <v>-9.7342495079003708</v>
      </c>
      <c r="FE163" s="399"/>
      <c r="FF163" s="399">
        <v>0</v>
      </c>
      <c r="FG163" s="399">
        <v>0</v>
      </c>
      <c r="FH163" s="399">
        <v>0</v>
      </c>
      <c r="FI163" s="399">
        <v>0</v>
      </c>
    </row>
    <row r="164" spans="1:165">
      <c r="A164" s="399">
        <v>174</v>
      </c>
      <c r="B164" s="399" t="s">
        <v>956</v>
      </c>
      <c r="C164" s="399" t="s">
        <v>2399</v>
      </c>
      <c r="D164" s="399" t="s">
        <v>533</v>
      </c>
      <c r="E164" s="399" t="s">
        <v>918</v>
      </c>
      <c r="F164" s="399" t="s">
        <v>1239</v>
      </c>
      <c r="G164" s="399" t="s">
        <v>1239</v>
      </c>
      <c r="H164" s="399" t="s">
        <v>1239</v>
      </c>
      <c r="I164" s="399" t="s">
        <v>893</v>
      </c>
      <c r="J164" s="399" t="s">
        <v>2400</v>
      </c>
      <c r="K164" s="788">
        <v>44652</v>
      </c>
      <c r="L164" s="399">
        <v>0</v>
      </c>
      <c r="M164" s="399">
        <v>0</v>
      </c>
      <c r="N164" s="399">
        <v>0.8</v>
      </c>
      <c r="O164" s="399">
        <v>0.8</v>
      </c>
      <c r="P164" s="399">
        <v>0.8</v>
      </c>
      <c r="Q164" s="399">
        <v>0.8</v>
      </c>
      <c r="R164" s="399"/>
      <c r="S164" s="399">
        <v>3305.85</v>
      </c>
      <c r="T164" s="399">
        <v>286.42</v>
      </c>
      <c r="U164" s="399"/>
      <c r="V164" s="399">
        <v>2873.8160000000003</v>
      </c>
      <c r="W164" s="399">
        <v>2873.8160000000003</v>
      </c>
      <c r="X164" s="399">
        <v>2088.88</v>
      </c>
      <c r="Y164" s="399">
        <v>0</v>
      </c>
      <c r="Z164" s="399">
        <v>42.359533684025848</v>
      </c>
      <c r="AA164" s="399">
        <v>0</v>
      </c>
      <c r="AB164" s="399">
        <v>0</v>
      </c>
      <c r="AC164" s="399">
        <v>0</v>
      </c>
      <c r="AD164" s="399">
        <v>521.58805678918486</v>
      </c>
      <c r="AE164" s="399">
        <v>2042.710931420128</v>
      </c>
      <c r="AF164" s="399">
        <v>229.13867619507678</v>
      </c>
      <c r="AG164" s="399">
        <v>0</v>
      </c>
      <c r="AH164" s="399">
        <v>0</v>
      </c>
      <c r="AI164" s="399">
        <v>0</v>
      </c>
      <c r="AJ164" s="399">
        <v>0</v>
      </c>
      <c r="AK164" s="399">
        <v>0</v>
      </c>
      <c r="AL164" s="399">
        <v>7.5247111638269208</v>
      </c>
      <c r="AM164" s="399"/>
      <c r="AN164" s="399">
        <v>1.0960699418392241</v>
      </c>
      <c r="AO164" s="399">
        <v>0</v>
      </c>
      <c r="AP164" s="399">
        <v>0</v>
      </c>
      <c r="AQ164" s="399">
        <v>0</v>
      </c>
      <c r="AR164" s="399">
        <v>0</v>
      </c>
      <c r="AS164" s="399">
        <v>0</v>
      </c>
      <c r="AT164" s="399">
        <v>0</v>
      </c>
      <c r="AU164" s="399">
        <v>0</v>
      </c>
      <c r="AV164" s="399">
        <v>0</v>
      </c>
      <c r="AW164" s="399">
        <v>0</v>
      </c>
      <c r="AX164" s="399">
        <v>0</v>
      </c>
      <c r="AY164" s="399">
        <v>0</v>
      </c>
      <c r="AZ164" s="399">
        <v>0</v>
      </c>
      <c r="BA164" s="399"/>
      <c r="BB164" s="399">
        <v>0</v>
      </c>
      <c r="BC164" s="399">
        <v>0</v>
      </c>
      <c r="BD164" s="399">
        <v>0</v>
      </c>
      <c r="BE164" s="399">
        <v>0</v>
      </c>
      <c r="BF164" s="399">
        <v>0</v>
      </c>
      <c r="BG164" s="399">
        <v>9.4298364396102397</v>
      </c>
      <c r="BH164" s="399">
        <v>0</v>
      </c>
      <c r="BI164" s="399">
        <v>0</v>
      </c>
      <c r="BJ164" s="399">
        <v>0</v>
      </c>
      <c r="BK164" s="399">
        <v>0</v>
      </c>
      <c r="BL164" s="399">
        <v>0</v>
      </c>
      <c r="BM164" s="399"/>
      <c r="BN164" s="399"/>
      <c r="BO164" s="399"/>
      <c r="BP164" s="399"/>
      <c r="BQ164" s="399"/>
      <c r="BR164" s="399"/>
      <c r="BS164" s="399"/>
      <c r="BT164" s="399"/>
      <c r="BU164" s="399"/>
      <c r="BV164" s="399">
        <v>238.56851263468701</v>
      </c>
      <c r="BW164" s="399"/>
      <c r="BX164" s="399"/>
      <c r="BY164" s="399"/>
      <c r="BZ164" s="399"/>
      <c r="CA164" s="399"/>
      <c r="CB164" s="399"/>
      <c r="CC164" s="399"/>
      <c r="CD164" s="399"/>
      <c r="CE164" s="399"/>
      <c r="CF164" s="399"/>
      <c r="CG164" s="399"/>
      <c r="CH164" s="399"/>
      <c r="CI164" s="399">
        <v>2088.88</v>
      </c>
      <c r="CJ164" s="399">
        <v>-784.9660000000008</v>
      </c>
      <c r="CK164" s="399"/>
      <c r="CL164" s="399"/>
      <c r="CM164" s="399"/>
      <c r="CN164" s="399"/>
      <c r="CO164" s="399">
        <v>-733.07999999999993</v>
      </c>
      <c r="CP164" s="399">
        <v>-51.856000000000023</v>
      </c>
      <c r="CQ164" s="399">
        <v>30</v>
      </c>
      <c r="CR164" s="399">
        <v>-39.558553002179337</v>
      </c>
      <c r="CS164" s="399">
        <v>0</v>
      </c>
      <c r="CT164" s="399">
        <v>0</v>
      </c>
      <c r="CU164" s="399">
        <v>0</v>
      </c>
      <c r="CV164" s="399">
        <v>0</v>
      </c>
      <c r="CW164" s="399">
        <v>0</v>
      </c>
      <c r="CX164" s="399">
        <v>0</v>
      </c>
      <c r="CY164" s="399">
        <v>0</v>
      </c>
      <c r="CZ164" s="399">
        <v>17.899289034942285</v>
      </c>
      <c r="DA164" s="399">
        <v>0</v>
      </c>
      <c r="DB164" s="399">
        <v>0</v>
      </c>
      <c r="DC164" s="399">
        <v>-51.861415589628763</v>
      </c>
      <c r="DD164" s="399">
        <v>0</v>
      </c>
      <c r="DE164" s="399">
        <v>0</v>
      </c>
      <c r="DF164" s="399">
        <v>0</v>
      </c>
      <c r="DG164" s="399">
        <v>-2.1342737710525519</v>
      </c>
      <c r="DH164" s="399">
        <v>0</v>
      </c>
      <c r="DI164" s="399">
        <v>-2.938741430903363</v>
      </c>
      <c r="DJ164" s="399"/>
      <c r="DK164" s="399">
        <v>0</v>
      </c>
      <c r="DL164" s="399">
        <v>0</v>
      </c>
      <c r="DM164" s="399">
        <v>0</v>
      </c>
      <c r="DN164" s="399">
        <v>0</v>
      </c>
      <c r="DO164" s="399">
        <v>-0.43062641770214505</v>
      </c>
      <c r="DP164" s="399">
        <v>-9.278482783464792E-2</v>
      </c>
      <c r="DQ164" s="399">
        <v>0</v>
      </c>
      <c r="DR164" s="399">
        <v>0</v>
      </c>
      <c r="DS164" s="399"/>
      <c r="DT164" s="399"/>
      <c r="DU164" s="399"/>
      <c r="DV164" s="399">
        <v>2042.710931420128</v>
      </c>
      <c r="DW164" s="399">
        <v>0</v>
      </c>
      <c r="DX164" s="399">
        <v>0</v>
      </c>
      <c r="DY164" s="399">
        <v>-733.08000000000015</v>
      </c>
      <c r="DZ164" s="399">
        <v>-51.856000000000023</v>
      </c>
      <c r="EA164" s="399">
        <v>0</v>
      </c>
      <c r="EB164" s="399">
        <v>0</v>
      </c>
      <c r="EC164" s="399">
        <v>-745.38545985772794</v>
      </c>
      <c r="ED164" s="399">
        <v>0</v>
      </c>
      <c r="EE164" s="399">
        <v>0</v>
      </c>
      <c r="EF164" s="399">
        <v>0</v>
      </c>
      <c r="EG164" s="399">
        <v>0</v>
      </c>
      <c r="EH164" s="399">
        <v>0</v>
      </c>
      <c r="EI164" s="399">
        <v>0</v>
      </c>
      <c r="EJ164" s="399">
        <v>0</v>
      </c>
      <c r="EK164" s="399">
        <v>0</v>
      </c>
      <c r="EL164" s="399">
        <v>0</v>
      </c>
      <c r="EM164" s="399">
        <v>0</v>
      </c>
      <c r="EN164" s="399">
        <v>0</v>
      </c>
      <c r="EO164" s="399">
        <v>0</v>
      </c>
      <c r="EP164" s="399">
        <v>19.973969462905444</v>
      </c>
      <c r="EQ164" s="399">
        <v>0</v>
      </c>
      <c r="ER164" s="399">
        <v>0</v>
      </c>
      <c r="ES164" s="399">
        <v>0</v>
      </c>
      <c r="ET164" s="399">
        <v>0</v>
      </c>
      <c r="EU164" s="399">
        <v>0</v>
      </c>
      <c r="EV164" s="399">
        <v>202</v>
      </c>
      <c r="EW164" s="399">
        <v>0</v>
      </c>
      <c r="EX164" s="399">
        <v>0</v>
      </c>
      <c r="EY164" s="399">
        <v>0</v>
      </c>
      <c r="EZ164" s="399"/>
      <c r="FA164" s="399">
        <v>0</v>
      </c>
      <c r="FB164" s="399">
        <v>-17.698635468909799</v>
      </c>
      <c r="FC164" s="399"/>
      <c r="FD164" s="399">
        <v>-17.698635468909799</v>
      </c>
      <c r="FE164" s="399"/>
      <c r="FF164" s="399">
        <v>0</v>
      </c>
      <c r="FG164" s="399">
        <v>0</v>
      </c>
      <c r="FH164" s="399">
        <v>0</v>
      </c>
      <c r="FI164" s="399">
        <v>0</v>
      </c>
    </row>
    <row r="165" spans="1:165">
      <c r="A165" s="399">
        <v>175</v>
      </c>
      <c r="B165" s="399" t="s">
        <v>956</v>
      </c>
      <c r="C165" s="399" t="s">
        <v>2399</v>
      </c>
      <c r="D165" s="399" t="s">
        <v>533</v>
      </c>
      <c r="E165" s="399" t="s">
        <v>918</v>
      </c>
      <c r="F165" s="399" t="s">
        <v>1239</v>
      </c>
      <c r="G165" s="399" t="s">
        <v>1239</v>
      </c>
      <c r="H165" s="399" t="s">
        <v>1239</v>
      </c>
      <c r="I165" s="399" t="s">
        <v>2326</v>
      </c>
      <c r="J165" s="399" t="s">
        <v>2400</v>
      </c>
      <c r="K165" s="788">
        <v>44652</v>
      </c>
      <c r="L165" s="399">
        <v>0</v>
      </c>
      <c r="M165" s="399">
        <v>0</v>
      </c>
      <c r="N165" s="399">
        <v>17.364000000000001</v>
      </c>
      <c r="O165" s="399">
        <v>17.364000000000001</v>
      </c>
      <c r="P165" s="399">
        <v>17.364000000000001</v>
      </c>
      <c r="Q165" s="399">
        <v>17.364000000000001</v>
      </c>
      <c r="R165" s="399"/>
      <c r="S165" s="399">
        <v>100.48</v>
      </c>
      <c r="T165" s="399">
        <v>286.42</v>
      </c>
      <c r="U165" s="399"/>
      <c r="V165" s="399">
        <v>6718.1316000000006</v>
      </c>
      <c r="W165" s="399">
        <v>6718.1316000000006</v>
      </c>
      <c r="X165" s="399">
        <v>5471.0491199999997</v>
      </c>
      <c r="Y165" s="399">
        <v>0</v>
      </c>
      <c r="Z165" s="399">
        <v>919.41367861178094</v>
      </c>
      <c r="AA165" s="399">
        <v>0</v>
      </c>
      <c r="AB165" s="399">
        <v>0</v>
      </c>
      <c r="AC165" s="399">
        <v>0</v>
      </c>
      <c r="AD165" s="399">
        <v>0</v>
      </c>
      <c r="AE165" s="399">
        <v>0</v>
      </c>
      <c r="AF165" s="399">
        <v>4973.4549668141417</v>
      </c>
      <c r="AG165" s="399">
        <v>0</v>
      </c>
      <c r="AH165" s="399">
        <v>0</v>
      </c>
      <c r="AI165" s="399">
        <v>0</v>
      </c>
      <c r="AJ165" s="399">
        <v>0</v>
      </c>
      <c r="AK165" s="399">
        <v>0</v>
      </c>
      <c r="AL165" s="399">
        <v>163.32385581086331</v>
      </c>
      <c r="AM165" s="399"/>
      <c r="AN165" s="399">
        <v>23.790198087620357</v>
      </c>
      <c r="AO165" s="399">
        <v>0</v>
      </c>
      <c r="AP165" s="399">
        <v>0</v>
      </c>
      <c r="AQ165" s="399">
        <v>0</v>
      </c>
      <c r="AR165" s="399">
        <v>0</v>
      </c>
      <c r="AS165" s="399">
        <v>0</v>
      </c>
      <c r="AT165" s="399">
        <v>0</v>
      </c>
      <c r="AU165" s="399">
        <v>0</v>
      </c>
      <c r="AV165" s="399">
        <v>0</v>
      </c>
      <c r="AW165" s="399">
        <v>0</v>
      </c>
      <c r="AX165" s="399">
        <v>0</v>
      </c>
      <c r="AY165" s="399">
        <v>0</v>
      </c>
      <c r="AZ165" s="399">
        <v>0</v>
      </c>
      <c r="BA165" s="399"/>
      <c r="BB165" s="399">
        <v>0</v>
      </c>
      <c r="BC165" s="399">
        <v>0</v>
      </c>
      <c r="BD165" s="399">
        <v>0</v>
      </c>
      <c r="BE165" s="399">
        <v>0</v>
      </c>
      <c r="BF165" s="399">
        <v>0</v>
      </c>
      <c r="BG165" s="399">
        <v>204.67459992174028</v>
      </c>
      <c r="BH165" s="399">
        <v>0</v>
      </c>
      <c r="BI165" s="399">
        <v>0</v>
      </c>
      <c r="BJ165" s="399">
        <v>0</v>
      </c>
      <c r="BK165" s="399">
        <v>0</v>
      </c>
      <c r="BL165" s="399">
        <v>0</v>
      </c>
      <c r="BM165" s="399"/>
      <c r="BN165" s="399"/>
      <c r="BO165" s="399"/>
      <c r="BP165" s="399"/>
      <c r="BQ165" s="399"/>
      <c r="BR165" s="399"/>
      <c r="BS165" s="399"/>
      <c r="BT165" s="399"/>
      <c r="BU165" s="399"/>
      <c r="BV165" s="399">
        <v>5178.1295667358818</v>
      </c>
      <c r="BW165" s="399"/>
      <c r="BX165" s="399"/>
      <c r="BY165" s="399"/>
      <c r="BZ165" s="399"/>
      <c r="CA165" s="399"/>
      <c r="CB165" s="399"/>
      <c r="CC165" s="399"/>
      <c r="CD165" s="399"/>
      <c r="CE165" s="399"/>
      <c r="CF165" s="399"/>
      <c r="CG165" s="399"/>
      <c r="CH165" s="399"/>
      <c r="CI165" s="399">
        <v>5469.7887999999994</v>
      </c>
      <c r="CJ165" s="399">
        <v>-1248.372800000001</v>
      </c>
      <c r="CK165" s="399"/>
      <c r="CL165" s="399"/>
      <c r="CM165" s="399"/>
      <c r="CN165" s="399"/>
      <c r="CO165" s="399">
        <v>-121.548</v>
      </c>
      <c r="CP165" s="399">
        <v>-1125.5344800000005</v>
      </c>
      <c r="CQ165" s="399">
        <v>30</v>
      </c>
      <c r="CR165" s="399">
        <v>-1247.12246141572</v>
      </c>
      <c r="CS165" s="399">
        <v>0</v>
      </c>
      <c r="CT165" s="399">
        <v>0</v>
      </c>
      <c r="CU165" s="399">
        <v>0</v>
      </c>
      <c r="CV165" s="399">
        <v>0</v>
      </c>
      <c r="CW165" s="399">
        <v>0</v>
      </c>
      <c r="CX165" s="399">
        <v>0</v>
      </c>
      <c r="CY165" s="399">
        <v>0</v>
      </c>
      <c r="CZ165" s="399">
        <v>0</v>
      </c>
      <c r="DA165" s="399">
        <v>0</v>
      </c>
      <c r="DB165" s="399">
        <v>0</v>
      </c>
      <c r="DC165" s="399">
        <v>-1125.6520253728927</v>
      </c>
      <c r="DD165" s="399">
        <v>0</v>
      </c>
      <c r="DE165" s="399">
        <v>0</v>
      </c>
      <c r="DF165" s="399">
        <v>0</v>
      </c>
      <c r="DG165" s="399">
        <v>-46.324412200695662</v>
      </c>
      <c r="DH165" s="399">
        <v>0</v>
      </c>
      <c r="DI165" s="399">
        <v>-63.785382757757475</v>
      </c>
      <c r="DJ165" s="399"/>
      <c r="DK165" s="399">
        <v>0</v>
      </c>
      <c r="DL165" s="399">
        <v>0</v>
      </c>
      <c r="DM165" s="399">
        <v>0</v>
      </c>
      <c r="DN165" s="399">
        <v>0</v>
      </c>
      <c r="DO165" s="399">
        <v>-9.3467463962250577</v>
      </c>
      <c r="DP165" s="399">
        <v>-2.0138946881510336</v>
      </c>
      <c r="DQ165" s="399">
        <v>0</v>
      </c>
      <c r="DR165" s="399">
        <v>0</v>
      </c>
      <c r="DS165" s="399"/>
      <c r="DT165" s="399"/>
      <c r="DU165" s="399"/>
      <c r="DV165" s="399">
        <v>0</v>
      </c>
      <c r="DW165" s="399">
        <v>0</v>
      </c>
      <c r="DX165" s="399">
        <v>0</v>
      </c>
      <c r="DY165" s="399">
        <v>-121.548</v>
      </c>
      <c r="DZ165" s="399">
        <v>-1125.5344800000003</v>
      </c>
      <c r="EA165" s="399">
        <v>0</v>
      </c>
      <c r="EB165" s="399">
        <v>0</v>
      </c>
      <c r="EC165" s="399">
        <v>0</v>
      </c>
      <c r="ED165" s="399">
        <v>0</v>
      </c>
      <c r="EE165" s="399">
        <v>0</v>
      </c>
      <c r="EF165" s="399">
        <v>0</v>
      </c>
      <c r="EG165" s="399">
        <v>0</v>
      </c>
      <c r="EH165" s="399">
        <v>0</v>
      </c>
      <c r="EI165" s="399">
        <v>0</v>
      </c>
      <c r="EJ165" s="399">
        <v>0</v>
      </c>
      <c r="EK165" s="399">
        <v>0</v>
      </c>
      <c r="EL165" s="399">
        <v>0</v>
      </c>
      <c r="EM165" s="399">
        <v>0</v>
      </c>
      <c r="EN165" s="399">
        <v>0</v>
      </c>
      <c r="EO165" s="399">
        <v>0</v>
      </c>
      <c r="EP165" s="399">
        <v>433.53500719236263</v>
      </c>
      <c r="EQ165" s="399">
        <v>0</v>
      </c>
      <c r="ER165" s="399">
        <v>0</v>
      </c>
      <c r="ES165" s="399">
        <v>0</v>
      </c>
      <c r="ET165" s="399">
        <v>0</v>
      </c>
      <c r="EU165" s="399">
        <v>0</v>
      </c>
      <c r="EV165" s="399">
        <v>202</v>
      </c>
      <c r="EW165" s="399">
        <v>0</v>
      </c>
      <c r="EX165" s="399">
        <v>0</v>
      </c>
      <c r="EY165" s="399">
        <v>0</v>
      </c>
      <c r="EZ165" s="399"/>
      <c r="FA165" s="399">
        <v>0</v>
      </c>
      <c r="FB165" s="399">
        <v>-17.698635468909799</v>
      </c>
      <c r="FC165" s="399"/>
      <c r="FD165" s="399">
        <v>-17.698635468909799</v>
      </c>
      <c r="FE165" s="399"/>
      <c r="FF165" s="399">
        <v>0</v>
      </c>
      <c r="FG165" s="399">
        <v>0</v>
      </c>
      <c r="FH165" s="399">
        <v>0</v>
      </c>
      <c r="FI165" s="399">
        <v>0</v>
      </c>
    </row>
    <row r="166" spans="1:165">
      <c r="A166" s="399">
        <v>176</v>
      </c>
      <c r="B166" s="399" t="s">
        <v>956</v>
      </c>
      <c r="C166" s="399" t="s">
        <v>2399</v>
      </c>
      <c r="D166" s="399" t="s">
        <v>533</v>
      </c>
      <c r="E166" s="399" t="s">
        <v>918</v>
      </c>
      <c r="F166" s="399" t="s">
        <v>1239</v>
      </c>
      <c r="G166" s="399" t="s">
        <v>1239</v>
      </c>
      <c r="H166" s="399" t="s">
        <v>1239</v>
      </c>
      <c r="I166" s="399" t="s">
        <v>1239</v>
      </c>
      <c r="J166" s="399" t="s">
        <v>2400</v>
      </c>
      <c r="K166" s="788">
        <v>44652</v>
      </c>
      <c r="L166" s="399">
        <v>200</v>
      </c>
      <c r="M166" s="399">
        <v>200</v>
      </c>
      <c r="N166" s="399">
        <v>0</v>
      </c>
      <c r="O166" s="399">
        <v>0</v>
      </c>
      <c r="P166" s="399">
        <v>0</v>
      </c>
      <c r="Q166" s="399">
        <v>0</v>
      </c>
      <c r="R166" s="399">
        <v>39.21</v>
      </c>
      <c r="S166" s="399"/>
      <c r="T166" s="399"/>
      <c r="U166" s="399">
        <v>7842</v>
      </c>
      <c r="V166" s="399"/>
      <c r="W166" s="399">
        <v>7842</v>
      </c>
      <c r="X166" s="399">
        <v>5968</v>
      </c>
      <c r="Y166" s="399">
        <v>0</v>
      </c>
      <c r="Z166" s="399">
        <v>0</v>
      </c>
      <c r="AA166" s="399">
        <v>0</v>
      </c>
      <c r="AB166" s="399">
        <v>0</v>
      </c>
      <c r="AC166" s="399">
        <v>0</v>
      </c>
      <c r="AD166" s="399">
        <v>2470.4459924729599</v>
      </c>
      <c r="AE166" s="399">
        <v>5372.3982459365207</v>
      </c>
      <c r="AF166" s="399"/>
      <c r="AG166" s="399"/>
      <c r="AH166" s="399"/>
      <c r="AI166" s="399">
        <v>0</v>
      </c>
      <c r="AJ166" s="399">
        <v>0</v>
      </c>
      <c r="AK166" s="399">
        <v>0</v>
      </c>
      <c r="AL166" s="399">
        <v>0</v>
      </c>
      <c r="AM166" s="399"/>
      <c r="AN166" s="399">
        <v>0</v>
      </c>
      <c r="AO166" s="399">
        <v>0</v>
      </c>
      <c r="AP166" s="399">
        <v>0</v>
      </c>
      <c r="AQ166" s="399">
        <v>0</v>
      </c>
      <c r="AR166" s="399">
        <v>0</v>
      </c>
      <c r="AS166" s="399"/>
      <c r="AT166" s="399"/>
      <c r="AU166" s="399">
        <v>0</v>
      </c>
      <c r="AV166" s="399">
        <v>0</v>
      </c>
      <c r="AW166" s="399">
        <v>0</v>
      </c>
      <c r="AX166" s="399"/>
      <c r="AY166" s="399"/>
      <c r="AZ166" s="399">
        <v>0</v>
      </c>
      <c r="BA166" s="399"/>
      <c r="BB166" s="399">
        <v>0</v>
      </c>
      <c r="BC166" s="399">
        <v>0</v>
      </c>
      <c r="BD166" s="399">
        <v>0</v>
      </c>
      <c r="BE166" s="399">
        <v>0</v>
      </c>
      <c r="BF166" s="399"/>
      <c r="BG166" s="399">
        <v>0</v>
      </c>
      <c r="BH166" s="399">
        <v>0</v>
      </c>
      <c r="BI166" s="399">
        <v>99.96</v>
      </c>
      <c r="BJ166" s="399">
        <v>461.36</v>
      </c>
      <c r="BK166" s="399">
        <v>2825.17</v>
      </c>
      <c r="BL166" s="399">
        <v>1</v>
      </c>
      <c r="BM166" s="399"/>
      <c r="BN166" s="399"/>
      <c r="BO166" s="399"/>
      <c r="BP166" s="399"/>
      <c r="BQ166" s="399"/>
      <c r="BR166" s="399"/>
      <c r="BS166" s="399"/>
      <c r="BT166" s="399"/>
      <c r="BU166" s="399"/>
      <c r="BV166" s="399">
        <v>0</v>
      </c>
      <c r="BW166" s="399"/>
      <c r="BX166" s="399"/>
      <c r="BY166" s="399"/>
      <c r="BZ166" s="399"/>
      <c r="CA166" s="399"/>
      <c r="CB166" s="399"/>
      <c r="CC166" s="399"/>
      <c r="CD166" s="399"/>
      <c r="CE166" s="399"/>
      <c r="CF166" s="399"/>
      <c r="CG166" s="399"/>
      <c r="CH166" s="399"/>
      <c r="CI166" s="399">
        <v>5968</v>
      </c>
      <c r="CJ166" s="399">
        <v>-1874.0300000000007</v>
      </c>
      <c r="CK166" s="399"/>
      <c r="CL166" s="399"/>
      <c r="CM166" s="399"/>
      <c r="CN166" s="399"/>
      <c r="CO166" s="399">
        <v>-1874.0000000000002</v>
      </c>
      <c r="CP166" s="399">
        <v>0</v>
      </c>
      <c r="CQ166" s="399">
        <v>30</v>
      </c>
      <c r="CR166" s="399">
        <v>84.77806630906025</v>
      </c>
      <c r="CS166" s="399">
        <v>0</v>
      </c>
      <c r="CT166" s="399">
        <v>0</v>
      </c>
      <c r="CU166" s="399">
        <v>0</v>
      </c>
      <c r="CV166" s="399">
        <v>0</v>
      </c>
      <c r="CW166" s="399"/>
      <c r="CX166" s="399"/>
      <c r="CY166" s="399"/>
      <c r="CZ166" s="399">
        <v>84.77806630906025</v>
      </c>
      <c r="DA166" s="399">
        <v>0</v>
      </c>
      <c r="DB166" s="399">
        <v>0</v>
      </c>
      <c r="DC166" s="399"/>
      <c r="DD166" s="399"/>
      <c r="DE166" s="399">
        <v>0</v>
      </c>
      <c r="DF166" s="399">
        <v>0</v>
      </c>
      <c r="DG166" s="399">
        <v>0</v>
      </c>
      <c r="DH166" s="399">
        <v>0</v>
      </c>
      <c r="DI166" s="399">
        <v>0</v>
      </c>
      <c r="DJ166" s="399"/>
      <c r="DK166" s="399">
        <v>0</v>
      </c>
      <c r="DL166" s="399">
        <v>0</v>
      </c>
      <c r="DM166" s="399"/>
      <c r="DN166" s="399">
        <v>0</v>
      </c>
      <c r="DO166" s="399">
        <v>0</v>
      </c>
      <c r="DP166" s="399">
        <v>0</v>
      </c>
      <c r="DQ166" s="399">
        <v>0</v>
      </c>
      <c r="DR166" s="399">
        <v>0</v>
      </c>
      <c r="DS166" s="399"/>
      <c r="DT166" s="399"/>
      <c r="DU166" s="399">
        <v>5372.3982459365207</v>
      </c>
      <c r="DV166" s="399"/>
      <c r="DW166" s="399">
        <v>0</v>
      </c>
      <c r="DX166" s="399">
        <v>0</v>
      </c>
      <c r="DY166" s="399">
        <v>-1874</v>
      </c>
      <c r="DZ166" s="399"/>
      <c r="EA166" s="399">
        <v>0</v>
      </c>
      <c r="EB166" s="399"/>
      <c r="EC166" s="399">
        <v>-1960.3887537343408</v>
      </c>
      <c r="ED166" s="399"/>
      <c r="EE166" s="399">
        <v>0</v>
      </c>
      <c r="EF166" s="399">
        <v>0</v>
      </c>
      <c r="EG166" s="399"/>
      <c r="EH166" s="399">
        <v>0</v>
      </c>
      <c r="EI166" s="399">
        <v>0</v>
      </c>
      <c r="EJ166" s="399">
        <v>0</v>
      </c>
      <c r="EK166" s="399">
        <v>0</v>
      </c>
      <c r="EL166" s="399">
        <v>0</v>
      </c>
      <c r="EM166" s="399"/>
      <c r="EN166" s="399"/>
      <c r="EO166" s="399">
        <v>0</v>
      </c>
      <c r="EP166" s="399">
        <v>0</v>
      </c>
      <c r="EQ166" s="399"/>
      <c r="ER166" s="399">
        <v>0</v>
      </c>
      <c r="ES166" s="399"/>
      <c r="ET166" s="399">
        <v>0</v>
      </c>
      <c r="EU166" s="399"/>
      <c r="EV166" s="399">
        <v>202</v>
      </c>
      <c r="EW166" s="399"/>
      <c r="EX166" s="399"/>
      <c r="EY166" s="399"/>
      <c r="EZ166" s="399"/>
      <c r="FA166" s="399">
        <v>0</v>
      </c>
      <c r="FB166" s="399">
        <v>-17.698635468909799</v>
      </c>
      <c r="FC166" s="399"/>
      <c r="FD166" s="399">
        <v>-17.698635468909799</v>
      </c>
      <c r="FE166" s="399"/>
      <c r="FF166" s="399">
        <v>0</v>
      </c>
      <c r="FG166" s="399">
        <v>0</v>
      </c>
      <c r="FH166" s="399">
        <v>0</v>
      </c>
      <c r="FI166" s="399">
        <v>0</v>
      </c>
    </row>
    <row r="167" spans="1:165">
      <c r="A167" s="399">
        <v>182</v>
      </c>
      <c r="B167" s="399" t="s">
        <v>956</v>
      </c>
      <c r="C167" s="399" t="s">
        <v>2399</v>
      </c>
      <c r="D167" s="399" t="s">
        <v>533</v>
      </c>
      <c r="E167" s="399" t="s">
        <v>921</v>
      </c>
      <c r="F167" s="399" t="s">
        <v>2401</v>
      </c>
      <c r="G167" s="399" t="s">
        <v>1239</v>
      </c>
      <c r="H167" s="399" t="s">
        <v>1239</v>
      </c>
      <c r="I167" s="399" t="s">
        <v>893</v>
      </c>
      <c r="J167" s="399" t="s">
        <v>2400</v>
      </c>
      <c r="K167" s="788">
        <v>44652</v>
      </c>
      <c r="L167" s="399">
        <v>0</v>
      </c>
      <c r="M167" s="399">
        <v>0</v>
      </c>
      <c r="N167" s="399">
        <v>18.384</v>
      </c>
      <c r="O167" s="399">
        <v>17.28096</v>
      </c>
      <c r="P167" s="399">
        <v>18.384</v>
      </c>
      <c r="Q167" s="399">
        <v>17.28096</v>
      </c>
      <c r="R167" s="399"/>
      <c r="S167" s="399">
        <v>3305.85</v>
      </c>
      <c r="T167" s="399">
        <v>286.42</v>
      </c>
      <c r="U167" s="399"/>
      <c r="V167" s="399">
        <v>66040.291679999995</v>
      </c>
      <c r="W167" s="399">
        <v>66040.291679999995</v>
      </c>
      <c r="X167" s="399">
        <v>48002.462399999997</v>
      </c>
      <c r="Y167" s="399">
        <v>0</v>
      </c>
      <c r="Z167" s="399">
        <v>973.42208405891392</v>
      </c>
      <c r="AA167" s="399">
        <v>0</v>
      </c>
      <c r="AB167" s="399">
        <v>0</v>
      </c>
      <c r="AC167" s="399">
        <v>0</v>
      </c>
      <c r="AD167" s="399">
        <v>11986.093545015467</v>
      </c>
      <c r="AE167" s="399">
        <v>46941.497204034538</v>
      </c>
      <c r="AF167" s="399">
        <v>5265.6067789628642</v>
      </c>
      <c r="AG167" s="399">
        <v>0</v>
      </c>
      <c r="AH167" s="399">
        <v>0</v>
      </c>
      <c r="AI167" s="399">
        <v>0</v>
      </c>
      <c r="AJ167" s="399">
        <v>0</v>
      </c>
      <c r="AK167" s="399">
        <v>0</v>
      </c>
      <c r="AL167" s="399">
        <v>172.91786254474263</v>
      </c>
      <c r="AM167" s="399"/>
      <c r="AN167" s="399">
        <v>25.187687263465367</v>
      </c>
      <c r="AO167" s="399">
        <v>0</v>
      </c>
      <c r="AP167" s="399">
        <v>0</v>
      </c>
      <c r="AQ167" s="399">
        <v>0</v>
      </c>
      <c r="AR167" s="399">
        <v>0</v>
      </c>
      <c r="AS167" s="399">
        <v>0</v>
      </c>
      <c r="AT167" s="399">
        <v>0</v>
      </c>
      <c r="AU167" s="399">
        <v>0</v>
      </c>
      <c r="AV167" s="399">
        <v>0</v>
      </c>
      <c r="AW167" s="399">
        <v>0</v>
      </c>
      <c r="AX167" s="399">
        <v>0</v>
      </c>
      <c r="AY167" s="399">
        <v>0</v>
      </c>
      <c r="AZ167" s="399">
        <v>0</v>
      </c>
      <c r="BA167" s="399"/>
      <c r="BB167" s="399">
        <v>0</v>
      </c>
      <c r="BC167" s="399">
        <v>0</v>
      </c>
      <c r="BD167" s="399">
        <v>0</v>
      </c>
      <c r="BE167" s="399">
        <v>0</v>
      </c>
      <c r="BF167" s="399">
        <v>0</v>
      </c>
      <c r="BG167" s="399">
        <v>216.69764138224332</v>
      </c>
      <c r="BH167" s="399">
        <v>0</v>
      </c>
      <c r="BI167" s="399">
        <v>0</v>
      </c>
      <c r="BJ167" s="399">
        <v>0</v>
      </c>
      <c r="BK167" s="399">
        <v>0</v>
      </c>
      <c r="BL167" s="399">
        <v>0</v>
      </c>
      <c r="BM167" s="399"/>
      <c r="BN167" s="399"/>
      <c r="BO167" s="399"/>
      <c r="BP167" s="399"/>
      <c r="BQ167" s="399">
        <v>2880.1477440000003</v>
      </c>
      <c r="BR167" s="399"/>
      <c r="BS167" s="399"/>
      <c r="BT167" s="399"/>
      <c r="BU167" s="399"/>
      <c r="BV167" s="399">
        <v>5482.3044203451072</v>
      </c>
      <c r="BW167" s="399"/>
      <c r="BX167" s="399"/>
      <c r="BY167" s="399"/>
      <c r="BZ167" s="399"/>
      <c r="CA167" s="399"/>
      <c r="CB167" s="399"/>
      <c r="CC167" s="399"/>
      <c r="CD167" s="399"/>
      <c r="CE167" s="399"/>
      <c r="CF167" s="399"/>
      <c r="CG167" s="399"/>
      <c r="CH167" s="399"/>
      <c r="CI167" s="399">
        <v>45119.808000000005</v>
      </c>
      <c r="CJ167" s="399">
        <v>-16958.096179199994</v>
      </c>
      <c r="CK167" s="399"/>
      <c r="CL167" s="399"/>
      <c r="CM167" s="399"/>
      <c r="CN167" s="399"/>
      <c r="CO167" s="399">
        <v>-16846.178399999997</v>
      </c>
      <c r="CP167" s="399">
        <v>-1191.6508800000004</v>
      </c>
      <c r="CQ167" s="399">
        <v>30</v>
      </c>
      <c r="CR167" s="399">
        <v>-909.05554799007587</v>
      </c>
      <c r="CS167" s="399">
        <v>0</v>
      </c>
      <c r="CT167" s="399">
        <v>0</v>
      </c>
      <c r="CU167" s="399">
        <v>0</v>
      </c>
      <c r="CV167" s="399">
        <v>0</v>
      </c>
      <c r="CW167" s="399">
        <v>0</v>
      </c>
      <c r="CX167" s="399">
        <v>0</v>
      </c>
      <c r="CY167" s="399">
        <v>0</v>
      </c>
      <c r="CZ167" s="399">
        <v>411.32566202297676</v>
      </c>
      <c r="DA167" s="399">
        <v>0</v>
      </c>
      <c r="DB167" s="399">
        <v>0</v>
      </c>
      <c r="DC167" s="399">
        <v>-1191.775330249669</v>
      </c>
      <c r="DD167" s="399">
        <v>0</v>
      </c>
      <c r="DE167" s="399">
        <v>0</v>
      </c>
      <c r="DF167" s="399">
        <v>0</v>
      </c>
      <c r="DG167" s="399">
        <v>-49.045611258787659</v>
      </c>
      <c r="DH167" s="399">
        <v>0</v>
      </c>
      <c r="DI167" s="399">
        <v>-67.532278082159223</v>
      </c>
      <c r="DJ167" s="399"/>
      <c r="DK167" s="399">
        <v>0</v>
      </c>
      <c r="DL167" s="399">
        <v>0</v>
      </c>
      <c r="DM167" s="399">
        <v>0</v>
      </c>
      <c r="DN167" s="399">
        <v>0</v>
      </c>
      <c r="DO167" s="399">
        <v>-9.8957950787952882</v>
      </c>
      <c r="DP167" s="399">
        <v>-2.132195343640209</v>
      </c>
      <c r="DQ167" s="399">
        <v>0</v>
      </c>
      <c r="DR167" s="399">
        <v>0</v>
      </c>
      <c r="DS167" s="399"/>
      <c r="DT167" s="399"/>
      <c r="DU167" s="399"/>
      <c r="DV167" s="399">
        <v>46941.497204034538</v>
      </c>
      <c r="DW167" s="399">
        <v>0</v>
      </c>
      <c r="DX167" s="399">
        <v>0</v>
      </c>
      <c r="DY167" s="399">
        <v>-16846.178399999997</v>
      </c>
      <c r="DZ167" s="399">
        <v>-1191.6508800000001</v>
      </c>
      <c r="EA167" s="399">
        <v>0</v>
      </c>
      <c r="EB167" s="399">
        <v>0</v>
      </c>
      <c r="EC167" s="399">
        <v>-17128.957867530586</v>
      </c>
      <c r="ED167" s="399">
        <v>0</v>
      </c>
      <c r="EE167" s="399">
        <v>0</v>
      </c>
      <c r="EF167" s="399">
        <v>0</v>
      </c>
      <c r="EG167" s="399">
        <v>0</v>
      </c>
      <c r="EH167" s="399">
        <v>0</v>
      </c>
      <c r="EI167" s="399">
        <v>0</v>
      </c>
      <c r="EJ167" s="399">
        <v>0</v>
      </c>
      <c r="EK167" s="399">
        <v>0</v>
      </c>
      <c r="EL167" s="399">
        <v>0</v>
      </c>
      <c r="EM167" s="399">
        <v>0</v>
      </c>
      <c r="EN167" s="399">
        <v>0</v>
      </c>
      <c r="EO167" s="399">
        <v>0</v>
      </c>
      <c r="EP167" s="399">
        <v>459.00181825756704</v>
      </c>
      <c r="EQ167" s="399">
        <v>0</v>
      </c>
      <c r="ER167" s="399">
        <v>0</v>
      </c>
      <c r="ES167" s="399">
        <v>0</v>
      </c>
      <c r="ET167" s="399">
        <v>0</v>
      </c>
      <c r="EU167" s="399">
        <v>0</v>
      </c>
      <c r="EV167" s="399">
        <v>202</v>
      </c>
      <c r="EW167" s="399">
        <v>0</v>
      </c>
      <c r="EX167" s="399">
        <v>0</v>
      </c>
      <c r="EY167" s="399">
        <v>0</v>
      </c>
      <c r="EZ167" s="399"/>
      <c r="FA167" s="399">
        <v>0</v>
      </c>
      <c r="FB167" s="399">
        <v>-17.698635468909799</v>
      </c>
      <c r="FC167" s="399"/>
      <c r="FD167" s="399">
        <v>-17.698635468909799</v>
      </c>
      <c r="FE167" s="399"/>
      <c r="FF167" s="399">
        <v>0</v>
      </c>
      <c r="FG167" s="399">
        <v>0</v>
      </c>
      <c r="FH167" s="399">
        <v>0</v>
      </c>
      <c r="FI167" s="399">
        <v>0</v>
      </c>
    </row>
    <row r="168" spans="1:165">
      <c r="A168" s="399">
        <v>183</v>
      </c>
      <c r="B168" s="399" t="s">
        <v>956</v>
      </c>
      <c r="C168" s="399" t="s">
        <v>2399</v>
      </c>
      <c r="D168" s="399" t="s">
        <v>533</v>
      </c>
      <c r="E168" s="399" t="s">
        <v>921</v>
      </c>
      <c r="F168" s="399" t="s">
        <v>2401</v>
      </c>
      <c r="G168" s="399" t="s">
        <v>1239</v>
      </c>
      <c r="H168" s="399" t="s">
        <v>1239</v>
      </c>
      <c r="I168" s="399" t="s">
        <v>2326</v>
      </c>
      <c r="J168" s="399" t="s">
        <v>2400</v>
      </c>
      <c r="K168" s="788">
        <v>44652</v>
      </c>
      <c r="L168" s="399">
        <v>0</v>
      </c>
      <c r="M168" s="399">
        <v>0</v>
      </c>
      <c r="N168" s="399">
        <v>187.297</v>
      </c>
      <c r="O168" s="399">
        <v>176.05918</v>
      </c>
      <c r="P168" s="399">
        <v>187.297</v>
      </c>
      <c r="Q168" s="399">
        <v>176.05918</v>
      </c>
      <c r="R168" s="399"/>
      <c r="S168" s="399">
        <v>100.48</v>
      </c>
      <c r="T168" s="399">
        <v>286.42</v>
      </c>
      <c r="U168" s="399"/>
      <c r="V168" s="399">
        <v>72465.209300000002</v>
      </c>
      <c r="W168" s="399">
        <v>72465.209300000002</v>
      </c>
      <c r="X168" s="399">
        <v>59013.538760000003</v>
      </c>
      <c r="Y168" s="399">
        <v>0</v>
      </c>
      <c r="Z168" s="399">
        <v>9917.2669755212355</v>
      </c>
      <c r="AA168" s="399">
        <v>0</v>
      </c>
      <c r="AB168" s="399">
        <v>0</v>
      </c>
      <c r="AC168" s="399">
        <v>0</v>
      </c>
      <c r="AD168" s="399">
        <v>0</v>
      </c>
      <c r="AE168" s="399">
        <v>0</v>
      </c>
      <c r="AF168" s="399">
        <v>53646.233294136618</v>
      </c>
      <c r="AG168" s="399">
        <v>0</v>
      </c>
      <c r="AH168" s="399">
        <v>0</v>
      </c>
      <c r="AI168" s="399">
        <v>0</v>
      </c>
      <c r="AJ168" s="399">
        <v>0</v>
      </c>
      <c r="AK168" s="399">
        <v>0</v>
      </c>
      <c r="AL168" s="399">
        <v>1761.6947835641133</v>
      </c>
      <c r="AM168" s="399"/>
      <c r="AN168" s="399">
        <v>256.61326487082641</v>
      </c>
      <c r="AO168" s="399">
        <v>0</v>
      </c>
      <c r="AP168" s="399">
        <v>0</v>
      </c>
      <c r="AQ168" s="399">
        <v>0</v>
      </c>
      <c r="AR168" s="399">
        <v>0</v>
      </c>
      <c r="AS168" s="399">
        <v>0</v>
      </c>
      <c r="AT168" s="399">
        <v>0</v>
      </c>
      <c r="AU168" s="399">
        <v>0</v>
      </c>
      <c r="AV168" s="399">
        <v>0</v>
      </c>
      <c r="AW168" s="399">
        <v>0</v>
      </c>
      <c r="AX168" s="399">
        <v>0</v>
      </c>
      <c r="AY168" s="399">
        <v>0</v>
      </c>
      <c r="AZ168" s="399">
        <v>0</v>
      </c>
      <c r="BA168" s="399"/>
      <c r="BB168" s="399">
        <v>0</v>
      </c>
      <c r="BC168" s="399">
        <v>0</v>
      </c>
      <c r="BD168" s="399">
        <v>0</v>
      </c>
      <c r="BE168" s="399">
        <v>0</v>
      </c>
      <c r="BF168" s="399">
        <v>0</v>
      </c>
      <c r="BG168" s="399">
        <v>2207.7250945370988</v>
      </c>
      <c r="BH168" s="399">
        <v>0</v>
      </c>
      <c r="BI168" s="399">
        <v>0</v>
      </c>
      <c r="BJ168" s="399">
        <v>0</v>
      </c>
      <c r="BK168" s="399">
        <v>0</v>
      </c>
      <c r="BL168" s="399">
        <v>0</v>
      </c>
      <c r="BM168" s="399"/>
      <c r="BN168" s="399"/>
      <c r="BO168" s="399"/>
      <c r="BP168" s="399"/>
      <c r="BQ168" s="399">
        <v>3540.8123255999999</v>
      </c>
      <c r="BR168" s="399"/>
      <c r="BS168" s="399"/>
      <c r="BT168" s="399"/>
      <c r="BU168" s="399"/>
      <c r="BV168" s="399">
        <v>55853.958388673716</v>
      </c>
      <c r="BW168" s="399"/>
      <c r="BX168" s="399"/>
      <c r="BY168" s="399"/>
      <c r="BZ168" s="399"/>
      <c r="CA168" s="399"/>
      <c r="CB168" s="399"/>
      <c r="CC168" s="399"/>
      <c r="CD168" s="399"/>
      <c r="CE168" s="399"/>
      <c r="CF168" s="399"/>
      <c r="CG168" s="399"/>
      <c r="CH168" s="399"/>
      <c r="CI168" s="399">
        <v>55472.984800000006</v>
      </c>
      <c r="CJ168" s="399">
        <v>-12644.341941999985</v>
      </c>
      <c r="CK168" s="399"/>
      <c r="CL168" s="399"/>
      <c r="CM168" s="399"/>
      <c r="CN168" s="399"/>
      <c r="CO168" s="399">
        <v>-1311.079</v>
      </c>
      <c r="CP168" s="399">
        <v>-12140.591540000003</v>
      </c>
      <c r="CQ168" s="399">
        <v>30</v>
      </c>
      <c r="CR168" s="399">
        <v>-13452.101800033422</v>
      </c>
      <c r="CS168" s="399">
        <v>0</v>
      </c>
      <c r="CT168" s="399">
        <v>0</v>
      </c>
      <c r="CU168" s="399">
        <v>0</v>
      </c>
      <c r="CV168" s="399">
        <v>0</v>
      </c>
      <c r="CW168" s="399">
        <v>0</v>
      </c>
      <c r="CX168" s="399">
        <v>0</v>
      </c>
      <c r="CY168" s="399">
        <v>0</v>
      </c>
      <c r="CZ168" s="399">
        <v>0</v>
      </c>
      <c r="DA168" s="399">
        <v>0</v>
      </c>
      <c r="DB168" s="399">
        <v>0</v>
      </c>
      <c r="DC168" s="399">
        <v>-12141.859444613372</v>
      </c>
      <c r="DD168" s="399">
        <v>0</v>
      </c>
      <c r="DE168" s="399">
        <v>0</v>
      </c>
      <c r="DF168" s="399">
        <v>0</v>
      </c>
      <c r="DG168" s="399">
        <v>-499.67884312103729</v>
      </c>
      <c r="DH168" s="399">
        <v>0</v>
      </c>
      <c r="DI168" s="399">
        <v>-688.0218172298828</v>
      </c>
      <c r="DJ168" s="399"/>
      <c r="DK168" s="399">
        <v>0</v>
      </c>
      <c r="DL168" s="399">
        <v>0</v>
      </c>
      <c r="DM168" s="399">
        <v>0</v>
      </c>
      <c r="DN168" s="399">
        <v>0</v>
      </c>
      <c r="DO168" s="399">
        <v>-100.81879519544827</v>
      </c>
      <c r="DP168" s="399">
        <v>-21.722899873682564</v>
      </c>
      <c r="DQ168" s="399">
        <v>0</v>
      </c>
      <c r="DR168" s="399">
        <v>0</v>
      </c>
      <c r="DS168" s="399"/>
      <c r="DT168" s="399"/>
      <c r="DU168" s="399"/>
      <c r="DV168" s="399">
        <v>0</v>
      </c>
      <c r="DW168" s="399">
        <v>0</v>
      </c>
      <c r="DX168" s="399">
        <v>0</v>
      </c>
      <c r="DY168" s="399">
        <v>-1311.0789999999979</v>
      </c>
      <c r="DZ168" s="399">
        <v>-12140.591540000001</v>
      </c>
      <c r="EA168" s="399">
        <v>0</v>
      </c>
      <c r="EB168" s="399">
        <v>0</v>
      </c>
      <c r="EC168" s="399">
        <v>0</v>
      </c>
      <c r="ED168" s="399">
        <v>0</v>
      </c>
      <c r="EE168" s="399">
        <v>0</v>
      </c>
      <c r="EF168" s="399">
        <v>0</v>
      </c>
      <c r="EG168" s="399">
        <v>0</v>
      </c>
      <c r="EH168" s="399">
        <v>0</v>
      </c>
      <c r="EI168" s="399">
        <v>0</v>
      </c>
      <c r="EJ168" s="399">
        <v>0</v>
      </c>
      <c r="EK168" s="399">
        <v>0</v>
      </c>
      <c r="EL168" s="399">
        <v>0</v>
      </c>
      <c r="EM168" s="399">
        <v>0</v>
      </c>
      <c r="EN168" s="399">
        <v>0</v>
      </c>
      <c r="EO168" s="399">
        <v>0</v>
      </c>
      <c r="EP168" s="399">
        <v>4676.3306981172509</v>
      </c>
      <c r="EQ168" s="399">
        <v>0</v>
      </c>
      <c r="ER168" s="399">
        <v>0</v>
      </c>
      <c r="ES168" s="399">
        <v>0</v>
      </c>
      <c r="ET168" s="399">
        <v>0</v>
      </c>
      <c r="EU168" s="399">
        <v>0</v>
      </c>
      <c r="EV168" s="399">
        <v>202</v>
      </c>
      <c r="EW168" s="399">
        <v>0</v>
      </c>
      <c r="EX168" s="399">
        <v>0</v>
      </c>
      <c r="EY168" s="399">
        <v>0</v>
      </c>
      <c r="EZ168" s="399"/>
      <c r="FA168" s="399">
        <v>0</v>
      </c>
      <c r="FB168" s="399">
        <v>-17.698635468909799</v>
      </c>
      <c r="FC168" s="399"/>
      <c r="FD168" s="399">
        <v>-17.698635468909799</v>
      </c>
      <c r="FE168" s="399"/>
      <c r="FF168" s="399">
        <v>0</v>
      </c>
      <c r="FG168" s="399">
        <v>0</v>
      </c>
      <c r="FH168" s="399">
        <v>0</v>
      </c>
      <c r="FI168" s="399">
        <v>0</v>
      </c>
    </row>
    <row r="169" spans="1:165">
      <c r="A169" s="399">
        <v>184</v>
      </c>
      <c r="B169" s="399" t="s">
        <v>956</v>
      </c>
      <c r="C169" s="399" t="s">
        <v>2399</v>
      </c>
      <c r="D169" s="399" t="s">
        <v>533</v>
      </c>
      <c r="E169" s="399" t="s">
        <v>921</v>
      </c>
      <c r="F169" s="399" t="s">
        <v>2401</v>
      </c>
      <c r="G169" s="399" t="s">
        <v>1239</v>
      </c>
      <c r="H169" s="399" t="s">
        <v>1239</v>
      </c>
      <c r="I169" s="399" t="s">
        <v>1239</v>
      </c>
      <c r="J169" s="399" t="s">
        <v>2400</v>
      </c>
      <c r="K169" s="788">
        <v>44652</v>
      </c>
      <c r="L169" s="399">
        <v>556</v>
      </c>
      <c r="M169" s="399">
        <v>522.64</v>
      </c>
      <c r="N169" s="399">
        <v>0</v>
      </c>
      <c r="O169" s="399">
        <v>0</v>
      </c>
      <c r="P169" s="399">
        <v>0</v>
      </c>
      <c r="Q169" s="399">
        <v>0</v>
      </c>
      <c r="R169" s="399">
        <v>39.21</v>
      </c>
      <c r="S169" s="399"/>
      <c r="T169" s="399"/>
      <c r="U169" s="399">
        <v>21800.760000000002</v>
      </c>
      <c r="V169" s="399"/>
      <c r="W169" s="399">
        <v>21800.760000000002</v>
      </c>
      <c r="X169" s="399">
        <v>16591.04</v>
      </c>
      <c r="Y169" s="399">
        <v>0</v>
      </c>
      <c r="Z169" s="399">
        <v>0</v>
      </c>
      <c r="AA169" s="399">
        <v>0</v>
      </c>
      <c r="AB169" s="399">
        <v>0</v>
      </c>
      <c r="AC169" s="399">
        <v>0</v>
      </c>
      <c r="AD169" s="399">
        <v>6867.8398590748293</v>
      </c>
      <c r="AE169" s="399">
        <v>14935.267123703527</v>
      </c>
      <c r="AF169" s="399"/>
      <c r="AG169" s="399"/>
      <c r="AH169" s="399"/>
      <c r="AI169" s="399">
        <v>0</v>
      </c>
      <c r="AJ169" s="399">
        <v>0</v>
      </c>
      <c r="AK169" s="399">
        <v>0</v>
      </c>
      <c r="AL169" s="399">
        <v>0</v>
      </c>
      <c r="AM169" s="399"/>
      <c r="AN169" s="399">
        <v>0</v>
      </c>
      <c r="AO169" s="399">
        <v>0</v>
      </c>
      <c r="AP169" s="399">
        <v>0</v>
      </c>
      <c r="AQ169" s="399">
        <v>0</v>
      </c>
      <c r="AR169" s="399">
        <v>0</v>
      </c>
      <c r="AS169" s="399"/>
      <c r="AT169" s="399"/>
      <c r="AU169" s="399">
        <v>0</v>
      </c>
      <c r="AV169" s="399">
        <v>0</v>
      </c>
      <c r="AW169" s="399">
        <v>0</v>
      </c>
      <c r="AX169" s="399"/>
      <c r="AY169" s="399"/>
      <c r="AZ169" s="399">
        <v>0</v>
      </c>
      <c r="BA169" s="399"/>
      <c r="BB169" s="399">
        <v>0</v>
      </c>
      <c r="BC169" s="399">
        <v>0</v>
      </c>
      <c r="BD169" s="399">
        <v>0</v>
      </c>
      <c r="BE169" s="399">
        <v>0</v>
      </c>
      <c r="BF169" s="399"/>
      <c r="BG169" s="399">
        <v>0</v>
      </c>
      <c r="BH169" s="399">
        <v>0</v>
      </c>
      <c r="BI169" s="399">
        <v>388.14</v>
      </c>
      <c r="BJ169" s="399">
        <v>1791.57</v>
      </c>
      <c r="BK169" s="399">
        <v>29725.62</v>
      </c>
      <c r="BL169" s="399">
        <v>2</v>
      </c>
      <c r="BM169" s="399"/>
      <c r="BN169" s="399"/>
      <c r="BO169" s="399"/>
      <c r="BP169" s="399"/>
      <c r="BQ169" s="399">
        <v>995.46240000000046</v>
      </c>
      <c r="BR169" s="399"/>
      <c r="BS169" s="399"/>
      <c r="BT169" s="399"/>
      <c r="BU169" s="399"/>
      <c r="BV169" s="399">
        <v>0</v>
      </c>
      <c r="BW169" s="399"/>
      <c r="BX169" s="399"/>
      <c r="BY169" s="399"/>
      <c r="BZ169" s="399"/>
      <c r="CA169" s="399"/>
      <c r="CB169" s="399"/>
      <c r="CC169" s="399"/>
      <c r="CD169" s="399"/>
      <c r="CE169" s="399"/>
      <c r="CF169" s="399"/>
      <c r="CG169" s="399"/>
      <c r="CH169" s="399"/>
      <c r="CI169" s="399">
        <v>15595.577599999999</v>
      </c>
      <c r="CJ169" s="399">
        <v>-4897.1667999999972</v>
      </c>
      <c r="CK169" s="399"/>
      <c r="CL169" s="399"/>
      <c r="CM169" s="399"/>
      <c r="CN169" s="399"/>
      <c r="CO169" s="399">
        <v>-5209.72</v>
      </c>
      <c r="CP169" s="399">
        <v>0</v>
      </c>
      <c r="CQ169" s="399">
        <v>30</v>
      </c>
      <c r="CR169" s="399">
        <v>235.68302433918689</v>
      </c>
      <c r="CS169" s="399">
        <v>0</v>
      </c>
      <c r="CT169" s="399">
        <v>0</v>
      </c>
      <c r="CU169" s="399">
        <v>0</v>
      </c>
      <c r="CV169" s="399">
        <v>0</v>
      </c>
      <c r="CW169" s="399"/>
      <c r="CX169" s="399"/>
      <c r="CY169" s="399"/>
      <c r="CZ169" s="399">
        <v>235.68302433918689</v>
      </c>
      <c r="DA169" s="399">
        <v>0</v>
      </c>
      <c r="DB169" s="399">
        <v>0</v>
      </c>
      <c r="DC169" s="399"/>
      <c r="DD169" s="399"/>
      <c r="DE169" s="399">
        <v>0</v>
      </c>
      <c r="DF169" s="399">
        <v>0</v>
      </c>
      <c r="DG169" s="399">
        <v>0</v>
      </c>
      <c r="DH169" s="399">
        <v>0</v>
      </c>
      <c r="DI169" s="399">
        <v>0</v>
      </c>
      <c r="DJ169" s="399"/>
      <c r="DK169" s="399">
        <v>0</v>
      </c>
      <c r="DL169" s="399">
        <v>0</v>
      </c>
      <c r="DM169" s="399"/>
      <c r="DN169" s="399">
        <v>0</v>
      </c>
      <c r="DO169" s="399">
        <v>0</v>
      </c>
      <c r="DP169" s="399">
        <v>0</v>
      </c>
      <c r="DQ169" s="399">
        <v>0</v>
      </c>
      <c r="DR169" s="399">
        <v>0</v>
      </c>
      <c r="DS169" s="399"/>
      <c r="DT169" s="399"/>
      <c r="DU169" s="399">
        <v>14935.267123703527</v>
      </c>
      <c r="DV169" s="399"/>
      <c r="DW169" s="399">
        <v>0</v>
      </c>
      <c r="DX169" s="399">
        <v>0</v>
      </c>
      <c r="DY169" s="399">
        <v>-5209.7200000000012</v>
      </c>
      <c r="DZ169" s="399"/>
      <c r="EA169" s="399">
        <v>0</v>
      </c>
      <c r="EB169" s="399"/>
      <c r="EC169" s="399">
        <v>-5449.8807353814664</v>
      </c>
      <c r="ED169" s="399"/>
      <c r="EE169" s="399">
        <v>0</v>
      </c>
      <c r="EF169" s="399">
        <v>0</v>
      </c>
      <c r="EG169" s="399"/>
      <c r="EH169" s="399">
        <v>0</v>
      </c>
      <c r="EI169" s="399">
        <v>0</v>
      </c>
      <c r="EJ169" s="399">
        <v>0</v>
      </c>
      <c r="EK169" s="399">
        <v>0</v>
      </c>
      <c r="EL169" s="399">
        <v>0</v>
      </c>
      <c r="EM169" s="399"/>
      <c r="EN169" s="399"/>
      <c r="EO169" s="399">
        <v>0</v>
      </c>
      <c r="EP169" s="399">
        <v>0</v>
      </c>
      <c r="EQ169" s="399"/>
      <c r="ER169" s="399">
        <v>0</v>
      </c>
      <c r="ES169" s="399"/>
      <c r="ET169" s="399">
        <v>0</v>
      </c>
      <c r="EU169" s="399"/>
      <c r="EV169" s="399">
        <v>202</v>
      </c>
      <c r="EW169" s="399"/>
      <c r="EX169" s="399"/>
      <c r="EY169" s="399"/>
      <c r="EZ169" s="399"/>
      <c r="FA169" s="399">
        <v>0</v>
      </c>
      <c r="FB169" s="399">
        <v>-17.698635468909799</v>
      </c>
      <c r="FC169" s="399"/>
      <c r="FD169" s="399">
        <v>-17.698635468909799</v>
      </c>
      <c r="FE169" s="399"/>
      <c r="FF169" s="399">
        <v>0</v>
      </c>
      <c r="FG169" s="399">
        <v>0</v>
      </c>
      <c r="FH169" s="399">
        <v>0</v>
      </c>
      <c r="FI169" s="399">
        <v>0</v>
      </c>
    </row>
    <row r="170" spans="1:165">
      <c r="A170" s="399">
        <v>162</v>
      </c>
      <c r="B170" s="399" t="s">
        <v>2404</v>
      </c>
      <c r="C170" s="399" t="s">
        <v>2402</v>
      </c>
      <c r="D170" s="399" t="s">
        <v>1823</v>
      </c>
      <c r="E170" s="399" t="s">
        <v>889</v>
      </c>
      <c r="F170" s="399" t="s">
        <v>889</v>
      </c>
      <c r="G170" s="399" t="s">
        <v>1239</v>
      </c>
      <c r="H170" s="399" t="s">
        <v>1239</v>
      </c>
      <c r="I170" s="399" t="s">
        <v>1239</v>
      </c>
      <c r="J170" s="399" t="s">
        <v>2400</v>
      </c>
      <c r="K170" s="788">
        <v>44652</v>
      </c>
      <c r="L170" s="399">
        <v>0</v>
      </c>
      <c r="M170" s="399">
        <v>0</v>
      </c>
      <c r="N170" s="399">
        <v>4.4779999999999998</v>
      </c>
      <c r="O170" s="399">
        <v>4.4779999999999998</v>
      </c>
      <c r="P170" s="399">
        <v>4.4779999999999998</v>
      </c>
      <c r="Q170" s="399">
        <v>4.4779999999999998</v>
      </c>
      <c r="R170" s="399"/>
      <c r="S170" s="399">
        <v>609.05999999999995</v>
      </c>
      <c r="T170" s="399">
        <v>286.42</v>
      </c>
      <c r="U170" s="399"/>
      <c r="V170" s="399">
        <v>4009.9594399999996</v>
      </c>
      <c r="W170" s="399">
        <v>4009.9594399999996</v>
      </c>
      <c r="X170" s="399">
        <v>3062.3698599999998</v>
      </c>
      <c r="Y170" s="399">
        <v>0</v>
      </c>
      <c r="Z170" s="399">
        <v>272.53734459348811</v>
      </c>
      <c r="AA170" s="399">
        <v>0</v>
      </c>
      <c r="AB170" s="399">
        <v>0</v>
      </c>
      <c r="AC170" s="399">
        <v>0</v>
      </c>
      <c r="AD170" s="399">
        <v>437.2863274992132</v>
      </c>
      <c r="AE170" s="399">
        <v>1689.1553144823681</v>
      </c>
      <c r="AF170" s="399">
        <v>1282.6037400019422</v>
      </c>
      <c r="AG170" s="399">
        <v>0</v>
      </c>
      <c r="AH170" s="399">
        <v>0</v>
      </c>
      <c r="AI170" s="399">
        <v>0</v>
      </c>
      <c r="AJ170" s="399">
        <v>0</v>
      </c>
      <c r="AK170" s="399">
        <v>0</v>
      </c>
      <c r="AL170" s="399">
        <v>42.119570739521187</v>
      </c>
      <c r="AM170" s="399"/>
      <c r="AN170" s="399">
        <v>7.647696622312063</v>
      </c>
      <c r="AO170" s="399">
        <v>0</v>
      </c>
      <c r="AP170" s="399">
        <v>0</v>
      </c>
      <c r="AQ170" s="399">
        <v>0</v>
      </c>
      <c r="AR170" s="399">
        <v>0</v>
      </c>
      <c r="AS170" s="399">
        <v>0</v>
      </c>
      <c r="AT170" s="399">
        <v>0</v>
      </c>
      <c r="AU170" s="399">
        <v>0</v>
      </c>
      <c r="AV170" s="399">
        <v>0</v>
      </c>
      <c r="AW170" s="399">
        <v>0</v>
      </c>
      <c r="AX170" s="399">
        <v>0</v>
      </c>
      <c r="AY170" s="399">
        <v>0</v>
      </c>
      <c r="AZ170" s="399">
        <v>0</v>
      </c>
      <c r="BA170" s="399"/>
      <c r="BB170" s="399">
        <v>0</v>
      </c>
      <c r="BC170" s="399">
        <v>0</v>
      </c>
      <c r="BD170" s="399">
        <v>0</v>
      </c>
      <c r="BE170" s="399">
        <v>0</v>
      </c>
      <c r="BF170" s="399">
        <v>0</v>
      </c>
      <c r="BG170" s="399">
        <v>150.11294385587843</v>
      </c>
      <c r="BH170" s="399">
        <v>0</v>
      </c>
      <c r="BI170" s="399">
        <v>15.03</v>
      </c>
      <c r="BJ170" s="399">
        <v>70.13</v>
      </c>
      <c r="BK170" s="399">
        <v>2329.3200000000002</v>
      </c>
      <c r="BL170" s="399">
        <v>36</v>
      </c>
      <c r="BM170" s="399"/>
      <c r="BN170" s="399"/>
      <c r="BO170" s="399"/>
      <c r="BP170" s="399"/>
      <c r="BQ170" s="399"/>
      <c r="BR170" s="399"/>
      <c r="BS170" s="399"/>
      <c r="BT170" s="399"/>
      <c r="BU170" s="399"/>
      <c r="BV170" s="399">
        <v>1432.7166838578207</v>
      </c>
      <c r="BW170" s="399"/>
      <c r="BX170" s="399"/>
      <c r="BY170" s="399"/>
      <c r="BZ170" s="399"/>
      <c r="CA170" s="399"/>
      <c r="CB170" s="399"/>
      <c r="CC170" s="399"/>
      <c r="CD170" s="399"/>
      <c r="CE170" s="399"/>
      <c r="CF170" s="399"/>
      <c r="CG170" s="399"/>
      <c r="CH170" s="399"/>
      <c r="CI170" s="399">
        <v>3063.7375999999999</v>
      </c>
      <c r="CJ170" s="399">
        <v>-946.25184000000036</v>
      </c>
      <c r="CK170" s="399"/>
      <c r="CL170" s="399"/>
      <c r="CM170" s="399"/>
      <c r="CN170" s="399"/>
      <c r="CO170" s="399">
        <v>-657.32561999999984</v>
      </c>
      <c r="CP170" s="399">
        <v>-290.26396000000005</v>
      </c>
      <c r="CQ170" s="399">
        <v>30</v>
      </c>
      <c r="CR170" s="399">
        <v>-331.22874117394804</v>
      </c>
      <c r="CS170" s="399">
        <v>0</v>
      </c>
      <c r="CT170" s="399">
        <v>0</v>
      </c>
      <c r="CU170" s="399">
        <v>0</v>
      </c>
      <c r="CV170" s="399">
        <v>0</v>
      </c>
      <c r="CW170" s="399">
        <v>0</v>
      </c>
      <c r="CX170" s="399">
        <v>0</v>
      </c>
      <c r="CY170" s="399">
        <v>0</v>
      </c>
      <c r="CZ170" s="399">
        <v>15.00631439899206</v>
      </c>
      <c r="DA170" s="399">
        <v>0</v>
      </c>
      <c r="DB170" s="399">
        <v>0</v>
      </c>
      <c r="DC170" s="399">
        <v>-290.29427376294711</v>
      </c>
      <c r="DD170" s="399">
        <v>0</v>
      </c>
      <c r="DE170" s="399">
        <v>0</v>
      </c>
      <c r="DF170" s="399">
        <v>0</v>
      </c>
      <c r="DG170" s="399">
        <v>-33.975363286399286</v>
      </c>
      <c r="DH170" s="399">
        <v>0</v>
      </c>
      <c r="DI170" s="399">
        <v>-18.907592137335001</v>
      </c>
      <c r="DJ170" s="399"/>
      <c r="DK170" s="399">
        <v>0</v>
      </c>
      <c r="DL170" s="399">
        <v>0</v>
      </c>
      <c r="DM170" s="399">
        <v>0</v>
      </c>
      <c r="DN170" s="399">
        <v>0</v>
      </c>
      <c r="DO170" s="399">
        <v>-2.4104313730877607</v>
      </c>
      <c r="DP170" s="399">
        <v>-0.64739501317054327</v>
      </c>
      <c r="DQ170" s="399">
        <v>0</v>
      </c>
      <c r="DR170" s="399">
        <v>0</v>
      </c>
      <c r="DS170" s="399"/>
      <c r="DT170" s="399"/>
      <c r="DU170" s="399"/>
      <c r="DV170" s="399">
        <v>1689.1553144823681</v>
      </c>
      <c r="DW170" s="399">
        <v>0</v>
      </c>
      <c r="DX170" s="399">
        <v>0</v>
      </c>
      <c r="DY170" s="399">
        <v>-657.32561999999962</v>
      </c>
      <c r="DZ170" s="399">
        <v>-290.26396000000022</v>
      </c>
      <c r="EA170" s="399">
        <v>0</v>
      </c>
      <c r="EB170" s="399">
        <v>0</v>
      </c>
      <c r="EC170" s="399">
        <v>-616.37297352750193</v>
      </c>
      <c r="ED170" s="399">
        <v>0</v>
      </c>
      <c r="EE170" s="399">
        <v>0</v>
      </c>
      <c r="EF170" s="399">
        <v>0</v>
      </c>
      <c r="EG170" s="399">
        <v>0</v>
      </c>
      <c r="EH170" s="399">
        <v>0</v>
      </c>
      <c r="EI170" s="399">
        <v>0</v>
      </c>
      <c r="EJ170" s="399">
        <v>0</v>
      </c>
      <c r="EK170" s="399">
        <v>0</v>
      </c>
      <c r="EL170" s="399">
        <v>0</v>
      </c>
      <c r="EM170" s="399">
        <v>0</v>
      </c>
      <c r="EN170" s="399">
        <v>0</v>
      </c>
      <c r="EO170" s="399">
        <v>0</v>
      </c>
      <c r="EP170" s="399">
        <v>128.5106828374864</v>
      </c>
      <c r="EQ170" s="399">
        <v>0</v>
      </c>
      <c r="ER170" s="399">
        <v>0</v>
      </c>
      <c r="ES170" s="399">
        <v>0</v>
      </c>
      <c r="ET170" s="399">
        <v>0</v>
      </c>
      <c r="EU170" s="399">
        <v>0</v>
      </c>
      <c r="EV170" s="399">
        <v>202</v>
      </c>
      <c r="EW170" s="399">
        <v>0</v>
      </c>
      <c r="EX170" s="399">
        <v>0</v>
      </c>
      <c r="EY170" s="399">
        <v>0</v>
      </c>
      <c r="EZ170" s="399"/>
      <c r="FA170" s="399">
        <v>0</v>
      </c>
      <c r="FB170" s="399">
        <v>-17.698635468909799</v>
      </c>
      <c r="FC170" s="399"/>
      <c r="FD170" s="399">
        <v>-17.698635468909799</v>
      </c>
      <c r="FE170" s="399"/>
      <c r="FF170" s="399">
        <v>0</v>
      </c>
      <c r="FG170" s="399">
        <v>0</v>
      </c>
      <c r="FH170" s="399">
        <v>0</v>
      </c>
      <c r="FI170" s="399">
        <v>0</v>
      </c>
    </row>
    <row r="171" spans="1:165">
      <c r="A171" s="399">
        <v>163</v>
      </c>
      <c r="B171" s="399" t="s">
        <v>956</v>
      </c>
      <c r="C171" s="399" t="s">
        <v>2402</v>
      </c>
      <c r="D171" s="399" t="s">
        <v>1823</v>
      </c>
      <c r="E171" s="399" t="s">
        <v>889</v>
      </c>
      <c r="F171" s="399" t="s">
        <v>2405</v>
      </c>
      <c r="G171" s="399" t="s">
        <v>1239</v>
      </c>
      <c r="H171" s="399" t="s">
        <v>1239</v>
      </c>
      <c r="I171" s="399" t="s">
        <v>1239</v>
      </c>
      <c r="J171" s="399" t="s">
        <v>2400</v>
      </c>
      <c r="K171" s="788">
        <v>44652</v>
      </c>
      <c r="L171" s="399">
        <v>0</v>
      </c>
      <c r="M171" s="399">
        <v>0</v>
      </c>
      <c r="N171" s="399">
        <v>3.84</v>
      </c>
      <c r="O171" s="399">
        <v>3.84</v>
      </c>
      <c r="P171" s="399">
        <v>3.84</v>
      </c>
      <c r="Q171" s="399">
        <v>3.84</v>
      </c>
      <c r="R171" s="399"/>
      <c r="S171" s="399">
        <v>510.09</v>
      </c>
      <c r="T171" s="399">
        <v>286.42</v>
      </c>
      <c r="U171" s="399"/>
      <c r="V171" s="399">
        <v>3058.5983999999999</v>
      </c>
      <c r="W171" s="399">
        <v>3058.5983999999999</v>
      </c>
      <c r="X171" s="399">
        <v>2264.3328000000001</v>
      </c>
      <c r="Y171" s="399">
        <v>0</v>
      </c>
      <c r="Z171" s="399">
        <v>0</v>
      </c>
      <c r="AA171" s="399">
        <v>0</v>
      </c>
      <c r="AB171" s="399">
        <v>0</v>
      </c>
      <c r="AC171" s="399">
        <v>0</v>
      </c>
      <c r="AD171" s="399">
        <v>374.98425582782016</v>
      </c>
      <c r="AE171" s="399">
        <v>1448.494061548078</v>
      </c>
      <c r="AF171" s="399">
        <v>1099.8656457363686</v>
      </c>
      <c r="AG171" s="399">
        <v>0</v>
      </c>
      <c r="AH171" s="399">
        <v>0</v>
      </c>
      <c r="AI171" s="399">
        <v>0</v>
      </c>
      <c r="AJ171" s="399">
        <v>0</v>
      </c>
      <c r="AK171" s="399">
        <v>0</v>
      </c>
      <c r="AL171" s="399">
        <v>0</v>
      </c>
      <c r="AM171" s="399"/>
      <c r="AN171" s="399">
        <v>6.5580962549527291</v>
      </c>
      <c r="AO171" s="399">
        <v>0</v>
      </c>
      <c r="AP171" s="399">
        <v>0</v>
      </c>
      <c r="AQ171" s="399">
        <v>0</v>
      </c>
      <c r="AR171" s="399">
        <v>0</v>
      </c>
      <c r="AS171" s="399">
        <v>0</v>
      </c>
      <c r="AT171" s="399">
        <v>0</v>
      </c>
      <c r="AU171" s="399">
        <v>0</v>
      </c>
      <c r="AV171" s="399">
        <v>0</v>
      </c>
      <c r="AW171" s="399">
        <v>0</v>
      </c>
      <c r="AX171" s="399">
        <v>0</v>
      </c>
      <c r="AY171" s="399">
        <v>0</v>
      </c>
      <c r="AZ171" s="399">
        <v>0</v>
      </c>
      <c r="BA171" s="399"/>
      <c r="BB171" s="399">
        <v>0</v>
      </c>
      <c r="BC171" s="399">
        <v>0</v>
      </c>
      <c r="BD171" s="399">
        <v>0</v>
      </c>
      <c r="BE171" s="399">
        <v>0</v>
      </c>
      <c r="BF171" s="399">
        <v>0</v>
      </c>
      <c r="BG171" s="399">
        <v>128.72570442308466</v>
      </c>
      <c r="BH171" s="399">
        <v>0</v>
      </c>
      <c r="BI171" s="399">
        <v>4.4000000000000004</v>
      </c>
      <c r="BJ171" s="399">
        <v>20.69</v>
      </c>
      <c r="BK171" s="399">
        <v>477.22</v>
      </c>
      <c r="BL171" s="399">
        <v>0</v>
      </c>
      <c r="BM171" s="399"/>
      <c r="BN171" s="399"/>
      <c r="BO171" s="399"/>
      <c r="BP171" s="399"/>
      <c r="BQ171" s="399"/>
      <c r="BR171" s="399"/>
      <c r="BS171" s="399"/>
      <c r="BT171" s="399">
        <v>1471.8335999999999</v>
      </c>
      <c r="BU171" s="399"/>
      <c r="BV171" s="399">
        <v>1228.5913501594532</v>
      </c>
      <c r="BW171" s="399"/>
      <c r="BX171" s="399"/>
      <c r="BY171" s="399"/>
      <c r="BZ171" s="399"/>
      <c r="CA171" s="399"/>
      <c r="CB171" s="399"/>
      <c r="CC171" s="399"/>
      <c r="CD171" s="399"/>
      <c r="CE171" s="399"/>
      <c r="CF171" s="399"/>
      <c r="CG171" s="399"/>
      <c r="CH171" s="399"/>
      <c r="CI171" s="399">
        <v>792.49919999999997</v>
      </c>
      <c r="CJ171" s="399">
        <v>-278.04600000000005</v>
      </c>
      <c r="CK171" s="399"/>
      <c r="CL171" s="399"/>
      <c r="CM171" s="399"/>
      <c r="CN171" s="399"/>
      <c r="CO171" s="399">
        <v>-545.35679999999991</v>
      </c>
      <c r="CP171" s="399">
        <v>-248.90880000000007</v>
      </c>
      <c r="CQ171" s="399">
        <v>30</v>
      </c>
      <c r="CR171" s="399">
        <v>-265.75639924697066</v>
      </c>
      <c r="CS171" s="399">
        <v>0</v>
      </c>
      <c r="CT171" s="399">
        <v>0</v>
      </c>
      <c r="CU171" s="399">
        <v>0</v>
      </c>
      <c r="CV171" s="399">
        <v>0</v>
      </c>
      <c r="CW171" s="399">
        <v>0</v>
      </c>
      <c r="CX171" s="399">
        <v>0</v>
      </c>
      <c r="CY171" s="399">
        <v>0</v>
      </c>
      <c r="CZ171" s="399">
        <v>12.868299975911043</v>
      </c>
      <c r="DA171" s="399">
        <v>0</v>
      </c>
      <c r="DB171" s="399">
        <v>0</v>
      </c>
      <c r="DC171" s="399">
        <v>-248.93479483021815</v>
      </c>
      <c r="DD171" s="399">
        <v>0</v>
      </c>
      <c r="DE171" s="399">
        <v>0</v>
      </c>
      <c r="DF171" s="399">
        <v>0</v>
      </c>
      <c r="DG171" s="399">
        <v>-29.134746543048962</v>
      </c>
      <c r="DH171" s="399">
        <v>0</v>
      </c>
      <c r="DI171" s="399">
        <v>0</v>
      </c>
      <c r="DJ171" s="399"/>
      <c r="DK171" s="399">
        <v>0</v>
      </c>
      <c r="DL171" s="399">
        <v>0</v>
      </c>
      <c r="DM171" s="399">
        <v>0</v>
      </c>
      <c r="DN171" s="399">
        <v>0</v>
      </c>
      <c r="DO171" s="399">
        <v>0</v>
      </c>
      <c r="DP171" s="399">
        <v>-0.55515784961475756</v>
      </c>
      <c r="DQ171" s="399">
        <v>0</v>
      </c>
      <c r="DR171" s="399">
        <v>0</v>
      </c>
      <c r="DS171" s="399"/>
      <c r="DT171" s="399"/>
      <c r="DU171" s="399"/>
      <c r="DV171" s="399">
        <v>1448.494061548078</v>
      </c>
      <c r="DW171" s="399">
        <v>0</v>
      </c>
      <c r="DX171" s="399">
        <v>0</v>
      </c>
      <c r="DY171" s="399">
        <v>-545.35679999999979</v>
      </c>
      <c r="DZ171" s="399">
        <v>-248.90880000000016</v>
      </c>
      <c r="EA171" s="399">
        <v>0</v>
      </c>
      <c r="EB171" s="399">
        <v>0</v>
      </c>
      <c r="EC171" s="399">
        <v>-528.55565394051064</v>
      </c>
      <c r="ED171" s="399">
        <v>0</v>
      </c>
      <c r="EE171" s="399">
        <v>0</v>
      </c>
      <c r="EF171" s="399">
        <v>0</v>
      </c>
      <c r="EG171" s="399">
        <v>0</v>
      </c>
      <c r="EH171" s="399">
        <v>0</v>
      </c>
      <c r="EI171" s="399">
        <v>0</v>
      </c>
      <c r="EJ171" s="399">
        <v>0</v>
      </c>
      <c r="EK171" s="399">
        <v>0</v>
      </c>
      <c r="EL171" s="399">
        <v>0</v>
      </c>
      <c r="EM171" s="399">
        <v>0</v>
      </c>
      <c r="EN171" s="399">
        <v>0</v>
      </c>
      <c r="EO171" s="399">
        <v>0</v>
      </c>
      <c r="EP171" s="399">
        <v>0</v>
      </c>
      <c r="EQ171" s="399">
        <v>0</v>
      </c>
      <c r="ER171" s="399">
        <v>0</v>
      </c>
      <c r="ES171" s="399">
        <v>0</v>
      </c>
      <c r="ET171" s="399">
        <v>0</v>
      </c>
      <c r="EU171" s="399">
        <v>0</v>
      </c>
      <c r="EV171" s="399">
        <v>202</v>
      </c>
      <c r="EW171" s="399">
        <v>0</v>
      </c>
      <c r="EX171" s="399">
        <v>0</v>
      </c>
      <c r="EY171" s="399">
        <v>0</v>
      </c>
      <c r="EZ171" s="399"/>
      <c r="FA171" s="399">
        <v>0</v>
      </c>
      <c r="FB171" s="399">
        <v>-17.698635468909799</v>
      </c>
      <c r="FC171" s="399"/>
      <c r="FD171" s="399">
        <v>-17.698635468909799</v>
      </c>
      <c r="FE171" s="399"/>
      <c r="FF171" s="399">
        <v>0</v>
      </c>
      <c r="FG171" s="399">
        <v>0</v>
      </c>
      <c r="FH171" s="399">
        <v>0</v>
      </c>
      <c r="FI171" s="399">
        <v>0</v>
      </c>
    </row>
    <row r="172" spans="1:165">
      <c r="A172" s="399">
        <v>164</v>
      </c>
      <c r="B172" s="399" t="s">
        <v>2403</v>
      </c>
      <c r="C172" s="399" t="s">
        <v>2402</v>
      </c>
      <c r="D172" s="399" t="s">
        <v>1823</v>
      </c>
      <c r="E172" s="399" t="s">
        <v>889</v>
      </c>
      <c r="F172" s="399" t="s">
        <v>2405</v>
      </c>
      <c r="G172" s="399" t="s">
        <v>1239</v>
      </c>
      <c r="H172" s="399" t="s">
        <v>1239</v>
      </c>
      <c r="I172" s="399" t="s">
        <v>1239</v>
      </c>
      <c r="J172" s="399" t="s">
        <v>2400</v>
      </c>
      <c r="K172" s="788">
        <v>44652</v>
      </c>
      <c r="L172" s="399">
        <v>0</v>
      </c>
      <c r="M172" s="399">
        <v>0</v>
      </c>
      <c r="N172" s="399">
        <v>0</v>
      </c>
      <c r="O172" s="399">
        <v>0</v>
      </c>
      <c r="P172" s="399">
        <v>0</v>
      </c>
      <c r="Q172" s="399">
        <v>0</v>
      </c>
      <c r="R172" s="399"/>
      <c r="S172" s="399"/>
      <c r="T172" s="399"/>
      <c r="U172" s="399"/>
      <c r="V172" s="399"/>
      <c r="W172" s="399"/>
      <c r="X172" s="399"/>
      <c r="Y172" s="399"/>
      <c r="Z172" s="399"/>
      <c r="AA172" s="399">
        <v>0</v>
      </c>
      <c r="AB172" s="399"/>
      <c r="AC172" s="399"/>
      <c r="AD172" s="399"/>
      <c r="AE172" s="399"/>
      <c r="AF172" s="399"/>
      <c r="AG172" s="399"/>
      <c r="AH172" s="399"/>
      <c r="AI172" s="399"/>
      <c r="AJ172" s="399"/>
      <c r="AK172" s="399"/>
      <c r="AL172" s="399"/>
      <c r="AM172" s="399"/>
      <c r="AN172" s="399"/>
      <c r="AO172" s="399"/>
      <c r="AP172" s="399"/>
      <c r="AQ172" s="399"/>
      <c r="AR172" s="399"/>
      <c r="AS172" s="399"/>
      <c r="AT172" s="399"/>
      <c r="AU172" s="399"/>
      <c r="AV172" s="399"/>
      <c r="AW172" s="399"/>
      <c r="AX172" s="399"/>
      <c r="AY172" s="399"/>
      <c r="AZ172" s="399">
        <v>0</v>
      </c>
      <c r="BA172" s="399"/>
      <c r="BB172" s="399"/>
      <c r="BC172" s="399"/>
      <c r="BD172" s="399"/>
      <c r="BE172" s="399"/>
      <c r="BF172" s="399"/>
      <c r="BG172" s="399"/>
      <c r="BH172" s="399"/>
      <c r="BI172" s="399">
        <v>0</v>
      </c>
      <c r="BJ172" s="399">
        <v>-0.02</v>
      </c>
      <c r="BK172" s="399">
        <v>0</v>
      </c>
      <c r="BL172" s="399">
        <v>0</v>
      </c>
      <c r="BM172" s="399"/>
      <c r="BN172" s="399"/>
      <c r="BO172" s="399"/>
      <c r="BP172" s="399"/>
      <c r="BQ172" s="399"/>
      <c r="BR172" s="399"/>
      <c r="BS172" s="399"/>
      <c r="BT172" s="399"/>
      <c r="BU172" s="399"/>
      <c r="BV172" s="399"/>
      <c r="BW172" s="399"/>
      <c r="BX172" s="399"/>
      <c r="BY172" s="399"/>
      <c r="BZ172" s="399"/>
      <c r="CA172" s="399"/>
      <c r="CB172" s="399"/>
      <c r="CC172" s="399"/>
      <c r="CD172" s="399"/>
      <c r="CE172" s="399"/>
      <c r="CF172" s="399"/>
      <c r="CG172" s="399"/>
      <c r="CH172" s="399"/>
      <c r="CI172" s="399"/>
      <c r="CJ172" s="399">
        <v>-0.03</v>
      </c>
      <c r="CK172" s="399"/>
      <c r="CL172" s="399"/>
      <c r="CM172" s="399"/>
      <c r="CN172" s="399"/>
      <c r="CO172" s="399">
        <v>0</v>
      </c>
      <c r="CP172" s="399">
        <v>0</v>
      </c>
      <c r="CQ172" s="399">
        <v>30</v>
      </c>
      <c r="CR172" s="399"/>
      <c r="CS172" s="399"/>
      <c r="CT172" s="399"/>
      <c r="CU172" s="399"/>
      <c r="CV172" s="399"/>
      <c r="CW172" s="399"/>
      <c r="CX172" s="399"/>
      <c r="CY172" s="399"/>
      <c r="CZ172" s="399"/>
      <c r="DA172" s="399"/>
      <c r="DB172" s="399"/>
      <c r="DC172" s="399"/>
      <c r="DD172" s="399"/>
      <c r="DE172" s="399"/>
      <c r="DF172" s="399"/>
      <c r="DG172" s="399"/>
      <c r="DH172" s="399"/>
      <c r="DI172" s="399"/>
      <c r="DJ172" s="399"/>
      <c r="DK172" s="399">
        <v>0</v>
      </c>
      <c r="DL172" s="399"/>
      <c r="DM172" s="399"/>
      <c r="DN172" s="399"/>
      <c r="DO172" s="399"/>
      <c r="DP172" s="399"/>
      <c r="DQ172" s="399"/>
      <c r="DR172" s="399"/>
      <c r="DS172" s="399"/>
      <c r="DT172" s="399"/>
      <c r="DU172" s="399"/>
      <c r="DV172" s="399"/>
      <c r="DW172" s="399"/>
      <c r="DX172" s="399"/>
      <c r="DY172" s="399"/>
      <c r="DZ172" s="399"/>
      <c r="EA172" s="399"/>
      <c r="EB172" s="399"/>
      <c r="EC172" s="399"/>
      <c r="ED172" s="399"/>
      <c r="EE172" s="399"/>
      <c r="EF172" s="399"/>
      <c r="EG172" s="399"/>
      <c r="EH172" s="399"/>
      <c r="EI172" s="399"/>
      <c r="EJ172" s="399"/>
      <c r="EK172" s="399"/>
      <c r="EL172" s="399"/>
      <c r="EM172" s="399"/>
      <c r="EN172" s="399"/>
      <c r="EO172" s="399"/>
      <c r="EP172" s="399"/>
      <c r="EQ172" s="399"/>
      <c r="ER172" s="399"/>
      <c r="ES172" s="399"/>
      <c r="ET172" s="399"/>
      <c r="EU172" s="399"/>
      <c r="EV172" s="399">
        <v>202</v>
      </c>
      <c r="EW172" s="399"/>
      <c r="EX172" s="399"/>
      <c r="EY172" s="399"/>
      <c r="EZ172" s="399"/>
      <c r="FA172" s="399">
        <v>0</v>
      </c>
      <c r="FB172" s="399">
        <v>-17.698635468909799</v>
      </c>
      <c r="FC172" s="399"/>
      <c r="FD172" s="399">
        <v>-17.698635468909799</v>
      </c>
      <c r="FE172" s="399"/>
      <c r="FF172" s="399">
        <v>0</v>
      </c>
      <c r="FG172" s="399">
        <v>0</v>
      </c>
      <c r="FH172" s="399">
        <v>0</v>
      </c>
      <c r="FI172" s="399">
        <v>0</v>
      </c>
    </row>
    <row r="173" spans="1:165">
      <c r="A173" s="399">
        <v>165</v>
      </c>
      <c r="B173" s="399" t="s">
        <v>956</v>
      </c>
      <c r="C173" s="399" t="s">
        <v>2402</v>
      </c>
      <c r="D173" s="399" t="s">
        <v>1823</v>
      </c>
      <c r="E173" s="399" t="s">
        <v>889</v>
      </c>
      <c r="F173" s="399" t="s">
        <v>2406</v>
      </c>
      <c r="G173" s="399" t="s">
        <v>1239</v>
      </c>
      <c r="H173" s="399" t="s">
        <v>1239</v>
      </c>
      <c r="I173" s="399" t="s">
        <v>1239</v>
      </c>
      <c r="J173" s="399" t="s">
        <v>2400</v>
      </c>
      <c r="K173" s="788">
        <v>44652</v>
      </c>
      <c r="L173" s="399">
        <v>0</v>
      </c>
      <c r="M173" s="399">
        <v>0</v>
      </c>
      <c r="N173" s="399">
        <v>8.4</v>
      </c>
      <c r="O173" s="399">
        <v>8.4</v>
      </c>
      <c r="P173" s="399">
        <v>8.4</v>
      </c>
      <c r="Q173" s="399">
        <v>8.4</v>
      </c>
      <c r="R173" s="399"/>
      <c r="S173" s="399">
        <v>510.09</v>
      </c>
      <c r="T173" s="399">
        <v>286.42</v>
      </c>
      <c r="U173" s="399"/>
      <c r="V173" s="399">
        <v>6690.6840000000011</v>
      </c>
      <c r="W173" s="399">
        <v>6690.6840000000011</v>
      </c>
      <c r="X173" s="399">
        <v>4953.2280000000001</v>
      </c>
      <c r="Y173" s="399">
        <v>0</v>
      </c>
      <c r="Z173" s="399">
        <v>0</v>
      </c>
      <c r="AA173" s="399">
        <v>0</v>
      </c>
      <c r="AB173" s="399">
        <v>0</v>
      </c>
      <c r="AC173" s="399">
        <v>0</v>
      </c>
      <c r="AD173" s="399">
        <v>820.27805962335663</v>
      </c>
      <c r="AE173" s="399">
        <v>3168.5807596364211</v>
      </c>
      <c r="AF173" s="399">
        <v>2405.9561000483063</v>
      </c>
      <c r="AG173" s="399">
        <v>0</v>
      </c>
      <c r="AH173" s="399">
        <v>0</v>
      </c>
      <c r="AI173" s="399">
        <v>0</v>
      </c>
      <c r="AJ173" s="399">
        <v>0</v>
      </c>
      <c r="AK173" s="399">
        <v>0</v>
      </c>
      <c r="AL173" s="399">
        <v>0</v>
      </c>
      <c r="AM173" s="399"/>
      <c r="AN173" s="399">
        <v>14.345835557709096</v>
      </c>
      <c r="AO173" s="399">
        <v>0</v>
      </c>
      <c r="AP173" s="399">
        <v>0</v>
      </c>
      <c r="AQ173" s="399">
        <v>0</v>
      </c>
      <c r="AR173" s="399">
        <v>0</v>
      </c>
      <c r="AS173" s="399">
        <v>0</v>
      </c>
      <c r="AT173" s="399">
        <v>0</v>
      </c>
      <c r="AU173" s="399">
        <v>0</v>
      </c>
      <c r="AV173" s="399">
        <v>0</v>
      </c>
      <c r="AW173" s="399">
        <v>0</v>
      </c>
      <c r="AX173" s="399">
        <v>0</v>
      </c>
      <c r="AY173" s="399">
        <v>0</v>
      </c>
      <c r="AZ173" s="399">
        <v>0</v>
      </c>
      <c r="BA173" s="399"/>
      <c r="BB173" s="399">
        <v>0</v>
      </c>
      <c r="BC173" s="399">
        <v>0</v>
      </c>
      <c r="BD173" s="399">
        <v>0</v>
      </c>
      <c r="BE173" s="399">
        <v>0</v>
      </c>
      <c r="BF173" s="399">
        <v>0</v>
      </c>
      <c r="BG173" s="399">
        <v>281.58747842549775</v>
      </c>
      <c r="BH173" s="399">
        <v>0</v>
      </c>
      <c r="BI173" s="399">
        <v>16.96</v>
      </c>
      <c r="BJ173" s="399">
        <v>79.5</v>
      </c>
      <c r="BK173" s="399">
        <v>1113.1199999999999</v>
      </c>
      <c r="BL173" s="399">
        <v>23</v>
      </c>
      <c r="BM173" s="399"/>
      <c r="BN173" s="399"/>
      <c r="BO173" s="399"/>
      <c r="BP173" s="399"/>
      <c r="BQ173" s="399"/>
      <c r="BR173" s="399"/>
      <c r="BS173" s="399"/>
      <c r="BT173" s="399">
        <v>1981.308</v>
      </c>
      <c r="BU173" s="399"/>
      <c r="BV173" s="399">
        <v>2687.5435784738042</v>
      </c>
      <c r="BW173" s="399"/>
      <c r="BX173" s="399"/>
      <c r="BY173" s="399"/>
      <c r="BZ173" s="399"/>
      <c r="CA173" s="399"/>
      <c r="CB173" s="399"/>
      <c r="CC173" s="399"/>
      <c r="CD173" s="399"/>
      <c r="CE173" s="399"/>
      <c r="CF173" s="399"/>
      <c r="CG173" s="399"/>
      <c r="CH173" s="399"/>
      <c r="CI173" s="399">
        <v>2971.92</v>
      </c>
      <c r="CJ173" s="399">
        <v>-1042.5540000000005</v>
      </c>
      <c r="CK173" s="399"/>
      <c r="CL173" s="399"/>
      <c r="CM173" s="399"/>
      <c r="CN173" s="399"/>
      <c r="CO173" s="399">
        <v>-1192.9679999999998</v>
      </c>
      <c r="CP173" s="399">
        <v>-544.48800000000017</v>
      </c>
      <c r="CQ173" s="399">
        <v>30</v>
      </c>
      <c r="CR173" s="399">
        <v>-581.34212335274924</v>
      </c>
      <c r="CS173" s="399">
        <v>0</v>
      </c>
      <c r="CT173" s="399">
        <v>0</v>
      </c>
      <c r="CU173" s="399">
        <v>0</v>
      </c>
      <c r="CV173" s="399">
        <v>0</v>
      </c>
      <c r="CW173" s="399">
        <v>0</v>
      </c>
      <c r="CX173" s="399">
        <v>0</v>
      </c>
      <c r="CY173" s="399">
        <v>0</v>
      </c>
      <c r="CZ173" s="399">
        <v>28.149406197305439</v>
      </c>
      <c r="DA173" s="399">
        <v>0</v>
      </c>
      <c r="DB173" s="399">
        <v>0</v>
      </c>
      <c r="DC173" s="399">
        <v>-544.54486369110214</v>
      </c>
      <c r="DD173" s="399">
        <v>0</v>
      </c>
      <c r="DE173" s="399">
        <v>0</v>
      </c>
      <c r="DF173" s="399">
        <v>0</v>
      </c>
      <c r="DG173" s="399">
        <v>-63.732258062919641</v>
      </c>
      <c r="DH173" s="399">
        <v>0</v>
      </c>
      <c r="DI173" s="399">
        <v>0</v>
      </c>
      <c r="DJ173" s="399"/>
      <c r="DK173" s="399">
        <v>0</v>
      </c>
      <c r="DL173" s="399">
        <v>0</v>
      </c>
      <c r="DM173" s="399">
        <v>0</v>
      </c>
      <c r="DN173" s="399">
        <v>0</v>
      </c>
      <c r="DO173" s="399">
        <v>0</v>
      </c>
      <c r="DP173" s="399">
        <v>-1.2144077960322832</v>
      </c>
      <c r="DQ173" s="399">
        <v>0</v>
      </c>
      <c r="DR173" s="399">
        <v>0</v>
      </c>
      <c r="DS173" s="399"/>
      <c r="DT173" s="399"/>
      <c r="DU173" s="399"/>
      <c r="DV173" s="399">
        <v>3168.5807596364211</v>
      </c>
      <c r="DW173" s="399">
        <v>0</v>
      </c>
      <c r="DX173" s="399">
        <v>0</v>
      </c>
      <c r="DY173" s="399">
        <v>-1192.9680000000003</v>
      </c>
      <c r="DZ173" s="399">
        <v>-544.48800000000028</v>
      </c>
      <c r="EA173" s="399">
        <v>0</v>
      </c>
      <c r="EB173" s="399">
        <v>0</v>
      </c>
      <c r="EC173" s="399">
        <v>-1156.2154929948674</v>
      </c>
      <c r="ED173" s="399">
        <v>0</v>
      </c>
      <c r="EE173" s="399">
        <v>0</v>
      </c>
      <c r="EF173" s="399">
        <v>0</v>
      </c>
      <c r="EG173" s="399">
        <v>0</v>
      </c>
      <c r="EH173" s="399">
        <v>0</v>
      </c>
      <c r="EI173" s="399">
        <v>0</v>
      </c>
      <c r="EJ173" s="399">
        <v>0</v>
      </c>
      <c r="EK173" s="399">
        <v>0</v>
      </c>
      <c r="EL173" s="399">
        <v>0</v>
      </c>
      <c r="EM173" s="399">
        <v>0</v>
      </c>
      <c r="EN173" s="399">
        <v>0</v>
      </c>
      <c r="EO173" s="399">
        <v>0</v>
      </c>
      <c r="EP173" s="399">
        <v>0</v>
      </c>
      <c r="EQ173" s="399">
        <v>0</v>
      </c>
      <c r="ER173" s="399">
        <v>0</v>
      </c>
      <c r="ES173" s="399">
        <v>0</v>
      </c>
      <c r="ET173" s="399">
        <v>0</v>
      </c>
      <c r="EU173" s="399">
        <v>0</v>
      </c>
      <c r="EV173" s="399">
        <v>202</v>
      </c>
      <c r="EW173" s="399">
        <v>0</v>
      </c>
      <c r="EX173" s="399">
        <v>0</v>
      </c>
      <c r="EY173" s="399">
        <v>0</v>
      </c>
      <c r="EZ173" s="399"/>
      <c r="FA173" s="399">
        <v>0</v>
      </c>
      <c r="FB173" s="399">
        <v>-17.698635468909799</v>
      </c>
      <c r="FC173" s="399"/>
      <c r="FD173" s="399">
        <v>-17.698635468909799</v>
      </c>
      <c r="FE173" s="399"/>
      <c r="FF173" s="399">
        <v>0</v>
      </c>
      <c r="FG173" s="399">
        <v>0</v>
      </c>
      <c r="FH173" s="399">
        <v>0</v>
      </c>
      <c r="FI173" s="399">
        <v>0</v>
      </c>
    </row>
    <row r="174" spans="1:165">
      <c r="A174" s="399">
        <v>166</v>
      </c>
      <c r="B174" s="399" t="s">
        <v>2403</v>
      </c>
      <c r="C174" s="399" t="s">
        <v>2402</v>
      </c>
      <c r="D174" s="399" t="s">
        <v>1823</v>
      </c>
      <c r="E174" s="399" t="s">
        <v>889</v>
      </c>
      <c r="F174" s="399" t="s">
        <v>2406</v>
      </c>
      <c r="G174" s="399" t="s">
        <v>1239</v>
      </c>
      <c r="H174" s="399" t="s">
        <v>1239</v>
      </c>
      <c r="I174" s="399" t="s">
        <v>1239</v>
      </c>
      <c r="J174" s="399" t="s">
        <v>2400</v>
      </c>
      <c r="K174" s="788">
        <v>44652</v>
      </c>
      <c r="L174" s="399">
        <v>0</v>
      </c>
      <c r="M174" s="399">
        <v>0</v>
      </c>
      <c r="N174" s="399">
        <v>0</v>
      </c>
      <c r="O174" s="399">
        <v>0</v>
      </c>
      <c r="P174" s="399">
        <v>0</v>
      </c>
      <c r="Q174" s="399">
        <v>0</v>
      </c>
      <c r="R174" s="399"/>
      <c r="S174" s="399"/>
      <c r="T174" s="399"/>
      <c r="U174" s="399"/>
      <c r="V174" s="399"/>
      <c r="W174" s="399"/>
      <c r="X174" s="399"/>
      <c r="Y174" s="399"/>
      <c r="Z174" s="399"/>
      <c r="AA174" s="399">
        <v>0</v>
      </c>
      <c r="AB174" s="399"/>
      <c r="AC174" s="399"/>
      <c r="AD174" s="399"/>
      <c r="AE174" s="399"/>
      <c r="AF174" s="399"/>
      <c r="AG174" s="399"/>
      <c r="AH174" s="399"/>
      <c r="AI174" s="399"/>
      <c r="AJ174" s="399"/>
      <c r="AK174" s="399"/>
      <c r="AL174" s="399"/>
      <c r="AM174" s="399"/>
      <c r="AN174" s="399"/>
      <c r="AO174" s="399"/>
      <c r="AP174" s="399"/>
      <c r="AQ174" s="399"/>
      <c r="AR174" s="399"/>
      <c r="AS174" s="399"/>
      <c r="AT174" s="399"/>
      <c r="AU174" s="399"/>
      <c r="AV174" s="399"/>
      <c r="AW174" s="399"/>
      <c r="AX174" s="399"/>
      <c r="AY174" s="399"/>
      <c r="AZ174" s="399">
        <v>0</v>
      </c>
      <c r="BA174" s="399"/>
      <c r="BB174" s="399"/>
      <c r="BC174" s="399"/>
      <c r="BD174" s="399"/>
      <c r="BE174" s="399"/>
      <c r="BF174" s="399"/>
      <c r="BG174" s="399"/>
      <c r="BH174" s="399"/>
      <c r="BI174" s="399">
        <v>-0.02</v>
      </c>
      <c r="BJ174" s="399">
        <v>-0.1</v>
      </c>
      <c r="BK174" s="399">
        <v>-0.04</v>
      </c>
      <c r="BL174" s="399">
        <v>0</v>
      </c>
      <c r="BM174" s="399"/>
      <c r="BN174" s="399"/>
      <c r="BO174" s="399"/>
      <c r="BP174" s="399"/>
      <c r="BQ174" s="399"/>
      <c r="BR174" s="399"/>
      <c r="BS174" s="399"/>
      <c r="BT174" s="399"/>
      <c r="BU174" s="399"/>
      <c r="BV174" s="399"/>
      <c r="BW174" s="399"/>
      <c r="BX174" s="399"/>
      <c r="BY174" s="399"/>
      <c r="BZ174" s="399"/>
      <c r="CA174" s="399"/>
      <c r="CB174" s="399"/>
      <c r="CC174" s="399"/>
      <c r="CD174" s="399"/>
      <c r="CE174" s="399"/>
      <c r="CF174" s="399"/>
      <c r="CG174" s="399"/>
      <c r="CH174" s="399"/>
      <c r="CI174" s="399"/>
      <c r="CJ174" s="399">
        <v>-0.03</v>
      </c>
      <c r="CK174" s="399"/>
      <c r="CL174" s="399"/>
      <c r="CM174" s="399"/>
      <c r="CN174" s="399"/>
      <c r="CO174" s="399">
        <v>0</v>
      </c>
      <c r="CP174" s="399">
        <v>0</v>
      </c>
      <c r="CQ174" s="399">
        <v>30</v>
      </c>
      <c r="CR174" s="399"/>
      <c r="CS174" s="399"/>
      <c r="CT174" s="399"/>
      <c r="CU174" s="399"/>
      <c r="CV174" s="399"/>
      <c r="CW174" s="399"/>
      <c r="CX174" s="399"/>
      <c r="CY174" s="399"/>
      <c r="CZ174" s="399"/>
      <c r="DA174" s="399"/>
      <c r="DB174" s="399"/>
      <c r="DC174" s="399"/>
      <c r="DD174" s="399"/>
      <c r="DE174" s="399"/>
      <c r="DF174" s="399"/>
      <c r="DG174" s="399"/>
      <c r="DH174" s="399"/>
      <c r="DI174" s="399"/>
      <c r="DJ174" s="399"/>
      <c r="DK174" s="399">
        <v>0</v>
      </c>
      <c r="DL174" s="399"/>
      <c r="DM174" s="399"/>
      <c r="DN174" s="399"/>
      <c r="DO174" s="399"/>
      <c r="DP174" s="399"/>
      <c r="DQ174" s="399"/>
      <c r="DR174" s="399"/>
      <c r="DS174" s="399"/>
      <c r="DT174" s="399"/>
      <c r="DU174" s="399"/>
      <c r="DV174" s="399"/>
      <c r="DW174" s="399"/>
      <c r="DX174" s="399"/>
      <c r="DY174" s="399"/>
      <c r="DZ174" s="399"/>
      <c r="EA174" s="399"/>
      <c r="EB174" s="399"/>
      <c r="EC174" s="399"/>
      <c r="ED174" s="399"/>
      <c r="EE174" s="399"/>
      <c r="EF174" s="399"/>
      <c r="EG174" s="399"/>
      <c r="EH174" s="399"/>
      <c r="EI174" s="399"/>
      <c r="EJ174" s="399"/>
      <c r="EK174" s="399"/>
      <c r="EL174" s="399"/>
      <c r="EM174" s="399"/>
      <c r="EN174" s="399"/>
      <c r="EO174" s="399"/>
      <c r="EP174" s="399"/>
      <c r="EQ174" s="399"/>
      <c r="ER174" s="399"/>
      <c r="ES174" s="399"/>
      <c r="ET174" s="399"/>
      <c r="EU174" s="399"/>
      <c r="EV174" s="399">
        <v>202</v>
      </c>
      <c r="EW174" s="399"/>
      <c r="EX174" s="399"/>
      <c r="EY174" s="399"/>
      <c r="EZ174" s="399"/>
      <c r="FA174" s="399">
        <v>0</v>
      </c>
      <c r="FB174" s="399">
        <v>-17.698635468909799</v>
      </c>
      <c r="FC174" s="399"/>
      <c r="FD174" s="399">
        <v>-17.698635468909799</v>
      </c>
      <c r="FE174" s="399"/>
      <c r="FF174" s="399">
        <v>0</v>
      </c>
      <c r="FG174" s="399">
        <v>0</v>
      </c>
      <c r="FH174" s="399">
        <v>0</v>
      </c>
      <c r="FI174" s="399">
        <v>0</v>
      </c>
    </row>
    <row r="175" spans="1:165">
      <c r="A175" s="399">
        <v>167</v>
      </c>
      <c r="B175" s="399" t="s">
        <v>956</v>
      </c>
      <c r="C175" s="399" t="s">
        <v>2402</v>
      </c>
      <c r="D175" s="399" t="s">
        <v>1823</v>
      </c>
      <c r="E175" s="399" t="s">
        <v>889</v>
      </c>
      <c r="F175" s="399" t="s">
        <v>2407</v>
      </c>
      <c r="G175" s="399" t="s">
        <v>1239</v>
      </c>
      <c r="H175" s="399" t="s">
        <v>1239</v>
      </c>
      <c r="I175" s="399" t="s">
        <v>1239</v>
      </c>
      <c r="J175" s="399" t="s">
        <v>2400</v>
      </c>
      <c r="K175" s="788">
        <v>44652</v>
      </c>
      <c r="L175" s="399">
        <v>0</v>
      </c>
      <c r="M175" s="399">
        <v>0</v>
      </c>
      <c r="N175" s="399">
        <v>7.9470000000000001</v>
      </c>
      <c r="O175" s="399">
        <v>7.9470000000000001</v>
      </c>
      <c r="P175" s="399">
        <v>7.9470000000000001</v>
      </c>
      <c r="Q175" s="399">
        <v>7.9470000000000001</v>
      </c>
      <c r="R175" s="399"/>
      <c r="S175" s="399">
        <v>510.09</v>
      </c>
      <c r="T175" s="399">
        <v>286.42</v>
      </c>
      <c r="U175" s="399"/>
      <c r="V175" s="399">
        <v>6329.8649700000005</v>
      </c>
      <c r="W175" s="399">
        <v>6329.8649700000005</v>
      </c>
      <c r="X175" s="399">
        <v>4686.1074900000003</v>
      </c>
      <c r="Y175" s="399">
        <v>0</v>
      </c>
      <c r="Z175" s="399">
        <v>0</v>
      </c>
      <c r="AA175" s="399">
        <v>0</v>
      </c>
      <c r="AB175" s="399">
        <v>0</v>
      </c>
      <c r="AC175" s="399">
        <v>0</v>
      </c>
      <c r="AD175" s="399">
        <v>776.04163569366847</v>
      </c>
      <c r="AE175" s="399">
        <v>2997.7037258131709</v>
      </c>
      <c r="AF175" s="399">
        <v>2276.2063246528442</v>
      </c>
      <c r="AG175" s="399">
        <v>0</v>
      </c>
      <c r="AH175" s="399">
        <v>0</v>
      </c>
      <c r="AI175" s="399">
        <v>0</v>
      </c>
      <c r="AJ175" s="399">
        <v>0</v>
      </c>
      <c r="AK175" s="399">
        <v>0</v>
      </c>
      <c r="AL175" s="399">
        <v>0</v>
      </c>
      <c r="AM175" s="399"/>
      <c r="AN175" s="399">
        <v>13.572185140132641</v>
      </c>
      <c r="AO175" s="399">
        <v>0</v>
      </c>
      <c r="AP175" s="399">
        <v>0</v>
      </c>
      <c r="AQ175" s="399">
        <v>0</v>
      </c>
      <c r="AR175" s="399">
        <v>0</v>
      </c>
      <c r="AS175" s="399">
        <v>0</v>
      </c>
      <c r="AT175" s="399">
        <v>0</v>
      </c>
      <c r="AU175" s="399">
        <v>0</v>
      </c>
      <c r="AV175" s="399">
        <v>0</v>
      </c>
      <c r="AW175" s="399">
        <v>0</v>
      </c>
      <c r="AX175" s="399">
        <v>0</v>
      </c>
      <c r="AY175" s="399">
        <v>0</v>
      </c>
      <c r="AZ175" s="399">
        <v>0</v>
      </c>
      <c r="BA175" s="399"/>
      <c r="BB175" s="399">
        <v>0</v>
      </c>
      <c r="BC175" s="399">
        <v>0</v>
      </c>
      <c r="BD175" s="399">
        <v>0</v>
      </c>
      <c r="BE175" s="399">
        <v>0</v>
      </c>
      <c r="BF175" s="399">
        <v>0</v>
      </c>
      <c r="BG175" s="399">
        <v>266.40186798183697</v>
      </c>
      <c r="BH175" s="399">
        <v>0</v>
      </c>
      <c r="BI175" s="399">
        <v>24.54</v>
      </c>
      <c r="BJ175" s="399">
        <v>114.26</v>
      </c>
      <c r="BK175" s="399">
        <v>1365.44</v>
      </c>
      <c r="BL175" s="399">
        <v>79</v>
      </c>
      <c r="BM175" s="399"/>
      <c r="BN175" s="399"/>
      <c r="BO175" s="399"/>
      <c r="BP175" s="399"/>
      <c r="BQ175" s="399"/>
      <c r="BR175" s="399"/>
      <c r="BS175" s="399"/>
      <c r="BT175" s="399">
        <v>468.63459</v>
      </c>
      <c r="BU175" s="399"/>
      <c r="BV175" s="399">
        <v>2542.608192634681</v>
      </c>
      <c r="BW175" s="399"/>
      <c r="BX175" s="399"/>
      <c r="BY175" s="399"/>
      <c r="BZ175" s="399"/>
      <c r="CA175" s="399"/>
      <c r="CB175" s="399"/>
      <c r="CC175" s="399"/>
      <c r="CD175" s="399"/>
      <c r="CE175" s="399"/>
      <c r="CF175" s="399"/>
      <c r="CG175" s="399"/>
      <c r="CH175" s="399"/>
      <c r="CI175" s="399">
        <v>4219.0649999999996</v>
      </c>
      <c r="CJ175" s="399">
        <v>-1477.8514200000009</v>
      </c>
      <c r="CK175" s="399"/>
      <c r="CL175" s="399"/>
      <c r="CM175" s="399"/>
      <c r="CN175" s="399"/>
      <c r="CO175" s="399">
        <v>-1128.63294</v>
      </c>
      <c r="CP175" s="399">
        <v>-515.12454000000014</v>
      </c>
      <c r="CQ175" s="399">
        <v>30</v>
      </c>
      <c r="CR175" s="399">
        <v>-549.99117312908311</v>
      </c>
      <c r="CS175" s="399">
        <v>0</v>
      </c>
      <c r="CT175" s="399">
        <v>0</v>
      </c>
      <c r="CU175" s="399">
        <v>0</v>
      </c>
      <c r="CV175" s="399">
        <v>0</v>
      </c>
      <c r="CW175" s="399">
        <v>0</v>
      </c>
      <c r="CX175" s="399">
        <v>0</v>
      </c>
      <c r="CY175" s="399">
        <v>0</v>
      </c>
      <c r="CZ175" s="399">
        <v>26.631348934522066</v>
      </c>
      <c r="DA175" s="399">
        <v>0</v>
      </c>
      <c r="DB175" s="399">
        <v>0</v>
      </c>
      <c r="DC175" s="399">
        <v>-515.17833711347498</v>
      </c>
      <c r="DD175" s="399">
        <v>0</v>
      </c>
      <c r="DE175" s="399">
        <v>0</v>
      </c>
      <c r="DF175" s="399">
        <v>0</v>
      </c>
      <c r="DG175" s="399">
        <v>-60.295268431669314</v>
      </c>
      <c r="DH175" s="399">
        <v>0</v>
      </c>
      <c r="DI175" s="399">
        <v>0</v>
      </c>
      <c r="DJ175" s="399"/>
      <c r="DK175" s="399">
        <v>0</v>
      </c>
      <c r="DL175" s="399">
        <v>0</v>
      </c>
      <c r="DM175" s="399">
        <v>0</v>
      </c>
      <c r="DN175" s="399">
        <v>0</v>
      </c>
      <c r="DO175" s="399">
        <v>0</v>
      </c>
      <c r="DP175" s="399">
        <v>-1.1489165184605419</v>
      </c>
      <c r="DQ175" s="399">
        <v>0</v>
      </c>
      <c r="DR175" s="399">
        <v>0</v>
      </c>
      <c r="DS175" s="399"/>
      <c r="DT175" s="399"/>
      <c r="DU175" s="399"/>
      <c r="DV175" s="399">
        <v>2997.7037258131709</v>
      </c>
      <c r="DW175" s="399">
        <v>0</v>
      </c>
      <c r="DX175" s="399">
        <v>0</v>
      </c>
      <c r="DY175" s="399">
        <v>-1128.63294</v>
      </c>
      <c r="DZ175" s="399">
        <v>-515.12454000000002</v>
      </c>
      <c r="EA175" s="399">
        <v>0</v>
      </c>
      <c r="EB175" s="399">
        <v>0</v>
      </c>
      <c r="EC175" s="399">
        <v>-1093.8624431940725</v>
      </c>
      <c r="ED175" s="399">
        <v>0</v>
      </c>
      <c r="EE175" s="399">
        <v>0</v>
      </c>
      <c r="EF175" s="399">
        <v>0</v>
      </c>
      <c r="EG175" s="399">
        <v>0</v>
      </c>
      <c r="EH175" s="399">
        <v>0</v>
      </c>
      <c r="EI175" s="399">
        <v>0</v>
      </c>
      <c r="EJ175" s="399">
        <v>0</v>
      </c>
      <c r="EK175" s="399">
        <v>0</v>
      </c>
      <c r="EL175" s="399">
        <v>0</v>
      </c>
      <c r="EM175" s="399">
        <v>0</v>
      </c>
      <c r="EN175" s="399">
        <v>0</v>
      </c>
      <c r="EO175" s="399">
        <v>0</v>
      </c>
      <c r="EP175" s="399">
        <v>0</v>
      </c>
      <c r="EQ175" s="399">
        <v>0</v>
      </c>
      <c r="ER175" s="399">
        <v>0</v>
      </c>
      <c r="ES175" s="399">
        <v>0</v>
      </c>
      <c r="ET175" s="399">
        <v>0</v>
      </c>
      <c r="EU175" s="399">
        <v>0</v>
      </c>
      <c r="EV175" s="399">
        <v>202</v>
      </c>
      <c r="EW175" s="399">
        <v>0</v>
      </c>
      <c r="EX175" s="399">
        <v>0</v>
      </c>
      <c r="EY175" s="399">
        <v>0</v>
      </c>
      <c r="EZ175" s="399"/>
      <c r="FA175" s="399">
        <v>0</v>
      </c>
      <c r="FB175" s="399">
        <v>-17.698635468909799</v>
      </c>
      <c r="FC175" s="399"/>
      <c r="FD175" s="399">
        <v>-17.698635468909799</v>
      </c>
      <c r="FE175" s="399"/>
      <c r="FF175" s="399">
        <v>0</v>
      </c>
      <c r="FG175" s="399">
        <v>0</v>
      </c>
      <c r="FH175" s="399">
        <v>0</v>
      </c>
      <c r="FI175" s="399">
        <v>0</v>
      </c>
    </row>
    <row r="176" spans="1:165">
      <c r="A176" s="399">
        <v>168</v>
      </c>
      <c r="B176" s="399" t="s">
        <v>2403</v>
      </c>
      <c r="C176" s="399" t="s">
        <v>2402</v>
      </c>
      <c r="D176" s="399" t="s">
        <v>1823</v>
      </c>
      <c r="E176" s="399" t="s">
        <v>889</v>
      </c>
      <c r="F176" s="399" t="s">
        <v>2407</v>
      </c>
      <c r="G176" s="399" t="s">
        <v>1239</v>
      </c>
      <c r="H176" s="399" t="s">
        <v>1239</v>
      </c>
      <c r="I176" s="399" t="s">
        <v>1239</v>
      </c>
      <c r="J176" s="399" t="s">
        <v>2400</v>
      </c>
      <c r="K176" s="788">
        <v>44652</v>
      </c>
      <c r="L176" s="399">
        <v>0</v>
      </c>
      <c r="M176" s="399">
        <v>0</v>
      </c>
      <c r="N176" s="399">
        <v>0</v>
      </c>
      <c r="O176" s="399">
        <v>0</v>
      </c>
      <c r="P176" s="399">
        <v>0</v>
      </c>
      <c r="Q176" s="399">
        <v>0</v>
      </c>
      <c r="R176" s="399"/>
      <c r="S176" s="399"/>
      <c r="T176" s="399"/>
      <c r="U176" s="399"/>
      <c r="V176" s="399"/>
      <c r="W176" s="399"/>
      <c r="X176" s="399"/>
      <c r="Y176" s="399"/>
      <c r="Z176" s="399"/>
      <c r="AA176" s="399">
        <v>0</v>
      </c>
      <c r="AB176" s="399"/>
      <c r="AC176" s="399"/>
      <c r="AD176" s="399"/>
      <c r="AE176" s="399"/>
      <c r="AF176" s="399"/>
      <c r="AG176" s="399"/>
      <c r="AH176" s="399"/>
      <c r="AI176" s="399"/>
      <c r="AJ176" s="399"/>
      <c r="AK176" s="399"/>
      <c r="AL176" s="399"/>
      <c r="AM176" s="399"/>
      <c r="AN176" s="399"/>
      <c r="AO176" s="399"/>
      <c r="AP176" s="399"/>
      <c r="AQ176" s="399"/>
      <c r="AR176" s="399"/>
      <c r="AS176" s="399"/>
      <c r="AT176" s="399"/>
      <c r="AU176" s="399"/>
      <c r="AV176" s="399"/>
      <c r="AW176" s="399"/>
      <c r="AX176" s="399"/>
      <c r="AY176" s="399"/>
      <c r="AZ176" s="399">
        <v>0</v>
      </c>
      <c r="BA176" s="399"/>
      <c r="BB176" s="399"/>
      <c r="BC176" s="399"/>
      <c r="BD176" s="399"/>
      <c r="BE176" s="399"/>
      <c r="BF176" s="399"/>
      <c r="BG176" s="399"/>
      <c r="BH176" s="399"/>
      <c r="BI176" s="399">
        <v>-0.05</v>
      </c>
      <c r="BJ176" s="399">
        <v>-0.14000000000000001</v>
      </c>
      <c r="BK176" s="399">
        <v>-0.03</v>
      </c>
      <c r="BL176" s="399">
        <v>0</v>
      </c>
      <c r="BM176" s="399"/>
      <c r="BN176" s="399"/>
      <c r="BO176" s="399"/>
      <c r="BP176" s="399"/>
      <c r="BQ176" s="399"/>
      <c r="BR176" s="399"/>
      <c r="BS176" s="399"/>
      <c r="BT176" s="399"/>
      <c r="BU176" s="399"/>
      <c r="BV176" s="399"/>
      <c r="BW176" s="399"/>
      <c r="BX176" s="399"/>
      <c r="BY176" s="399"/>
      <c r="BZ176" s="399"/>
      <c r="CA176" s="399"/>
      <c r="CB176" s="399"/>
      <c r="CC176" s="399"/>
      <c r="CD176" s="399"/>
      <c r="CE176" s="399"/>
      <c r="CF176" s="399"/>
      <c r="CG176" s="399"/>
      <c r="CH176" s="399"/>
      <c r="CI176" s="399"/>
      <c r="CJ176" s="399">
        <v>-0.03</v>
      </c>
      <c r="CK176" s="399"/>
      <c r="CL176" s="399"/>
      <c r="CM176" s="399"/>
      <c r="CN176" s="399"/>
      <c r="CO176" s="399">
        <v>0</v>
      </c>
      <c r="CP176" s="399">
        <v>0</v>
      </c>
      <c r="CQ176" s="399">
        <v>30</v>
      </c>
      <c r="CR176" s="399"/>
      <c r="CS176" s="399"/>
      <c r="CT176" s="399"/>
      <c r="CU176" s="399"/>
      <c r="CV176" s="399"/>
      <c r="CW176" s="399"/>
      <c r="CX176" s="399"/>
      <c r="CY176" s="399"/>
      <c r="CZ176" s="399"/>
      <c r="DA176" s="399"/>
      <c r="DB176" s="399"/>
      <c r="DC176" s="399"/>
      <c r="DD176" s="399"/>
      <c r="DE176" s="399"/>
      <c r="DF176" s="399"/>
      <c r="DG176" s="399"/>
      <c r="DH176" s="399"/>
      <c r="DI176" s="399"/>
      <c r="DJ176" s="399"/>
      <c r="DK176" s="399">
        <v>0</v>
      </c>
      <c r="DL176" s="399"/>
      <c r="DM176" s="399"/>
      <c r="DN176" s="399"/>
      <c r="DO176" s="399"/>
      <c r="DP176" s="399"/>
      <c r="DQ176" s="399"/>
      <c r="DR176" s="399"/>
      <c r="DS176" s="399"/>
      <c r="DT176" s="399"/>
      <c r="DU176" s="399"/>
      <c r="DV176" s="399"/>
      <c r="DW176" s="399"/>
      <c r="DX176" s="399"/>
      <c r="DY176" s="399"/>
      <c r="DZ176" s="399"/>
      <c r="EA176" s="399"/>
      <c r="EB176" s="399"/>
      <c r="EC176" s="399"/>
      <c r="ED176" s="399"/>
      <c r="EE176" s="399"/>
      <c r="EF176" s="399"/>
      <c r="EG176" s="399"/>
      <c r="EH176" s="399"/>
      <c r="EI176" s="399"/>
      <c r="EJ176" s="399"/>
      <c r="EK176" s="399"/>
      <c r="EL176" s="399"/>
      <c r="EM176" s="399"/>
      <c r="EN176" s="399"/>
      <c r="EO176" s="399"/>
      <c r="EP176" s="399"/>
      <c r="EQ176" s="399"/>
      <c r="ER176" s="399"/>
      <c r="ES176" s="399"/>
      <c r="ET176" s="399"/>
      <c r="EU176" s="399"/>
      <c r="EV176" s="399">
        <v>202</v>
      </c>
      <c r="EW176" s="399"/>
      <c r="EX176" s="399"/>
      <c r="EY176" s="399"/>
      <c r="EZ176" s="399"/>
      <c r="FA176" s="399">
        <v>0</v>
      </c>
      <c r="FB176" s="399">
        <v>-17.698635468909799</v>
      </c>
      <c r="FC176" s="399"/>
      <c r="FD176" s="399">
        <v>-17.698635468909799</v>
      </c>
      <c r="FE176" s="399"/>
      <c r="FF176" s="399">
        <v>0</v>
      </c>
      <c r="FG176" s="399">
        <v>0</v>
      </c>
      <c r="FH176" s="399">
        <v>0</v>
      </c>
      <c r="FI176" s="399">
        <v>0</v>
      </c>
    </row>
    <row r="177" spans="1:165">
      <c r="A177" s="399">
        <v>169</v>
      </c>
      <c r="B177" s="399" t="s">
        <v>956</v>
      </c>
      <c r="C177" s="399" t="s">
        <v>2402</v>
      </c>
      <c r="D177" s="399" t="s">
        <v>1823</v>
      </c>
      <c r="E177" s="399" t="s">
        <v>889</v>
      </c>
      <c r="F177" s="399" t="s">
        <v>2408</v>
      </c>
      <c r="G177" s="399" t="s">
        <v>1239</v>
      </c>
      <c r="H177" s="399" t="s">
        <v>1239</v>
      </c>
      <c r="I177" s="399" t="s">
        <v>1239</v>
      </c>
      <c r="J177" s="399" t="s">
        <v>2400</v>
      </c>
      <c r="K177" s="788">
        <v>44652</v>
      </c>
      <c r="L177" s="399">
        <v>0</v>
      </c>
      <c r="M177" s="399">
        <v>0</v>
      </c>
      <c r="N177" s="399">
        <v>2.0590000000000002</v>
      </c>
      <c r="O177" s="399">
        <v>2.0590000000000002</v>
      </c>
      <c r="P177" s="399">
        <v>2.0590000000000002</v>
      </c>
      <c r="Q177" s="399">
        <v>2.0590000000000002</v>
      </c>
      <c r="R177" s="399"/>
      <c r="S177" s="399">
        <v>510.09</v>
      </c>
      <c r="T177" s="399">
        <v>286.42</v>
      </c>
      <c r="U177" s="399"/>
      <c r="V177" s="399">
        <v>1640.0140900000001</v>
      </c>
      <c r="W177" s="399">
        <v>1640.0140900000001</v>
      </c>
      <c r="X177" s="399">
        <v>1214.1305299999999</v>
      </c>
      <c r="Y177" s="399">
        <v>0</v>
      </c>
      <c r="Z177" s="399">
        <v>0</v>
      </c>
      <c r="AA177" s="399">
        <v>0</v>
      </c>
      <c r="AB177" s="399">
        <v>0</v>
      </c>
      <c r="AC177" s="399">
        <v>0</v>
      </c>
      <c r="AD177" s="399">
        <v>201.06577675767755</v>
      </c>
      <c r="AE177" s="399">
        <v>776.67949810611799</v>
      </c>
      <c r="AF177" s="399">
        <v>589.74566785707896</v>
      </c>
      <c r="AG177" s="399">
        <v>0</v>
      </c>
      <c r="AH177" s="399">
        <v>0</v>
      </c>
      <c r="AI177" s="399">
        <v>0</v>
      </c>
      <c r="AJ177" s="399">
        <v>0</v>
      </c>
      <c r="AK177" s="399">
        <v>0</v>
      </c>
      <c r="AL177" s="399">
        <v>0</v>
      </c>
      <c r="AM177" s="399"/>
      <c r="AN177" s="399">
        <v>3.516437549205123</v>
      </c>
      <c r="AO177" s="399">
        <v>0</v>
      </c>
      <c r="AP177" s="399">
        <v>0</v>
      </c>
      <c r="AQ177" s="399">
        <v>0</v>
      </c>
      <c r="AR177" s="399">
        <v>0</v>
      </c>
      <c r="AS177" s="399">
        <v>0</v>
      </c>
      <c r="AT177" s="399">
        <v>0</v>
      </c>
      <c r="AU177" s="399">
        <v>0</v>
      </c>
      <c r="AV177" s="399">
        <v>0</v>
      </c>
      <c r="AW177" s="399">
        <v>0</v>
      </c>
      <c r="AX177" s="399">
        <v>0</v>
      </c>
      <c r="AY177" s="399">
        <v>0</v>
      </c>
      <c r="AZ177" s="399">
        <v>0</v>
      </c>
      <c r="BA177" s="399"/>
      <c r="BB177" s="399">
        <v>0</v>
      </c>
      <c r="BC177" s="399">
        <v>0</v>
      </c>
      <c r="BD177" s="399">
        <v>0</v>
      </c>
      <c r="BE177" s="399">
        <v>0</v>
      </c>
      <c r="BF177" s="399">
        <v>0</v>
      </c>
      <c r="BG177" s="399">
        <v>69.022454533107123</v>
      </c>
      <c r="BH177" s="399">
        <v>0</v>
      </c>
      <c r="BI177" s="399">
        <v>7.14</v>
      </c>
      <c r="BJ177" s="399">
        <v>33.659999999999997</v>
      </c>
      <c r="BK177" s="399">
        <v>485.03</v>
      </c>
      <c r="BL177" s="399">
        <v>26</v>
      </c>
      <c r="BM177" s="399"/>
      <c r="BN177" s="399"/>
      <c r="BO177" s="399"/>
      <c r="BP177" s="399"/>
      <c r="BQ177" s="399"/>
      <c r="BR177" s="399"/>
      <c r="BS177" s="399"/>
      <c r="BT177" s="399"/>
      <c r="BU177" s="399"/>
      <c r="BV177" s="399">
        <v>658.76812239018614</v>
      </c>
      <c r="BW177" s="399"/>
      <c r="BX177" s="399"/>
      <c r="BY177" s="399"/>
      <c r="BZ177" s="399"/>
      <c r="CA177" s="399"/>
      <c r="CB177" s="399"/>
      <c r="CC177" s="399"/>
      <c r="CD177" s="399"/>
      <c r="CE177" s="399"/>
      <c r="CF177" s="399"/>
      <c r="CG177" s="399"/>
      <c r="CH177" s="399"/>
      <c r="CI177" s="399">
        <v>1214.7202</v>
      </c>
      <c r="CJ177" s="399">
        <v>-425.32389000000012</v>
      </c>
      <c r="CK177" s="399"/>
      <c r="CL177" s="399"/>
      <c r="CM177" s="399"/>
      <c r="CN177" s="399"/>
      <c r="CO177" s="399">
        <v>-292.41917999999998</v>
      </c>
      <c r="CP177" s="399">
        <v>-133.46438000000006</v>
      </c>
      <c r="CQ177" s="399">
        <v>30</v>
      </c>
      <c r="CR177" s="399">
        <v>-142.49802761706076</v>
      </c>
      <c r="CS177" s="399">
        <v>0</v>
      </c>
      <c r="CT177" s="399">
        <v>0</v>
      </c>
      <c r="CU177" s="399">
        <v>0</v>
      </c>
      <c r="CV177" s="399">
        <v>0</v>
      </c>
      <c r="CW177" s="399">
        <v>0</v>
      </c>
      <c r="CX177" s="399">
        <v>0</v>
      </c>
      <c r="CY177" s="399">
        <v>0</v>
      </c>
      <c r="CZ177" s="399">
        <v>6.8999556381251921</v>
      </c>
      <c r="DA177" s="399">
        <v>0</v>
      </c>
      <c r="DB177" s="399">
        <v>0</v>
      </c>
      <c r="DC177" s="399">
        <v>-133.4783183738071</v>
      </c>
      <c r="DD177" s="399">
        <v>0</v>
      </c>
      <c r="DE177" s="399">
        <v>0</v>
      </c>
      <c r="DF177" s="399">
        <v>0</v>
      </c>
      <c r="DG177" s="399">
        <v>-15.621990398994221</v>
      </c>
      <c r="DH177" s="399">
        <v>0</v>
      </c>
      <c r="DI177" s="399">
        <v>0</v>
      </c>
      <c r="DJ177" s="399"/>
      <c r="DK177" s="399">
        <v>0</v>
      </c>
      <c r="DL177" s="399">
        <v>0</v>
      </c>
      <c r="DM177" s="399">
        <v>0</v>
      </c>
      <c r="DN177" s="399">
        <v>0</v>
      </c>
      <c r="DO177" s="399">
        <v>0</v>
      </c>
      <c r="DP177" s="399">
        <v>-0.29767448238458005</v>
      </c>
      <c r="DQ177" s="399">
        <v>0</v>
      </c>
      <c r="DR177" s="399">
        <v>0</v>
      </c>
      <c r="DS177" s="399"/>
      <c r="DT177" s="399"/>
      <c r="DU177" s="399"/>
      <c r="DV177" s="399">
        <v>776.67949810611799</v>
      </c>
      <c r="DW177" s="399">
        <v>0</v>
      </c>
      <c r="DX177" s="399">
        <v>0</v>
      </c>
      <c r="DY177" s="399">
        <v>-292.41917999999998</v>
      </c>
      <c r="DZ177" s="399">
        <v>-133.46438000000012</v>
      </c>
      <c r="EA177" s="399">
        <v>0</v>
      </c>
      <c r="EB177" s="399">
        <v>0</v>
      </c>
      <c r="EC177" s="399">
        <v>-283.41044048528948</v>
      </c>
      <c r="ED177" s="399">
        <v>0</v>
      </c>
      <c r="EE177" s="399">
        <v>0</v>
      </c>
      <c r="EF177" s="399">
        <v>0</v>
      </c>
      <c r="EG177" s="399">
        <v>0</v>
      </c>
      <c r="EH177" s="399">
        <v>0</v>
      </c>
      <c r="EI177" s="399">
        <v>0</v>
      </c>
      <c r="EJ177" s="399">
        <v>0</v>
      </c>
      <c r="EK177" s="399">
        <v>0</v>
      </c>
      <c r="EL177" s="399">
        <v>0</v>
      </c>
      <c r="EM177" s="399">
        <v>0</v>
      </c>
      <c r="EN177" s="399">
        <v>0</v>
      </c>
      <c r="EO177" s="399">
        <v>0</v>
      </c>
      <c r="EP177" s="399">
        <v>0</v>
      </c>
      <c r="EQ177" s="399">
        <v>0</v>
      </c>
      <c r="ER177" s="399">
        <v>0</v>
      </c>
      <c r="ES177" s="399">
        <v>0</v>
      </c>
      <c r="ET177" s="399">
        <v>0</v>
      </c>
      <c r="EU177" s="399">
        <v>0</v>
      </c>
      <c r="EV177" s="399">
        <v>202</v>
      </c>
      <c r="EW177" s="399">
        <v>0</v>
      </c>
      <c r="EX177" s="399">
        <v>0</v>
      </c>
      <c r="EY177" s="399">
        <v>0</v>
      </c>
      <c r="EZ177" s="399"/>
      <c r="FA177" s="399">
        <v>0</v>
      </c>
      <c r="FB177" s="399">
        <v>-17.698635468909799</v>
      </c>
      <c r="FC177" s="399"/>
      <c r="FD177" s="399">
        <v>-17.698635468909799</v>
      </c>
      <c r="FE177" s="399"/>
      <c r="FF177" s="399">
        <v>0</v>
      </c>
      <c r="FG177" s="399">
        <v>0</v>
      </c>
      <c r="FH177" s="399">
        <v>0</v>
      </c>
      <c r="FI177" s="399">
        <v>0</v>
      </c>
    </row>
    <row r="178" spans="1:165">
      <c r="A178" s="399">
        <v>170</v>
      </c>
      <c r="B178" s="399" t="s">
        <v>956</v>
      </c>
      <c r="C178" s="399" t="s">
        <v>2409</v>
      </c>
      <c r="D178" s="399" t="s">
        <v>1823</v>
      </c>
      <c r="E178" s="399" t="s">
        <v>889</v>
      </c>
      <c r="F178" s="399" t="s">
        <v>889</v>
      </c>
      <c r="G178" s="399" t="s">
        <v>1239</v>
      </c>
      <c r="H178" s="399" t="s">
        <v>1239</v>
      </c>
      <c r="I178" s="399" t="s">
        <v>2326</v>
      </c>
      <c r="J178" s="399" t="s">
        <v>2400</v>
      </c>
      <c r="K178" s="788">
        <v>44652</v>
      </c>
      <c r="L178" s="399">
        <v>0</v>
      </c>
      <c r="M178" s="399">
        <v>0</v>
      </c>
      <c r="N178" s="399">
        <v>4.1000000000000002E-2</v>
      </c>
      <c r="O178" s="399">
        <v>4.1000000000000002E-2</v>
      </c>
      <c r="P178" s="399">
        <v>4.1000000000000002E-2</v>
      </c>
      <c r="Q178" s="399">
        <v>4.1000000000000002E-2</v>
      </c>
      <c r="R178" s="399"/>
      <c r="S178" s="399">
        <v>409.62</v>
      </c>
      <c r="T178" s="399">
        <v>286.42</v>
      </c>
      <c r="U178" s="399"/>
      <c r="V178" s="399">
        <v>28.537640000000003</v>
      </c>
      <c r="W178" s="399">
        <v>28.537640000000003</v>
      </c>
      <c r="X178" s="399">
        <v>22.174440000000001</v>
      </c>
      <c r="Y178" s="399">
        <v>0</v>
      </c>
      <c r="Z178" s="399">
        <v>2.4953173578233616</v>
      </c>
      <c r="AA178" s="399">
        <v>0</v>
      </c>
      <c r="AB178" s="399">
        <v>0</v>
      </c>
      <c r="AC178" s="399">
        <v>0</v>
      </c>
      <c r="AD178" s="399">
        <v>2.3223717295907802</v>
      </c>
      <c r="AE178" s="399">
        <v>8.9700977504434345</v>
      </c>
      <c r="AF178" s="399">
        <v>11.743357154997685</v>
      </c>
      <c r="AG178" s="399">
        <v>0</v>
      </c>
      <c r="AH178" s="399">
        <v>0</v>
      </c>
      <c r="AI178" s="399">
        <v>0</v>
      </c>
      <c r="AJ178" s="399">
        <v>0</v>
      </c>
      <c r="AK178" s="399">
        <v>0</v>
      </c>
      <c r="AL178" s="399">
        <v>0.38564144714612969</v>
      </c>
      <c r="AM178" s="399"/>
      <c r="AN178" s="399">
        <v>7.0021340222151549E-2</v>
      </c>
      <c r="AO178" s="399">
        <v>0</v>
      </c>
      <c r="AP178" s="399">
        <v>0</v>
      </c>
      <c r="AQ178" s="399">
        <v>0</v>
      </c>
      <c r="AR178" s="399">
        <v>0</v>
      </c>
      <c r="AS178" s="399">
        <v>0</v>
      </c>
      <c r="AT178" s="399">
        <v>0</v>
      </c>
      <c r="AU178" s="399">
        <v>0</v>
      </c>
      <c r="AV178" s="399">
        <v>0</v>
      </c>
      <c r="AW178" s="399">
        <v>0</v>
      </c>
      <c r="AX178" s="399">
        <v>0</v>
      </c>
      <c r="AY178" s="399">
        <v>0</v>
      </c>
      <c r="AZ178" s="399">
        <v>0</v>
      </c>
      <c r="BA178" s="399"/>
      <c r="BB178" s="399">
        <v>0</v>
      </c>
      <c r="BC178" s="399">
        <v>0</v>
      </c>
      <c r="BD178" s="399">
        <v>0</v>
      </c>
      <c r="BE178" s="399">
        <v>0</v>
      </c>
      <c r="BF178" s="399">
        <v>0</v>
      </c>
      <c r="BG178" s="399">
        <v>1.3744150732673104</v>
      </c>
      <c r="BH178" s="399">
        <v>0</v>
      </c>
      <c r="BI178" s="399">
        <v>0</v>
      </c>
      <c r="BJ178" s="399">
        <v>0</v>
      </c>
      <c r="BK178" s="399">
        <v>0</v>
      </c>
      <c r="BL178" s="399">
        <v>0</v>
      </c>
      <c r="BM178" s="399"/>
      <c r="BN178" s="399"/>
      <c r="BO178" s="399"/>
      <c r="BP178" s="399"/>
      <c r="BQ178" s="399"/>
      <c r="BR178" s="399"/>
      <c r="BS178" s="399"/>
      <c r="BT178" s="399"/>
      <c r="BU178" s="399"/>
      <c r="BV178" s="399">
        <v>13.117772228264997</v>
      </c>
      <c r="BW178" s="399"/>
      <c r="BX178" s="399"/>
      <c r="BY178" s="399"/>
      <c r="BZ178" s="399"/>
      <c r="CA178" s="399"/>
      <c r="CB178" s="399"/>
      <c r="CC178" s="399"/>
      <c r="CD178" s="399"/>
      <c r="CE178" s="399"/>
      <c r="CF178" s="399"/>
      <c r="CG178" s="399"/>
      <c r="CH178" s="399"/>
      <c r="CI178" s="399">
        <v>21.633600000000001</v>
      </c>
      <c r="CJ178" s="399">
        <v>-6.9340400000000066</v>
      </c>
      <c r="CK178" s="399"/>
      <c r="CL178" s="399"/>
      <c r="CM178" s="399"/>
      <c r="CN178" s="399"/>
      <c r="CO178" s="399">
        <v>-3.7055799999999999</v>
      </c>
      <c r="CP178" s="399">
        <v>-2.657620000000001</v>
      </c>
      <c r="CQ178" s="399">
        <v>30</v>
      </c>
      <c r="CR178" s="399">
        <v>-3.0903876360166009</v>
      </c>
      <c r="CS178" s="399">
        <v>0</v>
      </c>
      <c r="CT178" s="399">
        <v>0</v>
      </c>
      <c r="CU178" s="399">
        <v>0</v>
      </c>
      <c r="CV178" s="399">
        <v>0</v>
      </c>
      <c r="CW178" s="399">
        <v>0</v>
      </c>
      <c r="CX178" s="399">
        <v>0</v>
      </c>
      <c r="CY178" s="399">
        <v>0</v>
      </c>
      <c r="CZ178" s="399">
        <v>7.9696615544484928E-2</v>
      </c>
      <c r="DA178" s="399">
        <v>0</v>
      </c>
      <c r="DB178" s="399">
        <v>0</v>
      </c>
      <c r="DC178" s="399">
        <v>-2.6578975489684744</v>
      </c>
      <c r="DD178" s="399">
        <v>0</v>
      </c>
      <c r="DE178" s="399">
        <v>0</v>
      </c>
      <c r="DF178" s="399">
        <v>0</v>
      </c>
      <c r="DG178" s="399">
        <v>-0.3110741167356792</v>
      </c>
      <c r="DH178" s="399">
        <v>0</v>
      </c>
      <c r="DI178" s="399">
        <v>-0.17311551532620228</v>
      </c>
      <c r="DJ178" s="399"/>
      <c r="DK178" s="399">
        <v>0</v>
      </c>
      <c r="DL178" s="399">
        <v>0</v>
      </c>
      <c r="DM178" s="399">
        <v>0</v>
      </c>
      <c r="DN178" s="399">
        <v>0</v>
      </c>
      <c r="DO178" s="399">
        <v>-2.2069603907234947E-2</v>
      </c>
      <c r="DP178" s="399">
        <v>-5.9274666234909179E-3</v>
      </c>
      <c r="DQ178" s="399">
        <v>0</v>
      </c>
      <c r="DR178" s="399">
        <v>0</v>
      </c>
      <c r="DS178" s="399"/>
      <c r="DT178" s="399"/>
      <c r="DU178" s="399"/>
      <c r="DV178" s="399">
        <v>8.9700977504434345</v>
      </c>
      <c r="DW178" s="399">
        <v>0</v>
      </c>
      <c r="DX178" s="399">
        <v>0</v>
      </c>
      <c r="DY178" s="399">
        <v>-3.7055800000000012</v>
      </c>
      <c r="DZ178" s="399">
        <v>-2.6576200000000014</v>
      </c>
      <c r="EA178" s="399">
        <v>0</v>
      </c>
      <c r="EB178" s="399">
        <v>0</v>
      </c>
      <c r="EC178" s="399">
        <v>-3.2731897273564199</v>
      </c>
      <c r="ED178" s="399">
        <v>0</v>
      </c>
      <c r="EE178" s="399">
        <v>0</v>
      </c>
      <c r="EF178" s="399">
        <v>0</v>
      </c>
      <c r="EG178" s="399">
        <v>0</v>
      </c>
      <c r="EH178" s="399">
        <v>0</v>
      </c>
      <c r="EI178" s="399">
        <v>0</v>
      </c>
      <c r="EJ178" s="399">
        <v>0</v>
      </c>
      <c r="EK178" s="399">
        <v>0</v>
      </c>
      <c r="EL178" s="399">
        <v>0</v>
      </c>
      <c r="EM178" s="399">
        <v>0</v>
      </c>
      <c r="EN178" s="399">
        <v>0</v>
      </c>
      <c r="EO178" s="399">
        <v>0</v>
      </c>
      <c r="EP178" s="399">
        <v>1.176627511464257</v>
      </c>
      <c r="EQ178" s="399">
        <v>0</v>
      </c>
      <c r="ER178" s="399">
        <v>0</v>
      </c>
      <c r="ES178" s="399">
        <v>0</v>
      </c>
      <c r="ET178" s="399">
        <v>0</v>
      </c>
      <c r="EU178" s="399">
        <v>0</v>
      </c>
      <c r="EV178" s="399">
        <v>202</v>
      </c>
      <c r="EW178" s="399">
        <v>0</v>
      </c>
      <c r="EX178" s="399">
        <v>0</v>
      </c>
      <c r="EY178" s="399">
        <v>0</v>
      </c>
      <c r="EZ178" s="399"/>
      <c r="FA178" s="399">
        <v>0</v>
      </c>
      <c r="FB178" s="399">
        <v>-17.698635468909799</v>
      </c>
      <c r="FC178" s="399"/>
      <c r="FD178" s="399">
        <v>-17.698635468909799</v>
      </c>
      <c r="FE178" s="399"/>
      <c r="FF178" s="399">
        <v>0</v>
      </c>
      <c r="FG178" s="399">
        <v>0</v>
      </c>
      <c r="FH178" s="399">
        <v>0</v>
      </c>
      <c r="FI178" s="399">
        <v>0</v>
      </c>
    </row>
    <row r="179" spans="1:165">
      <c r="A179" s="399">
        <v>171</v>
      </c>
      <c r="B179" s="399" t="s">
        <v>956</v>
      </c>
      <c r="C179" s="399" t="s">
        <v>2409</v>
      </c>
      <c r="D179" s="399" t="s">
        <v>1823</v>
      </c>
      <c r="E179" s="399" t="s">
        <v>889</v>
      </c>
      <c r="F179" s="399" t="s">
        <v>889</v>
      </c>
      <c r="G179" s="399" t="s">
        <v>1239</v>
      </c>
      <c r="H179" s="399" t="s">
        <v>1239</v>
      </c>
      <c r="I179" s="399" t="s">
        <v>1239</v>
      </c>
      <c r="J179" s="399" t="s">
        <v>2400</v>
      </c>
      <c r="K179" s="788">
        <v>44652</v>
      </c>
      <c r="L179" s="399">
        <v>0</v>
      </c>
      <c r="M179" s="399">
        <v>0</v>
      </c>
      <c r="N179" s="399">
        <v>0</v>
      </c>
      <c r="O179" s="399">
        <v>0</v>
      </c>
      <c r="P179" s="399">
        <v>0</v>
      </c>
      <c r="Q179" s="399">
        <v>0</v>
      </c>
      <c r="R179" s="399"/>
      <c r="S179" s="399"/>
      <c r="T179" s="399"/>
      <c r="U179" s="399"/>
      <c r="V179" s="399"/>
      <c r="W179" s="399"/>
      <c r="X179" s="399"/>
      <c r="Y179" s="399"/>
      <c r="Z179" s="399"/>
      <c r="AA179" s="399">
        <v>0</v>
      </c>
      <c r="AB179" s="399"/>
      <c r="AC179" s="399"/>
      <c r="AD179" s="399"/>
      <c r="AE179" s="399"/>
      <c r="AF179" s="399"/>
      <c r="AG179" s="399"/>
      <c r="AH179" s="399"/>
      <c r="AI179" s="399"/>
      <c r="AJ179" s="399"/>
      <c r="AK179" s="399"/>
      <c r="AL179" s="399"/>
      <c r="AM179" s="399"/>
      <c r="AN179" s="399"/>
      <c r="AO179" s="399"/>
      <c r="AP179" s="399"/>
      <c r="AQ179" s="399"/>
      <c r="AR179" s="399"/>
      <c r="AS179" s="399"/>
      <c r="AT179" s="399"/>
      <c r="AU179" s="399"/>
      <c r="AV179" s="399"/>
      <c r="AW179" s="399"/>
      <c r="AX179" s="399"/>
      <c r="AY179" s="399"/>
      <c r="AZ179" s="399">
        <v>0</v>
      </c>
      <c r="BA179" s="399"/>
      <c r="BB179" s="399"/>
      <c r="BC179" s="399"/>
      <c r="BD179" s="399"/>
      <c r="BE179" s="399"/>
      <c r="BF179" s="399"/>
      <c r="BG179" s="399"/>
      <c r="BH179" s="399"/>
      <c r="BI179" s="399">
        <v>0.3</v>
      </c>
      <c r="BJ179" s="399">
        <v>1.38</v>
      </c>
      <c r="BK179" s="399">
        <v>0</v>
      </c>
      <c r="BL179" s="399">
        <v>1</v>
      </c>
      <c r="BM179" s="399"/>
      <c r="BN179" s="399"/>
      <c r="BO179" s="399"/>
      <c r="BP179" s="399"/>
      <c r="BQ179" s="399"/>
      <c r="BR179" s="399"/>
      <c r="BS179" s="399"/>
      <c r="BT179" s="399"/>
      <c r="BU179" s="399"/>
      <c r="BV179" s="399"/>
      <c r="BW179" s="399"/>
      <c r="BX179" s="399"/>
      <c r="BY179" s="399"/>
      <c r="BZ179" s="399"/>
      <c r="CA179" s="399"/>
      <c r="CB179" s="399"/>
      <c r="CC179" s="399"/>
      <c r="CD179" s="399"/>
      <c r="CE179" s="399"/>
      <c r="CF179" s="399"/>
      <c r="CG179" s="399"/>
      <c r="CH179" s="399"/>
      <c r="CI179" s="399"/>
      <c r="CJ179" s="399">
        <v>-0.03</v>
      </c>
      <c r="CK179" s="399"/>
      <c r="CL179" s="399"/>
      <c r="CM179" s="399"/>
      <c r="CN179" s="399"/>
      <c r="CO179" s="399">
        <v>0</v>
      </c>
      <c r="CP179" s="399">
        <v>0</v>
      </c>
      <c r="CQ179" s="399">
        <v>30</v>
      </c>
      <c r="CR179" s="399"/>
      <c r="CS179" s="399"/>
      <c r="CT179" s="399"/>
      <c r="CU179" s="399"/>
      <c r="CV179" s="399"/>
      <c r="CW179" s="399"/>
      <c r="CX179" s="399"/>
      <c r="CY179" s="399"/>
      <c r="CZ179" s="399"/>
      <c r="DA179" s="399"/>
      <c r="DB179" s="399"/>
      <c r="DC179" s="399"/>
      <c r="DD179" s="399"/>
      <c r="DE179" s="399"/>
      <c r="DF179" s="399"/>
      <c r="DG179" s="399"/>
      <c r="DH179" s="399"/>
      <c r="DI179" s="399"/>
      <c r="DJ179" s="399"/>
      <c r="DK179" s="399">
        <v>0</v>
      </c>
      <c r="DL179" s="399"/>
      <c r="DM179" s="399"/>
      <c r="DN179" s="399"/>
      <c r="DO179" s="399"/>
      <c r="DP179" s="399"/>
      <c r="DQ179" s="399"/>
      <c r="DR179" s="399"/>
      <c r="DS179" s="399"/>
      <c r="DT179" s="399"/>
      <c r="DU179" s="399"/>
      <c r="DV179" s="399"/>
      <c r="DW179" s="399"/>
      <c r="DX179" s="399"/>
      <c r="DY179" s="399"/>
      <c r="DZ179" s="399"/>
      <c r="EA179" s="399"/>
      <c r="EB179" s="399"/>
      <c r="EC179" s="399"/>
      <c r="ED179" s="399"/>
      <c r="EE179" s="399"/>
      <c r="EF179" s="399"/>
      <c r="EG179" s="399"/>
      <c r="EH179" s="399"/>
      <c r="EI179" s="399"/>
      <c r="EJ179" s="399"/>
      <c r="EK179" s="399"/>
      <c r="EL179" s="399"/>
      <c r="EM179" s="399"/>
      <c r="EN179" s="399"/>
      <c r="EO179" s="399"/>
      <c r="EP179" s="399"/>
      <c r="EQ179" s="399"/>
      <c r="ER179" s="399"/>
      <c r="ES179" s="399"/>
      <c r="ET179" s="399"/>
      <c r="EU179" s="399"/>
      <c r="EV179" s="399">
        <v>202</v>
      </c>
      <c r="EW179" s="399"/>
      <c r="EX179" s="399"/>
      <c r="EY179" s="399"/>
      <c r="EZ179" s="399"/>
      <c r="FA179" s="399">
        <v>0</v>
      </c>
      <c r="FB179" s="399">
        <v>-17.698635468909799</v>
      </c>
      <c r="FC179" s="399"/>
      <c r="FD179" s="399">
        <v>-17.698635468909799</v>
      </c>
      <c r="FE179" s="399"/>
      <c r="FF179" s="399">
        <v>0</v>
      </c>
      <c r="FG179" s="399">
        <v>0</v>
      </c>
      <c r="FH179" s="399">
        <v>0</v>
      </c>
      <c r="FI179" s="399">
        <v>0</v>
      </c>
    </row>
    <row r="180" spans="1:165">
      <c r="A180" s="399">
        <v>172</v>
      </c>
      <c r="B180" s="399" t="s">
        <v>956</v>
      </c>
      <c r="C180" s="399" t="s">
        <v>2409</v>
      </c>
      <c r="D180" s="399" t="s">
        <v>1823</v>
      </c>
      <c r="E180" s="399" t="s">
        <v>889</v>
      </c>
      <c r="F180" s="399" t="s">
        <v>889</v>
      </c>
      <c r="G180" s="399" t="s">
        <v>1239</v>
      </c>
      <c r="H180" s="399" t="s">
        <v>1239</v>
      </c>
      <c r="I180" s="399" t="s">
        <v>2410</v>
      </c>
      <c r="J180" s="399" t="s">
        <v>2400</v>
      </c>
      <c r="K180" s="788">
        <v>44652</v>
      </c>
      <c r="L180" s="399">
        <v>0</v>
      </c>
      <c r="M180" s="399">
        <v>0</v>
      </c>
      <c r="N180" s="399">
        <v>1.9E-2</v>
      </c>
      <c r="O180" s="399">
        <v>1.9E-2</v>
      </c>
      <c r="P180" s="399">
        <v>1.9E-2</v>
      </c>
      <c r="Q180" s="399">
        <v>1.9E-2</v>
      </c>
      <c r="R180" s="399"/>
      <c r="S180" s="399">
        <v>960.47</v>
      </c>
      <c r="T180" s="399">
        <v>286.42</v>
      </c>
      <c r="U180" s="399"/>
      <c r="V180" s="399">
        <v>23.690910000000002</v>
      </c>
      <c r="W180" s="399">
        <v>23.690910000000002</v>
      </c>
      <c r="X180" s="399">
        <v>17.782289999999996</v>
      </c>
      <c r="Y180" s="399">
        <v>0</v>
      </c>
      <c r="Z180" s="399">
        <v>1.1563665804547285</v>
      </c>
      <c r="AA180" s="399">
        <v>0</v>
      </c>
      <c r="AB180" s="399">
        <v>0</v>
      </c>
      <c r="AC180" s="399">
        <v>0</v>
      </c>
      <c r="AD180" s="399">
        <v>3.2285619074252416</v>
      </c>
      <c r="AE180" s="399">
        <v>12.470630053868019</v>
      </c>
      <c r="AF180" s="399">
        <v>5.4420435596330732</v>
      </c>
      <c r="AG180" s="399">
        <v>0</v>
      </c>
      <c r="AH180" s="399">
        <v>0</v>
      </c>
      <c r="AI180" s="399">
        <v>0</v>
      </c>
      <c r="AJ180" s="399">
        <v>0</v>
      </c>
      <c r="AK180" s="399">
        <v>0</v>
      </c>
      <c r="AL180" s="399">
        <v>0.17871189014088934</v>
      </c>
      <c r="AM180" s="399"/>
      <c r="AN180" s="399">
        <v>3.2448913761484857E-2</v>
      </c>
      <c r="AO180" s="399">
        <v>0</v>
      </c>
      <c r="AP180" s="399">
        <v>0</v>
      </c>
      <c r="AQ180" s="399">
        <v>0</v>
      </c>
      <c r="AR180" s="399">
        <v>0</v>
      </c>
      <c r="AS180" s="399">
        <v>0</v>
      </c>
      <c r="AT180" s="399">
        <v>0</v>
      </c>
      <c r="AU180" s="399">
        <v>0</v>
      </c>
      <c r="AV180" s="399">
        <v>0</v>
      </c>
      <c r="AW180" s="399">
        <v>0</v>
      </c>
      <c r="AX180" s="399">
        <v>0</v>
      </c>
      <c r="AY180" s="399">
        <v>0</v>
      </c>
      <c r="AZ180" s="399">
        <v>0</v>
      </c>
      <c r="BA180" s="399"/>
      <c r="BB180" s="399">
        <v>0</v>
      </c>
      <c r="BC180" s="399">
        <v>0</v>
      </c>
      <c r="BD180" s="399">
        <v>0</v>
      </c>
      <c r="BE180" s="399">
        <v>0</v>
      </c>
      <c r="BF180" s="399">
        <v>0</v>
      </c>
      <c r="BG180" s="399">
        <v>0.63692405834338772</v>
      </c>
      <c r="BH180" s="399">
        <v>0</v>
      </c>
      <c r="BI180" s="399">
        <v>0</v>
      </c>
      <c r="BJ180" s="399">
        <v>0</v>
      </c>
      <c r="BK180" s="399">
        <v>0</v>
      </c>
      <c r="BL180" s="399">
        <v>0</v>
      </c>
      <c r="BM180" s="399"/>
      <c r="BN180" s="399"/>
      <c r="BO180" s="399"/>
      <c r="BP180" s="399"/>
      <c r="BQ180" s="399"/>
      <c r="BR180" s="399"/>
      <c r="BS180" s="399"/>
      <c r="BT180" s="399"/>
      <c r="BU180" s="399"/>
      <c r="BV180" s="399">
        <v>6.0789676179764607</v>
      </c>
      <c r="BW180" s="399"/>
      <c r="BX180" s="399"/>
      <c r="BY180" s="399"/>
      <c r="BZ180" s="399"/>
      <c r="CA180" s="399"/>
      <c r="CB180" s="399"/>
      <c r="CC180" s="399"/>
      <c r="CD180" s="399"/>
      <c r="CE180" s="399"/>
      <c r="CF180" s="399"/>
      <c r="CG180" s="399"/>
      <c r="CH180" s="399"/>
      <c r="CI180" s="399">
        <v>18.7182</v>
      </c>
      <c r="CJ180" s="399">
        <v>-5.0027100000000075</v>
      </c>
      <c r="CK180" s="399"/>
      <c r="CL180" s="399"/>
      <c r="CM180" s="399"/>
      <c r="CN180" s="399"/>
      <c r="CO180" s="399">
        <v>-4.6770400000000016</v>
      </c>
      <c r="CP180" s="399">
        <v>-1.2315800000000003</v>
      </c>
      <c r="CQ180" s="399">
        <v>30</v>
      </c>
      <c r="CR180" s="399">
        <v>-1.3582691737050769</v>
      </c>
      <c r="CS180" s="399">
        <v>0</v>
      </c>
      <c r="CT180" s="399">
        <v>0</v>
      </c>
      <c r="CU180" s="399">
        <v>0</v>
      </c>
      <c r="CV180" s="399">
        <v>0</v>
      </c>
      <c r="CW180" s="399">
        <v>0</v>
      </c>
      <c r="CX180" s="399">
        <v>0</v>
      </c>
      <c r="CY180" s="399">
        <v>0</v>
      </c>
      <c r="CZ180" s="399">
        <v>0.11079425994518033</v>
      </c>
      <c r="DA180" s="399">
        <v>0</v>
      </c>
      <c r="DB180" s="399">
        <v>0</v>
      </c>
      <c r="DC180" s="399">
        <v>-1.2317086202536833</v>
      </c>
      <c r="DD180" s="399">
        <v>0</v>
      </c>
      <c r="DE180" s="399">
        <v>0</v>
      </c>
      <c r="DF180" s="399">
        <v>0</v>
      </c>
      <c r="DG180" s="399">
        <v>-0.14415629799946106</v>
      </c>
      <c r="DH180" s="399">
        <v>0</v>
      </c>
      <c r="DI180" s="399">
        <v>-8.0224263199947465E-2</v>
      </c>
      <c r="DJ180" s="399"/>
      <c r="DK180" s="399">
        <v>0</v>
      </c>
      <c r="DL180" s="399">
        <v>0</v>
      </c>
      <c r="DM180" s="399">
        <v>0</v>
      </c>
      <c r="DN180" s="399">
        <v>0</v>
      </c>
      <c r="DO180" s="399">
        <v>-1.0227377420425926E-2</v>
      </c>
      <c r="DP180" s="399">
        <v>-2.7468747767396863E-3</v>
      </c>
      <c r="DQ180" s="399">
        <v>0</v>
      </c>
      <c r="DR180" s="399">
        <v>0</v>
      </c>
      <c r="DS180" s="399"/>
      <c r="DT180" s="399"/>
      <c r="DU180" s="399"/>
      <c r="DV180" s="399">
        <v>12.470630053868019</v>
      </c>
      <c r="DW180" s="399">
        <v>0</v>
      </c>
      <c r="DX180" s="399">
        <v>0</v>
      </c>
      <c r="DY180" s="399">
        <v>-4.6770400000000034</v>
      </c>
      <c r="DZ180" s="399">
        <v>-1.2315800000000001</v>
      </c>
      <c r="EA180" s="399">
        <v>0</v>
      </c>
      <c r="EB180" s="399">
        <v>0</v>
      </c>
      <c r="EC180" s="399">
        <v>-4.5505343778405498</v>
      </c>
      <c r="ED180" s="399">
        <v>0</v>
      </c>
      <c r="EE180" s="399">
        <v>0</v>
      </c>
      <c r="EF180" s="399">
        <v>0</v>
      </c>
      <c r="EG180" s="399">
        <v>0</v>
      </c>
      <c r="EH180" s="399">
        <v>0</v>
      </c>
      <c r="EI180" s="399">
        <v>0</v>
      </c>
      <c r="EJ180" s="399">
        <v>0</v>
      </c>
      <c r="EK180" s="399">
        <v>0</v>
      </c>
      <c r="EL180" s="399">
        <v>0</v>
      </c>
      <c r="EM180" s="399">
        <v>0</v>
      </c>
      <c r="EN180" s="399">
        <v>0</v>
      </c>
      <c r="EO180" s="399">
        <v>0</v>
      </c>
      <c r="EP180" s="399">
        <v>0.54526640775172885</v>
      </c>
      <c r="EQ180" s="399">
        <v>0</v>
      </c>
      <c r="ER180" s="399">
        <v>0</v>
      </c>
      <c r="ES180" s="399">
        <v>0</v>
      </c>
      <c r="ET180" s="399">
        <v>0</v>
      </c>
      <c r="EU180" s="399">
        <v>0</v>
      </c>
      <c r="EV180" s="399">
        <v>202</v>
      </c>
      <c r="EW180" s="399">
        <v>0</v>
      </c>
      <c r="EX180" s="399">
        <v>0</v>
      </c>
      <c r="EY180" s="399">
        <v>0</v>
      </c>
      <c r="EZ180" s="399"/>
      <c r="FA180" s="399">
        <v>0</v>
      </c>
      <c r="FB180" s="399">
        <v>-17.698635468909799</v>
      </c>
      <c r="FC180" s="399"/>
      <c r="FD180" s="399">
        <v>-17.698635468909799</v>
      </c>
      <c r="FE180" s="399"/>
      <c r="FF180" s="399">
        <v>0</v>
      </c>
      <c r="FG180" s="399">
        <v>0</v>
      </c>
      <c r="FH180" s="399">
        <v>0</v>
      </c>
      <c r="FI180" s="399">
        <v>0</v>
      </c>
    </row>
    <row r="181" spans="1:165">
      <c r="A181" s="399">
        <v>177</v>
      </c>
      <c r="B181" s="399" t="s">
        <v>956</v>
      </c>
      <c r="C181" s="399" t="s">
        <v>2402</v>
      </c>
      <c r="D181" s="399" t="s">
        <v>2411</v>
      </c>
      <c r="E181" s="399" t="s">
        <v>894</v>
      </c>
      <c r="F181" s="399" t="s">
        <v>1239</v>
      </c>
      <c r="G181" s="399" t="s">
        <v>1239</v>
      </c>
      <c r="H181" s="399" t="s">
        <v>1239</v>
      </c>
      <c r="I181" s="399" t="s">
        <v>1239</v>
      </c>
      <c r="J181" s="399" t="s">
        <v>2400</v>
      </c>
      <c r="K181" s="788">
        <v>44652</v>
      </c>
      <c r="L181" s="399">
        <v>0</v>
      </c>
      <c r="M181" s="399">
        <v>0</v>
      </c>
      <c r="N181" s="399">
        <v>122.051</v>
      </c>
      <c r="O181" s="399">
        <v>122.051</v>
      </c>
      <c r="P181" s="399">
        <v>122.051</v>
      </c>
      <c r="Q181" s="399">
        <v>122.051</v>
      </c>
      <c r="R181" s="399"/>
      <c r="S181" s="399">
        <v>609.05999999999995</v>
      </c>
      <c r="T181" s="399">
        <v>286.42</v>
      </c>
      <c r="U181" s="399"/>
      <c r="V181" s="399">
        <v>109294.22947999999</v>
      </c>
      <c r="W181" s="399">
        <v>109294.22947999999</v>
      </c>
      <c r="X181" s="399">
        <v>83467.017370000001</v>
      </c>
      <c r="Y181" s="399">
        <v>0</v>
      </c>
      <c r="Z181" s="399">
        <v>7428.1946058463191</v>
      </c>
      <c r="AA181" s="399">
        <v>0</v>
      </c>
      <c r="AB181" s="399">
        <v>0</v>
      </c>
      <c r="AC181" s="399">
        <v>0</v>
      </c>
      <c r="AD181" s="399">
        <v>11918.542554177417</v>
      </c>
      <c r="AE181" s="399">
        <v>46039.101225521998</v>
      </c>
      <c r="AF181" s="399">
        <v>34958.255710356643</v>
      </c>
      <c r="AG181" s="399">
        <v>0</v>
      </c>
      <c r="AH181" s="399">
        <v>0</v>
      </c>
      <c r="AI181" s="399">
        <v>0</v>
      </c>
      <c r="AJ181" s="399">
        <v>0</v>
      </c>
      <c r="AK181" s="399">
        <v>0</v>
      </c>
      <c r="AL181" s="399">
        <v>1147.9981528202993</v>
      </c>
      <c r="AM181" s="399"/>
      <c r="AN181" s="399">
        <v>208.44328281594679</v>
      </c>
      <c r="AO181" s="399">
        <v>0</v>
      </c>
      <c r="AP181" s="399">
        <v>0</v>
      </c>
      <c r="AQ181" s="399">
        <v>0</v>
      </c>
      <c r="AR181" s="399">
        <v>0</v>
      </c>
      <c r="AS181" s="399">
        <v>0</v>
      </c>
      <c r="AT181" s="399">
        <v>0</v>
      </c>
      <c r="AU181" s="399">
        <v>0</v>
      </c>
      <c r="AV181" s="399">
        <v>0</v>
      </c>
      <c r="AW181" s="399">
        <v>0</v>
      </c>
      <c r="AX181" s="399">
        <v>0</v>
      </c>
      <c r="AY181" s="399">
        <v>0</v>
      </c>
      <c r="AZ181" s="399">
        <v>0</v>
      </c>
      <c r="BA181" s="399"/>
      <c r="BB181" s="399">
        <v>0</v>
      </c>
      <c r="BC181" s="399">
        <v>0</v>
      </c>
      <c r="BD181" s="399">
        <v>0</v>
      </c>
      <c r="BE181" s="399">
        <v>0</v>
      </c>
      <c r="BF181" s="399">
        <v>0</v>
      </c>
      <c r="BG181" s="399">
        <v>4091.4325392036221</v>
      </c>
      <c r="BH181" s="399">
        <v>0</v>
      </c>
      <c r="BI181" s="399">
        <v>421.41</v>
      </c>
      <c r="BJ181" s="399">
        <v>1952.67</v>
      </c>
      <c r="BK181" s="399">
        <v>3068.03</v>
      </c>
      <c r="BL181" s="399">
        <v>327</v>
      </c>
      <c r="BM181" s="399"/>
      <c r="BN181" s="399"/>
      <c r="BO181" s="399"/>
      <c r="BP181" s="399"/>
      <c r="BQ181" s="399"/>
      <c r="BR181" s="399">
        <v>10016.725569999995</v>
      </c>
      <c r="BS181" s="399"/>
      <c r="BT181" s="399"/>
      <c r="BU181" s="399"/>
      <c r="BV181" s="399">
        <v>39049.688249560262</v>
      </c>
      <c r="BW181" s="399"/>
      <c r="BX181" s="399"/>
      <c r="BY181" s="399"/>
      <c r="BZ181" s="399"/>
      <c r="CA181" s="399"/>
      <c r="CB181" s="399"/>
      <c r="CC181" s="399"/>
      <c r="CD181" s="399"/>
      <c r="CE181" s="399"/>
      <c r="CF181" s="399"/>
      <c r="CG181" s="399"/>
      <c r="CH181" s="399"/>
      <c r="CI181" s="399">
        <v>73449.69</v>
      </c>
      <c r="CJ181" s="399">
        <v>-22728.969020000004</v>
      </c>
      <c r="CK181" s="399"/>
      <c r="CL181" s="399"/>
      <c r="CM181" s="399"/>
      <c r="CN181" s="399"/>
      <c r="CO181" s="399">
        <v>-17915.866289999994</v>
      </c>
      <c r="CP181" s="399">
        <v>-7911.3458200000032</v>
      </c>
      <c r="CQ181" s="399">
        <v>30</v>
      </c>
      <c r="CR181" s="399">
        <v>-9027.8693812017591</v>
      </c>
      <c r="CS181" s="399">
        <v>0</v>
      </c>
      <c r="CT181" s="399">
        <v>0</v>
      </c>
      <c r="CU181" s="399">
        <v>0</v>
      </c>
      <c r="CV181" s="399">
        <v>0</v>
      </c>
      <c r="CW181" s="399">
        <v>0</v>
      </c>
      <c r="CX181" s="399">
        <v>0</v>
      </c>
      <c r="CY181" s="399">
        <v>0</v>
      </c>
      <c r="CZ181" s="399">
        <v>409.00752092706171</v>
      </c>
      <c r="DA181" s="399">
        <v>0</v>
      </c>
      <c r="DB181" s="399">
        <v>0</v>
      </c>
      <c r="DC181" s="399">
        <v>-7912.1720426622232</v>
      </c>
      <c r="DD181" s="399">
        <v>0</v>
      </c>
      <c r="DE181" s="399">
        <v>0</v>
      </c>
      <c r="DF181" s="399">
        <v>0</v>
      </c>
      <c r="DG181" s="399">
        <v>-926.02212248064325</v>
      </c>
      <c r="DH181" s="399">
        <v>0</v>
      </c>
      <c r="DI181" s="399">
        <v>-515.33955514825175</v>
      </c>
      <c r="DJ181" s="399"/>
      <c r="DK181" s="399">
        <v>0</v>
      </c>
      <c r="DL181" s="399">
        <v>0</v>
      </c>
      <c r="DM181" s="399">
        <v>0</v>
      </c>
      <c r="DN181" s="399">
        <v>0</v>
      </c>
      <c r="DO181" s="399">
        <v>-65.697981133705525</v>
      </c>
      <c r="DP181" s="399">
        <v>-17.64520070399243</v>
      </c>
      <c r="DQ181" s="399">
        <v>0</v>
      </c>
      <c r="DR181" s="399">
        <v>0</v>
      </c>
      <c r="DS181" s="399"/>
      <c r="DT181" s="399"/>
      <c r="DU181" s="399"/>
      <c r="DV181" s="399">
        <v>46039.101225521998</v>
      </c>
      <c r="DW181" s="399">
        <v>0</v>
      </c>
      <c r="DX181" s="399">
        <v>0</v>
      </c>
      <c r="DY181" s="399">
        <v>-17915.866289999991</v>
      </c>
      <c r="DZ181" s="399">
        <v>-7911.3458200000059</v>
      </c>
      <c r="EA181" s="399">
        <v>0</v>
      </c>
      <c r="EB181" s="399">
        <v>0</v>
      </c>
      <c r="EC181" s="399">
        <v>-16799.673468513869</v>
      </c>
      <c r="ED181" s="399">
        <v>0</v>
      </c>
      <c r="EE181" s="399">
        <v>0</v>
      </c>
      <c r="EF181" s="399">
        <v>0</v>
      </c>
      <c r="EG181" s="399">
        <v>0</v>
      </c>
      <c r="EH181" s="399">
        <v>0</v>
      </c>
      <c r="EI181" s="399">
        <v>0</v>
      </c>
      <c r="EJ181" s="399">
        <v>0</v>
      </c>
      <c r="EK181" s="399">
        <v>0</v>
      </c>
      <c r="EL181" s="399">
        <v>0</v>
      </c>
      <c r="EM181" s="399">
        <v>0</v>
      </c>
      <c r="EN181" s="399">
        <v>0</v>
      </c>
      <c r="EO181" s="399">
        <v>0</v>
      </c>
      <c r="EP181" s="399">
        <v>3502.6479122371716</v>
      </c>
      <c r="EQ181" s="399">
        <v>0</v>
      </c>
      <c r="ER181" s="399">
        <v>0</v>
      </c>
      <c r="ES181" s="399">
        <v>0</v>
      </c>
      <c r="ET181" s="399">
        <v>0</v>
      </c>
      <c r="EU181" s="399">
        <v>0</v>
      </c>
      <c r="EV181" s="399">
        <v>202</v>
      </c>
      <c r="EW181" s="399">
        <v>0</v>
      </c>
      <c r="EX181" s="399">
        <v>0</v>
      </c>
      <c r="EY181" s="399">
        <v>0</v>
      </c>
      <c r="EZ181" s="399"/>
      <c r="FA181" s="399">
        <v>0</v>
      </c>
      <c r="FB181" s="399">
        <v>-12.3890448282368</v>
      </c>
      <c r="FC181" s="399"/>
      <c r="FD181" s="399">
        <v>-17.698635468909799</v>
      </c>
      <c r="FE181" s="399"/>
      <c r="FF181" s="399">
        <v>0</v>
      </c>
      <c r="FG181" s="399">
        <v>0</v>
      </c>
      <c r="FH181" s="399">
        <v>0</v>
      </c>
      <c r="FI181" s="399">
        <v>0</v>
      </c>
    </row>
    <row r="182" spans="1:165">
      <c r="A182" s="399">
        <v>178</v>
      </c>
      <c r="B182" s="399" t="s">
        <v>2404</v>
      </c>
      <c r="C182" s="399" t="s">
        <v>2402</v>
      </c>
      <c r="D182" s="399" t="s">
        <v>2411</v>
      </c>
      <c r="E182" s="399" t="s">
        <v>894</v>
      </c>
      <c r="F182" s="399" t="s">
        <v>1239</v>
      </c>
      <c r="G182" s="399" t="s">
        <v>1239</v>
      </c>
      <c r="H182" s="399" t="s">
        <v>1239</v>
      </c>
      <c r="I182" s="399" t="s">
        <v>1239</v>
      </c>
      <c r="J182" s="399" t="s">
        <v>2400</v>
      </c>
      <c r="K182" s="788">
        <v>44652</v>
      </c>
      <c r="L182" s="399">
        <v>0</v>
      </c>
      <c r="M182" s="399">
        <v>0</v>
      </c>
      <c r="N182" s="399">
        <v>3.11</v>
      </c>
      <c r="O182" s="399">
        <v>3.11</v>
      </c>
      <c r="P182" s="399">
        <v>3.11</v>
      </c>
      <c r="Q182" s="399">
        <v>3.11</v>
      </c>
      <c r="R182" s="399"/>
      <c r="S182" s="399">
        <v>609.05999999999995</v>
      </c>
      <c r="T182" s="399">
        <v>286.42</v>
      </c>
      <c r="U182" s="399"/>
      <c r="V182" s="399">
        <v>2784.9427999999998</v>
      </c>
      <c r="W182" s="399">
        <v>2784.9427999999998</v>
      </c>
      <c r="X182" s="399">
        <v>2126.8356999999996</v>
      </c>
      <c r="Y182" s="399">
        <v>0</v>
      </c>
      <c r="Z182" s="399">
        <v>189.27895080074765</v>
      </c>
      <c r="AA182" s="399">
        <v>0</v>
      </c>
      <c r="AB182" s="399">
        <v>0</v>
      </c>
      <c r="AC182" s="399">
        <v>0</v>
      </c>
      <c r="AD182" s="399">
        <v>303.69818636055226</v>
      </c>
      <c r="AE182" s="399">
        <v>1173.1293050558652</v>
      </c>
      <c r="AF182" s="399">
        <v>890.77660370836099</v>
      </c>
      <c r="AG182" s="399">
        <v>0</v>
      </c>
      <c r="AH182" s="399">
        <v>0</v>
      </c>
      <c r="AI182" s="399">
        <v>0</v>
      </c>
      <c r="AJ182" s="399">
        <v>0</v>
      </c>
      <c r="AK182" s="399">
        <v>0</v>
      </c>
      <c r="AL182" s="399">
        <v>29.252314649377151</v>
      </c>
      <c r="AM182" s="399"/>
      <c r="AN182" s="399">
        <v>5.3113748314851534</v>
      </c>
      <c r="AO182" s="399">
        <v>0</v>
      </c>
      <c r="AP182" s="399">
        <v>0</v>
      </c>
      <c r="AQ182" s="399">
        <v>0</v>
      </c>
      <c r="AR182" s="399">
        <v>0</v>
      </c>
      <c r="AS182" s="399">
        <v>0</v>
      </c>
      <c r="AT182" s="399">
        <v>0</v>
      </c>
      <c r="AU182" s="399">
        <v>0</v>
      </c>
      <c r="AV182" s="399">
        <v>0</v>
      </c>
      <c r="AW182" s="399">
        <v>0</v>
      </c>
      <c r="AX182" s="399">
        <v>0</v>
      </c>
      <c r="AY182" s="399">
        <v>0</v>
      </c>
      <c r="AZ182" s="399">
        <v>0</v>
      </c>
      <c r="BA182" s="399"/>
      <c r="BB182" s="399">
        <v>0</v>
      </c>
      <c r="BC182" s="399">
        <v>0</v>
      </c>
      <c r="BD182" s="399">
        <v>0</v>
      </c>
      <c r="BE182" s="399">
        <v>0</v>
      </c>
      <c r="BF182" s="399">
        <v>0</v>
      </c>
      <c r="BG182" s="399">
        <v>104.25441165515451</v>
      </c>
      <c r="BH182" s="399">
        <v>0</v>
      </c>
      <c r="BI182" s="399">
        <v>6.8</v>
      </c>
      <c r="BJ182" s="399">
        <v>31.46</v>
      </c>
      <c r="BK182" s="399">
        <v>0</v>
      </c>
      <c r="BL182" s="399">
        <v>6</v>
      </c>
      <c r="BM182" s="399"/>
      <c r="BN182" s="399"/>
      <c r="BO182" s="399"/>
      <c r="BP182" s="399"/>
      <c r="BQ182" s="399"/>
      <c r="BR182" s="399">
        <v>255.2376999999999</v>
      </c>
      <c r="BS182" s="399"/>
      <c r="BT182" s="399"/>
      <c r="BU182" s="399"/>
      <c r="BV182" s="399">
        <v>995.03101536351551</v>
      </c>
      <c r="BW182" s="399"/>
      <c r="BX182" s="399"/>
      <c r="BY182" s="399"/>
      <c r="BZ182" s="399"/>
      <c r="CA182" s="399"/>
      <c r="CB182" s="399"/>
      <c r="CC182" s="399"/>
      <c r="CD182" s="399"/>
      <c r="CE182" s="399"/>
      <c r="CF182" s="399"/>
      <c r="CG182" s="399"/>
      <c r="CH182" s="399"/>
      <c r="CI182" s="399">
        <v>1871.598</v>
      </c>
      <c r="CJ182" s="399">
        <v>-579.17420000000038</v>
      </c>
      <c r="CK182" s="399"/>
      <c r="CL182" s="399"/>
      <c r="CM182" s="399"/>
      <c r="CN182" s="399"/>
      <c r="CO182" s="399">
        <v>-456.51689999999985</v>
      </c>
      <c r="CP182" s="399">
        <v>-201.59020000000007</v>
      </c>
      <c r="CQ182" s="399">
        <v>30</v>
      </c>
      <c r="CR182" s="399">
        <v>-230.04050581754746</v>
      </c>
      <c r="CS182" s="399">
        <v>0</v>
      </c>
      <c r="CT182" s="399">
        <v>0</v>
      </c>
      <c r="CU182" s="399">
        <v>0</v>
      </c>
      <c r="CV182" s="399">
        <v>0</v>
      </c>
      <c r="CW182" s="399">
        <v>0</v>
      </c>
      <c r="CX182" s="399">
        <v>0</v>
      </c>
      <c r="CY182" s="399">
        <v>0</v>
      </c>
      <c r="CZ182" s="399">
        <v>10.421982532573793</v>
      </c>
      <c r="DA182" s="399">
        <v>0</v>
      </c>
      <c r="DB182" s="399">
        <v>0</v>
      </c>
      <c r="DC182" s="399">
        <v>-201.61125310468185</v>
      </c>
      <c r="DD182" s="399">
        <v>0</v>
      </c>
      <c r="DE182" s="399">
        <v>0</v>
      </c>
      <c r="DF182" s="399">
        <v>0</v>
      </c>
      <c r="DG182" s="399">
        <v>-23.596109830438095</v>
      </c>
      <c r="DH182" s="399">
        <v>0</v>
      </c>
      <c r="DI182" s="399">
        <v>-13.131445186938748</v>
      </c>
      <c r="DJ182" s="399"/>
      <c r="DK182" s="399">
        <v>0</v>
      </c>
      <c r="DL182" s="399">
        <v>0</v>
      </c>
      <c r="DM182" s="399">
        <v>0</v>
      </c>
      <c r="DN182" s="399">
        <v>0</v>
      </c>
      <c r="DO182" s="399">
        <v>-1.674060198817088</v>
      </c>
      <c r="DP182" s="399">
        <v>-0.44962002924528566</v>
      </c>
      <c r="DQ182" s="399">
        <v>0</v>
      </c>
      <c r="DR182" s="399">
        <v>0</v>
      </c>
      <c r="DS182" s="399"/>
      <c r="DT182" s="399"/>
      <c r="DU182" s="399"/>
      <c r="DV182" s="399">
        <v>1173.1293050558652</v>
      </c>
      <c r="DW182" s="399">
        <v>0</v>
      </c>
      <c r="DX182" s="399">
        <v>0</v>
      </c>
      <c r="DY182" s="399">
        <v>-456.51689999999985</v>
      </c>
      <c r="DZ182" s="399">
        <v>-201.5902000000001</v>
      </c>
      <c r="EA182" s="399">
        <v>0</v>
      </c>
      <c r="EB182" s="399">
        <v>0</v>
      </c>
      <c r="EC182" s="399">
        <v>-428.0750218111948</v>
      </c>
      <c r="ED182" s="399">
        <v>0</v>
      </c>
      <c r="EE182" s="399">
        <v>0</v>
      </c>
      <c r="EF182" s="399">
        <v>0</v>
      </c>
      <c r="EG182" s="399">
        <v>0</v>
      </c>
      <c r="EH182" s="399">
        <v>0</v>
      </c>
      <c r="EI182" s="399">
        <v>0</v>
      </c>
      <c r="EJ182" s="399">
        <v>0</v>
      </c>
      <c r="EK182" s="399">
        <v>0</v>
      </c>
      <c r="EL182" s="399">
        <v>0</v>
      </c>
      <c r="EM182" s="399">
        <v>0</v>
      </c>
      <c r="EN182" s="399">
        <v>0</v>
      </c>
      <c r="EO182" s="399">
        <v>0</v>
      </c>
      <c r="EP182" s="399">
        <v>89.251501479361934</v>
      </c>
      <c r="EQ182" s="399">
        <v>0</v>
      </c>
      <c r="ER182" s="399">
        <v>0</v>
      </c>
      <c r="ES182" s="399">
        <v>0</v>
      </c>
      <c r="ET182" s="399">
        <v>0</v>
      </c>
      <c r="EU182" s="399">
        <v>0</v>
      </c>
      <c r="EV182" s="399">
        <v>202</v>
      </c>
      <c r="EW182" s="399">
        <v>0</v>
      </c>
      <c r="EX182" s="399">
        <v>0</v>
      </c>
      <c r="EY182" s="399">
        <v>0</v>
      </c>
      <c r="EZ182" s="399"/>
      <c r="FA182" s="399">
        <v>0</v>
      </c>
      <c r="FB182" s="399">
        <v>-12.3890448282368</v>
      </c>
      <c r="FC182" s="399"/>
      <c r="FD182" s="399">
        <v>-17.698635468909799</v>
      </c>
      <c r="FE182" s="399"/>
      <c r="FF182" s="399">
        <v>0</v>
      </c>
      <c r="FG182" s="399">
        <v>0</v>
      </c>
      <c r="FH182" s="399">
        <v>0</v>
      </c>
      <c r="FI182" s="399">
        <v>0</v>
      </c>
    </row>
    <row r="183" spans="1:165">
      <c r="A183" s="399">
        <v>173</v>
      </c>
      <c r="B183" s="399" t="s">
        <v>956</v>
      </c>
      <c r="C183" s="399" t="s">
        <v>2402</v>
      </c>
      <c r="D183" s="399" t="s">
        <v>1826</v>
      </c>
      <c r="E183" s="399" t="s">
        <v>918</v>
      </c>
      <c r="F183" s="399" t="s">
        <v>1239</v>
      </c>
      <c r="G183" s="399" t="s">
        <v>1239</v>
      </c>
      <c r="H183" s="399" t="s">
        <v>1239</v>
      </c>
      <c r="I183" s="399" t="s">
        <v>1239</v>
      </c>
      <c r="J183" s="399" t="s">
        <v>2400</v>
      </c>
      <c r="K183" s="788">
        <v>44652</v>
      </c>
      <c r="L183" s="399">
        <v>0</v>
      </c>
      <c r="M183" s="399">
        <v>0</v>
      </c>
      <c r="N183" s="399">
        <v>16.95</v>
      </c>
      <c r="O183" s="399">
        <v>16.95</v>
      </c>
      <c r="P183" s="399">
        <v>16.95</v>
      </c>
      <c r="Q183" s="399">
        <v>16.95</v>
      </c>
      <c r="R183" s="399"/>
      <c r="S183" s="399">
        <v>609.05999999999995</v>
      </c>
      <c r="T183" s="399">
        <v>286.42</v>
      </c>
      <c r="U183" s="399"/>
      <c r="V183" s="399">
        <v>15178.385999999999</v>
      </c>
      <c r="W183" s="399">
        <v>15178.385999999999</v>
      </c>
      <c r="X183" s="399">
        <v>11591.5965</v>
      </c>
      <c r="Y183" s="399">
        <v>0</v>
      </c>
      <c r="Z183" s="399">
        <v>1031.6007125635604</v>
      </c>
      <c r="AA183" s="399">
        <v>0</v>
      </c>
      <c r="AB183" s="399">
        <v>0</v>
      </c>
      <c r="AC183" s="399">
        <v>0</v>
      </c>
      <c r="AD183" s="399">
        <v>1655.2039417399874</v>
      </c>
      <c r="AE183" s="399">
        <v>6393.7433185520631</v>
      </c>
      <c r="AF183" s="399">
        <v>4854.8757018831893</v>
      </c>
      <c r="AG183" s="399">
        <v>0</v>
      </c>
      <c r="AH183" s="399">
        <v>0</v>
      </c>
      <c r="AI183" s="399">
        <v>0</v>
      </c>
      <c r="AJ183" s="399">
        <v>0</v>
      </c>
      <c r="AK183" s="399">
        <v>0</v>
      </c>
      <c r="AL183" s="399">
        <v>159.42981778358288</v>
      </c>
      <c r="AM183" s="399"/>
      <c r="AN183" s="399">
        <v>28.947846750377281</v>
      </c>
      <c r="AO183" s="399">
        <v>0</v>
      </c>
      <c r="AP183" s="399">
        <v>0</v>
      </c>
      <c r="AQ183" s="399">
        <v>0</v>
      </c>
      <c r="AR183" s="399">
        <v>0</v>
      </c>
      <c r="AS183" s="399">
        <v>0</v>
      </c>
      <c r="AT183" s="399">
        <v>0</v>
      </c>
      <c r="AU183" s="399">
        <v>0</v>
      </c>
      <c r="AV183" s="399">
        <v>0</v>
      </c>
      <c r="AW183" s="399">
        <v>0</v>
      </c>
      <c r="AX183" s="399">
        <v>0</v>
      </c>
      <c r="AY183" s="399">
        <v>0</v>
      </c>
      <c r="AZ183" s="399">
        <v>0</v>
      </c>
      <c r="BA183" s="399"/>
      <c r="BB183" s="399">
        <v>0</v>
      </c>
      <c r="BC183" s="399">
        <v>0</v>
      </c>
      <c r="BD183" s="399">
        <v>0</v>
      </c>
      <c r="BE183" s="399">
        <v>0</v>
      </c>
      <c r="BF183" s="399">
        <v>0</v>
      </c>
      <c r="BG183" s="399">
        <v>568.20330468002214</v>
      </c>
      <c r="BH183" s="399">
        <v>0</v>
      </c>
      <c r="BI183" s="399">
        <v>54.56</v>
      </c>
      <c r="BJ183" s="399">
        <v>252.81</v>
      </c>
      <c r="BK183" s="399">
        <v>2979.76</v>
      </c>
      <c r="BL183" s="399">
        <v>43</v>
      </c>
      <c r="BM183" s="399"/>
      <c r="BN183" s="399"/>
      <c r="BO183" s="399"/>
      <c r="BP183" s="399"/>
      <c r="BQ183" s="399"/>
      <c r="BR183" s="399"/>
      <c r="BS183" s="399"/>
      <c r="BT183" s="399"/>
      <c r="BU183" s="399"/>
      <c r="BV183" s="399">
        <v>5423.0790065632118</v>
      </c>
      <c r="BW183" s="399"/>
      <c r="BX183" s="399"/>
      <c r="BY183" s="399"/>
      <c r="BZ183" s="399"/>
      <c r="CA183" s="399"/>
      <c r="CB183" s="399"/>
      <c r="CC183" s="399"/>
      <c r="CD183" s="399"/>
      <c r="CE183" s="399"/>
      <c r="CF183" s="399"/>
      <c r="CG183" s="399"/>
      <c r="CH183" s="399"/>
      <c r="CI183" s="399">
        <v>11591.5965</v>
      </c>
      <c r="CJ183" s="399">
        <v>-3586.8194999999996</v>
      </c>
      <c r="CK183" s="399"/>
      <c r="CL183" s="399"/>
      <c r="CM183" s="399"/>
      <c r="CN183" s="399"/>
      <c r="CO183" s="399">
        <v>-2488.0904999999993</v>
      </c>
      <c r="CP183" s="399">
        <v>-1098.6990000000003</v>
      </c>
      <c r="CQ183" s="399">
        <v>30</v>
      </c>
      <c r="CR183" s="399">
        <v>-1253.757740709786</v>
      </c>
      <c r="CS183" s="399">
        <v>0</v>
      </c>
      <c r="CT183" s="399">
        <v>0</v>
      </c>
      <c r="CU183" s="399">
        <v>0</v>
      </c>
      <c r="CV183" s="399">
        <v>0</v>
      </c>
      <c r="CW183" s="399">
        <v>0</v>
      </c>
      <c r="CX183" s="399">
        <v>0</v>
      </c>
      <c r="CY183" s="399">
        <v>0</v>
      </c>
      <c r="CZ183" s="399">
        <v>56.801480362419852</v>
      </c>
      <c r="DA183" s="399">
        <v>0</v>
      </c>
      <c r="DB183" s="399">
        <v>0</v>
      </c>
      <c r="DC183" s="399">
        <v>-1098.8137428052596</v>
      </c>
      <c r="DD183" s="399">
        <v>0</v>
      </c>
      <c r="DE183" s="399">
        <v>0</v>
      </c>
      <c r="DF183" s="399">
        <v>0</v>
      </c>
      <c r="DG183" s="399">
        <v>-128.60259216267707</v>
      </c>
      <c r="DH183" s="399">
        <v>0</v>
      </c>
      <c r="DI183" s="399">
        <v>-71.568487433637301</v>
      </c>
      <c r="DJ183" s="399"/>
      <c r="DK183" s="399">
        <v>0</v>
      </c>
      <c r="DL183" s="399">
        <v>0</v>
      </c>
      <c r="DM183" s="399">
        <v>0</v>
      </c>
      <c r="DN183" s="399">
        <v>0</v>
      </c>
      <c r="DO183" s="399">
        <v>-9.1238972250642121</v>
      </c>
      <c r="DP183" s="399">
        <v>-2.4505014455651413</v>
      </c>
      <c r="DQ183" s="399">
        <v>0</v>
      </c>
      <c r="DR183" s="399">
        <v>0</v>
      </c>
      <c r="DS183" s="399"/>
      <c r="DT183" s="399"/>
      <c r="DU183" s="399"/>
      <c r="DV183" s="399">
        <v>6393.7433185520631</v>
      </c>
      <c r="DW183" s="399">
        <v>0</v>
      </c>
      <c r="DX183" s="399">
        <v>0</v>
      </c>
      <c r="DY183" s="399">
        <v>-2488.0904999999993</v>
      </c>
      <c r="DZ183" s="399">
        <v>-1098.6990000000005</v>
      </c>
      <c r="EA183" s="399">
        <v>0</v>
      </c>
      <c r="EB183" s="399">
        <v>0</v>
      </c>
      <c r="EC183" s="399">
        <v>-2333.0776912217852</v>
      </c>
      <c r="ED183" s="399">
        <v>0</v>
      </c>
      <c r="EE183" s="399">
        <v>0</v>
      </c>
      <c r="EF183" s="399">
        <v>0</v>
      </c>
      <c r="EG183" s="399">
        <v>0</v>
      </c>
      <c r="EH183" s="399">
        <v>0</v>
      </c>
      <c r="EI183" s="399">
        <v>0</v>
      </c>
      <c r="EJ183" s="399">
        <v>0</v>
      </c>
      <c r="EK183" s="399">
        <v>0</v>
      </c>
      <c r="EL183" s="399">
        <v>0</v>
      </c>
      <c r="EM183" s="399">
        <v>0</v>
      </c>
      <c r="EN183" s="399">
        <v>0</v>
      </c>
      <c r="EO183" s="399">
        <v>0</v>
      </c>
      <c r="EP183" s="399">
        <v>486.435032178516</v>
      </c>
      <c r="EQ183" s="399">
        <v>0</v>
      </c>
      <c r="ER183" s="399">
        <v>0</v>
      </c>
      <c r="ES183" s="399">
        <v>0</v>
      </c>
      <c r="ET183" s="399">
        <v>0</v>
      </c>
      <c r="EU183" s="399">
        <v>0</v>
      </c>
      <c r="EV183" s="399">
        <v>202</v>
      </c>
      <c r="EW183" s="399">
        <v>0</v>
      </c>
      <c r="EX183" s="399">
        <v>0</v>
      </c>
      <c r="EY183" s="399">
        <v>0</v>
      </c>
      <c r="EZ183" s="399"/>
      <c r="FA183" s="399">
        <v>0</v>
      </c>
      <c r="FB183" s="399">
        <v>-17.698635468909799</v>
      </c>
      <c r="FC183" s="399"/>
      <c r="FD183" s="399">
        <v>-17.698635468909799</v>
      </c>
      <c r="FE183" s="399"/>
      <c r="FF183" s="399">
        <v>0</v>
      </c>
      <c r="FG183" s="399">
        <v>0</v>
      </c>
      <c r="FH183" s="399">
        <v>0</v>
      </c>
      <c r="FI183" s="399">
        <v>0</v>
      </c>
    </row>
    <row r="184" spans="1:165">
      <c r="A184" s="399">
        <v>179</v>
      </c>
      <c r="B184" s="399" t="s">
        <v>956</v>
      </c>
      <c r="C184" s="399" t="s">
        <v>2402</v>
      </c>
      <c r="D184" s="399" t="s">
        <v>1826</v>
      </c>
      <c r="E184" s="399" t="s">
        <v>2412</v>
      </c>
      <c r="F184" s="399" t="s">
        <v>1239</v>
      </c>
      <c r="G184" s="399" t="s">
        <v>1239</v>
      </c>
      <c r="H184" s="399" t="s">
        <v>1239</v>
      </c>
      <c r="I184" s="399" t="s">
        <v>1239</v>
      </c>
      <c r="J184" s="399" t="s">
        <v>2400</v>
      </c>
      <c r="K184" s="788">
        <v>44652</v>
      </c>
      <c r="L184" s="399">
        <v>0</v>
      </c>
      <c r="M184" s="399">
        <v>0</v>
      </c>
      <c r="N184" s="399">
        <v>6.5309999999999997</v>
      </c>
      <c r="O184" s="399">
        <v>6.5309999999999997</v>
      </c>
      <c r="P184" s="399">
        <v>6.5309999999999997</v>
      </c>
      <c r="Q184" s="399">
        <v>6.5309999999999997</v>
      </c>
      <c r="R184" s="399"/>
      <c r="S184" s="399">
        <v>609.05999999999995</v>
      </c>
      <c r="T184" s="399">
        <v>286.42</v>
      </c>
      <c r="U184" s="399"/>
      <c r="V184" s="399">
        <v>5848.3798799999995</v>
      </c>
      <c r="W184" s="399">
        <v>5848.3798799999995</v>
      </c>
      <c r="X184" s="399">
        <v>4466.3549699999994</v>
      </c>
      <c r="Y184" s="399">
        <v>0</v>
      </c>
      <c r="Z184" s="399">
        <v>397.48579668157004</v>
      </c>
      <c r="AA184" s="399">
        <v>0</v>
      </c>
      <c r="AB184" s="399">
        <v>0</v>
      </c>
      <c r="AC184" s="399">
        <v>0</v>
      </c>
      <c r="AD184" s="399">
        <v>637.76619135715976</v>
      </c>
      <c r="AE184" s="399">
        <v>2463.5715406173172</v>
      </c>
      <c r="AF184" s="399">
        <v>1870.6308677875579</v>
      </c>
      <c r="AG184" s="399">
        <v>0</v>
      </c>
      <c r="AH184" s="399">
        <v>0</v>
      </c>
      <c r="AI184" s="399">
        <v>0</v>
      </c>
      <c r="AJ184" s="399">
        <v>0</v>
      </c>
      <c r="AK184" s="399">
        <v>0</v>
      </c>
      <c r="AL184" s="399">
        <v>61.42986076369202</v>
      </c>
      <c r="AM184" s="399"/>
      <c r="AN184" s="399">
        <v>11.153887146118821</v>
      </c>
      <c r="AO184" s="399">
        <v>0</v>
      </c>
      <c r="AP184" s="399">
        <v>0</v>
      </c>
      <c r="AQ184" s="399">
        <v>0</v>
      </c>
      <c r="AR184" s="399">
        <v>0</v>
      </c>
      <c r="AS184" s="399">
        <v>0</v>
      </c>
      <c r="AT184" s="399">
        <v>0</v>
      </c>
      <c r="AU184" s="399">
        <v>0</v>
      </c>
      <c r="AV184" s="399">
        <v>0</v>
      </c>
      <c r="AW184" s="399">
        <v>0</v>
      </c>
      <c r="AX184" s="399">
        <v>0</v>
      </c>
      <c r="AY184" s="399">
        <v>0</v>
      </c>
      <c r="AZ184" s="399">
        <v>0</v>
      </c>
      <c r="BA184" s="399"/>
      <c r="BB184" s="399">
        <v>0</v>
      </c>
      <c r="BC184" s="399">
        <v>0</v>
      </c>
      <c r="BD184" s="399">
        <v>0</v>
      </c>
      <c r="BE184" s="399">
        <v>0</v>
      </c>
      <c r="BF184" s="399">
        <v>0</v>
      </c>
      <c r="BG184" s="399">
        <v>218.93426447582448</v>
      </c>
      <c r="BH184" s="399">
        <v>0</v>
      </c>
      <c r="BI184" s="399">
        <v>29.49</v>
      </c>
      <c r="BJ184" s="399">
        <v>136.33000000000001</v>
      </c>
      <c r="BK184" s="399">
        <v>439.54</v>
      </c>
      <c r="BL184" s="399">
        <v>10</v>
      </c>
      <c r="BM184" s="399"/>
      <c r="BN184" s="399"/>
      <c r="BO184" s="399"/>
      <c r="BP184" s="399"/>
      <c r="BQ184" s="399"/>
      <c r="BR184" s="399"/>
      <c r="BS184" s="399"/>
      <c r="BT184" s="399"/>
      <c r="BU184" s="399"/>
      <c r="BV184" s="399">
        <v>2089.5651322633826</v>
      </c>
      <c r="BW184" s="399"/>
      <c r="BX184" s="399"/>
      <c r="BY184" s="399"/>
      <c r="BZ184" s="399"/>
      <c r="CA184" s="399"/>
      <c r="CB184" s="399"/>
      <c r="CC184" s="399"/>
      <c r="CD184" s="399"/>
      <c r="CE184" s="399"/>
      <c r="CF184" s="399"/>
      <c r="CG184" s="399"/>
      <c r="CH184" s="399"/>
      <c r="CI184" s="399">
        <v>4465.6710999999996</v>
      </c>
      <c r="CJ184" s="399">
        <v>-1382.7387800000006</v>
      </c>
      <c r="CK184" s="399"/>
      <c r="CL184" s="399"/>
      <c r="CM184" s="399"/>
      <c r="CN184" s="399"/>
      <c r="CO184" s="399">
        <v>-958.68548999999973</v>
      </c>
      <c r="CP184" s="399">
        <v>-423.33942000000013</v>
      </c>
      <c r="CQ184" s="399">
        <v>30</v>
      </c>
      <c r="CR184" s="399">
        <v>-483.08506221684911</v>
      </c>
      <c r="CS184" s="399">
        <v>0</v>
      </c>
      <c r="CT184" s="399">
        <v>0</v>
      </c>
      <c r="CU184" s="399">
        <v>0</v>
      </c>
      <c r="CV184" s="399">
        <v>0</v>
      </c>
      <c r="CW184" s="399">
        <v>0</v>
      </c>
      <c r="CX184" s="399">
        <v>0</v>
      </c>
      <c r="CY184" s="399">
        <v>0</v>
      </c>
      <c r="CZ184" s="399">
        <v>21.886163318404897</v>
      </c>
      <c r="DA184" s="399">
        <v>0</v>
      </c>
      <c r="DB184" s="399">
        <v>0</v>
      </c>
      <c r="DC184" s="399">
        <v>-423.38363151983185</v>
      </c>
      <c r="DD184" s="399">
        <v>0</v>
      </c>
      <c r="DE184" s="399">
        <v>0</v>
      </c>
      <c r="DF184" s="399">
        <v>0</v>
      </c>
      <c r="DG184" s="399">
        <v>-49.551830643919999</v>
      </c>
      <c r="DH184" s="399">
        <v>0</v>
      </c>
      <c r="DI184" s="399">
        <v>-27.576034892571386</v>
      </c>
      <c r="DJ184" s="399"/>
      <c r="DK184" s="399">
        <v>0</v>
      </c>
      <c r="DL184" s="399">
        <v>0</v>
      </c>
      <c r="DM184" s="399">
        <v>0</v>
      </c>
      <c r="DN184" s="399">
        <v>0</v>
      </c>
      <c r="DO184" s="399">
        <v>-3.5155264175158862</v>
      </c>
      <c r="DP184" s="399">
        <v>-0.94420206141509944</v>
      </c>
      <c r="DQ184" s="399">
        <v>0</v>
      </c>
      <c r="DR184" s="399">
        <v>0</v>
      </c>
      <c r="DS184" s="399"/>
      <c r="DT184" s="399"/>
      <c r="DU184" s="399"/>
      <c r="DV184" s="399">
        <v>2463.5715406173172</v>
      </c>
      <c r="DW184" s="399">
        <v>0</v>
      </c>
      <c r="DX184" s="399">
        <v>0</v>
      </c>
      <c r="DY184" s="399">
        <v>-958.68548999999985</v>
      </c>
      <c r="DZ184" s="399">
        <v>-423.33942000000025</v>
      </c>
      <c r="EA184" s="399">
        <v>0</v>
      </c>
      <c r="EB184" s="399">
        <v>0</v>
      </c>
      <c r="EC184" s="399">
        <v>-898.95754580350922</v>
      </c>
      <c r="ED184" s="399">
        <v>0</v>
      </c>
      <c r="EE184" s="399">
        <v>0</v>
      </c>
      <c r="EF184" s="399">
        <v>0</v>
      </c>
      <c r="EG184" s="399">
        <v>0</v>
      </c>
      <c r="EH184" s="399">
        <v>0</v>
      </c>
      <c r="EI184" s="399">
        <v>0</v>
      </c>
      <c r="EJ184" s="399">
        <v>0</v>
      </c>
      <c r="EK184" s="399">
        <v>0</v>
      </c>
      <c r="EL184" s="399">
        <v>0</v>
      </c>
      <c r="EM184" s="399">
        <v>0</v>
      </c>
      <c r="EN184" s="399">
        <v>0</v>
      </c>
      <c r="EO184" s="399">
        <v>0</v>
      </c>
      <c r="EP184" s="399">
        <v>187.42815310666006</v>
      </c>
      <c r="EQ184" s="399">
        <v>0</v>
      </c>
      <c r="ER184" s="399">
        <v>0</v>
      </c>
      <c r="ES184" s="399">
        <v>0</v>
      </c>
      <c r="ET184" s="399">
        <v>0</v>
      </c>
      <c r="EU184" s="399">
        <v>0</v>
      </c>
      <c r="EV184" s="399">
        <v>202</v>
      </c>
      <c r="EW184" s="399">
        <v>0</v>
      </c>
      <c r="EX184" s="399">
        <v>0</v>
      </c>
      <c r="EY184" s="399">
        <v>0</v>
      </c>
      <c r="EZ184" s="399"/>
      <c r="FA184" s="399">
        <v>0</v>
      </c>
      <c r="FB184" s="399">
        <v>-17.698635468909799</v>
      </c>
      <c r="FC184" s="399"/>
      <c r="FD184" s="399">
        <v>-17.698635468909799</v>
      </c>
      <c r="FE184" s="399"/>
      <c r="FF184" s="399">
        <v>0</v>
      </c>
      <c r="FG184" s="399">
        <v>0</v>
      </c>
      <c r="FH184" s="399">
        <v>0</v>
      </c>
      <c r="FI184" s="399">
        <v>0</v>
      </c>
    </row>
    <row r="185" spans="1:165">
      <c r="A185" s="399">
        <v>181</v>
      </c>
      <c r="B185" s="399" t="s">
        <v>956</v>
      </c>
      <c r="C185" s="399" t="s">
        <v>2402</v>
      </c>
      <c r="D185" s="399" t="s">
        <v>1826</v>
      </c>
      <c r="E185" s="399" t="s">
        <v>921</v>
      </c>
      <c r="F185" s="399" t="s">
        <v>2401</v>
      </c>
      <c r="G185" s="399" t="s">
        <v>1239</v>
      </c>
      <c r="H185" s="399" t="s">
        <v>1239</v>
      </c>
      <c r="I185" s="399" t="s">
        <v>1239</v>
      </c>
      <c r="J185" s="399" t="s">
        <v>2400</v>
      </c>
      <c r="K185" s="788">
        <v>44652</v>
      </c>
      <c r="L185" s="399">
        <v>0</v>
      </c>
      <c r="M185" s="399">
        <v>0</v>
      </c>
      <c r="N185" s="399">
        <v>41.77</v>
      </c>
      <c r="O185" s="399">
        <v>39.263800000000003</v>
      </c>
      <c r="P185" s="399">
        <v>41.77</v>
      </c>
      <c r="Q185" s="399">
        <v>39.263800000000003</v>
      </c>
      <c r="R185" s="399"/>
      <c r="S185" s="399">
        <v>609.05999999999995</v>
      </c>
      <c r="T185" s="399">
        <v>286.42</v>
      </c>
      <c r="U185" s="399"/>
      <c r="V185" s="399">
        <v>37404.1996</v>
      </c>
      <c r="W185" s="399">
        <v>37404.1996</v>
      </c>
      <c r="X185" s="399">
        <v>28565.249899999999</v>
      </c>
      <c r="Y185" s="399">
        <v>0</v>
      </c>
      <c r="Z185" s="399">
        <v>2542.1806350312636</v>
      </c>
      <c r="AA185" s="399">
        <v>0</v>
      </c>
      <c r="AB185" s="399">
        <v>0</v>
      </c>
      <c r="AC185" s="399">
        <v>0</v>
      </c>
      <c r="AD185" s="399">
        <v>4078.9303036270962</v>
      </c>
      <c r="AE185" s="399">
        <v>15756.145039287299</v>
      </c>
      <c r="AF185" s="399">
        <v>11963.903130835448</v>
      </c>
      <c r="AG185" s="399">
        <v>0</v>
      </c>
      <c r="AH185" s="399">
        <v>0</v>
      </c>
      <c r="AI185" s="399">
        <v>0</v>
      </c>
      <c r="AJ185" s="399">
        <v>0</v>
      </c>
      <c r="AK185" s="399">
        <v>0</v>
      </c>
      <c r="AL185" s="399">
        <v>392.88398164131308</v>
      </c>
      <c r="AM185" s="399"/>
      <c r="AN185" s="399">
        <v>71.336375148274882</v>
      </c>
      <c r="AO185" s="399">
        <v>0</v>
      </c>
      <c r="AP185" s="399">
        <v>0</v>
      </c>
      <c r="AQ185" s="399">
        <v>0</v>
      </c>
      <c r="AR185" s="399">
        <v>0</v>
      </c>
      <c r="AS185" s="399">
        <v>0</v>
      </c>
      <c r="AT185" s="399">
        <v>0</v>
      </c>
      <c r="AU185" s="399">
        <v>0</v>
      </c>
      <c r="AV185" s="399">
        <v>0</v>
      </c>
      <c r="AW185" s="399">
        <v>0</v>
      </c>
      <c r="AX185" s="399">
        <v>0</v>
      </c>
      <c r="AY185" s="399">
        <v>0</v>
      </c>
      <c r="AZ185" s="399">
        <v>0</v>
      </c>
      <c r="BA185" s="399"/>
      <c r="BB185" s="399">
        <v>0</v>
      </c>
      <c r="BC185" s="399">
        <v>0</v>
      </c>
      <c r="BD185" s="399">
        <v>0</v>
      </c>
      <c r="BE185" s="399">
        <v>0</v>
      </c>
      <c r="BF185" s="399">
        <v>0</v>
      </c>
      <c r="BG185" s="399">
        <v>1400.2272587896477</v>
      </c>
      <c r="BH185" s="399">
        <v>0</v>
      </c>
      <c r="BI185" s="399">
        <v>109.85</v>
      </c>
      <c r="BJ185" s="399">
        <v>507.18</v>
      </c>
      <c r="BK185" s="399">
        <v>7698.73</v>
      </c>
      <c r="BL185" s="399">
        <v>6</v>
      </c>
      <c r="BM185" s="399"/>
      <c r="BN185" s="399"/>
      <c r="BO185" s="399"/>
      <c r="BP185" s="399"/>
      <c r="BQ185" s="399">
        <v>1713.9149939999998</v>
      </c>
      <c r="BR185" s="399"/>
      <c r="BS185" s="399"/>
      <c r="BT185" s="399"/>
      <c r="BU185" s="399"/>
      <c r="BV185" s="399">
        <v>13364.130389625096</v>
      </c>
      <c r="BW185" s="399"/>
      <c r="BX185" s="399"/>
      <c r="BY185" s="399"/>
      <c r="BZ185" s="399"/>
      <c r="CA185" s="399"/>
      <c r="CB185" s="399"/>
      <c r="CC185" s="399"/>
      <c r="CD185" s="399"/>
      <c r="CE185" s="399"/>
      <c r="CF185" s="399"/>
      <c r="CG185" s="399"/>
      <c r="CH185" s="399"/>
      <c r="CI185" s="399">
        <v>26848.736199999999</v>
      </c>
      <c r="CJ185" s="399">
        <v>-8311.2414239999998</v>
      </c>
      <c r="CK185" s="399"/>
      <c r="CL185" s="399"/>
      <c r="CM185" s="399"/>
      <c r="CN185" s="399"/>
      <c r="CO185" s="399">
        <v>-6131.4182999999994</v>
      </c>
      <c r="CP185" s="399">
        <v>-2707.5314000000012</v>
      </c>
      <c r="CQ185" s="399">
        <v>30</v>
      </c>
      <c r="CR185" s="399">
        <v>-3089.6437067520783</v>
      </c>
      <c r="CS185" s="399">
        <v>0</v>
      </c>
      <c r="CT185" s="399">
        <v>0</v>
      </c>
      <c r="CU185" s="399">
        <v>0</v>
      </c>
      <c r="CV185" s="399">
        <v>0</v>
      </c>
      <c r="CW185" s="399">
        <v>0</v>
      </c>
      <c r="CX185" s="399">
        <v>0</v>
      </c>
      <c r="CY185" s="399">
        <v>0</v>
      </c>
      <c r="CZ185" s="399">
        <v>139.97627343588601</v>
      </c>
      <c r="DA185" s="399">
        <v>0</v>
      </c>
      <c r="DB185" s="399">
        <v>0</v>
      </c>
      <c r="DC185" s="399">
        <v>-2707.8141614734923</v>
      </c>
      <c r="DD185" s="399">
        <v>0</v>
      </c>
      <c r="DE185" s="399">
        <v>0</v>
      </c>
      <c r="DF185" s="399">
        <v>0</v>
      </c>
      <c r="DG185" s="399">
        <v>-316.91624039144676</v>
      </c>
      <c r="DH185" s="399">
        <v>0</v>
      </c>
      <c r="DI185" s="399">
        <v>-176.36670915062086</v>
      </c>
      <c r="DJ185" s="399"/>
      <c r="DK185" s="399">
        <v>0</v>
      </c>
      <c r="DL185" s="399">
        <v>0</v>
      </c>
      <c r="DM185" s="399">
        <v>0</v>
      </c>
      <c r="DN185" s="399">
        <v>0</v>
      </c>
      <c r="DO185" s="399">
        <v>-22.484081834273184</v>
      </c>
      <c r="DP185" s="399">
        <v>-6.0387873381272072</v>
      </c>
      <c r="DQ185" s="399">
        <v>0</v>
      </c>
      <c r="DR185" s="399">
        <v>0</v>
      </c>
      <c r="DS185" s="399"/>
      <c r="DT185" s="399"/>
      <c r="DU185" s="399"/>
      <c r="DV185" s="399">
        <v>15756.145039287299</v>
      </c>
      <c r="DW185" s="399">
        <v>0</v>
      </c>
      <c r="DX185" s="399">
        <v>0</v>
      </c>
      <c r="DY185" s="399">
        <v>-6131.4183000000012</v>
      </c>
      <c r="DZ185" s="399">
        <v>-2707.5314000000017</v>
      </c>
      <c r="EA185" s="399">
        <v>0</v>
      </c>
      <c r="EB185" s="399">
        <v>0</v>
      </c>
      <c r="EC185" s="399">
        <v>-5749.4191836185255</v>
      </c>
      <c r="ED185" s="399">
        <v>0</v>
      </c>
      <c r="EE185" s="399">
        <v>0</v>
      </c>
      <c r="EF185" s="399">
        <v>0</v>
      </c>
      <c r="EG185" s="399">
        <v>0</v>
      </c>
      <c r="EH185" s="399">
        <v>0</v>
      </c>
      <c r="EI185" s="399">
        <v>0</v>
      </c>
      <c r="EJ185" s="399">
        <v>0</v>
      </c>
      <c r="EK185" s="399">
        <v>0</v>
      </c>
      <c r="EL185" s="399">
        <v>0</v>
      </c>
      <c r="EM185" s="399">
        <v>0</v>
      </c>
      <c r="EN185" s="399">
        <v>0</v>
      </c>
      <c r="EO185" s="399">
        <v>0</v>
      </c>
      <c r="EP185" s="399">
        <v>1198.7251500941957</v>
      </c>
      <c r="EQ185" s="399">
        <v>0</v>
      </c>
      <c r="ER185" s="399">
        <v>0</v>
      </c>
      <c r="ES185" s="399">
        <v>0</v>
      </c>
      <c r="ET185" s="399">
        <v>0</v>
      </c>
      <c r="EU185" s="399">
        <v>0</v>
      </c>
      <c r="EV185" s="399">
        <v>202</v>
      </c>
      <c r="EW185" s="399">
        <v>0</v>
      </c>
      <c r="EX185" s="399">
        <v>0</v>
      </c>
      <c r="EY185" s="399">
        <v>0</v>
      </c>
      <c r="EZ185" s="399"/>
      <c r="FA185" s="399">
        <v>0</v>
      </c>
      <c r="FB185" s="399">
        <v>-17.698635468909799</v>
      </c>
      <c r="FC185" s="399"/>
      <c r="FD185" s="399">
        <v>-17.698635468909799</v>
      </c>
      <c r="FE185" s="399"/>
      <c r="FF185" s="399">
        <v>0</v>
      </c>
      <c r="FG185" s="399">
        <v>0</v>
      </c>
      <c r="FH185" s="399">
        <v>0</v>
      </c>
      <c r="FI185" s="399">
        <v>0</v>
      </c>
    </row>
    <row r="186" spans="1:165">
      <c r="A186" s="399">
        <v>180</v>
      </c>
      <c r="B186" s="399" t="s">
        <v>956</v>
      </c>
      <c r="C186" s="399" t="s">
        <v>2402</v>
      </c>
      <c r="D186" s="399" t="s">
        <v>2413</v>
      </c>
      <c r="E186" s="399" t="s">
        <v>2414</v>
      </c>
      <c r="F186" s="399" t="s">
        <v>2415</v>
      </c>
      <c r="G186" s="399" t="s">
        <v>1239</v>
      </c>
      <c r="H186" s="399" t="s">
        <v>1239</v>
      </c>
      <c r="I186" s="399" t="s">
        <v>1239</v>
      </c>
      <c r="J186" s="399" t="s">
        <v>2400</v>
      </c>
      <c r="K186" s="788">
        <v>44652</v>
      </c>
      <c r="L186" s="399">
        <v>0</v>
      </c>
      <c r="M186" s="399">
        <v>0</v>
      </c>
      <c r="N186" s="399">
        <v>42.676000000000002</v>
      </c>
      <c r="O186" s="399">
        <v>42.676000000000002</v>
      </c>
      <c r="P186" s="399">
        <v>42.676000000000002</v>
      </c>
      <c r="Q186" s="399">
        <v>42.676000000000002</v>
      </c>
      <c r="R186" s="399"/>
      <c r="S186" s="399">
        <v>334.98</v>
      </c>
      <c r="T186" s="399">
        <v>157.53</v>
      </c>
      <c r="U186" s="399"/>
      <c r="V186" s="399">
        <v>21018.356760000002</v>
      </c>
      <c r="W186" s="399">
        <v>21018.356760000002</v>
      </c>
      <c r="X186" s="399">
        <v>16051.72388</v>
      </c>
      <c r="Y186" s="399">
        <v>0</v>
      </c>
      <c r="Z186" s="399">
        <v>1428.5265843745933</v>
      </c>
      <c r="AA186" s="399">
        <v>0</v>
      </c>
      <c r="AB186" s="399">
        <v>0</v>
      </c>
      <c r="AC186" s="399">
        <v>0</v>
      </c>
      <c r="AD186" s="399">
        <v>2292.0717333175585</v>
      </c>
      <c r="AE186" s="399">
        <v>8853.8445088136068</v>
      </c>
      <c r="AF186" s="399">
        <v>6722.8714748944913</v>
      </c>
      <c r="AG186" s="399">
        <v>0</v>
      </c>
      <c r="AH186" s="399">
        <v>0</v>
      </c>
      <c r="AI186" s="399">
        <v>0</v>
      </c>
      <c r="AJ186" s="399">
        <v>0</v>
      </c>
      <c r="AK186" s="399">
        <v>0</v>
      </c>
      <c r="AL186" s="399">
        <v>220.77314436889097</v>
      </c>
      <c r="AM186" s="399"/>
      <c r="AN186" s="399">
        <v>40.086021790885283</v>
      </c>
      <c r="AO186" s="399">
        <v>0</v>
      </c>
      <c r="AP186" s="399">
        <v>0</v>
      </c>
      <c r="AQ186" s="399">
        <v>0</v>
      </c>
      <c r="AR186" s="399">
        <v>0</v>
      </c>
      <c r="AS186" s="399">
        <v>0</v>
      </c>
      <c r="AT186" s="399">
        <v>0</v>
      </c>
      <c r="AU186" s="399">
        <v>0</v>
      </c>
      <c r="AV186" s="399">
        <v>0</v>
      </c>
      <c r="AW186" s="399">
        <v>0</v>
      </c>
      <c r="AX186" s="399">
        <v>0</v>
      </c>
      <c r="AY186" s="399">
        <v>0</v>
      </c>
      <c r="AZ186" s="399">
        <v>0</v>
      </c>
      <c r="BA186" s="399"/>
      <c r="BB186" s="399">
        <v>0</v>
      </c>
      <c r="BC186" s="399">
        <v>0</v>
      </c>
      <c r="BD186" s="399">
        <v>0</v>
      </c>
      <c r="BE186" s="399">
        <v>0</v>
      </c>
      <c r="BF186" s="399">
        <v>0</v>
      </c>
      <c r="BG186" s="399">
        <v>786.82916382233452</v>
      </c>
      <c r="BH186" s="399">
        <v>0</v>
      </c>
      <c r="BI186" s="399">
        <v>56.61</v>
      </c>
      <c r="BJ186" s="399">
        <v>261.38</v>
      </c>
      <c r="BK186" s="399">
        <v>4258.45</v>
      </c>
      <c r="BL186" s="399">
        <v>3</v>
      </c>
      <c r="BM186" s="399"/>
      <c r="BN186" s="399"/>
      <c r="BO186" s="399"/>
      <c r="BP186" s="399"/>
      <c r="BQ186" s="399"/>
      <c r="BR186" s="399"/>
      <c r="BS186" s="399"/>
      <c r="BT186" s="399"/>
      <c r="BU186" s="399"/>
      <c r="BV186" s="399">
        <v>7509.7006387168258</v>
      </c>
      <c r="BW186" s="399"/>
      <c r="BX186" s="399"/>
      <c r="BY186" s="399"/>
      <c r="BZ186" s="399"/>
      <c r="CA186" s="399"/>
      <c r="CB186" s="399"/>
      <c r="CC186" s="399"/>
      <c r="CD186" s="399"/>
      <c r="CE186" s="399"/>
      <c r="CF186" s="399"/>
      <c r="CG186" s="399"/>
      <c r="CH186" s="399"/>
      <c r="CI186" s="399">
        <v>16053.2284</v>
      </c>
      <c r="CJ186" s="399">
        <v>-4965.1583600000013</v>
      </c>
      <c r="CK186" s="399"/>
      <c r="CL186" s="399"/>
      <c r="CM186" s="399"/>
      <c r="CN186" s="399"/>
      <c r="CO186" s="399">
        <v>-3445.2334800000008</v>
      </c>
      <c r="CP186" s="399">
        <v>-1521.3994000000002</v>
      </c>
      <c r="CQ186" s="399">
        <v>30</v>
      </c>
      <c r="CR186" s="399">
        <v>-1736.1622972502792</v>
      </c>
      <c r="CS186" s="399">
        <v>0</v>
      </c>
      <c r="CT186" s="399">
        <v>0</v>
      </c>
      <c r="CU186" s="399">
        <v>0</v>
      </c>
      <c r="CV186" s="399">
        <v>0</v>
      </c>
      <c r="CW186" s="399">
        <v>0</v>
      </c>
      <c r="CX186" s="399">
        <v>0</v>
      </c>
      <c r="CY186" s="399">
        <v>0</v>
      </c>
      <c r="CZ186" s="399">
        <v>78.656813378790048</v>
      </c>
      <c r="DA186" s="399">
        <v>0</v>
      </c>
      <c r="DB186" s="399">
        <v>0</v>
      </c>
      <c r="DC186" s="399">
        <v>-1521.6009680458192</v>
      </c>
      <c r="DD186" s="399">
        <v>0</v>
      </c>
      <c r="DE186" s="399">
        <v>0</v>
      </c>
      <c r="DF186" s="399">
        <v>0</v>
      </c>
      <c r="DG186" s="399">
        <v>-178.08462080967308</v>
      </c>
      <c r="DH186" s="399">
        <v>0</v>
      </c>
      <c r="DI186" s="399">
        <v>-99.105676893502277</v>
      </c>
      <c r="DJ186" s="399"/>
      <c r="DK186" s="399">
        <v>0</v>
      </c>
      <c r="DL186" s="399">
        <v>0</v>
      </c>
      <c r="DM186" s="399">
        <v>0</v>
      </c>
      <c r="DN186" s="399">
        <v>0</v>
      </c>
      <c r="DO186" s="399">
        <v>-12.634471438776728</v>
      </c>
      <c r="DP186" s="399">
        <v>-3.3933734412987704</v>
      </c>
      <c r="DQ186" s="399">
        <v>0</v>
      </c>
      <c r="DR186" s="399">
        <v>0</v>
      </c>
      <c r="DS186" s="399"/>
      <c r="DT186" s="399"/>
      <c r="DU186" s="399"/>
      <c r="DV186" s="399">
        <v>8853.8445088136068</v>
      </c>
      <c r="DW186" s="399">
        <v>0</v>
      </c>
      <c r="DX186" s="399">
        <v>0</v>
      </c>
      <c r="DY186" s="399">
        <v>-3445.2334800000026</v>
      </c>
      <c r="DZ186" s="399">
        <v>-1521.3994000000002</v>
      </c>
      <c r="EA186" s="399">
        <v>0</v>
      </c>
      <c r="EB186" s="399">
        <v>0</v>
      </c>
      <c r="EC186" s="399">
        <v>-3230.7689057710895</v>
      </c>
      <c r="ED186" s="399">
        <v>0</v>
      </c>
      <c r="EE186" s="399">
        <v>0</v>
      </c>
      <c r="EF186" s="399">
        <v>0</v>
      </c>
      <c r="EG186" s="399">
        <v>0</v>
      </c>
      <c r="EH186" s="399">
        <v>0</v>
      </c>
      <c r="EI186" s="399">
        <v>0</v>
      </c>
      <c r="EJ186" s="399">
        <v>0</v>
      </c>
      <c r="EK186" s="399">
        <v>0</v>
      </c>
      <c r="EL186" s="399">
        <v>0</v>
      </c>
      <c r="EM186" s="399">
        <v>0</v>
      </c>
      <c r="EN186" s="399">
        <v>0</v>
      </c>
      <c r="EO186" s="399">
        <v>0</v>
      </c>
      <c r="EP186" s="399">
        <v>673.59916155089616</v>
      </c>
      <c r="EQ186" s="399">
        <v>0</v>
      </c>
      <c r="ER186" s="399">
        <v>0</v>
      </c>
      <c r="ES186" s="399">
        <v>0</v>
      </c>
      <c r="ET186" s="399">
        <v>0</v>
      </c>
      <c r="EU186" s="399">
        <v>0</v>
      </c>
      <c r="EV186" s="399">
        <v>202</v>
      </c>
      <c r="EW186" s="399">
        <v>0</v>
      </c>
      <c r="EX186" s="399">
        <v>0</v>
      </c>
      <c r="EY186" s="399">
        <v>0</v>
      </c>
      <c r="EZ186" s="399"/>
      <c r="FA186" s="399">
        <v>0</v>
      </c>
      <c r="FB186" s="399">
        <v>-9.7342495079003708</v>
      </c>
      <c r="FC186" s="399"/>
      <c r="FD186" s="399">
        <v>-9.7342495079003708</v>
      </c>
      <c r="FE186" s="399"/>
      <c r="FF186" s="399">
        <v>0</v>
      </c>
      <c r="FG186" s="399">
        <v>0</v>
      </c>
      <c r="FH186" s="399">
        <v>0</v>
      </c>
      <c r="FI186" s="399">
        <v>0</v>
      </c>
    </row>
    <row r="187" spans="1:165">
      <c r="A187" s="399">
        <v>196</v>
      </c>
      <c r="B187" s="399" t="s">
        <v>956</v>
      </c>
      <c r="C187" s="399" t="s">
        <v>2399</v>
      </c>
      <c r="D187" s="399" t="s">
        <v>533</v>
      </c>
      <c r="E187" s="399" t="s">
        <v>918</v>
      </c>
      <c r="F187" s="399" t="s">
        <v>1239</v>
      </c>
      <c r="G187" s="399" t="s">
        <v>1239</v>
      </c>
      <c r="H187" s="399" t="s">
        <v>1239</v>
      </c>
      <c r="I187" s="399" t="s">
        <v>893</v>
      </c>
      <c r="J187" s="399" t="s">
        <v>2400</v>
      </c>
      <c r="K187" s="788">
        <v>44682</v>
      </c>
      <c r="L187" s="399">
        <v>0</v>
      </c>
      <c r="M187" s="399">
        <v>0</v>
      </c>
      <c r="N187" s="399">
        <v>1.1870000000000001</v>
      </c>
      <c r="O187" s="399">
        <v>1.1870000000000001</v>
      </c>
      <c r="P187" s="399">
        <v>1.1870000000000001</v>
      </c>
      <c r="Q187" s="399">
        <v>1.1870000000000001</v>
      </c>
      <c r="R187" s="399"/>
      <c r="S187" s="399">
        <v>3305.85</v>
      </c>
      <c r="T187" s="399">
        <v>286.42</v>
      </c>
      <c r="U187" s="399"/>
      <c r="V187" s="399">
        <v>4264.0244899999998</v>
      </c>
      <c r="W187" s="399">
        <v>4264.0244899999998</v>
      </c>
      <c r="X187" s="399">
        <v>3099.3757000000005</v>
      </c>
      <c r="Y187" s="399">
        <v>0</v>
      </c>
      <c r="Z187" s="399">
        <v>62.850958103673349</v>
      </c>
      <c r="AA187" s="399">
        <v>0</v>
      </c>
      <c r="AB187" s="399">
        <v>0</v>
      </c>
      <c r="AC187" s="399">
        <v>0</v>
      </c>
      <c r="AD187" s="399">
        <v>773.90627926095294</v>
      </c>
      <c r="AE187" s="399">
        <v>3030.8723444946149</v>
      </c>
      <c r="AF187" s="399">
        <v>339.98451080444516</v>
      </c>
      <c r="AG187" s="399">
        <v>0</v>
      </c>
      <c r="AH187" s="399">
        <v>0</v>
      </c>
      <c r="AI187" s="399">
        <v>0</v>
      </c>
      <c r="AJ187" s="399">
        <v>0</v>
      </c>
      <c r="AK187" s="399">
        <v>0</v>
      </c>
      <c r="AL187" s="399">
        <v>11.164790189328194</v>
      </c>
      <c r="AM187" s="399"/>
      <c r="AN187" s="399">
        <v>1.6262937762039487</v>
      </c>
      <c r="AO187" s="399">
        <v>0</v>
      </c>
      <c r="AP187" s="399">
        <v>0</v>
      </c>
      <c r="AQ187" s="399">
        <v>0</v>
      </c>
      <c r="AR187" s="399">
        <v>0</v>
      </c>
      <c r="AS187" s="399">
        <v>0</v>
      </c>
      <c r="AT187" s="399">
        <v>0</v>
      </c>
      <c r="AU187" s="399">
        <v>0</v>
      </c>
      <c r="AV187" s="399">
        <v>0</v>
      </c>
      <c r="AW187" s="399">
        <v>0</v>
      </c>
      <c r="AX187" s="399">
        <v>0</v>
      </c>
      <c r="AY187" s="399">
        <v>0</v>
      </c>
      <c r="AZ187" s="399">
        <v>0</v>
      </c>
      <c r="BA187" s="399"/>
      <c r="BB187" s="399">
        <v>0</v>
      </c>
      <c r="BC187" s="399">
        <v>0</v>
      </c>
      <c r="BD187" s="399">
        <v>0</v>
      </c>
      <c r="BE187" s="399">
        <v>0</v>
      </c>
      <c r="BF187" s="399">
        <v>0</v>
      </c>
      <c r="BG187" s="399">
        <v>13.991519817271694</v>
      </c>
      <c r="BH187" s="399">
        <v>0</v>
      </c>
      <c r="BI187" s="399">
        <v>0</v>
      </c>
      <c r="BJ187" s="399">
        <v>0</v>
      </c>
      <c r="BK187" s="399">
        <v>0</v>
      </c>
      <c r="BL187" s="399">
        <v>0</v>
      </c>
      <c r="BM187" s="399"/>
      <c r="BN187" s="399"/>
      <c r="BO187" s="399"/>
      <c r="BP187" s="399"/>
      <c r="BQ187" s="399"/>
      <c r="BR187" s="399"/>
      <c r="BS187" s="399"/>
      <c r="BT187" s="399"/>
      <c r="BU187" s="399"/>
      <c r="BV187" s="399">
        <v>353.97603062171686</v>
      </c>
      <c r="BW187" s="399"/>
      <c r="BX187" s="399"/>
      <c r="BY187" s="399"/>
      <c r="BZ187" s="399"/>
      <c r="CA187" s="399"/>
      <c r="CB187" s="399"/>
      <c r="CC187" s="399"/>
      <c r="CD187" s="399"/>
      <c r="CE187" s="399"/>
      <c r="CF187" s="399"/>
      <c r="CG187" s="399"/>
      <c r="CH187" s="399"/>
      <c r="CI187" s="399">
        <v>3107.2089999999998</v>
      </c>
      <c r="CJ187" s="399">
        <v>-1156.8454900000006</v>
      </c>
      <c r="CK187" s="399"/>
      <c r="CL187" s="399"/>
      <c r="CM187" s="399"/>
      <c r="CN187" s="399"/>
      <c r="CO187" s="399">
        <v>-1087.7074499999999</v>
      </c>
      <c r="CP187" s="399">
        <v>-76.941340000000025</v>
      </c>
      <c r="CQ187" s="399">
        <v>31</v>
      </c>
      <c r="CR187" s="399">
        <v>-58.695003016983264</v>
      </c>
      <c r="CS187" s="399">
        <v>0</v>
      </c>
      <c r="CT187" s="399">
        <v>0</v>
      </c>
      <c r="CU187" s="399">
        <v>0</v>
      </c>
      <c r="CV187" s="399">
        <v>0</v>
      </c>
      <c r="CW187" s="399">
        <v>0</v>
      </c>
      <c r="CX187" s="399">
        <v>0</v>
      </c>
      <c r="CY187" s="399">
        <v>0</v>
      </c>
      <c r="CZ187" s="399">
        <v>26.558070105595789</v>
      </c>
      <c r="DA187" s="399">
        <v>0</v>
      </c>
      <c r="DB187" s="399">
        <v>0</v>
      </c>
      <c r="DC187" s="399">
        <v>-76.949375381111679</v>
      </c>
      <c r="DD187" s="399">
        <v>0</v>
      </c>
      <c r="DE187" s="399">
        <v>0</v>
      </c>
      <c r="DF187" s="399">
        <v>0</v>
      </c>
      <c r="DG187" s="399">
        <v>-3.1667287077992246</v>
      </c>
      <c r="DH187" s="399">
        <v>0</v>
      </c>
      <c r="DI187" s="399">
        <v>-4.3603575981028655</v>
      </c>
      <c r="DJ187" s="399"/>
      <c r="DK187" s="399">
        <v>0</v>
      </c>
      <c r="DL187" s="399">
        <v>0</v>
      </c>
      <c r="DM187" s="399">
        <v>0</v>
      </c>
      <c r="DN187" s="399">
        <v>0</v>
      </c>
      <c r="DO187" s="399">
        <v>-0.63894194726555753</v>
      </c>
      <c r="DP187" s="399">
        <v>-0.13766948829965875</v>
      </c>
      <c r="DQ187" s="399">
        <v>0</v>
      </c>
      <c r="DR187" s="399">
        <v>0</v>
      </c>
      <c r="DS187" s="399"/>
      <c r="DT187" s="399"/>
      <c r="DU187" s="399"/>
      <c r="DV187" s="399">
        <v>3030.8723444946149</v>
      </c>
      <c r="DW187" s="399">
        <v>0</v>
      </c>
      <c r="DX187" s="399">
        <v>0</v>
      </c>
      <c r="DY187" s="399">
        <v>-1087.7074499999999</v>
      </c>
      <c r="DZ187" s="399">
        <v>-76.941340000000025</v>
      </c>
      <c r="EA187" s="399">
        <v>0</v>
      </c>
      <c r="EB187" s="399">
        <v>0</v>
      </c>
      <c r="EC187" s="399">
        <v>-1105.9656760639039</v>
      </c>
      <c r="ED187" s="399">
        <v>0</v>
      </c>
      <c r="EE187" s="399">
        <v>0</v>
      </c>
      <c r="EF187" s="399">
        <v>0</v>
      </c>
      <c r="EG187" s="399">
        <v>0</v>
      </c>
      <c r="EH187" s="399">
        <v>0</v>
      </c>
      <c r="EI187" s="399">
        <v>0</v>
      </c>
      <c r="EJ187" s="399">
        <v>0</v>
      </c>
      <c r="EK187" s="399">
        <v>0</v>
      </c>
      <c r="EL187" s="399">
        <v>0</v>
      </c>
      <c r="EM187" s="399">
        <v>0</v>
      </c>
      <c r="EN187" s="399">
        <v>0</v>
      </c>
      <c r="EO187" s="399">
        <v>0</v>
      </c>
      <c r="EP187" s="399">
        <v>29.63637719058595</v>
      </c>
      <c r="EQ187" s="399">
        <v>0</v>
      </c>
      <c r="ER187" s="399">
        <v>0</v>
      </c>
      <c r="ES187" s="399">
        <v>0</v>
      </c>
      <c r="ET187" s="399">
        <v>0</v>
      </c>
      <c r="EU187" s="399">
        <v>0</v>
      </c>
      <c r="EV187" s="399">
        <v>202</v>
      </c>
      <c r="EW187" s="399">
        <v>0</v>
      </c>
      <c r="EX187" s="399">
        <v>0</v>
      </c>
      <c r="EY187" s="399">
        <v>0</v>
      </c>
      <c r="EZ187" s="399"/>
      <c r="FA187" s="399">
        <v>0</v>
      </c>
      <c r="FB187" s="399">
        <v>-17.698635468909799</v>
      </c>
      <c r="FC187" s="399"/>
      <c r="FD187" s="399">
        <v>-17.698635468909799</v>
      </c>
      <c r="FE187" s="399"/>
      <c r="FF187" s="399">
        <v>0</v>
      </c>
      <c r="FG187" s="399">
        <v>0</v>
      </c>
      <c r="FH187" s="399">
        <v>0</v>
      </c>
      <c r="FI187" s="399">
        <v>0</v>
      </c>
    </row>
    <row r="188" spans="1:165">
      <c r="A188" s="399">
        <v>197</v>
      </c>
      <c r="B188" s="399" t="s">
        <v>956</v>
      </c>
      <c r="C188" s="399" t="s">
        <v>2399</v>
      </c>
      <c r="D188" s="399" t="s">
        <v>533</v>
      </c>
      <c r="E188" s="399" t="s">
        <v>918</v>
      </c>
      <c r="F188" s="399" t="s">
        <v>1239</v>
      </c>
      <c r="G188" s="399" t="s">
        <v>1239</v>
      </c>
      <c r="H188" s="399" t="s">
        <v>1239</v>
      </c>
      <c r="I188" s="399" t="s">
        <v>2326</v>
      </c>
      <c r="J188" s="399" t="s">
        <v>2400</v>
      </c>
      <c r="K188" s="788">
        <v>44682</v>
      </c>
      <c r="L188" s="399">
        <v>0</v>
      </c>
      <c r="M188" s="399">
        <v>0</v>
      </c>
      <c r="N188" s="399">
        <v>22.233000000000001</v>
      </c>
      <c r="O188" s="399">
        <v>22.233000000000001</v>
      </c>
      <c r="P188" s="399">
        <v>22.233000000000001</v>
      </c>
      <c r="Q188" s="399">
        <v>22.233000000000001</v>
      </c>
      <c r="R188" s="399"/>
      <c r="S188" s="399">
        <v>100.48</v>
      </c>
      <c r="T188" s="399">
        <v>286.42</v>
      </c>
      <c r="U188" s="399"/>
      <c r="V188" s="399">
        <v>8601.9477000000006</v>
      </c>
      <c r="W188" s="399">
        <v>8601.9477000000006</v>
      </c>
      <c r="X188" s="399">
        <v>7005.1736400000009</v>
      </c>
      <c r="Y188" s="399">
        <v>0</v>
      </c>
      <c r="Z188" s="399">
        <v>1177.2243904961833</v>
      </c>
      <c r="AA188" s="399">
        <v>0</v>
      </c>
      <c r="AB188" s="399">
        <v>0</v>
      </c>
      <c r="AC188" s="399">
        <v>0</v>
      </c>
      <c r="AD188" s="399">
        <v>0</v>
      </c>
      <c r="AE188" s="399">
        <v>0</v>
      </c>
      <c r="AF188" s="399">
        <v>6368.0502348064274</v>
      </c>
      <c r="AG188" s="399">
        <v>0</v>
      </c>
      <c r="AH188" s="399">
        <v>0</v>
      </c>
      <c r="AI188" s="399">
        <v>0</v>
      </c>
      <c r="AJ188" s="399">
        <v>0</v>
      </c>
      <c r="AK188" s="399">
        <v>0</v>
      </c>
      <c r="AL188" s="399">
        <v>209.12112913170489</v>
      </c>
      <c r="AM188" s="399"/>
      <c r="AN188" s="399">
        <v>30.461153771139333</v>
      </c>
      <c r="AO188" s="399">
        <v>0</v>
      </c>
      <c r="AP188" s="399">
        <v>0</v>
      </c>
      <c r="AQ188" s="399">
        <v>0</v>
      </c>
      <c r="AR188" s="399">
        <v>0</v>
      </c>
      <c r="AS188" s="399">
        <v>0</v>
      </c>
      <c r="AT188" s="399">
        <v>0</v>
      </c>
      <c r="AU188" s="399">
        <v>0</v>
      </c>
      <c r="AV188" s="399">
        <v>0</v>
      </c>
      <c r="AW188" s="399">
        <v>0</v>
      </c>
      <c r="AX188" s="399">
        <v>0</v>
      </c>
      <c r="AY188" s="399">
        <v>0</v>
      </c>
      <c r="AZ188" s="399">
        <v>0</v>
      </c>
      <c r="BA188" s="399"/>
      <c r="BB188" s="399">
        <v>0</v>
      </c>
      <c r="BC188" s="399">
        <v>0</v>
      </c>
      <c r="BD188" s="399">
        <v>0</v>
      </c>
      <c r="BE188" s="399">
        <v>0</v>
      </c>
      <c r="BF188" s="399">
        <v>0</v>
      </c>
      <c r="BG188" s="399">
        <v>262.06694195231807</v>
      </c>
      <c r="BH188" s="399">
        <v>0</v>
      </c>
      <c r="BI188" s="399">
        <v>0</v>
      </c>
      <c r="BJ188" s="399">
        <v>0</v>
      </c>
      <c r="BK188" s="399">
        <v>0</v>
      </c>
      <c r="BL188" s="399">
        <v>0</v>
      </c>
      <c r="BM188" s="399"/>
      <c r="BN188" s="399"/>
      <c r="BO188" s="399"/>
      <c r="BP188" s="399"/>
      <c r="BQ188" s="399"/>
      <c r="BR188" s="399"/>
      <c r="BS188" s="399"/>
      <c r="BT188" s="399"/>
      <c r="BU188" s="399"/>
      <c r="BV188" s="399">
        <v>6630.1171767587457</v>
      </c>
      <c r="BW188" s="399"/>
      <c r="BX188" s="399"/>
      <c r="BY188" s="399"/>
      <c r="BZ188" s="399"/>
      <c r="CA188" s="399"/>
      <c r="CB188" s="399"/>
      <c r="CC188" s="399"/>
      <c r="CD188" s="399"/>
      <c r="CE188" s="399"/>
      <c r="CF188" s="399"/>
      <c r="CG188" s="399"/>
      <c r="CH188" s="399"/>
      <c r="CI188" s="399">
        <v>7004.2284</v>
      </c>
      <c r="CJ188" s="399">
        <v>-1597.7493000000013</v>
      </c>
      <c r="CK188" s="399"/>
      <c r="CL188" s="399"/>
      <c r="CM188" s="399"/>
      <c r="CN188" s="399"/>
      <c r="CO188" s="399">
        <v>-155.631</v>
      </c>
      <c r="CP188" s="399">
        <v>-1441.1430600000006</v>
      </c>
      <c r="CQ188" s="399">
        <v>31</v>
      </c>
      <c r="CR188" s="399">
        <v>-1596.8252525141515</v>
      </c>
      <c r="CS188" s="399">
        <v>0</v>
      </c>
      <c r="CT188" s="399">
        <v>0</v>
      </c>
      <c r="CU188" s="399">
        <v>0</v>
      </c>
      <c r="CV188" s="399">
        <v>0</v>
      </c>
      <c r="CW188" s="399">
        <v>0</v>
      </c>
      <c r="CX188" s="399">
        <v>0</v>
      </c>
      <c r="CY188" s="399">
        <v>0</v>
      </c>
      <c r="CZ188" s="399">
        <v>0</v>
      </c>
      <c r="DA188" s="399">
        <v>0</v>
      </c>
      <c r="DB188" s="399">
        <v>0</v>
      </c>
      <c r="DC188" s="399">
        <v>-1441.2935660052699</v>
      </c>
      <c r="DD188" s="399">
        <v>0</v>
      </c>
      <c r="DE188" s="399">
        <v>0</v>
      </c>
      <c r="DF188" s="399">
        <v>0</v>
      </c>
      <c r="DG188" s="399">
        <v>-59.314135939764242</v>
      </c>
      <c r="DH188" s="399">
        <v>0</v>
      </c>
      <c r="DI188" s="399">
        <v>-81.671297791593133</v>
      </c>
      <c r="DJ188" s="399"/>
      <c r="DK188" s="399">
        <v>0</v>
      </c>
      <c r="DL188" s="399">
        <v>0</v>
      </c>
      <c r="DM188" s="399">
        <v>0</v>
      </c>
      <c r="DN188" s="399">
        <v>0</v>
      </c>
      <c r="DO188" s="399">
        <v>-11.96764643096472</v>
      </c>
      <c r="DP188" s="399">
        <v>-2.5786063465596563</v>
      </c>
      <c r="DQ188" s="399">
        <v>0</v>
      </c>
      <c r="DR188" s="399">
        <v>0</v>
      </c>
      <c r="DS188" s="399"/>
      <c r="DT188" s="399"/>
      <c r="DU188" s="399"/>
      <c r="DV188" s="399">
        <v>0</v>
      </c>
      <c r="DW188" s="399">
        <v>0</v>
      </c>
      <c r="DX188" s="399">
        <v>0</v>
      </c>
      <c r="DY188" s="399">
        <v>-155.63099999999986</v>
      </c>
      <c r="DZ188" s="399">
        <v>-1441.1430600000003</v>
      </c>
      <c r="EA188" s="399">
        <v>0</v>
      </c>
      <c r="EB188" s="399">
        <v>0</v>
      </c>
      <c r="EC188" s="399">
        <v>0</v>
      </c>
      <c r="ED188" s="399">
        <v>0</v>
      </c>
      <c r="EE188" s="399">
        <v>0</v>
      </c>
      <c r="EF188" s="399">
        <v>0</v>
      </c>
      <c r="EG188" s="399">
        <v>0</v>
      </c>
      <c r="EH188" s="399">
        <v>0</v>
      </c>
      <c r="EI188" s="399">
        <v>0</v>
      </c>
      <c r="EJ188" s="399">
        <v>0</v>
      </c>
      <c r="EK188" s="399">
        <v>0</v>
      </c>
      <c r="EL188" s="399">
        <v>0</v>
      </c>
      <c r="EM188" s="399">
        <v>0</v>
      </c>
      <c r="EN188" s="399">
        <v>0</v>
      </c>
      <c r="EO188" s="399">
        <v>0</v>
      </c>
      <c r="EP188" s="399">
        <v>555.10157883597083</v>
      </c>
      <c r="EQ188" s="399">
        <v>0</v>
      </c>
      <c r="ER188" s="399">
        <v>0</v>
      </c>
      <c r="ES188" s="399">
        <v>0</v>
      </c>
      <c r="ET188" s="399">
        <v>0</v>
      </c>
      <c r="EU188" s="399">
        <v>0</v>
      </c>
      <c r="EV188" s="399">
        <v>202</v>
      </c>
      <c r="EW188" s="399">
        <v>0</v>
      </c>
      <c r="EX188" s="399">
        <v>0</v>
      </c>
      <c r="EY188" s="399">
        <v>0</v>
      </c>
      <c r="EZ188" s="399"/>
      <c r="FA188" s="399">
        <v>0</v>
      </c>
      <c r="FB188" s="399">
        <v>-17.698635468909799</v>
      </c>
      <c r="FC188" s="399"/>
      <c r="FD188" s="399">
        <v>-17.698635468909799</v>
      </c>
      <c r="FE188" s="399"/>
      <c r="FF188" s="399">
        <v>0</v>
      </c>
      <c r="FG188" s="399">
        <v>0</v>
      </c>
      <c r="FH188" s="399">
        <v>0</v>
      </c>
      <c r="FI188" s="399">
        <v>0</v>
      </c>
    </row>
    <row r="189" spans="1:165">
      <c r="A189" s="399">
        <v>198</v>
      </c>
      <c r="B189" s="399" t="s">
        <v>956</v>
      </c>
      <c r="C189" s="399" t="s">
        <v>2399</v>
      </c>
      <c r="D189" s="399" t="s">
        <v>533</v>
      </c>
      <c r="E189" s="399" t="s">
        <v>918</v>
      </c>
      <c r="F189" s="399" t="s">
        <v>1239</v>
      </c>
      <c r="G189" s="399" t="s">
        <v>1239</v>
      </c>
      <c r="H189" s="399" t="s">
        <v>1239</v>
      </c>
      <c r="I189" s="399" t="s">
        <v>1239</v>
      </c>
      <c r="J189" s="399" t="s">
        <v>2400</v>
      </c>
      <c r="K189" s="788">
        <v>44682</v>
      </c>
      <c r="L189" s="399">
        <v>200</v>
      </c>
      <c r="M189" s="399">
        <v>200</v>
      </c>
      <c r="N189" s="399">
        <v>0</v>
      </c>
      <c r="O189" s="399">
        <v>0</v>
      </c>
      <c r="P189" s="399">
        <v>0</v>
      </c>
      <c r="Q189" s="399">
        <v>0</v>
      </c>
      <c r="R189" s="399">
        <v>39.21</v>
      </c>
      <c r="S189" s="399"/>
      <c r="T189" s="399"/>
      <c r="U189" s="399">
        <v>7842</v>
      </c>
      <c r="V189" s="399"/>
      <c r="W189" s="399">
        <v>7842</v>
      </c>
      <c r="X189" s="399">
        <v>5968</v>
      </c>
      <c r="Y189" s="399">
        <v>0</v>
      </c>
      <c r="Z189" s="399">
        <v>0</v>
      </c>
      <c r="AA189" s="399">
        <v>0</v>
      </c>
      <c r="AB189" s="399">
        <v>0</v>
      </c>
      <c r="AC189" s="399">
        <v>0</v>
      </c>
      <c r="AD189" s="399">
        <v>2470.4459924729599</v>
      </c>
      <c r="AE189" s="399">
        <v>5372.3982459365207</v>
      </c>
      <c r="AF189" s="399"/>
      <c r="AG189" s="399"/>
      <c r="AH189" s="399"/>
      <c r="AI189" s="399">
        <v>0</v>
      </c>
      <c r="AJ189" s="399">
        <v>0</v>
      </c>
      <c r="AK189" s="399">
        <v>0</v>
      </c>
      <c r="AL189" s="399">
        <v>0</v>
      </c>
      <c r="AM189" s="399"/>
      <c r="AN189" s="399">
        <v>0</v>
      </c>
      <c r="AO189" s="399">
        <v>0</v>
      </c>
      <c r="AP189" s="399">
        <v>0</v>
      </c>
      <c r="AQ189" s="399">
        <v>0</v>
      </c>
      <c r="AR189" s="399">
        <v>0</v>
      </c>
      <c r="AS189" s="399"/>
      <c r="AT189" s="399"/>
      <c r="AU189" s="399">
        <v>0</v>
      </c>
      <c r="AV189" s="399">
        <v>0</v>
      </c>
      <c r="AW189" s="399">
        <v>0</v>
      </c>
      <c r="AX189" s="399"/>
      <c r="AY189" s="399"/>
      <c r="AZ189" s="399">
        <v>0</v>
      </c>
      <c r="BA189" s="399"/>
      <c r="BB189" s="399">
        <v>0</v>
      </c>
      <c r="BC189" s="399">
        <v>0</v>
      </c>
      <c r="BD189" s="399">
        <v>0</v>
      </c>
      <c r="BE189" s="399">
        <v>0</v>
      </c>
      <c r="BF189" s="399"/>
      <c r="BG189" s="399">
        <v>0</v>
      </c>
      <c r="BH189" s="399">
        <v>0</v>
      </c>
      <c r="BI189" s="399">
        <v>108.42</v>
      </c>
      <c r="BJ189" s="399">
        <v>500.45</v>
      </c>
      <c r="BK189" s="399">
        <v>3321.85</v>
      </c>
      <c r="BL189" s="399">
        <v>1</v>
      </c>
      <c r="BM189" s="399"/>
      <c r="BN189" s="399"/>
      <c r="BO189" s="399"/>
      <c r="BP189" s="399"/>
      <c r="BQ189" s="399"/>
      <c r="BR189" s="399"/>
      <c r="BS189" s="399"/>
      <c r="BT189" s="399"/>
      <c r="BU189" s="399"/>
      <c r="BV189" s="399">
        <v>0</v>
      </c>
      <c r="BW189" s="399"/>
      <c r="BX189" s="399"/>
      <c r="BY189" s="399"/>
      <c r="BZ189" s="399"/>
      <c r="CA189" s="399"/>
      <c r="CB189" s="399"/>
      <c r="CC189" s="399"/>
      <c r="CD189" s="399"/>
      <c r="CE189" s="399"/>
      <c r="CF189" s="399"/>
      <c r="CG189" s="399"/>
      <c r="CH189" s="399"/>
      <c r="CI189" s="399">
        <v>5968</v>
      </c>
      <c r="CJ189" s="399">
        <v>-1874.0300000000007</v>
      </c>
      <c r="CK189" s="399"/>
      <c r="CL189" s="399"/>
      <c r="CM189" s="399"/>
      <c r="CN189" s="399"/>
      <c r="CO189" s="399">
        <v>-1874.0000000000002</v>
      </c>
      <c r="CP189" s="399">
        <v>0</v>
      </c>
      <c r="CQ189" s="399">
        <v>31</v>
      </c>
      <c r="CR189" s="399">
        <v>84.77806630906025</v>
      </c>
      <c r="CS189" s="399">
        <v>0</v>
      </c>
      <c r="CT189" s="399">
        <v>0</v>
      </c>
      <c r="CU189" s="399">
        <v>0</v>
      </c>
      <c r="CV189" s="399">
        <v>0</v>
      </c>
      <c r="CW189" s="399"/>
      <c r="CX189" s="399"/>
      <c r="CY189" s="399"/>
      <c r="CZ189" s="399">
        <v>84.77806630906025</v>
      </c>
      <c r="DA189" s="399">
        <v>0</v>
      </c>
      <c r="DB189" s="399">
        <v>0</v>
      </c>
      <c r="DC189" s="399"/>
      <c r="DD189" s="399"/>
      <c r="DE189" s="399">
        <v>0</v>
      </c>
      <c r="DF189" s="399">
        <v>0</v>
      </c>
      <c r="DG189" s="399">
        <v>0</v>
      </c>
      <c r="DH189" s="399">
        <v>0</v>
      </c>
      <c r="DI189" s="399">
        <v>0</v>
      </c>
      <c r="DJ189" s="399"/>
      <c r="DK189" s="399">
        <v>0</v>
      </c>
      <c r="DL189" s="399">
        <v>0</v>
      </c>
      <c r="DM189" s="399"/>
      <c r="DN189" s="399">
        <v>0</v>
      </c>
      <c r="DO189" s="399">
        <v>0</v>
      </c>
      <c r="DP189" s="399">
        <v>0</v>
      </c>
      <c r="DQ189" s="399">
        <v>0</v>
      </c>
      <c r="DR189" s="399">
        <v>0</v>
      </c>
      <c r="DS189" s="399"/>
      <c r="DT189" s="399"/>
      <c r="DU189" s="399">
        <v>5372.3982459365207</v>
      </c>
      <c r="DV189" s="399"/>
      <c r="DW189" s="399">
        <v>0</v>
      </c>
      <c r="DX189" s="399">
        <v>0</v>
      </c>
      <c r="DY189" s="399">
        <v>-1874</v>
      </c>
      <c r="DZ189" s="399"/>
      <c r="EA189" s="399">
        <v>0</v>
      </c>
      <c r="EB189" s="399"/>
      <c r="EC189" s="399">
        <v>-1960.3887537343408</v>
      </c>
      <c r="ED189" s="399"/>
      <c r="EE189" s="399">
        <v>0</v>
      </c>
      <c r="EF189" s="399">
        <v>0</v>
      </c>
      <c r="EG189" s="399"/>
      <c r="EH189" s="399">
        <v>0</v>
      </c>
      <c r="EI189" s="399">
        <v>0</v>
      </c>
      <c r="EJ189" s="399">
        <v>0</v>
      </c>
      <c r="EK189" s="399">
        <v>0</v>
      </c>
      <c r="EL189" s="399">
        <v>0</v>
      </c>
      <c r="EM189" s="399"/>
      <c r="EN189" s="399"/>
      <c r="EO189" s="399">
        <v>0</v>
      </c>
      <c r="EP189" s="399">
        <v>0</v>
      </c>
      <c r="EQ189" s="399"/>
      <c r="ER189" s="399">
        <v>0</v>
      </c>
      <c r="ES189" s="399"/>
      <c r="ET189" s="399">
        <v>0</v>
      </c>
      <c r="EU189" s="399"/>
      <c r="EV189" s="399">
        <v>202</v>
      </c>
      <c r="EW189" s="399"/>
      <c r="EX189" s="399"/>
      <c r="EY189" s="399"/>
      <c r="EZ189" s="399"/>
      <c r="FA189" s="399">
        <v>0</v>
      </c>
      <c r="FB189" s="399">
        <v>-17.698635468909799</v>
      </c>
      <c r="FC189" s="399"/>
      <c r="FD189" s="399">
        <v>-17.698635468909799</v>
      </c>
      <c r="FE189" s="399"/>
      <c r="FF189" s="399">
        <v>0</v>
      </c>
      <c r="FG189" s="399">
        <v>0</v>
      </c>
      <c r="FH189" s="399">
        <v>0</v>
      </c>
      <c r="FI189" s="399">
        <v>0</v>
      </c>
    </row>
    <row r="190" spans="1:165">
      <c r="A190" s="399">
        <v>205</v>
      </c>
      <c r="B190" s="399" t="s">
        <v>956</v>
      </c>
      <c r="C190" s="399" t="s">
        <v>2399</v>
      </c>
      <c r="D190" s="399" t="s">
        <v>533</v>
      </c>
      <c r="E190" s="399" t="s">
        <v>921</v>
      </c>
      <c r="F190" s="399" t="s">
        <v>2401</v>
      </c>
      <c r="G190" s="399" t="s">
        <v>1239</v>
      </c>
      <c r="H190" s="399" t="s">
        <v>1239</v>
      </c>
      <c r="I190" s="399" t="s">
        <v>893</v>
      </c>
      <c r="J190" s="399" t="s">
        <v>2400</v>
      </c>
      <c r="K190" s="788">
        <v>44682</v>
      </c>
      <c r="L190" s="399">
        <v>0</v>
      </c>
      <c r="M190" s="399">
        <v>0</v>
      </c>
      <c r="N190" s="399">
        <v>20.672000000000001</v>
      </c>
      <c r="O190" s="399">
        <v>19.43168</v>
      </c>
      <c r="P190" s="399">
        <v>20.672000000000001</v>
      </c>
      <c r="Q190" s="399">
        <v>19.43168</v>
      </c>
      <c r="R190" s="399"/>
      <c r="S190" s="399">
        <v>3305.85</v>
      </c>
      <c r="T190" s="399">
        <v>286.42</v>
      </c>
      <c r="U190" s="399"/>
      <c r="V190" s="399">
        <v>74259.405440000002</v>
      </c>
      <c r="W190" s="399">
        <v>74259.405440000002</v>
      </c>
      <c r="X190" s="399">
        <v>53976.659200000002</v>
      </c>
      <c r="Y190" s="399">
        <v>0</v>
      </c>
      <c r="Z190" s="399">
        <v>1094.5703503952277</v>
      </c>
      <c r="AA190" s="399">
        <v>0</v>
      </c>
      <c r="AB190" s="399">
        <v>0</v>
      </c>
      <c r="AC190" s="399">
        <v>0</v>
      </c>
      <c r="AD190" s="399">
        <v>13477.835387432535</v>
      </c>
      <c r="AE190" s="399">
        <v>52783.650467896106</v>
      </c>
      <c r="AF190" s="399">
        <v>5920.9433928807839</v>
      </c>
      <c r="AG190" s="399">
        <v>0</v>
      </c>
      <c r="AH190" s="399">
        <v>0</v>
      </c>
      <c r="AI190" s="399">
        <v>0</v>
      </c>
      <c r="AJ190" s="399">
        <v>0</v>
      </c>
      <c r="AK190" s="399">
        <v>0</v>
      </c>
      <c r="AL190" s="399">
        <v>194.43853647328763</v>
      </c>
      <c r="AM190" s="399"/>
      <c r="AN190" s="399">
        <v>28.322447297125549</v>
      </c>
      <c r="AO190" s="399">
        <v>0</v>
      </c>
      <c r="AP190" s="399">
        <v>0</v>
      </c>
      <c r="AQ190" s="399">
        <v>0</v>
      </c>
      <c r="AR190" s="399">
        <v>0</v>
      </c>
      <c r="AS190" s="399">
        <v>0</v>
      </c>
      <c r="AT190" s="399">
        <v>0</v>
      </c>
      <c r="AU190" s="399">
        <v>0</v>
      </c>
      <c r="AV190" s="399">
        <v>0</v>
      </c>
      <c r="AW190" s="399">
        <v>0</v>
      </c>
      <c r="AX190" s="399">
        <v>0</v>
      </c>
      <c r="AY190" s="399">
        <v>0</v>
      </c>
      <c r="AZ190" s="399">
        <v>0</v>
      </c>
      <c r="BA190" s="399"/>
      <c r="BB190" s="399">
        <v>0</v>
      </c>
      <c r="BC190" s="399">
        <v>0</v>
      </c>
      <c r="BD190" s="399">
        <v>0</v>
      </c>
      <c r="BE190" s="399">
        <v>0</v>
      </c>
      <c r="BF190" s="399">
        <v>0</v>
      </c>
      <c r="BG190" s="399">
        <v>243.6669735995286</v>
      </c>
      <c r="BH190" s="399">
        <v>0</v>
      </c>
      <c r="BI190" s="399">
        <v>0</v>
      </c>
      <c r="BJ190" s="399">
        <v>0</v>
      </c>
      <c r="BK190" s="399">
        <v>0</v>
      </c>
      <c r="BL190" s="399">
        <v>0</v>
      </c>
      <c r="BM190" s="399"/>
      <c r="BN190" s="399"/>
      <c r="BO190" s="399"/>
      <c r="BP190" s="399"/>
      <c r="BQ190" s="399">
        <v>3238.5995520000015</v>
      </c>
      <c r="BR190" s="399"/>
      <c r="BS190" s="399"/>
      <c r="BT190" s="399"/>
      <c r="BU190" s="399"/>
      <c r="BV190" s="399">
        <v>6164.6103664803122</v>
      </c>
      <c r="BW190" s="399"/>
      <c r="BX190" s="399"/>
      <c r="BY190" s="399"/>
      <c r="BZ190" s="399"/>
      <c r="CA190" s="399"/>
      <c r="CB190" s="399"/>
      <c r="CC190" s="399"/>
      <c r="CD190" s="399"/>
      <c r="CE190" s="399"/>
      <c r="CF190" s="399"/>
      <c r="CG190" s="399"/>
      <c r="CH190" s="399"/>
      <c r="CI190" s="399">
        <v>50733.673000000003</v>
      </c>
      <c r="CJ190" s="399">
        <v>-19070.198113599989</v>
      </c>
      <c r="CK190" s="399"/>
      <c r="CL190" s="399"/>
      <c r="CM190" s="399"/>
      <c r="CN190" s="399"/>
      <c r="CO190" s="399">
        <v>-18942.787199999999</v>
      </c>
      <c r="CP190" s="399">
        <v>-1339.9590400000004</v>
      </c>
      <c r="CQ190" s="399">
        <v>31</v>
      </c>
      <c r="CR190" s="399">
        <v>-1022.1930095763055</v>
      </c>
      <c r="CS190" s="399">
        <v>0</v>
      </c>
      <c r="CT190" s="399">
        <v>0</v>
      </c>
      <c r="CU190" s="399">
        <v>0</v>
      </c>
      <c r="CV190" s="399">
        <v>0</v>
      </c>
      <c r="CW190" s="399">
        <v>0</v>
      </c>
      <c r="CX190" s="399">
        <v>0</v>
      </c>
      <c r="CY190" s="399">
        <v>0</v>
      </c>
      <c r="CZ190" s="399">
        <v>462.5176286629121</v>
      </c>
      <c r="DA190" s="399">
        <v>0</v>
      </c>
      <c r="DB190" s="399">
        <v>0</v>
      </c>
      <c r="DC190" s="399">
        <v>-1340.0989788360075</v>
      </c>
      <c r="DD190" s="399">
        <v>0</v>
      </c>
      <c r="DE190" s="399">
        <v>0</v>
      </c>
      <c r="DF190" s="399">
        <v>0</v>
      </c>
      <c r="DG190" s="399">
        <v>-55.149634243997951</v>
      </c>
      <c r="DH190" s="399">
        <v>0</v>
      </c>
      <c r="DI190" s="399">
        <v>-75.937078574542738</v>
      </c>
      <c r="DJ190" s="399"/>
      <c r="DK190" s="399">
        <v>0</v>
      </c>
      <c r="DL190" s="399">
        <v>0</v>
      </c>
      <c r="DM190" s="399">
        <v>0</v>
      </c>
      <c r="DN190" s="399">
        <v>0</v>
      </c>
      <c r="DO190" s="399">
        <v>-11.127386633423413</v>
      </c>
      <c r="DP190" s="399">
        <v>-2.3975599512473025</v>
      </c>
      <c r="DQ190" s="399">
        <v>0</v>
      </c>
      <c r="DR190" s="399">
        <v>0</v>
      </c>
      <c r="DS190" s="399"/>
      <c r="DT190" s="399"/>
      <c r="DU190" s="399"/>
      <c r="DV190" s="399">
        <v>52783.650467896106</v>
      </c>
      <c r="DW190" s="399">
        <v>0</v>
      </c>
      <c r="DX190" s="399">
        <v>0</v>
      </c>
      <c r="DY190" s="399">
        <v>-18942.787199999999</v>
      </c>
      <c r="DZ190" s="399">
        <v>-1339.9590399999997</v>
      </c>
      <c r="EA190" s="399">
        <v>0</v>
      </c>
      <c r="EB190" s="399">
        <v>0</v>
      </c>
      <c r="EC190" s="399">
        <v>-19260.760282723691</v>
      </c>
      <c r="ED190" s="399">
        <v>0</v>
      </c>
      <c r="EE190" s="399">
        <v>0</v>
      </c>
      <c r="EF190" s="399">
        <v>0</v>
      </c>
      <c r="EG190" s="399">
        <v>0</v>
      </c>
      <c r="EH190" s="399">
        <v>0</v>
      </c>
      <c r="EI190" s="399">
        <v>0</v>
      </c>
      <c r="EJ190" s="399">
        <v>0</v>
      </c>
      <c r="EK190" s="399">
        <v>0</v>
      </c>
      <c r="EL190" s="399">
        <v>0</v>
      </c>
      <c r="EM190" s="399">
        <v>0</v>
      </c>
      <c r="EN190" s="399">
        <v>0</v>
      </c>
      <c r="EO190" s="399">
        <v>0</v>
      </c>
      <c r="EP190" s="399">
        <v>516.12737092147665</v>
      </c>
      <c r="EQ190" s="399">
        <v>0</v>
      </c>
      <c r="ER190" s="399">
        <v>0</v>
      </c>
      <c r="ES190" s="399">
        <v>0</v>
      </c>
      <c r="ET190" s="399">
        <v>0</v>
      </c>
      <c r="EU190" s="399">
        <v>0</v>
      </c>
      <c r="EV190" s="399">
        <v>202</v>
      </c>
      <c r="EW190" s="399">
        <v>0</v>
      </c>
      <c r="EX190" s="399">
        <v>0</v>
      </c>
      <c r="EY190" s="399">
        <v>0</v>
      </c>
      <c r="EZ190" s="399"/>
      <c r="FA190" s="399">
        <v>0</v>
      </c>
      <c r="FB190" s="399">
        <v>-17.698635468909799</v>
      </c>
      <c r="FC190" s="399"/>
      <c r="FD190" s="399">
        <v>-17.698635468909799</v>
      </c>
      <c r="FE190" s="399"/>
      <c r="FF190" s="399">
        <v>0</v>
      </c>
      <c r="FG190" s="399">
        <v>0</v>
      </c>
      <c r="FH190" s="399">
        <v>0</v>
      </c>
      <c r="FI190" s="399">
        <v>0</v>
      </c>
    </row>
    <row r="191" spans="1:165">
      <c r="A191" s="399">
        <v>206</v>
      </c>
      <c r="B191" s="399" t="s">
        <v>956</v>
      </c>
      <c r="C191" s="399" t="s">
        <v>2399</v>
      </c>
      <c r="D191" s="399" t="s">
        <v>533</v>
      </c>
      <c r="E191" s="399" t="s">
        <v>921</v>
      </c>
      <c r="F191" s="399" t="s">
        <v>2401</v>
      </c>
      <c r="G191" s="399" t="s">
        <v>1239</v>
      </c>
      <c r="H191" s="399" t="s">
        <v>1239</v>
      </c>
      <c r="I191" s="399" t="s">
        <v>2326</v>
      </c>
      <c r="J191" s="399" t="s">
        <v>2400</v>
      </c>
      <c r="K191" s="788">
        <v>44682</v>
      </c>
      <c r="L191" s="399">
        <v>0</v>
      </c>
      <c r="M191" s="399">
        <v>0</v>
      </c>
      <c r="N191" s="399">
        <v>206.12899999999999</v>
      </c>
      <c r="O191" s="399">
        <v>193.76125999999999</v>
      </c>
      <c r="P191" s="399">
        <v>206.12899999999999</v>
      </c>
      <c r="Q191" s="399">
        <v>193.76125999999999</v>
      </c>
      <c r="R191" s="399"/>
      <c r="S191" s="399">
        <v>100.48</v>
      </c>
      <c r="T191" s="399">
        <v>286.42</v>
      </c>
      <c r="U191" s="399"/>
      <c r="V191" s="399">
        <v>79751.310100000002</v>
      </c>
      <c r="W191" s="399">
        <v>79751.310100000002</v>
      </c>
      <c r="X191" s="399">
        <v>64947.125319999999</v>
      </c>
      <c r="Y191" s="399">
        <v>0</v>
      </c>
      <c r="Z191" s="399">
        <v>10914.410398443204</v>
      </c>
      <c r="AA191" s="399">
        <v>0</v>
      </c>
      <c r="AB191" s="399">
        <v>0</v>
      </c>
      <c r="AC191" s="399">
        <v>0</v>
      </c>
      <c r="AD191" s="399">
        <v>0</v>
      </c>
      <c r="AE191" s="399">
        <v>0</v>
      </c>
      <c r="AF191" s="399">
        <v>59040.157731768726</v>
      </c>
      <c r="AG191" s="399">
        <v>0</v>
      </c>
      <c r="AH191" s="399">
        <v>0</v>
      </c>
      <c r="AI191" s="399">
        <v>0</v>
      </c>
      <c r="AJ191" s="399">
        <v>0</v>
      </c>
      <c r="AK191" s="399">
        <v>0</v>
      </c>
      <c r="AL191" s="399">
        <v>1938.8264843605989</v>
      </c>
      <c r="AM191" s="399"/>
      <c r="AN191" s="399">
        <v>282.41475130172176</v>
      </c>
      <c r="AO191" s="399">
        <v>0</v>
      </c>
      <c r="AP191" s="399">
        <v>0</v>
      </c>
      <c r="AQ191" s="399">
        <v>0</v>
      </c>
      <c r="AR191" s="399">
        <v>0</v>
      </c>
      <c r="AS191" s="399">
        <v>0</v>
      </c>
      <c r="AT191" s="399">
        <v>0</v>
      </c>
      <c r="AU191" s="399">
        <v>0</v>
      </c>
      <c r="AV191" s="399">
        <v>0</v>
      </c>
      <c r="AW191" s="399">
        <v>0</v>
      </c>
      <c r="AX191" s="399">
        <v>0</v>
      </c>
      <c r="AY191" s="399">
        <v>0</v>
      </c>
      <c r="AZ191" s="399">
        <v>0</v>
      </c>
      <c r="BA191" s="399"/>
      <c r="BB191" s="399">
        <v>0</v>
      </c>
      <c r="BC191" s="399">
        <v>0</v>
      </c>
      <c r="BD191" s="399">
        <v>0</v>
      </c>
      <c r="BE191" s="399">
        <v>0</v>
      </c>
      <c r="BF191" s="399">
        <v>0</v>
      </c>
      <c r="BG191" s="399">
        <v>2429.7034443255238</v>
      </c>
      <c r="BH191" s="399">
        <v>0</v>
      </c>
      <c r="BI191" s="399">
        <v>0</v>
      </c>
      <c r="BJ191" s="399">
        <v>0</v>
      </c>
      <c r="BK191" s="399">
        <v>0</v>
      </c>
      <c r="BL191" s="399">
        <v>0</v>
      </c>
      <c r="BM191" s="399"/>
      <c r="BN191" s="399"/>
      <c r="BO191" s="399"/>
      <c r="BP191" s="399"/>
      <c r="BQ191" s="399">
        <v>3896.8275191999992</v>
      </c>
      <c r="BR191" s="399"/>
      <c r="BS191" s="399"/>
      <c r="BT191" s="399"/>
      <c r="BU191" s="399"/>
      <c r="BV191" s="399">
        <v>61469.861176094251</v>
      </c>
      <c r="BW191" s="399"/>
      <c r="BX191" s="399"/>
      <c r="BY191" s="399"/>
      <c r="BZ191" s="399"/>
      <c r="CA191" s="399"/>
      <c r="CB191" s="399"/>
      <c r="CC191" s="399"/>
      <c r="CD191" s="399"/>
      <c r="CE191" s="399"/>
      <c r="CF191" s="399"/>
      <c r="CG191" s="399"/>
      <c r="CH191" s="399"/>
      <c r="CI191" s="399">
        <v>61049.900800000003</v>
      </c>
      <c r="CJ191" s="399">
        <v>-13916.360693999988</v>
      </c>
      <c r="CK191" s="399"/>
      <c r="CL191" s="399"/>
      <c r="CM191" s="399"/>
      <c r="CN191" s="399"/>
      <c r="CO191" s="399">
        <v>-1442.903</v>
      </c>
      <c r="CP191" s="399">
        <v>-13361.281780000003</v>
      </c>
      <c r="CQ191" s="399">
        <v>31</v>
      </c>
      <c r="CR191" s="399">
        <v>-14804.659401587276</v>
      </c>
      <c r="CS191" s="399">
        <v>0</v>
      </c>
      <c r="CT191" s="399">
        <v>0</v>
      </c>
      <c r="CU191" s="399">
        <v>0</v>
      </c>
      <c r="CV191" s="399">
        <v>0</v>
      </c>
      <c r="CW191" s="399">
        <v>0</v>
      </c>
      <c r="CX191" s="399">
        <v>0</v>
      </c>
      <c r="CY191" s="399">
        <v>0</v>
      </c>
      <c r="CZ191" s="399">
        <v>0</v>
      </c>
      <c r="DA191" s="399">
        <v>0</v>
      </c>
      <c r="DB191" s="399">
        <v>0</v>
      </c>
      <c r="DC191" s="399">
        <v>-13362.67716759324</v>
      </c>
      <c r="DD191" s="399">
        <v>0</v>
      </c>
      <c r="DE191" s="399">
        <v>0</v>
      </c>
      <c r="DF191" s="399">
        <v>0</v>
      </c>
      <c r="DG191" s="399">
        <v>-549.9196476916145</v>
      </c>
      <c r="DH191" s="399">
        <v>0</v>
      </c>
      <c r="DI191" s="399">
        <v>-757.19979051334849</v>
      </c>
      <c r="DJ191" s="399"/>
      <c r="DK191" s="399">
        <v>0</v>
      </c>
      <c r="DL191" s="399">
        <v>0</v>
      </c>
      <c r="DM191" s="399">
        <v>0</v>
      </c>
      <c r="DN191" s="399">
        <v>0</v>
      </c>
      <c r="DO191" s="399">
        <v>-110.95574106815661</v>
      </c>
      <c r="DP191" s="399">
        <v>-23.907054720910196</v>
      </c>
      <c r="DQ191" s="399">
        <v>0</v>
      </c>
      <c r="DR191" s="399">
        <v>0</v>
      </c>
      <c r="DS191" s="399"/>
      <c r="DT191" s="399"/>
      <c r="DU191" s="399"/>
      <c r="DV191" s="399">
        <v>0</v>
      </c>
      <c r="DW191" s="399">
        <v>0</v>
      </c>
      <c r="DX191" s="399">
        <v>0</v>
      </c>
      <c r="DY191" s="399">
        <v>-1442.9029999999984</v>
      </c>
      <c r="DZ191" s="399">
        <v>-13361.281780000005</v>
      </c>
      <c r="EA191" s="399">
        <v>0</v>
      </c>
      <c r="EB191" s="399">
        <v>0</v>
      </c>
      <c r="EC191" s="399">
        <v>0</v>
      </c>
      <c r="ED191" s="399">
        <v>0</v>
      </c>
      <c r="EE191" s="399">
        <v>0</v>
      </c>
      <c r="EF191" s="399">
        <v>0</v>
      </c>
      <c r="EG191" s="399">
        <v>0</v>
      </c>
      <c r="EH191" s="399">
        <v>0</v>
      </c>
      <c r="EI191" s="399">
        <v>0</v>
      </c>
      <c r="EJ191" s="399">
        <v>0</v>
      </c>
      <c r="EK191" s="399">
        <v>0</v>
      </c>
      <c r="EL191" s="399">
        <v>0</v>
      </c>
      <c r="EM191" s="399">
        <v>0</v>
      </c>
      <c r="EN191" s="399">
        <v>0</v>
      </c>
      <c r="EO191" s="399">
        <v>0</v>
      </c>
      <c r="EP191" s="399">
        <v>5146.5179392740447</v>
      </c>
      <c r="EQ191" s="399">
        <v>0</v>
      </c>
      <c r="ER191" s="399">
        <v>0</v>
      </c>
      <c r="ES191" s="399">
        <v>0</v>
      </c>
      <c r="ET191" s="399">
        <v>0</v>
      </c>
      <c r="EU191" s="399">
        <v>0</v>
      </c>
      <c r="EV191" s="399">
        <v>202</v>
      </c>
      <c r="EW191" s="399">
        <v>0</v>
      </c>
      <c r="EX191" s="399">
        <v>0</v>
      </c>
      <c r="EY191" s="399">
        <v>0</v>
      </c>
      <c r="EZ191" s="399"/>
      <c r="FA191" s="399">
        <v>0</v>
      </c>
      <c r="FB191" s="399">
        <v>-17.698635468909799</v>
      </c>
      <c r="FC191" s="399"/>
      <c r="FD191" s="399">
        <v>-17.698635468909799</v>
      </c>
      <c r="FE191" s="399"/>
      <c r="FF191" s="399">
        <v>0</v>
      </c>
      <c r="FG191" s="399">
        <v>0</v>
      </c>
      <c r="FH191" s="399">
        <v>0</v>
      </c>
      <c r="FI191" s="399">
        <v>0</v>
      </c>
    </row>
    <row r="192" spans="1:165">
      <c r="A192" s="399">
        <v>207</v>
      </c>
      <c r="B192" s="399" t="s">
        <v>956</v>
      </c>
      <c r="C192" s="399" t="s">
        <v>2399</v>
      </c>
      <c r="D192" s="399" t="s">
        <v>533</v>
      </c>
      <c r="E192" s="399" t="s">
        <v>921</v>
      </c>
      <c r="F192" s="399" t="s">
        <v>2401</v>
      </c>
      <c r="G192" s="399" t="s">
        <v>1239</v>
      </c>
      <c r="H192" s="399" t="s">
        <v>1239</v>
      </c>
      <c r="I192" s="399" t="s">
        <v>1239</v>
      </c>
      <c r="J192" s="399" t="s">
        <v>2400</v>
      </c>
      <c r="K192" s="788">
        <v>44682</v>
      </c>
      <c r="L192" s="399">
        <v>556</v>
      </c>
      <c r="M192" s="399">
        <v>522.64</v>
      </c>
      <c r="N192" s="399">
        <v>0</v>
      </c>
      <c r="O192" s="399">
        <v>0</v>
      </c>
      <c r="P192" s="399">
        <v>0</v>
      </c>
      <c r="Q192" s="399">
        <v>0</v>
      </c>
      <c r="R192" s="399">
        <v>39.21</v>
      </c>
      <c r="S192" s="399"/>
      <c r="T192" s="399"/>
      <c r="U192" s="399">
        <v>21800.760000000002</v>
      </c>
      <c r="V192" s="399"/>
      <c r="W192" s="399">
        <v>21800.760000000002</v>
      </c>
      <c r="X192" s="399">
        <v>16591.04</v>
      </c>
      <c r="Y192" s="399">
        <v>0</v>
      </c>
      <c r="Z192" s="399">
        <v>0</v>
      </c>
      <c r="AA192" s="399">
        <v>0</v>
      </c>
      <c r="AB192" s="399">
        <v>0</v>
      </c>
      <c r="AC192" s="399">
        <v>0</v>
      </c>
      <c r="AD192" s="399">
        <v>6867.8398590748293</v>
      </c>
      <c r="AE192" s="399">
        <v>14935.267123703527</v>
      </c>
      <c r="AF192" s="399"/>
      <c r="AG192" s="399"/>
      <c r="AH192" s="399"/>
      <c r="AI192" s="399">
        <v>0</v>
      </c>
      <c r="AJ192" s="399">
        <v>0</v>
      </c>
      <c r="AK192" s="399">
        <v>0</v>
      </c>
      <c r="AL192" s="399">
        <v>0</v>
      </c>
      <c r="AM192" s="399"/>
      <c r="AN192" s="399">
        <v>0</v>
      </c>
      <c r="AO192" s="399">
        <v>0</v>
      </c>
      <c r="AP192" s="399">
        <v>0</v>
      </c>
      <c r="AQ192" s="399">
        <v>0</v>
      </c>
      <c r="AR192" s="399">
        <v>0</v>
      </c>
      <c r="AS192" s="399"/>
      <c r="AT192" s="399"/>
      <c r="AU192" s="399">
        <v>0</v>
      </c>
      <c r="AV192" s="399">
        <v>0</v>
      </c>
      <c r="AW192" s="399">
        <v>0</v>
      </c>
      <c r="AX192" s="399"/>
      <c r="AY192" s="399"/>
      <c r="AZ192" s="399">
        <v>0</v>
      </c>
      <c r="BA192" s="399"/>
      <c r="BB192" s="399">
        <v>0</v>
      </c>
      <c r="BC192" s="399">
        <v>0</v>
      </c>
      <c r="BD192" s="399">
        <v>0</v>
      </c>
      <c r="BE192" s="399">
        <v>0</v>
      </c>
      <c r="BF192" s="399"/>
      <c r="BG192" s="399">
        <v>0</v>
      </c>
      <c r="BH192" s="399">
        <v>0</v>
      </c>
      <c r="BI192" s="399">
        <v>427.9</v>
      </c>
      <c r="BJ192" s="399">
        <v>1975.25</v>
      </c>
      <c r="BK192" s="399">
        <v>29233.84</v>
      </c>
      <c r="BL192" s="399">
        <v>2</v>
      </c>
      <c r="BM192" s="399"/>
      <c r="BN192" s="399"/>
      <c r="BO192" s="399"/>
      <c r="BP192" s="399"/>
      <c r="BQ192" s="399">
        <v>995.46240000000046</v>
      </c>
      <c r="BR192" s="399"/>
      <c r="BS192" s="399"/>
      <c r="BT192" s="399"/>
      <c r="BU192" s="399"/>
      <c r="BV192" s="399">
        <v>0</v>
      </c>
      <c r="BW192" s="399"/>
      <c r="BX192" s="399"/>
      <c r="BY192" s="399"/>
      <c r="BZ192" s="399"/>
      <c r="CA192" s="399"/>
      <c r="CB192" s="399"/>
      <c r="CC192" s="399"/>
      <c r="CD192" s="399"/>
      <c r="CE192" s="399"/>
      <c r="CF192" s="399"/>
      <c r="CG192" s="399"/>
      <c r="CH192" s="399"/>
      <c r="CI192" s="399">
        <v>15595.577599999999</v>
      </c>
      <c r="CJ192" s="399">
        <v>-4897.1667999999972</v>
      </c>
      <c r="CK192" s="399"/>
      <c r="CL192" s="399"/>
      <c r="CM192" s="399"/>
      <c r="CN192" s="399"/>
      <c r="CO192" s="399">
        <v>-5209.72</v>
      </c>
      <c r="CP192" s="399">
        <v>0</v>
      </c>
      <c r="CQ192" s="399">
        <v>31</v>
      </c>
      <c r="CR192" s="399">
        <v>235.68302433918689</v>
      </c>
      <c r="CS192" s="399">
        <v>0</v>
      </c>
      <c r="CT192" s="399">
        <v>0</v>
      </c>
      <c r="CU192" s="399">
        <v>0</v>
      </c>
      <c r="CV192" s="399">
        <v>0</v>
      </c>
      <c r="CW192" s="399"/>
      <c r="CX192" s="399"/>
      <c r="CY192" s="399"/>
      <c r="CZ192" s="399">
        <v>235.68302433918689</v>
      </c>
      <c r="DA192" s="399">
        <v>0</v>
      </c>
      <c r="DB192" s="399">
        <v>0</v>
      </c>
      <c r="DC192" s="399"/>
      <c r="DD192" s="399"/>
      <c r="DE192" s="399">
        <v>0</v>
      </c>
      <c r="DF192" s="399">
        <v>0</v>
      </c>
      <c r="DG192" s="399">
        <v>0</v>
      </c>
      <c r="DH192" s="399">
        <v>0</v>
      </c>
      <c r="DI192" s="399">
        <v>0</v>
      </c>
      <c r="DJ192" s="399"/>
      <c r="DK192" s="399">
        <v>0</v>
      </c>
      <c r="DL192" s="399">
        <v>0</v>
      </c>
      <c r="DM192" s="399"/>
      <c r="DN192" s="399">
        <v>0</v>
      </c>
      <c r="DO192" s="399">
        <v>0</v>
      </c>
      <c r="DP192" s="399">
        <v>0</v>
      </c>
      <c r="DQ192" s="399">
        <v>0</v>
      </c>
      <c r="DR192" s="399">
        <v>0</v>
      </c>
      <c r="DS192" s="399"/>
      <c r="DT192" s="399"/>
      <c r="DU192" s="399">
        <v>14935.267123703527</v>
      </c>
      <c r="DV192" s="399"/>
      <c r="DW192" s="399">
        <v>0</v>
      </c>
      <c r="DX192" s="399">
        <v>0</v>
      </c>
      <c r="DY192" s="399">
        <v>-5209.7200000000012</v>
      </c>
      <c r="DZ192" s="399"/>
      <c r="EA192" s="399">
        <v>0</v>
      </c>
      <c r="EB192" s="399"/>
      <c r="EC192" s="399">
        <v>-5449.8807353814664</v>
      </c>
      <c r="ED192" s="399"/>
      <c r="EE192" s="399">
        <v>0</v>
      </c>
      <c r="EF192" s="399">
        <v>0</v>
      </c>
      <c r="EG192" s="399"/>
      <c r="EH192" s="399">
        <v>0</v>
      </c>
      <c r="EI192" s="399">
        <v>0</v>
      </c>
      <c r="EJ192" s="399">
        <v>0</v>
      </c>
      <c r="EK192" s="399">
        <v>0</v>
      </c>
      <c r="EL192" s="399">
        <v>0</v>
      </c>
      <c r="EM192" s="399"/>
      <c r="EN192" s="399"/>
      <c r="EO192" s="399">
        <v>0</v>
      </c>
      <c r="EP192" s="399">
        <v>0</v>
      </c>
      <c r="EQ192" s="399"/>
      <c r="ER192" s="399">
        <v>0</v>
      </c>
      <c r="ES192" s="399"/>
      <c r="ET192" s="399">
        <v>0</v>
      </c>
      <c r="EU192" s="399"/>
      <c r="EV192" s="399">
        <v>202</v>
      </c>
      <c r="EW192" s="399"/>
      <c r="EX192" s="399"/>
      <c r="EY192" s="399"/>
      <c r="EZ192" s="399"/>
      <c r="FA192" s="399">
        <v>0</v>
      </c>
      <c r="FB192" s="399">
        <v>-17.698635468909799</v>
      </c>
      <c r="FC192" s="399"/>
      <c r="FD192" s="399">
        <v>-17.698635468909799</v>
      </c>
      <c r="FE192" s="399"/>
      <c r="FF192" s="399">
        <v>0</v>
      </c>
      <c r="FG192" s="399">
        <v>0</v>
      </c>
      <c r="FH192" s="399">
        <v>0</v>
      </c>
      <c r="FI192" s="399">
        <v>0</v>
      </c>
    </row>
    <row r="193" spans="1:165">
      <c r="A193" s="399">
        <v>185</v>
      </c>
      <c r="B193" s="399" t="s">
        <v>956</v>
      </c>
      <c r="C193" s="399" t="s">
        <v>2402</v>
      </c>
      <c r="D193" s="399" t="s">
        <v>1823</v>
      </c>
      <c r="E193" s="399" t="s">
        <v>889</v>
      </c>
      <c r="F193" s="399" t="s">
        <v>889</v>
      </c>
      <c r="G193" s="399" t="s">
        <v>1239</v>
      </c>
      <c r="H193" s="399" t="s">
        <v>1239</v>
      </c>
      <c r="I193" s="399" t="s">
        <v>1239</v>
      </c>
      <c r="J193" s="399" t="s">
        <v>2400</v>
      </c>
      <c r="K193" s="788">
        <v>44682</v>
      </c>
      <c r="L193" s="399">
        <v>0</v>
      </c>
      <c r="M193" s="399">
        <v>0</v>
      </c>
      <c r="N193" s="399">
        <v>414.59500000000003</v>
      </c>
      <c r="O193" s="399">
        <v>414.59500000000003</v>
      </c>
      <c r="P193" s="399">
        <v>414.59500000000003</v>
      </c>
      <c r="Q193" s="399">
        <v>414.59500000000003</v>
      </c>
      <c r="R193" s="399"/>
      <c r="S193" s="399">
        <v>609.05999999999995</v>
      </c>
      <c r="T193" s="399">
        <v>286.42</v>
      </c>
      <c r="U193" s="399"/>
      <c r="V193" s="399">
        <v>371261.5306</v>
      </c>
      <c r="W193" s="399">
        <v>371261.5306</v>
      </c>
      <c r="X193" s="399">
        <v>283529.08265</v>
      </c>
      <c r="Y193" s="399">
        <v>0</v>
      </c>
      <c r="Z193" s="399">
        <v>25232.831706506746</v>
      </c>
      <c r="AA193" s="399">
        <v>0</v>
      </c>
      <c r="AB193" s="399">
        <v>0</v>
      </c>
      <c r="AC193" s="399">
        <v>0</v>
      </c>
      <c r="AD193" s="399">
        <v>40486.093110660186</v>
      </c>
      <c r="AE193" s="399">
        <v>156390.20714779309</v>
      </c>
      <c r="AF193" s="399">
        <v>118749.68682137234</v>
      </c>
      <c r="AG193" s="399">
        <v>0</v>
      </c>
      <c r="AH193" s="399">
        <v>0</v>
      </c>
      <c r="AI193" s="399">
        <v>0</v>
      </c>
      <c r="AJ193" s="399">
        <v>0</v>
      </c>
      <c r="AK193" s="399">
        <v>0</v>
      </c>
      <c r="AL193" s="399">
        <v>3899.6345312085277</v>
      </c>
      <c r="AM193" s="399"/>
      <c r="AN193" s="399">
        <v>708.06091583909563</v>
      </c>
      <c r="AO193" s="399">
        <v>0</v>
      </c>
      <c r="AP193" s="399">
        <v>0</v>
      </c>
      <c r="AQ193" s="399">
        <v>0</v>
      </c>
      <c r="AR193" s="399">
        <v>0</v>
      </c>
      <c r="AS193" s="399">
        <v>0</v>
      </c>
      <c r="AT193" s="399">
        <v>0</v>
      </c>
      <c r="AU193" s="399">
        <v>0</v>
      </c>
      <c r="AV193" s="399">
        <v>0</v>
      </c>
      <c r="AW193" s="399">
        <v>0</v>
      </c>
      <c r="AX193" s="399">
        <v>0</v>
      </c>
      <c r="AY193" s="399">
        <v>0</v>
      </c>
      <c r="AZ193" s="399">
        <v>0</v>
      </c>
      <c r="BA193" s="399"/>
      <c r="BB193" s="399">
        <v>0</v>
      </c>
      <c r="BC193" s="399">
        <v>0</v>
      </c>
      <c r="BD193" s="399">
        <v>0</v>
      </c>
      <c r="BE193" s="399">
        <v>0</v>
      </c>
      <c r="BF193" s="399">
        <v>0</v>
      </c>
      <c r="BG193" s="399">
        <v>13898.185787835624</v>
      </c>
      <c r="BH193" s="399">
        <v>0</v>
      </c>
      <c r="BI193" s="399">
        <v>1396.73</v>
      </c>
      <c r="BJ193" s="399">
        <v>6510.51</v>
      </c>
      <c r="BK193" s="399">
        <v>54893.93</v>
      </c>
      <c r="BL193" s="399">
        <v>3286</v>
      </c>
      <c r="BM193" s="399"/>
      <c r="BN193" s="399"/>
      <c r="BO193" s="399"/>
      <c r="BP193" s="399"/>
      <c r="BQ193" s="399"/>
      <c r="BR193" s="399"/>
      <c r="BS193" s="399"/>
      <c r="BT193" s="399"/>
      <c r="BU193" s="399"/>
      <c r="BV193" s="399">
        <v>132647.87260920796</v>
      </c>
      <c r="BW193" s="399"/>
      <c r="BX193" s="399"/>
      <c r="BY193" s="399"/>
      <c r="BZ193" s="399"/>
      <c r="CA193" s="399"/>
      <c r="CB193" s="399"/>
      <c r="CC193" s="399"/>
      <c r="CD193" s="399"/>
      <c r="CE193" s="399"/>
      <c r="CF193" s="399"/>
      <c r="CG193" s="399"/>
      <c r="CH193" s="399"/>
      <c r="CI193" s="399">
        <v>283532.50199999998</v>
      </c>
      <c r="CJ193" s="399">
        <v>-87729.058600000048</v>
      </c>
      <c r="CK193" s="399"/>
      <c r="CL193" s="399"/>
      <c r="CM193" s="399"/>
      <c r="CN193" s="399"/>
      <c r="CO193" s="399">
        <v>-60858.400049999989</v>
      </c>
      <c r="CP193" s="399">
        <v>-26874.047900000012</v>
      </c>
      <c r="CQ193" s="399">
        <v>31</v>
      </c>
      <c r="CR193" s="399">
        <v>-30666.76640174468</v>
      </c>
      <c r="CS193" s="399">
        <v>0</v>
      </c>
      <c r="CT193" s="399">
        <v>0</v>
      </c>
      <c r="CU193" s="399">
        <v>0</v>
      </c>
      <c r="CV193" s="399">
        <v>0</v>
      </c>
      <c r="CW193" s="399">
        <v>0</v>
      </c>
      <c r="CX193" s="399">
        <v>0</v>
      </c>
      <c r="CY193" s="399">
        <v>0</v>
      </c>
      <c r="CZ193" s="399">
        <v>1389.3575074252149</v>
      </c>
      <c r="DA193" s="399">
        <v>0</v>
      </c>
      <c r="DB193" s="399">
        <v>0</v>
      </c>
      <c r="DC193" s="399">
        <v>-26876.854495477688</v>
      </c>
      <c r="DD193" s="399">
        <v>0</v>
      </c>
      <c r="DE193" s="399">
        <v>0</v>
      </c>
      <c r="DF193" s="399">
        <v>0</v>
      </c>
      <c r="DG193" s="399">
        <v>-3145.6042299519249</v>
      </c>
      <c r="DH193" s="399">
        <v>0</v>
      </c>
      <c r="DI193" s="399">
        <v>-1750.5567579674826</v>
      </c>
      <c r="DJ193" s="399"/>
      <c r="DK193" s="399">
        <v>0</v>
      </c>
      <c r="DL193" s="399">
        <v>0</v>
      </c>
      <c r="DM193" s="399">
        <v>0</v>
      </c>
      <c r="DN193" s="399">
        <v>0</v>
      </c>
      <c r="DO193" s="399">
        <v>-223.16944955902591</v>
      </c>
      <c r="DP193" s="399">
        <v>-59.938976213810065</v>
      </c>
      <c r="DQ193" s="399">
        <v>0</v>
      </c>
      <c r="DR193" s="399">
        <v>0</v>
      </c>
      <c r="DS193" s="399"/>
      <c r="DT193" s="399"/>
      <c r="DU193" s="399"/>
      <c r="DV193" s="399">
        <v>156390.20714779309</v>
      </c>
      <c r="DW193" s="399">
        <v>0</v>
      </c>
      <c r="DX193" s="399">
        <v>0</v>
      </c>
      <c r="DY193" s="399">
        <v>-60858.400049999967</v>
      </c>
      <c r="DZ193" s="399">
        <v>-26874.047900000005</v>
      </c>
      <c r="EA193" s="399">
        <v>0</v>
      </c>
      <c r="EB193" s="399">
        <v>0</v>
      </c>
      <c r="EC193" s="399">
        <v>-57066.805037881772</v>
      </c>
      <c r="ED193" s="399">
        <v>0</v>
      </c>
      <c r="EE193" s="399">
        <v>0</v>
      </c>
      <c r="EF193" s="399">
        <v>0</v>
      </c>
      <c r="EG193" s="399">
        <v>0</v>
      </c>
      <c r="EH193" s="399">
        <v>0</v>
      </c>
      <c r="EI193" s="399">
        <v>0</v>
      </c>
      <c r="EJ193" s="399">
        <v>0</v>
      </c>
      <c r="EK193" s="399">
        <v>0</v>
      </c>
      <c r="EL193" s="399">
        <v>0</v>
      </c>
      <c r="EM193" s="399">
        <v>0</v>
      </c>
      <c r="EN193" s="399">
        <v>0</v>
      </c>
      <c r="EO193" s="399">
        <v>0</v>
      </c>
      <c r="EP193" s="399">
        <v>11898.143490622529</v>
      </c>
      <c r="EQ193" s="399">
        <v>0</v>
      </c>
      <c r="ER193" s="399">
        <v>0</v>
      </c>
      <c r="ES193" s="399">
        <v>0</v>
      </c>
      <c r="ET193" s="399">
        <v>0</v>
      </c>
      <c r="EU193" s="399">
        <v>0</v>
      </c>
      <c r="EV193" s="399">
        <v>202</v>
      </c>
      <c r="EW193" s="399">
        <v>0</v>
      </c>
      <c r="EX193" s="399">
        <v>0</v>
      </c>
      <c r="EY193" s="399">
        <v>0</v>
      </c>
      <c r="EZ193" s="399"/>
      <c r="FA193" s="399">
        <v>0</v>
      </c>
      <c r="FB193" s="399">
        <v>-17.698635468909799</v>
      </c>
      <c r="FC193" s="399"/>
      <c r="FD193" s="399">
        <v>-17.698635468909799</v>
      </c>
      <c r="FE193" s="399"/>
      <c r="FF193" s="399">
        <v>0</v>
      </c>
      <c r="FG193" s="399">
        <v>0</v>
      </c>
      <c r="FH193" s="399">
        <v>0</v>
      </c>
      <c r="FI193" s="399">
        <v>0</v>
      </c>
    </row>
    <row r="194" spans="1:165">
      <c r="A194" s="399">
        <v>186</v>
      </c>
      <c r="B194" s="399" t="s">
        <v>2403</v>
      </c>
      <c r="C194" s="399" t="s">
        <v>2402</v>
      </c>
      <c r="D194" s="399" t="s">
        <v>1823</v>
      </c>
      <c r="E194" s="399" t="s">
        <v>889</v>
      </c>
      <c r="F194" s="399" t="s">
        <v>889</v>
      </c>
      <c r="G194" s="399" t="s">
        <v>1239</v>
      </c>
      <c r="H194" s="399" t="s">
        <v>1239</v>
      </c>
      <c r="I194" s="399" t="s">
        <v>1239</v>
      </c>
      <c r="J194" s="399" t="s">
        <v>2400</v>
      </c>
      <c r="K194" s="788">
        <v>44682</v>
      </c>
      <c r="L194" s="399">
        <v>0</v>
      </c>
      <c r="M194" s="399">
        <v>0</v>
      </c>
      <c r="N194" s="399">
        <v>-1.095</v>
      </c>
      <c r="O194" s="399">
        <v>-1.095</v>
      </c>
      <c r="P194" s="399">
        <v>-1.095</v>
      </c>
      <c r="Q194" s="399">
        <v>-1.095</v>
      </c>
      <c r="R194" s="399"/>
      <c r="S194" s="399">
        <v>609.05999999999995</v>
      </c>
      <c r="T194" s="399">
        <v>286.42</v>
      </c>
      <c r="U194" s="399"/>
      <c r="V194" s="399">
        <v>-980.55059999999992</v>
      </c>
      <c r="W194" s="399">
        <v>-980.55059999999992</v>
      </c>
      <c r="X194" s="399">
        <v>-748.83764999999994</v>
      </c>
      <c r="Y194" s="399">
        <v>0</v>
      </c>
      <c r="Z194" s="399">
        <v>-66.643231873575132</v>
      </c>
      <c r="AA194" s="399">
        <v>0</v>
      </c>
      <c r="AB194" s="399">
        <v>0</v>
      </c>
      <c r="AC194" s="399">
        <v>0</v>
      </c>
      <c r="AD194" s="399">
        <v>-106.92910420090185</v>
      </c>
      <c r="AE194" s="399">
        <v>-413.04713473831913</v>
      </c>
      <c r="AF194" s="399">
        <v>-313.63356304201136</v>
      </c>
      <c r="AG194" s="399">
        <v>0</v>
      </c>
      <c r="AH194" s="399">
        <v>0</v>
      </c>
      <c r="AI194" s="399">
        <v>0</v>
      </c>
      <c r="AJ194" s="399">
        <v>0</v>
      </c>
      <c r="AK194" s="399">
        <v>0</v>
      </c>
      <c r="AL194" s="399">
        <v>-10.299448405488096</v>
      </c>
      <c r="AM194" s="399"/>
      <c r="AN194" s="399">
        <v>-1.8700821352013643</v>
      </c>
      <c r="AO194" s="399">
        <v>0</v>
      </c>
      <c r="AP194" s="399">
        <v>0</v>
      </c>
      <c r="AQ194" s="399">
        <v>0</v>
      </c>
      <c r="AR194" s="399">
        <v>0</v>
      </c>
      <c r="AS194" s="399">
        <v>0</v>
      </c>
      <c r="AT194" s="399">
        <v>0</v>
      </c>
      <c r="AU194" s="399">
        <v>0</v>
      </c>
      <c r="AV194" s="399">
        <v>0</v>
      </c>
      <c r="AW194" s="399">
        <v>0</v>
      </c>
      <c r="AX194" s="399">
        <v>0</v>
      </c>
      <c r="AY194" s="399">
        <v>0</v>
      </c>
      <c r="AZ194" s="399">
        <v>0</v>
      </c>
      <c r="BA194" s="399"/>
      <c r="BB194" s="399">
        <v>0</v>
      </c>
      <c r="BC194" s="399">
        <v>0</v>
      </c>
      <c r="BD194" s="399">
        <v>0</v>
      </c>
      <c r="BE194" s="399">
        <v>0</v>
      </c>
      <c r="BF194" s="399">
        <v>0</v>
      </c>
      <c r="BG194" s="399">
        <v>-36.706939151895241</v>
      </c>
      <c r="BH194" s="399">
        <v>0</v>
      </c>
      <c r="BI194" s="399">
        <v>-2.46</v>
      </c>
      <c r="BJ194" s="399">
        <v>-13.26</v>
      </c>
      <c r="BK194" s="399">
        <v>-373.79</v>
      </c>
      <c r="BL194" s="399">
        <v>0</v>
      </c>
      <c r="BM194" s="399"/>
      <c r="BN194" s="399"/>
      <c r="BO194" s="399"/>
      <c r="BP194" s="399"/>
      <c r="BQ194" s="399"/>
      <c r="BR194" s="399"/>
      <c r="BS194" s="399"/>
      <c r="BT194" s="399"/>
      <c r="BU194" s="399"/>
      <c r="BV194" s="399">
        <v>-350.34050219390662</v>
      </c>
      <c r="BW194" s="399"/>
      <c r="BX194" s="399"/>
      <c r="BY194" s="399"/>
      <c r="BZ194" s="399"/>
      <c r="CA194" s="399"/>
      <c r="CB194" s="399"/>
      <c r="CC194" s="399"/>
      <c r="CD194" s="399"/>
      <c r="CE194" s="399"/>
      <c r="CF194" s="399"/>
      <c r="CG194" s="399"/>
      <c r="CH194" s="399"/>
      <c r="CI194" s="399">
        <v>-752.25700000000006</v>
      </c>
      <c r="CJ194" s="399">
        <v>228.26359999999988</v>
      </c>
      <c r="CK194" s="399"/>
      <c r="CL194" s="399"/>
      <c r="CM194" s="399"/>
      <c r="CN194" s="399"/>
      <c r="CO194" s="399">
        <v>160.73504999999994</v>
      </c>
      <c r="CP194" s="399">
        <v>70.97790000000002</v>
      </c>
      <c r="CQ194" s="399">
        <v>31</v>
      </c>
      <c r="CR194" s="399">
        <v>80.994969090101165</v>
      </c>
      <c r="CS194" s="399">
        <v>0</v>
      </c>
      <c r="CT194" s="399">
        <v>0</v>
      </c>
      <c r="CU194" s="399">
        <v>0</v>
      </c>
      <c r="CV194" s="399">
        <v>0</v>
      </c>
      <c r="CW194" s="399">
        <v>0</v>
      </c>
      <c r="CX194" s="399">
        <v>0</v>
      </c>
      <c r="CY194" s="399">
        <v>0</v>
      </c>
      <c r="CZ194" s="399">
        <v>-3.6694761650058751</v>
      </c>
      <c r="DA194" s="399">
        <v>0</v>
      </c>
      <c r="DB194" s="399">
        <v>0</v>
      </c>
      <c r="DC194" s="399">
        <v>70.985312588304396</v>
      </c>
      <c r="DD194" s="399">
        <v>0</v>
      </c>
      <c r="DE194" s="399">
        <v>0</v>
      </c>
      <c r="DF194" s="399">
        <v>0</v>
      </c>
      <c r="DG194" s="399">
        <v>8.3079550689163106</v>
      </c>
      <c r="DH194" s="399">
        <v>0</v>
      </c>
      <c r="DI194" s="399">
        <v>4.6234509581022252</v>
      </c>
      <c r="DJ194" s="399"/>
      <c r="DK194" s="399">
        <v>0</v>
      </c>
      <c r="DL194" s="399">
        <v>0</v>
      </c>
      <c r="DM194" s="399">
        <v>0</v>
      </c>
      <c r="DN194" s="399">
        <v>0</v>
      </c>
      <c r="DO194" s="399">
        <v>0.58941990922980914</v>
      </c>
      <c r="DP194" s="399">
        <v>0.15830673055420852</v>
      </c>
      <c r="DQ194" s="399">
        <v>0</v>
      </c>
      <c r="DR194" s="399">
        <v>0</v>
      </c>
      <c r="DS194" s="399"/>
      <c r="DT194" s="399"/>
      <c r="DU194" s="399"/>
      <c r="DV194" s="399">
        <v>-413.04713473831913</v>
      </c>
      <c r="DW194" s="399">
        <v>0</v>
      </c>
      <c r="DX194" s="399">
        <v>0</v>
      </c>
      <c r="DY194" s="399">
        <v>160.73504999999994</v>
      </c>
      <c r="DZ194" s="399">
        <v>70.977900000000034</v>
      </c>
      <c r="EA194" s="399">
        <v>0</v>
      </c>
      <c r="EB194" s="399">
        <v>0</v>
      </c>
      <c r="EC194" s="399">
        <v>150.72094819397375</v>
      </c>
      <c r="ED194" s="399">
        <v>0</v>
      </c>
      <c r="EE194" s="399">
        <v>0</v>
      </c>
      <c r="EF194" s="399">
        <v>0</v>
      </c>
      <c r="EG194" s="399">
        <v>0</v>
      </c>
      <c r="EH194" s="399">
        <v>0</v>
      </c>
      <c r="EI194" s="399">
        <v>0</v>
      </c>
      <c r="EJ194" s="399">
        <v>0</v>
      </c>
      <c r="EK194" s="399">
        <v>0</v>
      </c>
      <c r="EL194" s="399">
        <v>0</v>
      </c>
      <c r="EM194" s="399">
        <v>0</v>
      </c>
      <c r="EN194" s="399">
        <v>0</v>
      </c>
      <c r="EO194" s="399">
        <v>0</v>
      </c>
      <c r="EP194" s="399">
        <v>-31.42456402569174</v>
      </c>
      <c r="EQ194" s="399">
        <v>0</v>
      </c>
      <c r="ER194" s="399">
        <v>0</v>
      </c>
      <c r="ES194" s="399">
        <v>0</v>
      </c>
      <c r="ET194" s="399">
        <v>0</v>
      </c>
      <c r="EU194" s="399">
        <v>0</v>
      </c>
      <c r="EV194" s="399">
        <v>202</v>
      </c>
      <c r="EW194" s="399">
        <v>0</v>
      </c>
      <c r="EX194" s="399">
        <v>0</v>
      </c>
      <c r="EY194" s="399">
        <v>0</v>
      </c>
      <c r="EZ194" s="399"/>
      <c r="FA194" s="399">
        <v>0</v>
      </c>
      <c r="FB194" s="399">
        <v>-17.698635468909799</v>
      </c>
      <c r="FC194" s="399"/>
      <c r="FD194" s="399">
        <v>-17.698635468909799</v>
      </c>
      <c r="FE194" s="399"/>
      <c r="FF194" s="399">
        <v>0</v>
      </c>
      <c r="FG194" s="399">
        <v>0</v>
      </c>
      <c r="FH194" s="399">
        <v>0</v>
      </c>
      <c r="FI194" s="399">
        <v>0</v>
      </c>
    </row>
    <row r="195" spans="1:165">
      <c r="A195" s="399">
        <v>187</v>
      </c>
      <c r="B195" s="399" t="s">
        <v>2404</v>
      </c>
      <c r="C195" s="399" t="s">
        <v>2402</v>
      </c>
      <c r="D195" s="399" t="s">
        <v>1823</v>
      </c>
      <c r="E195" s="399" t="s">
        <v>889</v>
      </c>
      <c r="F195" s="399" t="s">
        <v>889</v>
      </c>
      <c r="G195" s="399" t="s">
        <v>1239</v>
      </c>
      <c r="H195" s="399" t="s">
        <v>1239</v>
      </c>
      <c r="I195" s="399" t="s">
        <v>1239</v>
      </c>
      <c r="J195" s="399" t="s">
        <v>2400</v>
      </c>
      <c r="K195" s="788">
        <v>44682</v>
      </c>
      <c r="L195" s="399">
        <v>0</v>
      </c>
      <c r="M195" s="399">
        <v>0</v>
      </c>
      <c r="N195" s="399">
        <v>4.42</v>
      </c>
      <c r="O195" s="399">
        <v>4.42</v>
      </c>
      <c r="P195" s="399">
        <v>4.42</v>
      </c>
      <c r="Q195" s="399">
        <v>4.42</v>
      </c>
      <c r="R195" s="399"/>
      <c r="S195" s="399">
        <v>609.05999999999995</v>
      </c>
      <c r="T195" s="399">
        <v>286.42</v>
      </c>
      <c r="U195" s="399"/>
      <c r="V195" s="399">
        <v>3958.0215999999996</v>
      </c>
      <c r="W195" s="399">
        <v>3958.0215999999996</v>
      </c>
      <c r="X195" s="399">
        <v>3022.7053999999998</v>
      </c>
      <c r="Y195" s="399">
        <v>0</v>
      </c>
      <c r="Z195" s="399">
        <v>269.00738345315261</v>
      </c>
      <c r="AA195" s="399">
        <v>0</v>
      </c>
      <c r="AB195" s="399">
        <v>0</v>
      </c>
      <c r="AC195" s="399">
        <v>0</v>
      </c>
      <c r="AD195" s="399">
        <v>431.62250280181382</v>
      </c>
      <c r="AE195" s="399">
        <v>1667.277018761069</v>
      </c>
      <c r="AF195" s="399">
        <v>1265.9911859777992</v>
      </c>
      <c r="AG195" s="399">
        <v>0</v>
      </c>
      <c r="AH195" s="399">
        <v>0</v>
      </c>
      <c r="AI195" s="399">
        <v>0</v>
      </c>
      <c r="AJ195" s="399">
        <v>0</v>
      </c>
      <c r="AK195" s="399">
        <v>0</v>
      </c>
      <c r="AL195" s="399">
        <v>41.574029180143732</v>
      </c>
      <c r="AM195" s="399"/>
      <c r="AN195" s="399">
        <v>7.5486420434612151</v>
      </c>
      <c r="AO195" s="399">
        <v>0</v>
      </c>
      <c r="AP195" s="399">
        <v>0</v>
      </c>
      <c r="AQ195" s="399">
        <v>0</v>
      </c>
      <c r="AR195" s="399">
        <v>0</v>
      </c>
      <c r="AS195" s="399">
        <v>0</v>
      </c>
      <c r="AT195" s="399">
        <v>0</v>
      </c>
      <c r="AU195" s="399">
        <v>0</v>
      </c>
      <c r="AV195" s="399">
        <v>0</v>
      </c>
      <c r="AW195" s="399">
        <v>0</v>
      </c>
      <c r="AX195" s="399">
        <v>0</v>
      </c>
      <c r="AY195" s="399">
        <v>0</v>
      </c>
      <c r="AZ195" s="399">
        <v>0</v>
      </c>
      <c r="BA195" s="399"/>
      <c r="BB195" s="399">
        <v>0</v>
      </c>
      <c r="BC195" s="399">
        <v>0</v>
      </c>
      <c r="BD195" s="399">
        <v>0</v>
      </c>
      <c r="BE195" s="399">
        <v>0</v>
      </c>
      <c r="BF195" s="399">
        <v>0</v>
      </c>
      <c r="BG195" s="399">
        <v>148.16864936198809</v>
      </c>
      <c r="BH195" s="399">
        <v>0</v>
      </c>
      <c r="BI195" s="399">
        <v>12.49</v>
      </c>
      <c r="BJ195" s="399">
        <v>58.3</v>
      </c>
      <c r="BK195" s="399">
        <v>1998.39</v>
      </c>
      <c r="BL195" s="399">
        <v>36</v>
      </c>
      <c r="BM195" s="399"/>
      <c r="BN195" s="399"/>
      <c r="BO195" s="399"/>
      <c r="BP195" s="399"/>
      <c r="BQ195" s="399"/>
      <c r="BR195" s="399"/>
      <c r="BS195" s="399"/>
      <c r="BT195" s="399"/>
      <c r="BU195" s="399"/>
      <c r="BV195" s="399">
        <v>1414.1598353397874</v>
      </c>
      <c r="BW195" s="399"/>
      <c r="BX195" s="399"/>
      <c r="BY195" s="399"/>
      <c r="BZ195" s="399"/>
      <c r="CA195" s="399"/>
      <c r="CB195" s="399"/>
      <c r="CC195" s="399"/>
      <c r="CD195" s="399"/>
      <c r="CE195" s="399"/>
      <c r="CF195" s="399"/>
      <c r="CG195" s="399"/>
      <c r="CH195" s="399"/>
      <c r="CI195" s="399">
        <v>3022.7053999999998</v>
      </c>
      <c r="CJ195" s="399">
        <v>-935.34620000000041</v>
      </c>
      <c r="CK195" s="399"/>
      <c r="CL195" s="399"/>
      <c r="CM195" s="399"/>
      <c r="CN195" s="399"/>
      <c r="CO195" s="399">
        <v>-648.81179999999983</v>
      </c>
      <c r="CP195" s="399">
        <v>-286.50440000000009</v>
      </c>
      <c r="CQ195" s="399">
        <v>31</v>
      </c>
      <c r="CR195" s="399">
        <v>-326.93859669246285</v>
      </c>
      <c r="CS195" s="399">
        <v>0</v>
      </c>
      <c r="CT195" s="399">
        <v>0</v>
      </c>
      <c r="CU195" s="399">
        <v>0</v>
      </c>
      <c r="CV195" s="399">
        <v>0</v>
      </c>
      <c r="CW195" s="399">
        <v>0</v>
      </c>
      <c r="CX195" s="399">
        <v>0</v>
      </c>
      <c r="CY195" s="399">
        <v>0</v>
      </c>
      <c r="CZ195" s="399">
        <v>14.811949451439261</v>
      </c>
      <c r="DA195" s="399">
        <v>0</v>
      </c>
      <c r="DB195" s="399">
        <v>0</v>
      </c>
      <c r="DC195" s="399">
        <v>-286.53432113269901</v>
      </c>
      <c r="DD195" s="399">
        <v>0</v>
      </c>
      <c r="DE195" s="399">
        <v>0</v>
      </c>
      <c r="DF195" s="399">
        <v>0</v>
      </c>
      <c r="DG195" s="399">
        <v>-33.535307218821984</v>
      </c>
      <c r="DH195" s="399">
        <v>0</v>
      </c>
      <c r="DI195" s="399">
        <v>-18.662697018093013</v>
      </c>
      <c r="DJ195" s="399"/>
      <c r="DK195" s="399">
        <v>0</v>
      </c>
      <c r="DL195" s="399">
        <v>0</v>
      </c>
      <c r="DM195" s="399">
        <v>0</v>
      </c>
      <c r="DN195" s="399">
        <v>0</v>
      </c>
      <c r="DO195" s="399">
        <v>-2.3792109578043465</v>
      </c>
      <c r="DP195" s="399">
        <v>-0.63900981648365462</v>
      </c>
      <c r="DQ195" s="399">
        <v>0</v>
      </c>
      <c r="DR195" s="399">
        <v>0</v>
      </c>
      <c r="DS195" s="399"/>
      <c r="DT195" s="399"/>
      <c r="DU195" s="399"/>
      <c r="DV195" s="399">
        <v>1667.277018761069</v>
      </c>
      <c r="DW195" s="399">
        <v>0</v>
      </c>
      <c r="DX195" s="399">
        <v>0</v>
      </c>
      <c r="DY195" s="399">
        <v>-648.81179999999972</v>
      </c>
      <c r="DZ195" s="399">
        <v>-286.50440000000003</v>
      </c>
      <c r="EA195" s="399">
        <v>0</v>
      </c>
      <c r="EB195" s="399">
        <v>0</v>
      </c>
      <c r="EC195" s="399">
        <v>-608.38958083777538</v>
      </c>
      <c r="ED195" s="399">
        <v>0</v>
      </c>
      <c r="EE195" s="399">
        <v>0</v>
      </c>
      <c r="EF195" s="399">
        <v>0</v>
      </c>
      <c r="EG195" s="399">
        <v>0</v>
      </c>
      <c r="EH195" s="399">
        <v>0</v>
      </c>
      <c r="EI195" s="399">
        <v>0</v>
      </c>
      <c r="EJ195" s="399">
        <v>0</v>
      </c>
      <c r="EK195" s="399">
        <v>0</v>
      </c>
      <c r="EL195" s="399">
        <v>0</v>
      </c>
      <c r="EM195" s="399">
        <v>0</v>
      </c>
      <c r="EN195" s="399">
        <v>0</v>
      </c>
      <c r="EO195" s="399">
        <v>0</v>
      </c>
      <c r="EP195" s="399">
        <v>126.8461853822443</v>
      </c>
      <c r="EQ195" s="399">
        <v>0</v>
      </c>
      <c r="ER195" s="399">
        <v>0</v>
      </c>
      <c r="ES195" s="399">
        <v>0</v>
      </c>
      <c r="ET195" s="399">
        <v>0</v>
      </c>
      <c r="EU195" s="399">
        <v>0</v>
      </c>
      <c r="EV195" s="399">
        <v>202</v>
      </c>
      <c r="EW195" s="399">
        <v>0</v>
      </c>
      <c r="EX195" s="399">
        <v>0</v>
      </c>
      <c r="EY195" s="399">
        <v>0</v>
      </c>
      <c r="EZ195" s="399"/>
      <c r="FA195" s="399">
        <v>0</v>
      </c>
      <c r="FB195" s="399">
        <v>-17.698635468909799</v>
      </c>
      <c r="FC195" s="399"/>
      <c r="FD195" s="399">
        <v>-17.698635468909799</v>
      </c>
      <c r="FE195" s="399"/>
      <c r="FF195" s="399">
        <v>0</v>
      </c>
      <c r="FG195" s="399">
        <v>0</v>
      </c>
      <c r="FH195" s="399">
        <v>0</v>
      </c>
      <c r="FI195" s="399">
        <v>0</v>
      </c>
    </row>
    <row r="196" spans="1:165">
      <c r="A196" s="399">
        <v>188</v>
      </c>
      <c r="B196" s="399" t="s">
        <v>956</v>
      </c>
      <c r="C196" s="399" t="s">
        <v>2402</v>
      </c>
      <c r="D196" s="399" t="s">
        <v>1823</v>
      </c>
      <c r="E196" s="399" t="s">
        <v>889</v>
      </c>
      <c r="F196" s="399" t="s">
        <v>2405</v>
      </c>
      <c r="G196" s="399" t="s">
        <v>1239</v>
      </c>
      <c r="H196" s="399" t="s">
        <v>1239</v>
      </c>
      <c r="I196" s="399" t="s">
        <v>1239</v>
      </c>
      <c r="J196" s="399" t="s">
        <v>2400</v>
      </c>
      <c r="K196" s="788">
        <v>44682</v>
      </c>
      <c r="L196" s="399">
        <v>0</v>
      </c>
      <c r="M196" s="399">
        <v>0</v>
      </c>
      <c r="N196" s="399">
        <v>3.93</v>
      </c>
      <c r="O196" s="399">
        <v>3.93</v>
      </c>
      <c r="P196" s="399">
        <v>3.93</v>
      </c>
      <c r="Q196" s="399">
        <v>3.93</v>
      </c>
      <c r="R196" s="399"/>
      <c r="S196" s="399">
        <v>510.09</v>
      </c>
      <c r="T196" s="399">
        <v>286.42</v>
      </c>
      <c r="U196" s="399"/>
      <c r="V196" s="399">
        <v>3130.2843000000003</v>
      </c>
      <c r="W196" s="399">
        <v>3130.2843000000003</v>
      </c>
      <c r="X196" s="399">
        <v>2317.4031</v>
      </c>
      <c r="Y196" s="399">
        <v>0</v>
      </c>
      <c r="Z196" s="399">
        <v>0</v>
      </c>
      <c r="AA196" s="399">
        <v>0</v>
      </c>
      <c r="AB196" s="399">
        <v>0</v>
      </c>
      <c r="AC196" s="399">
        <v>0</v>
      </c>
      <c r="AD196" s="399">
        <v>383.77294932378476</v>
      </c>
      <c r="AE196" s="399">
        <v>1482.4431411156113</v>
      </c>
      <c r="AF196" s="399">
        <v>1125.6437468083147</v>
      </c>
      <c r="AG196" s="399">
        <v>0</v>
      </c>
      <c r="AH196" s="399">
        <v>0</v>
      </c>
      <c r="AI196" s="399">
        <v>0</v>
      </c>
      <c r="AJ196" s="399">
        <v>0</v>
      </c>
      <c r="AK196" s="399">
        <v>0</v>
      </c>
      <c r="AL196" s="399">
        <v>0</v>
      </c>
      <c r="AM196" s="399"/>
      <c r="AN196" s="399">
        <v>6.7118016359281842</v>
      </c>
      <c r="AO196" s="399">
        <v>0</v>
      </c>
      <c r="AP196" s="399">
        <v>0</v>
      </c>
      <c r="AQ196" s="399">
        <v>0</v>
      </c>
      <c r="AR196" s="399">
        <v>0</v>
      </c>
      <c r="AS196" s="399">
        <v>0</v>
      </c>
      <c r="AT196" s="399">
        <v>0</v>
      </c>
      <c r="AU196" s="399">
        <v>0</v>
      </c>
      <c r="AV196" s="399">
        <v>0</v>
      </c>
      <c r="AW196" s="399">
        <v>0</v>
      </c>
      <c r="AX196" s="399">
        <v>0</v>
      </c>
      <c r="AY196" s="399">
        <v>0</v>
      </c>
      <c r="AZ196" s="399">
        <v>0</v>
      </c>
      <c r="BA196" s="399"/>
      <c r="BB196" s="399">
        <v>0</v>
      </c>
      <c r="BC196" s="399">
        <v>0</v>
      </c>
      <c r="BD196" s="399">
        <v>0</v>
      </c>
      <c r="BE196" s="399">
        <v>0</v>
      </c>
      <c r="BF196" s="399">
        <v>0</v>
      </c>
      <c r="BG196" s="399">
        <v>131.74271312050072</v>
      </c>
      <c r="BH196" s="399">
        <v>0</v>
      </c>
      <c r="BI196" s="399">
        <v>4.51</v>
      </c>
      <c r="BJ196" s="399">
        <v>21.03</v>
      </c>
      <c r="BK196" s="399">
        <v>416.5</v>
      </c>
      <c r="BL196" s="399">
        <v>0</v>
      </c>
      <c r="BM196" s="399"/>
      <c r="BN196" s="399"/>
      <c r="BO196" s="399"/>
      <c r="BP196" s="399"/>
      <c r="BQ196" s="399"/>
      <c r="BR196" s="399"/>
      <c r="BS196" s="399"/>
      <c r="BT196" s="399">
        <v>1506.3297</v>
      </c>
      <c r="BU196" s="399"/>
      <c r="BV196" s="399">
        <v>1257.3864599288154</v>
      </c>
      <c r="BW196" s="399"/>
      <c r="BX196" s="399"/>
      <c r="BY196" s="399"/>
      <c r="BZ196" s="399"/>
      <c r="CA196" s="399"/>
      <c r="CB196" s="399"/>
      <c r="CC196" s="399"/>
      <c r="CD196" s="399"/>
      <c r="CE196" s="399"/>
      <c r="CF196" s="399"/>
      <c r="CG196" s="399"/>
      <c r="CH196" s="399"/>
      <c r="CI196" s="399">
        <v>811.07339999999999</v>
      </c>
      <c r="CJ196" s="399">
        <v>-284.56200000000013</v>
      </c>
      <c r="CK196" s="399"/>
      <c r="CL196" s="399"/>
      <c r="CM196" s="399"/>
      <c r="CN196" s="399"/>
      <c r="CO196" s="399">
        <v>-558.1386</v>
      </c>
      <c r="CP196" s="399">
        <v>-254.7426000000001</v>
      </c>
      <c r="CQ196" s="399">
        <v>31</v>
      </c>
      <c r="CR196" s="399">
        <v>-271.98506485432176</v>
      </c>
      <c r="CS196" s="399">
        <v>0</v>
      </c>
      <c r="CT196" s="399">
        <v>0</v>
      </c>
      <c r="CU196" s="399">
        <v>0</v>
      </c>
      <c r="CV196" s="399">
        <v>0</v>
      </c>
      <c r="CW196" s="399">
        <v>0</v>
      </c>
      <c r="CX196" s="399">
        <v>0</v>
      </c>
      <c r="CY196" s="399">
        <v>0</v>
      </c>
      <c r="CZ196" s="399">
        <v>13.169900756596405</v>
      </c>
      <c r="DA196" s="399">
        <v>0</v>
      </c>
      <c r="DB196" s="399">
        <v>0</v>
      </c>
      <c r="DC196" s="399">
        <v>-254.76920408405135</v>
      </c>
      <c r="DD196" s="399">
        <v>0</v>
      </c>
      <c r="DE196" s="399">
        <v>0</v>
      </c>
      <c r="DF196" s="399">
        <v>0</v>
      </c>
      <c r="DG196" s="399">
        <v>-29.81759216515168</v>
      </c>
      <c r="DH196" s="399">
        <v>0</v>
      </c>
      <c r="DI196" s="399">
        <v>0</v>
      </c>
      <c r="DJ196" s="399"/>
      <c r="DK196" s="399">
        <v>0</v>
      </c>
      <c r="DL196" s="399">
        <v>0</v>
      </c>
      <c r="DM196" s="399">
        <v>0</v>
      </c>
      <c r="DN196" s="399">
        <v>0</v>
      </c>
      <c r="DO196" s="399">
        <v>0</v>
      </c>
      <c r="DP196" s="399">
        <v>-0.56816936171510335</v>
      </c>
      <c r="DQ196" s="399">
        <v>0</v>
      </c>
      <c r="DR196" s="399">
        <v>0</v>
      </c>
      <c r="DS196" s="399"/>
      <c r="DT196" s="399"/>
      <c r="DU196" s="399"/>
      <c r="DV196" s="399">
        <v>1482.4431411156113</v>
      </c>
      <c r="DW196" s="399">
        <v>0</v>
      </c>
      <c r="DX196" s="399">
        <v>0</v>
      </c>
      <c r="DY196" s="399">
        <v>-558.1386</v>
      </c>
      <c r="DZ196" s="399">
        <v>-254.74260000000015</v>
      </c>
      <c r="EA196" s="399">
        <v>0</v>
      </c>
      <c r="EB196" s="399">
        <v>0</v>
      </c>
      <c r="EC196" s="399">
        <v>-540.94367707974152</v>
      </c>
      <c r="ED196" s="399">
        <v>0</v>
      </c>
      <c r="EE196" s="399">
        <v>0</v>
      </c>
      <c r="EF196" s="399">
        <v>0</v>
      </c>
      <c r="EG196" s="399">
        <v>0</v>
      </c>
      <c r="EH196" s="399">
        <v>0</v>
      </c>
      <c r="EI196" s="399">
        <v>0</v>
      </c>
      <c r="EJ196" s="399">
        <v>0</v>
      </c>
      <c r="EK196" s="399">
        <v>0</v>
      </c>
      <c r="EL196" s="399">
        <v>0</v>
      </c>
      <c r="EM196" s="399">
        <v>0</v>
      </c>
      <c r="EN196" s="399">
        <v>0</v>
      </c>
      <c r="EO196" s="399">
        <v>0</v>
      </c>
      <c r="EP196" s="399">
        <v>0</v>
      </c>
      <c r="EQ196" s="399">
        <v>0</v>
      </c>
      <c r="ER196" s="399">
        <v>0</v>
      </c>
      <c r="ES196" s="399">
        <v>0</v>
      </c>
      <c r="ET196" s="399">
        <v>0</v>
      </c>
      <c r="EU196" s="399">
        <v>0</v>
      </c>
      <c r="EV196" s="399">
        <v>202</v>
      </c>
      <c r="EW196" s="399">
        <v>0</v>
      </c>
      <c r="EX196" s="399">
        <v>0</v>
      </c>
      <c r="EY196" s="399">
        <v>0</v>
      </c>
      <c r="EZ196" s="399"/>
      <c r="FA196" s="399">
        <v>0</v>
      </c>
      <c r="FB196" s="399">
        <v>-17.698635468909799</v>
      </c>
      <c r="FC196" s="399"/>
      <c r="FD196" s="399">
        <v>-17.698635468909799</v>
      </c>
      <c r="FE196" s="399"/>
      <c r="FF196" s="399">
        <v>0</v>
      </c>
      <c r="FG196" s="399">
        <v>0</v>
      </c>
      <c r="FH196" s="399">
        <v>0</v>
      </c>
      <c r="FI196" s="399">
        <v>0</v>
      </c>
    </row>
    <row r="197" spans="1:165">
      <c r="A197" s="399">
        <v>189</v>
      </c>
      <c r="B197" s="399" t="s">
        <v>956</v>
      </c>
      <c r="C197" s="399" t="s">
        <v>2402</v>
      </c>
      <c r="D197" s="399" t="s">
        <v>1823</v>
      </c>
      <c r="E197" s="399" t="s">
        <v>889</v>
      </c>
      <c r="F197" s="399" t="s">
        <v>2406</v>
      </c>
      <c r="G197" s="399" t="s">
        <v>1239</v>
      </c>
      <c r="H197" s="399" t="s">
        <v>1239</v>
      </c>
      <c r="I197" s="399" t="s">
        <v>1239</v>
      </c>
      <c r="J197" s="399" t="s">
        <v>2400</v>
      </c>
      <c r="K197" s="788">
        <v>44682</v>
      </c>
      <c r="L197" s="399">
        <v>0</v>
      </c>
      <c r="M197" s="399">
        <v>0</v>
      </c>
      <c r="N197" s="399">
        <v>8.14</v>
      </c>
      <c r="O197" s="399">
        <v>8.14</v>
      </c>
      <c r="P197" s="399">
        <v>8.14</v>
      </c>
      <c r="Q197" s="399">
        <v>8.14</v>
      </c>
      <c r="R197" s="399"/>
      <c r="S197" s="399">
        <v>510.09</v>
      </c>
      <c r="T197" s="399">
        <v>286.42</v>
      </c>
      <c r="U197" s="399"/>
      <c r="V197" s="399">
        <v>6483.5914000000002</v>
      </c>
      <c r="W197" s="399">
        <v>6483.5914000000002</v>
      </c>
      <c r="X197" s="399">
        <v>4799.9138000000003</v>
      </c>
      <c r="Y197" s="399">
        <v>0</v>
      </c>
      <c r="Z197" s="399">
        <v>0</v>
      </c>
      <c r="AA197" s="399">
        <v>0</v>
      </c>
      <c r="AB197" s="399">
        <v>0</v>
      </c>
      <c r="AC197" s="399">
        <v>0</v>
      </c>
      <c r="AD197" s="399">
        <v>794.88850063501468</v>
      </c>
      <c r="AE197" s="399">
        <v>3070.5056408857699</v>
      </c>
      <c r="AF197" s="399">
        <v>2331.4860302849065</v>
      </c>
      <c r="AG197" s="399">
        <v>0</v>
      </c>
      <c r="AH197" s="399">
        <v>0</v>
      </c>
      <c r="AI197" s="399">
        <v>0</v>
      </c>
      <c r="AJ197" s="399">
        <v>0</v>
      </c>
      <c r="AK197" s="399">
        <v>0</v>
      </c>
      <c r="AL197" s="399">
        <v>0</v>
      </c>
      <c r="AM197" s="399"/>
      <c r="AN197" s="399">
        <v>13.901797790446672</v>
      </c>
      <c r="AO197" s="399">
        <v>0</v>
      </c>
      <c r="AP197" s="399">
        <v>0</v>
      </c>
      <c r="AQ197" s="399">
        <v>0</v>
      </c>
      <c r="AR197" s="399">
        <v>0</v>
      </c>
      <c r="AS197" s="399">
        <v>0</v>
      </c>
      <c r="AT197" s="399">
        <v>0</v>
      </c>
      <c r="AU197" s="399">
        <v>0</v>
      </c>
      <c r="AV197" s="399">
        <v>0</v>
      </c>
      <c r="AW197" s="399">
        <v>0</v>
      </c>
      <c r="AX197" s="399">
        <v>0</v>
      </c>
      <c r="AY197" s="399">
        <v>0</v>
      </c>
      <c r="AZ197" s="399">
        <v>0</v>
      </c>
      <c r="BA197" s="399"/>
      <c r="BB197" s="399">
        <v>0</v>
      </c>
      <c r="BC197" s="399">
        <v>0</v>
      </c>
      <c r="BD197" s="399">
        <v>0</v>
      </c>
      <c r="BE197" s="399">
        <v>0</v>
      </c>
      <c r="BF197" s="399">
        <v>0</v>
      </c>
      <c r="BG197" s="399">
        <v>272.87167552185139</v>
      </c>
      <c r="BH197" s="399">
        <v>0</v>
      </c>
      <c r="BI197" s="399">
        <v>16.170000000000002</v>
      </c>
      <c r="BJ197" s="399">
        <v>76.260000000000005</v>
      </c>
      <c r="BK197" s="399">
        <v>969.3</v>
      </c>
      <c r="BL197" s="399">
        <v>35</v>
      </c>
      <c r="BM197" s="399"/>
      <c r="BN197" s="399"/>
      <c r="BO197" s="399"/>
      <c r="BP197" s="399"/>
      <c r="BQ197" s="399"/>
      <c r="BR197" s="399"/>
      <c r="BS197" s="399"/>
      <c r="BT197" s="399">
        <v>1919.9818</v>
      </c>
      <c r="BU197" s="399"/>
      <c r="BV197" s="399">
        <v>2604.3577058067581</v>
      </c>
      <c r="BW197" s="399"/>
      <c r="BX197" s="399"/>
      <c r="BY197" s="399"/>
      <c r="BZ197" s="399"/>
      <c r="CA197" s="399"/>
      <c r="CB197" s="399"/>
      <c r="CC197" s="399"/>
      <c r="CD197" s="399"/>
      <c r="CE197" s="399"/>
      <c r="CF197" s="399"/>
      <c r="CG197" s="399"/>
      <c r="CH197" s="399"/>
      <c r="CI197" s="399">
        <v>2879.9320000000007</v>
      </c>
      <c r="CJ197" s="399">
        <v>-1010.2854000000007</v>
      </c>
      <c r="CK197" s="399"/>
      <c r="CL197" s="399"/>
      <c r="CM197" s="399"/>
      <c r="CN197" s="399"/>
      <c r="CO197" s="399">
        <v>-1156.0427999999999</v>
      </c>
      <c r="CP197" s="399">
        <v>-527.63480000000027</v>
      </c>
      <c r="CQ197" s="399">
        <v>31</v>
      </c>
      <c r="CR197" s="399">
        <v>-563.34820048706888</v>
      </c>
      <c r="CS197" s="399">
        <v>0</v>
      </c>
      <c r="CT197" s="399">
        <v>0</v>
      </c>
      <c r="CU197" s="399">
        <v>0</v>
      </c>
      <c r="CV197" s="399">
        <v>0</v>
      </c>
      <c r="CW197" s="399">
        <v>0</v>
      </c>
      <c r="CX197" s="399">
        <v>0</v>
      </c>
      <c r="CY197" s="399">
        <v>0</v>
      </c>
      <c r="CZ197" s="399">
        <v>27.278115053103079</v>
      </c>
      <c r="DA197" s="399">
        <v>0</v>
      </c>
      <c r="DB197" s="399">
        <v>0</v>
      </c>
      <c r="DC197" s="399">
        <v>-527.68990362447289</v>
      </c>
      <c r="DD197" s="399">
        <v>0</v>
      </c>
      <c r="DE197" s="399">
        <v>0</v>
      </c>
      <c r="DF197" s="399">
        <v>0</v>
      </c>
      <c r="DG197" s="399">
        <v>-61.759592932400693</v>
      </c>
      <c r="DH197" s="399">
        <v>0</v>
      </c>
      <c r="DI197" s="399">
        <v>0</v>
      </c>
      <c r="DJ197" s="399"/>
      <c r="DK197" s="399">
        <v>0</v>
      </c>
      <c r="DL197" s="399">
        <v>0</v>
      </c>
      <c r="DM197" s="399">
        <v>0</v>
      </c>
      <c r="DN197" s="399">
        <v>0</v>
      </c>
      <c r="DO197" s="399">
        <v>0</v>
      </c>
      <c r="DP197" s="399">
        <v>-1.1768189832979505</v>
      </c>
      <c r="DQ197" s="399">
        <v>0</v>
      </c>
      <c r="DR197" s="399">
        <v>0</v>
      </c>
      <c r="DS197" s="399"/>
      <c r="DT197" s="399"/>
      <c r="DU197" s="399"/>
      <c r="DV197" s="399">
        <v>3070.5056408857699</v>
      </c>
      <c r="DW197" s="399">
        <v>0</v>
      </c>
      <c r="DX197" s="399">
        <v>0</v>
      </c>
      <c r="DY197" s="399">
        <v>-1156.0427999999997</v>
      </c>
      <c r="DZ197" s="399">
        <v>-527.63480000000027</v>
      </c>
      <c r="EA197" s="399">
        <v>0</v>
      </c>
      <c r="EB197" s="399">
        <v>0</v>
      </c>
      <c r="EC197" s="399">
        <v>-1120.4278705926451</v>
      </c>
      <c r="ED197" s="399">
        <v>0</v>
      </c>
      <c r="EE197" s="399">
        <v>0</v>
      </c>
      <c r="EF197" s="399">
        <v>0</v>
      </c>
      <c r="EG197" s="399">
        <v>0</v>
      </c>
      <c r="EH197" s="399">
        <v>0</v>
      </c>
      <c r="EI197" s="399">
        <v>0</v>
      </c>
      <c r="EJ197" s="399">
        <v>0</v>
      </c>
      <c r="EK197" s="399">
        <v>0</v>
      </c>
      <c r="EL197" s="399">
        <v>0</v>
      </c>
      <c r="EM197" s="399">
        <v>0</v>
      </c>
      <c r="EN197" s="399">
        <v>0</v>
      </c>
      <c r="EO197" s="399">
        <v>0</v>
      </c>
      <c r="EP197" s="399">
        <v>0</v>
      </c>
      <c r="EQ197" s="399">
        <v>0</v>
      </c>
      <c r="ER197" s="399">
        <v>0</v>
      </c>
      <c r="ES197" s="399">
        <v>0</v>
      </c>
      <c r="ET197" s="399">
        <v>0</v>
      </c>
      <c r="EU197" s="399">
        <v>0</v>
      </c>
      <c r="EV197" s="399">
        <v>202</v>
      </c>
      <c r="EW197" s="399">
        <v>0</v>
      </c>
      <c r="EX197" s="399">
        <v>0</v>
      </c>
      <c r="EY197" s="399">
        <v>0</v>
      </c>
      <c r="EZ197" s="399"/>
      <c r="FA197" s="399">
        <v>0</v>
      </c>
      <c r="FB197" s="399">
        <v>-17.698635468909799</v>
      </c>
      <c r="FC197" s="399"/>
      <c r="FD197" s="399">
        <v>-17.698635468909799</v>
      </c>
      <c r="FE197" s="399"/>
      <c r="FF197" s="399">
        <v>0</v>
      </c>
      <c r="FG197" s="399">
        <v>0</v>
      </c>
      <c r="FH197" s="399">
        <v>0</v>
      </c>
      <c r="FI197" s="399">
        <v>0</v>
      </c>
    </row>
    <row r="198" spans="1:165">
      <c r="A198" s="399">
        <v>190</v>
      </c>
      <c r="B198" s="399" t="s">
        <v>956</v>
      </c>
      <c r="C198" s="399" t="s">
        <v>2402</v>
      </c>
      <c r="D198" s="399" t="s">
        <v>1823</v>
      </c>
      <c r="E198" s="399" t="s">
        <v>889</v>
      </c>
      <c r="F198" s="399" t="s">
        <v>2407</v>
      </c>
      <c r="G198" s="399" t="s">
        <v>1239</v>
      </c>
      <c r="H198" s="399" t="s">
        <v>1239</v>
      </c>
      <c r="I198" s="399" t="s">
        <v>1239</v>
      </c>
      <c r="J198" s="399" t="s">
        <v>2400</v>
      </c>
      <c r="K198" s="788">
        <v>44682</v>
      </c>
      <c r="L198" s="399">
        <v>0</v>
      </c>
      <c r="M198" s="399">
        <v>0</v>
      </c>
      <c r="N198" s="399">
        <v>6.3929999999999998</v>
      </c>
      <c r="O198" s="399">
        <v>6.3929999999999998</v>
      </c>
      <c r="P198" s="399">
        <v>6.3929999999999998</v>
      </c>
      <c r="Q198" s="399">
        <v>6.3929999999999998</v>
      </c>
      <c r="R198" s="399"/>
      <c r="S198" s="399">
        <v>510.09</v>
      </c>
      <c r="T198" s="399">
        <v>286.42</v>
      </c>
      <c r="U198" s="399"/>
      <c r="V198" s="399">
        <v>5092.0884299999998</v>
      </c>
      <c r="W198" s="399">
        <v>5092.0884299999998</v>
      </c>
      <c r="X198" s="399">
        <v>3769.7603099999997</v>
      </c>
      <c r="Y198" s="399">
        <v>0</v>
      </c>
      <c r="Z198" s="399">
        <v>0</v>
      </c>
      <c r="AA198" s="399">
        <v>0</v>
      </c>
      <c r="AB198" s="399">
        <v>0</v>
      </c>
      <c r="AC198" s="399">
        <v>0</v>
      </c>
      <c r="AD198" s="399">
        <v>624.29019466334751</v>
      </c>
      <c r="AE198" s="399">
        <v>2411.5162852804333</v>
      </c>
      <c r="AF198" s="399">
        <v>1831.1044461439074</v>
      </c>
      <c r="AG198" s="399">
        <v>0</v>
      </c>
      <c r="AH198" s="399">
        <v>0</v>
      </c>
      <c r="AI198" s="399">
        <v>0</v>
      </c>
      <c r="AJ198" s="399">
        <v>0</v>
      </c>
      <c r="AK198" s="399">
        <v>0</v>
      </c>
      <c r="AL198" s="399">
        <v>0</v>
      </c>
      <c r="AM198" s="399"/>
      <c r="AN198" s="399">
        <v>10.918205561956459</v>
      </c>
      <c r="AO198" s="399">
        <v>0</v>
      </c>
      <c r="AP198" s="399">
        <v>0</v>
      </c>
      <c r="AQ198" s="399">
        <v>0</v>
      </c>
      <c r="AR198" s="399">
        <v>0</v>
      </c>
      <c r="AS198" s="399">
        <v>0</v>
      </c>
      <c r="AT198" s="399">
        <v>0</v>
      </c>
      <c r="AU198" s="399">
        <v>0</v>
      </c>
      <c r="AV198" s="399">
        <v>0</v>
      </c>
      <c r="AW198" s="399">
        <v>0</v>
      </c>
      <c r="AX198" s="399">
        <v>0</v>
      </c>
      <c r="AY198" s="399">
        <v>0</v>
      </c>
      <c r="AZ198" s="399">
        <v>0</v>
      </c>
      <c r="BA198" s="399"/>
      <c r="BB198" s="399">
        <v>0</v>
      </c>
      <c r="BC198" s="399">
        <v>0</v>
      </c>
      <c r="BD198" s="399">
        <v>0</v>
      </c>
      <c r="BE198" s="399">
        <v>0</v>
      </c>
      <c r="BF198" s="399">
        <v>0</v>
      </c>
      <c r="BG198" s="399">
        <v>214.30818447311987</v>
      </c>
      <c r="BH198" s="399">
        <v>0</v>
      </c>
      <c r="BI198" s="399">
        <v>19.239999999999998</v>
      </c>
      <c r="BJ198" s="399">
        <v>89.71</v>
      </c>
      <c r="BK198" s="399">
        <v>1076.7</v>
      </c>
      <c r="BL198" s="399">
        <v>72</v>
      </c>
      <c r="BM198" s="399"/>
      <c r="BN198" s="399"/>
      <c r="BO198" s="399"/>
      <c r="BP198" s="399"/>
      <c r="BQ198" s="399"/>
      <c r="BR198" s="399"/>
      <c r="BS198" s="399"/>
      <c r="BT198" s="399">
        <v>376.99520999999999</v>
      </c>
      <c r="BU198" s="399"/>
      <c r="BV198" s="399">
        <v>2045.4126306170272</v>
      </c>
      <c r="BW198" s="399"/>
      <c r="BX198" s="399"/>
      <c r="BY198" s="399"/>
      <c r="BZ198" s="399"/>
      <c r="CA198" s="399"/>
      <c r="CB198" s="399"/>
      <c r="CC198" s="399"/>
      <c r="CD198" s="399"/>
      <c r="CE198" s="399"/>
      <c r="CF198" s="399"/>
      <c r="CG198" s="399"/>
      <c r="CH198" s="399"/>
      <c r="CI198" s="399">
        <v>3391.1729999999998</v>
      </c>
      <c r="CJ198" s="399">
        <v>-1191.7429800000009</v>
      </c>
      <c r="CK198" s="399"/>
      <c r="CL198" s="399"/>
      <c r="CM198" s="399"/>
      <c r="CN198" s="399"/>
      <c r="CO198" s="399">
        <v>-907.93385999999987</v>
      </c>
      <c r="CP198" s="399">
        <v>-414.39426000000014</v>
      </c>
      <c r="CQ198" s="399">
        <v>31</v>
      </c>
      <c r="CR198" s="399">
        <v>-442.44288030882399</v>
      </c>
      <c r="CS198" s="399">
        <v>0</v>
      </c>
      <c r="CT198" s="399">
        <v>0</v>
      </c>
      <c r="CU198" s="399">
        <v>0</v>
      </c>
      <c r="CV198" s="399">
        <v>0</v>
      </c>
      <c r="CW198" s="399">
        <v>0</v>
      </c>
      <c r="CX198" s="399">
        <v>0</v>
      </c>
      <c r="CY198" s="399">
        <v>0</v>
      </c>
      <c r="CZ198" s="399">
        <v>21.423708788020576</v>
      </c>
      <c r="DA198" s="399">
        <v>0</v>
      </c>
      <c r="DB198" s="399">
        <v>0</v>
      </c>
      <c r="DC198" s="399">
        <v>-414.4375373306209</v>
      </c>
      <c r="DD198" s="399">
        <v>0</v>
      </c>
      <c r="DE198" s="399">
        <v>0</v>
      </c>
      <c r="DF198" s="399">
        <v>0</v>
      </c>
      <c r="DG198" s="399">
        <v>-48.504800690029185</v>
      </c>
      <c r="DH198" s="399">
        <v>0</v>
      </c>
      <c r="DI198" s="399">
        <v>0</v>
      </c>
      <c r="DJ198" s="399"/>
      <c r="DK198" s="399">
        <v>0</v>
      </c>
      <c r="DL198" s="399">
        <v>0</v>
      </c>
      <c r="DM198" s="399">
        <v>0</v>
      </c>
      <c r="DN198" s="399">
        <v>0</v>
      </c>
      <c r="DO198" s="399">
        <v>0</v>
      </c>
      <c r="DP198" s="399">
        <v>-0.92425107619457059</v>
      </c>
      <c r="DQ198" s="399">
        <v>0</v>
      </c>
      <c r="DR198" s="399">
        <v>0</v>
      </c>
      <c r="DS198" s="399"/>
      <c r="DT198" s="399"/>
      <c r="DU198" s="399"/>
      <c r="DV198" s="399">
        <v>2411.5162852804333</v>
      </c>
      <c r="DW198" s="399">
        <v>0</v>
      </c>
      <c r="DX198" s="399">
        <v>0</v>
      </c>
      <c r="DY198" s="399">
        <v>-907.9338600000001</v>
      </c>
      <c r="DZ198" s="399">
        <v>-414.39426000000003</v>
      </c>
      <c r="EA198" s="399">
        <v>0</v>
      </c>
      <c r="EB198" s="399">
        <v>0</v>
      </c>
      <c r="EC198" s="399">
        <v>-879.9625769900224</v>
      </c>
      <c r="ED198" s="399">
        <v>0</v>
      </c>
      <c r="EE198" s="399">
        <v>0</v>
      </c>
      <c r="EF198" s="399">
        <v>0</v>
      </c>
      <c r="EG198" s="399">
        <v>0</v>
      </c>
      <c r="EH198" s="399">
        <v>0</v>
      </c>
      <c r="EI198" s="399">
        <v>0</v>
      </c>
      <c r="EJ198" s="399">
        <v>0</v>
      </c>
      <c r="EK198" s="399">
        <v>0</v>
      </c>
      <c r="EL198" s="399">
        <v>0</v>
      </c>
      <c r="EM198" s="399">
        <v>0</v>
      </c>
      <c r="EN198" s="399">
        <v>0</v>
      </c>
      <c r="EO198" s="399">
        <v>0</v>
      </c>
      <c r="EP198" s="399">
        <v>0</v>
      </c>
      <c r="EQ198" s="399">
        <v>0</v>
      </c>
      <c r="ER198" s="399">
        <v>0</v>
      </c>
      <c r="ES198" s="399">
        <v>0</v>
      </c>
      <c r="ET198" s="399">
        <v>0</v>
      </c>
      <c r="EU198" s="399">
        <v>0</v>
      </c>
      <c r="EV198" s="399">
        <v>202</v>
      </c>
      <c r="EW198" s="399">
        <v>0</v>
      </c>
      <c r="EX198" s="399">
        <v>0</v>
      </c>
      <c r="EY198" s="399">
        <v>0</v>
      </c>
      <c r="EZ198" s="399"/>
      <c r="FA198" s="399">
        <v>0</v>
      </c>
      <c r="FB198" s="399">
        <v>-17.698635468909799</v>
      </c>
      <c r="FC198" s="399"/>
      <c r="FD198" s="399">
        <v>-17.698635468909799</v>
      </c>
      <c r="FE198" s="399"/>
      <c r="FF198" s="399">
        <v>0</v>
      </c>
      <c r="FG198" s="399">
        <v>0</v>
      </c>
      <c r="FH198" s="399">
        <v>0</v>
      </c>
      <c r="FI198" s="399">
        <v>0</v>
      </c>
    </row>
    <row r="199" spans="1:165">
      <c r="A199" s="399">
        <v>191</v>
      </c>
      <c r="B199" s="399" t="s">
        <v>956</v>
      </c>
      <c r="C199" s="399" t="s">
        <v>2402</v>
      </c>
      <c r="D199" s="399" t="s">
        <v>1823</v>
      </c>
      <c r="E199" s="399" t="s">
        <v>889</v>
      </c>
      <c r="F199" s="399" t="s">
        <v>2408</v>
      </c>
      <c r="G199" s="399" t="s">
        <v>1239</v>
      </c>
      <c r="H199" s="399" t="s">
        <v>1239</v>
      </c>
      <c r="I199" s="399" t="s">
        <v>1239</v>
      </c>
      <c r="J199" s="399" t="s">
        <v>2400</v>
      </c>
      <c r="K199" s="788">
        <v>44682</v>
      </c>
      <c r="L199" s="399">
        <v>0</v>
      </c>
      <c r="M199" s="399">
        <v>0</v>
      </c>
      <c r="N199" s="399">
        <v>1.4379999999999999</v>
      </c>
      <c r="O199" s="399">
        <v>1.4379999999999999</v>
      </c>
      <c r="P199" s="399">
        <v>1.4379999999999999</v>
      </c>
      <c r="Q199" s="399">
        <v>1.4379999999999999</v>
      </c>
      <c r="R199" s="399"/>
      <c r="S199" s="399">
        <v>510.09</v>
      </c>
      <c r="T199" s="399">
        <v>286.42</v>
      </c>
      <c r="U199" s="399"/>
      <c r="V199" s="399">
        <v>1145.38138</v>
      </c>
      <c r="W199" s="399">
        <v>1145.38138</v>
      </c>
      <c r="X199" s="399">
        <v>847.94545999999991</v>
      </c>
      <c r="Y199" s="399">
        <v>0</v>
      </c>
      <c r="Z199" s="399">
        <v>0</v>
      </c>
      <c r="AA199" s="399">
        <v>0</v>
      </c>
      <c r="AB199" s="399">
        <v>0</v>
      </c>
      <c r="AC199" s="399">
        <v>0</v>
      </c>
      <c r="AD199" s="399">
        <v>140.42379163552224</v>
      </c>
      <c r="AE199" s="399">
        <v>542.43084909013965</v>
      </c>
      <c r="AF199" s="399">
        <v>411.8767704606505</v>
      </c>
      <c r="AG199" s="399">
        <v>0</v>
      </c>
      <c r="AH199" s="399">
        <v>0</v>
      </c>
      <c r="AI199" s="399">
        <v>0</v>
      </c>
      <c r="AJ199" s="399">
        <v>0</v>
      </c>
      <c r="AK199" s="399">
        <v>0</v>
      </c>
      <c r="AL199" s="399">
        <v>0</v>
      </c>
      <c r="AM199" s="399"/>
      <c r="AN199" s="399">
        <v>2.4558704204744854</v>
      </c>
      <c r="AO199" s="399">
        <v>0</v>
      </c>
      <c r="AP199" s="399">
        <v>0</v>
      </c>
      <c r="AQ199" s="399">
        <v>0</v>
      </c>
      <c r="AR199" s="399">
        <v>0</v>
      </c>
      <c r="AS199" s="399">
        <v>0</v>
      </c>
      <c r="AT199" s="399">
        <v>0</v>
      </c>
      <c r="AU199" s="399">
        <v>0</v>
      </c>
      <c r="AV199" s="399">
        <v>0</v>
      </c>
      <c r="AW199" s="399">
        <v>0</v>
      </c>
      <c r="AX199" s="399">
        <v>0</v>
      </c>
      <c r="AY199" s="399">
        <v>0</v>
      </c>
      <c r="AZ199" s="399">
        <v>0</v>
      </c>
      <c r="BA199" s="399"/>
      <c r="BB199" s="399">
        <v>0</v>
      </c>
      <c r="BC199" s="399">
        <v>0</v>
      </c>
      <c r="BD199" s="399">
        <v>0</v>
      </c>
      <c r="BE199" s="399">
        <v>0</v>
      </c>
      <c r="BF199" s="399">
        <v>0</v>
      </c>
      <c r="BG199" s="399">
        <v>48.205094520936399</v>
      </c>
      <c r="BH199" s="399">
        <v>0</v>
      </c>
      <c r="BI199" s="399">
        <v>4.59</v>
      </c>
      <c r="BJ199" s="399">
        <v>21.87</v>
      </c>
      <c r="BK199" s="399">
        <v>337.92</v>
      </c>
      <c r="BL199" s="399">
        <v>24</v>
      </c>
      <c r="BM199" s="399"/>
      <c r="BN199" s="399"/>
      <c r="BO199" s="399"/>
      <c r="BP199" s="399"/>
      <c r="BQ199" s="399"/>
      <c r="BR199" s="399"/>
      <c r="BS199" s="399"/>
      <c r="BT199" s="399"/>
      <c r="BU199" s="399"/>
      <c r="BV199" s="399">
        <v>460.08186498158693</v>
      </c>
      <c r="BW199" s="399"/>
      <c r="BX199" s="399"/>
      <c r="BY199" s="399"/>
      <c r="BZ199" s="399"/>
      <c r="CA199" s="399"/>
      <c r="CB199" s="399"/>
      <c r="CC199" s="399"/>
      <c r="CD199" s="399"/>
      <c r="CE199" s="399"/>
      <c r="CF199" s="399"/>
      <c r="CG199" s="399"/>
      <c r="CH199" s="399"/>
      <c r="CI199" s="399">
        <v>849.12480000000005</v>
      </c>
      <c r="CJ199" s="399">
        <v>-296.28657999999996</v>
      </c>
      <c r="CK199" s="399"/>
      <c r="CL199" s="399"/>
      <c r="CM199" s="399"/>
      <c r="CN199" s="399"/>
      <c r="CO199" s="399">
        <v>-204.22475999999997</v>
      </c>
      <c r="CP199" s="399">
        <v>-93.211160000000021</v>
      </c>
      <c r="CQ199" s="399">
        <v>31</v>
      </c>
      <c r="CR199" s="399">
        <v>-99.520234926339583</v>
      </c>
      <c r="CS199" s="399">
        <v>0</v>
      </c>
      <c r="CT199" s="399">
        <v>0</v>
      </c>
      <c r="CU199" s="399">
        <v>0</v>
      </c>
      <c r="CV199" s="399">
        <v>0</v>
      </c>
      <c r="CW199" s="399">
        <v>0</v>
      </c>
      <c r="CX199" s="399">
        <v>0</v>
      </c>
      <c r="CY199" s="399">
        <v>0</v>
      </c>
      <c r="CZ199" s="399">
        <v>4.8189102513958346</v>
      </c>
      <c r="DA199" s="399">
        <v>0</v>
      </c>
      <c r="DB199" s="399">
        <v>0</v>
      </c>
      <c r="DC199" s="399">
        <v>-93.220894522357696</v>
      </c>
      <c r="DD199" s="399">
        <v>0</v>
      </c>
      <c r="DE199" s="399">
        <v>0</v>
      </c>
      <c r="DF199" s="399">
        <v>0</v>
      </c>
      <c r="DG199" s="399">
        <v>-10.910355606485531</v>
      </c>
      <c r="DH199" s="399">
        <v>0</v>
      </c>
      <c r="DI199" s="399">
        <v>0</v>
      </c>
      <c r="DJ199" s="399"/>
      <c r="DK199" s="399">
        <v>0</v>
      </c>
      <c r="DL199" s="399">
        <v>0</v>
      </c>
      <c r="DM199" s="399">
        <v>0</v>
      </c>
      <c r="DN199" s="399">
        <v>0</v>
      </c>
      <c r="DO199" s="399">
        <v>0</v>
      </c>
      <c r="DP199" s="399">
        <v>-0.20789504889219312</v>
      </c>
      <c r="DQ199" s="399">
        <v>0</v>
      </c>
      <c r="DR199" s="399">
        <v>0</v>
      </c>
      <c r="DS199" s="399"/>
      <c r="DT199" s="399"/>
      <c r="DU199" s="399"/>
      <c r="DV199" s="399">
        <v>542.43084909013965</v>
      </c>
      <c r="DW199" s="399">
        <v>0</v>
      </c>
      <c r="DX199" s="399">
        <v>0</v>
      </c>
      <c r="DY199" s="399">
        <v>-204.22476000000006</v>
      </c>
      <c r="DZ199" s="399">
        <v>-93.211160000000007</v>
      </c>
      <c r="EA199" s="399">
        <v>0</v>
      </c>
      <c r="EB199" s="399">
        <v>0</v>
      </c>
      <c r="EC199" s="399">
        <v>-197.93308082459748</v>
      </c>
      <c r="ED199" s="399">
        <v>0</v>
      </c>
      <c r="EE199" s="399">
        <v>0</v>
      </c>
      <c r="EF199" s="399">
        <v>0</v>
      </c>
      <c r="EG199" s="399">
        <v>0</v>
      </c>
      <c r="EH199" s="399">
        <v>0</v>
      </c>
      <c r="EI199" s="399">
        <v>0</v>
      </c>
      <c r="EJ199" s="399">
        <v>0</v>
      </c>
      <c r="EK199" s="399">
        <v>0</v>
      </c>
      <c r="EL199" s="399">
        <v>0</v>
      </c>
      <c r="EM199" s="399">
        <v>0</v>
      </c>
      <c r="EN199" s="399">
        <v>0</v>
      </c>
      <c r="EO199" s="399">
        <v>0</v>
      </c>
      <c r="EP199" s="399">
        <v>0</v>
      </c>
      <c r="EQ199" s="399">
        <v>0</v>
      </c>
      <c r="ER199" s="399">
        <v>0</v>
      </c>
      <c r="ES199" s="399">
        <v>0</v>
      </c>
      <c r="ET199" s="399">
        <v>0</v>
      </c>
      <c r="EU199" s="399">
        <v>0</v>
      </c>
      <c r="EV199" s="399">
        <v>202</v>
      </c>
      <c r="EW199" s="399">
        <v>0</v>
      </c>
      <c r="EX199" s="399">
        <v>0</v>
      </c>
      <c r="EY199" s="399">
        <v>0</v>
      </c>
      <c r="EZ199" s="399"/>
      <c r="FA199" s="399">
        <v>0</v>
      </c>
      <c r="FB199" s="399">
        <v>-17.698635468909799</v>
      </c>
      <c r="FC199" s="399"/>
      <c r="FD199" s="399">
        <v>-17.698635468909799</v>
      </c>
      <c r="FE199" s="399"/>
      <c r="FF199" s="399">
        <v>0</v>
      </c>
      <c r="FG199" s="399">
        <v>0</v>
      </c>
      <c r="FH199" s="399">
        <v>0</v>
      </c>
      <c r="FI199" s="399">
        <v>0</v>
      </c>
    </row>
    <row r="200" spans="1:165">
      <c r="A200" s="399">
        <v>192</v>
      </c>
      <c r="B200" s="399" t="s">
        <v>956</v>
      </c>
      <c r="C200" s="399" t="s">
        <v>2409</v>
      </c>
      <c r="D200" s="399" t="s">
        <v>1823</v>
      </c>
      <c r="E200" s="399" t="s">
        <v>889</v>
      </c>
      <c r="F200" s="399" t="s">
        <v>889</v>
      </c>
      <c r="G200" s="399" t="s">
        <v>1239</v>
      </c>
      <c r="H200" s="399" t="s">
        <v>1239</v>
      </c>
      <c r="I200" s="399" t="s">
        <v>2326</v>
      </c>
      <c r="J200" s="399" t="s">
        <v>2400</v>
      </c>
      <c r="K200" s="788">
        <v>44682</v>
      </c>
      <c r="L200" s="399">
        <v>0</v>
      </c>
      <c r="M200" s="399">
        <v>0</v>
      </c>
      <c r="N200" s="399">
        <v>4.2000000000000003E-2</v>
      </c>
      <c r="O200" s="399">
        <v>4.2000000000000003E-2</v>
      </c>
      <c r="P200" s="399">
        <v>4.2000000000000003E-2</v>
      </c>
      <c r="Q200" s="399">
        <v>4.2000000000000003E-2</v>
      </c>
      <c r="R200" s="399"/>
      <c r="S200" s="399">
        <v>409.62</v>
      </c>
      <c r="T200" s="399">
        <v>286.42</v>
      </c>
      <c r="U200" s="399"/>
      <c r="V200" s="399">
        <v>29.233680000000003</v>
      </c>
      <c r="W200" s="399">
        <v>29.233680000000003</v>
      </c>
      <c r="X200" s="399">
        <v>22.71528</v>
      </c>
      <c r="Y200" s="399">
        <v>0</v>
      </c>
      <c r="Z200" s="399">
        <v>2.556178756794663</v>
      </c>
      <c r="AA200" s="399">
        <v>0</v>
      </c>
      <c r="AB200" s="399">
        <v>0</v>
      </c>
      <c r="AC200" s="399">
        <v>0</v>
      </c>
      <c r="AD200" s="399">
        <v>2.3790149425076286</v>
      </c>
      <c r="AE200" s="399">
        <v>9.1888806224054704</v>
      </c>
      <c r="AF200" s="399">
        <v>12.029780500241532</v>
      </c>
      <c r="AG200" s="399">
        <v>0</v>
      </c>
      <c r="AH200" s="399">
        <v>0</v>
      </c>
      <c r="AI200" s="399">
        <v>0</v>
      </c>
      <c r="AJ200" s="399">
        <v>0</v>
      </c>
      <c r="AK200" s="399">
        <v>0</v>
      </c>
      <c r="AL200" s="399">
        <v>0.39504733610091336</v>
      </c>
      <c r="AM200" s="399"/>
      <c r="AN200" s="399">
        <v>7.1729177788545484E-2</v>
      </c>
      <c r="AO200" s="399">
        <v>0</v>
      </c>
      <c r="AP200" s="399">
        <v>0</v>
      </c>
      <c r="AQ200" s="399">
        <v>0</v>
      </c>
      <c r="AR200" s="399">
        <v>0</v>
      </c>
      <c r="AS200" s="399">
        <v>0</v>
      </c>
      <c r="AT200" s="399">
        <v>0</v>
      </c>
      <c r="AU200" s="399">
        <v>0</v>
      </c>
      <c r="AV200" s="399">
        <v>0</v>
      </c>
      <c r="AW200" s="399">
        <v>0</v>
      </c>
      <c r="AX200" s="399">
        <v>0</v>
      </c>
      <c r="AY200" s="399">
        <v>0</v>
      </c>
      <c r="AZ200" s="399">
        <v>0</v>
      </c>
      <c r="BA200" s="399"/>
      <c r="BB200" s="399">
        <v>0</v>
      </c>
      <c r="BC200" s="399">
        <v>0</v>
      </c>
      <c r="BD200" s="399">
        <v>0</v>
      </c>
      <c r="BE200" s="399">
        <v>0</v>
      </c>
      <c r="BF200" s="399">
        <v>0</v>
      </c>
      <c r="BG200" s="399">
        <v>1.4079373921274887</v>
      </c>
      <c r="BH200" s="399">
        <v>0</v>
      </c>
      <c r="BI200" s="399">
        <v>0</v>
      </c>
      <c r="BJ200" s="399">
        <v>0</v>
      </c>
      <c r="BK200" s="399">
        <v>0</v>
      </c>
      <c r="BL200" s="399">
        <v>0</v>
      </c>
      <c r="BM200" s="399"/>
      <c r="BN200" s="399"/>
      <c r="BO200" s="399"/>
      <c r="BP200" s="399"/>
      <c r="BQ200" s="399"/>
      <c r="BR200" s="399"/>
      <c r="BS200" s="399"/>
      <c r="BT200" s="399"/>
      <c r="BU200" s="399"/>
      <c r="BV200" s="399">
        <v>13.437717892369021</v>
      </c>
      <c r="BW200" s="399"/>
      <c r="BX200" s="399"/>
      <c r="BY200" s="399"/>
      <c r="BZ200" s="399"/>
      <c r="CA200" s="399"/>
      <c r="CB200" s="399"/>
      <c r="CC200" s="399"/>
      <c r="CD200" s="399"/>
      <c r="CE200" s="399"/>
      <c r="CF200" s="399"/>
      <c r="CG200" s="399"/>
      <c r="CH200" s="399"/>
      <c r="CI200" s="399">
        <v>21.633600000000001</v>
      </c>
      <c r="CJ200" s="399">
        <v>-7.6300800000000066</v>
      </c>
      <c r="CK200" s="399"/>
      <c r="CL200" s="399"/>
      <c r="CM200" s="399"/>
      <c r="CN200" s="399"/>
      <c r="CO200" s="399">
        <v>-3.79596</v>
      </c>
      <c r="CP200" s="399">
        <v>-2.7224400000000011</v>
      </c>
      <c r="CQ200" s="399">
        <v>31</v>
      </c>
      <c r="CR200" s="399">
        <v>-3.1657629442121227</v>
      </c>
      <c r="CS200" s="399">
        <v>0</v>
      </c>
      <c r="CT200" s="399">
        <v>0</v>
      </c>
      <c r="CU200" s="399">
        <v>0</v>
      </c>
      <c r="CV200" s="399">
        <v>0</v>
      </c>
      <c r="CW200" s="399">
        <v>0</v>
      </c>
      <c r="CX200" s="399">
        <v>0</v>
      </c>
      <c r="CY200" s="399">
        <v>0</v>
      </c>
      <c r="CZ200" s="399">
        <v>8.1640435435813785E-2</v>
      </c>
      <c r="DA200" s="399">
        <v>0</v>
      </c>
      <c r="DB200" s="399">
        <v>0</v>
      </c>
      <c r="DC200" s="399">
        <v>-2.7227243184555121</v>
      </c>
      <c r="DD200" s="399">
        <v>0</v>
      </c>
      <c r="DE200" s="399">
        <v>0</v>
      </c>
      <c r="DF200" s="399">
        <v>0</v>
      </c>
      <c r="DG200" s="399">
        <v>-0.318661290314598</v>
      </c>
      <c r="DH200" s="399">
        <v>0</v>
      </c>
      <c r="DI200" s="399">
        <v>-0.17733784496830474</v>
      </c>
      <c r="DJ200" s="399"/>
      <c r="DK200" s="399">
        <v>0</v>
      </c>
      <c r="DL200" s="399">
        <v>0</v>
      </c>
      <c r="DM200" s="399">
        <v>0</v>
      </c>
      <c r="DN200" s="399">
        <v>0</v>
      </c>
      <c r="DO200" s="399">
        <v>-2.2607886929362608E-2</v>
      </c>
      <c r="DP200" s="399">
        <v>-6.0720389801614122E-3</v>
      </c>
      <c r="DQ200" s="399">
        <v>0</v>
      </c>
      <c r="DR200" s="399">
        <v>0</v>
      </c>
      <c r="DS200" s="399"/>
      <c r="DT200" s="399"/>
      <c r="DU200" s="399"/>
      <c r="DV200" s="399">
        <v>9.1888806224054704</v>
      </c>
      <c r="DW200" s="399">
        <v>0</v>
      </c>
      <c r="DX200" s="399">
        <v>0</v>
      </c>
      <c r="DY200" s="399">
        <v>-3.7959600000000009</v>
      </c>
      <c r="DZ200" s="399">
        <v>-2.7224400000000006</v>
      </c>
      <c r="EA200" s="399">
        <v>0</v>
      </c>
      <c r="EB200" s="399">
        <v>0</v>
      </c>
      <c r="EC200" s="399">
        <v>-3.3530236231456021</v>
      </c>
      <c r="ED200" s="399">
        <v>0</v>
      </c>
      <c r="EE200" s="399">
        <v>0</v>
      </c>
      <c r="EF200" s="399">
        <v>0</v>
      </c>
      <c r="EG200" s="399">
        <v>0</v>
      </c>
      <c r="EH200" s="399">
        <v>0</v>
      </c>
      <c r="EI200" s="399">
        <v>0</v>
      </c>
      <c r="EJ200" s="399">
        <v>0</v>
      </c>
      <c r="EK200" s="399">
        <v>0</v>
      </c>
      <c r="EL200" s="399">
        <v>0</v>
      </c>
      <c r="EM200" s="399">
        <v>0</v>
      </c>
      <c r="EN200" s="399">
        <v>0</v>
      </c>
      <c r="EO200" s="399">
        <v>0</v>
      </c>
      <c r="EP200" s="399">
        <v>1.2053257434511901</v>
      </c>
      <c r="EQ200" s="399">
        <v>0</v>
      </c>
      <c r="ER200" s="399">
        <v>0</v>
      </c>
      <c r="ES200" s="399">
        <v>0</v>
      </c>
      <c r="ET200" s="399">
        <v>0</v>
      </c>
      <c r="EU200" s="399">
        <v>0</v>
      </c>
      <c r="EV200" s="399">
        <v>202</v>
      </c>
      <c r="EW200" s="399">
        <v>0</v>
      </c>
      <c r="EX200" s="399">
        <v>0</v>
      </c>
      <c r="EY200" s="399">
        <v>0</v>
      </c>
      <c r="EZ200" s="399"/>
      <c r="FA200" s="399">
        <v>0</v>
      </c>
      <c r="FB200" s="399">
        <v>-17.698635468909799</v>
      </c>
      <c r="FC200" s="399"/>
      <c r="FD200" s="399">
        <v>-17.698635468909799</v>
      </c>
      <c r="FE200" s="399"/>
      <c r="FF200" s="399">
        <v>0</v>
      </c>
      <c r="FG200" s="399">
        <v>0</v>
      </c>
      <c r="FH200" s="399">
        <v>0</v>
      </c>
      <c r="FI200" s="399">
        <v>0</v>
      </c>
    </row>
    <row r="201" spans="1:165">
      <c r="A201" s="399">
        <v>193</v>
      </c>
      <c r="B201" s="399" t="s">
        <v>956</v>
      </c>
      <c r="C201" s="399" t="s">
        <v>2409</v>
      </c>
      <c r="D201" s="399" t="s">
        <v>1823</v>
      </c>
      <c r="E201" s="399" t="s">
        <v>889</v>
      </c>
      <c r="F201" s="399" t="s">
        <v>889</v>
      </c>
      <c r="G201" s="399" t="s">
        <v>1239</v>
      </c>
      <c r="H201" s="399" t="s">
        <v>1239</v>
      </c>
      <c r="I201" s="399" t="s">
        <v>1239</v>
      </c>
      <c r="J201" s="399" t="s">
        <v>2400</v>
      </c>
      <c r="K201" s="788">
        <v>44682</v>
      </c>
      <c r="L201" s="399">
        <v>0</v>
      </c>
      <c r="M201" s="399">
        <v>0</v>
      </c>
      <c r="N201" s="399">
        <v>0</v>
      </c>
      <c r="O201" s="399">
        <v>0</v>
      </c>
      <c r="P201" s="399">
        <v>0</v>
      </c>
      <c r="Q201" s="399">
        <v>0</v>
      </c>
      <c r="R201" s="399"/>
      <c r="S201" s="399"/>
      <c r="T201" s="399"/>
      <c r="U201" s="399"/>
      <c r="V201" s="399"/>
      <c r="W201" s="399"/>
      <c r="X201" s="399"/>
      <c r="Y201" s="399"/>
      <c r="Z201" s="399"/>
      <c r="AA201" s="399">
        <v>0</v>
      </c>
      <c r="AB201" s="399"/>
      <c r="AC201" s="399"/>
      <c r="AD201" s="399"/>
      <c r="AE201" s="399"/>
      <c r="AF201" s="399"/>
      <c r="AG201" s="399"/>
      <c r="AH201" s="399"/>
      <c r="AI201" s="399"/>
      <c r="AJ201" s="399"/>
      <c r="AK201" s="399"/>
      <c r="AL201" s="399"/>
      <c r="AM201" s="399"/>
      <c r="AN201" s="399"/>
      <c r="AO201" s="399"/>
      <c r="AP201" s="399"/>
      <c r="AQ201" s="399"/>
      <c r="AR201" s="399"/>
      <c r="AS201" s="399"/>
      <c r="AT201" s="399"/>
      <c r="AU201" s="399"/>
      <c r="AV201" s="399"/>
      <c r="AW201" s="399"/>
      <c r="AX201" s="399"/>
      <c r="AY201" s="399"/>
      <c r="AZ201" s="399">
        <v>0</v>
      </c>
      <c r="BA201" s="399"/>
      <c r="BB201" s="399"/>
      <c r="BC201" s="399"/>
      <c r="BD201" s="399"/>
      <c r="BE201" s="399"/>
      <c r="BF201" s="399"/>
      <c r="BG201" s="399"/>
      <c r="BH201" s="399"/>
      <c r="BI201" s="399">
        <v>0.22</v>
      </c>
      <c r="BJ201" s="399">
        <v>1.06</v>
      </c>
      <c r="BK201" s="399">
        <v>0</v>
      </c>
      <c r="BL201" s="399">
        <v>1</v>
      </c>
      <c r="BM201" s="399"/>
      <c r="BN201" s="399"/>
      <c r="BO201" s="399"/>
      <c r="BP201" s="399"/>
      <c r="BQ201" s="399"/>
      <c r="BR201" s="399"/>
      <c r="BS201" s="399"/>
      <c r="BT201" s="399"/>
      <c r="BU201" s="399"/>
      <c r="BV201" s="399"/>
      <c r="BW201" s="399"/>
      <c r="BX201" s="399"/>
      <c r="BY201" s="399"/>
      <c r="BZ201" s="399"/>
      <c r="CA201" s="399"/>
      <c r="CB201" s="399"/>
      <c r="CC201" s="399"/>
      <c r="CD201" s="399"/>
      <c r="CE201" s="399"/>
      <c r="CF201" s="399"/>
      <c r="CG201" s="399"/>
      <c r="CH201" s="399"/>
      <c r="CI201" s="399"/>
      <c r="CJ201" s="399">
        <v>-0.03</v>
      </c>
      <c r="CK201" s="399"/>
      <c r="CL201" s="399"/>
      <c r="CM201" s="399"/>
      <c r="CN201" s="399"/>
      <c r="CO201" s="399">
        <v>0</v>
      </c>
      <c r="CP201" s="399">
        <v>0</v>
      </c>
      <c r="CQ201" s="399">
        <v>31</v>
      </c>
      <c r="CR201" s="399"/>
      <c r="CS201" s="399"/>
      <c r="CT201" s="399"/>
      <c r="CU201" s="399"/>
      <c r="CV201" s="399"/>
      <c r="CW201" s="399"/>
      <c r="CX201" s="399"/>
      <c r="CY201" s="399"/>
      <c r="CZ201" s="399"/>
      <c r="DA201" s="399"/>
      <c r="DB201" s="399"/>
      <c r="DC201" s="399"/>
      <c r="DD201" s="399"/>
      <c r="DE201" s="399"/>
      <c r="DF201" s="399"/>
      <c r="DG201" s="399"/>
      <c r="DH201" s="399"/>
      <c r="DI201" s="399"/>
      <c r="DJ201" s="399"/>
      <c r="DK201" s="399">
        <v>0</v>
      </c>
      <c r="DL201" s="399"/>
      <c r="DM201" s="399"/>
      <c r="DN201" s="399"/>
      <c r="DO201" s="399"/>
      <c r="DP201" s="399"/>
      <c r="DQ201" s="399"/>
      <c r="DR201" s="399"/>
      <c r="DS201" s="399"/>
      <c r="DT201" s="399"/>
      <c r="DU201" s="399"/>
      <c r="DV201" s="399"/>
      <c r="DW201" s="399"/>
      <c r="DX201" s="399"/>
      <c r="DY201" s="399"/>
      <c r="DZ201" s="399"/>
      <c r="EA201" s="399"/>
      <c r="EB201" s="399"/>
      <c r="EC201" s="399"/>
      <c r="ED201" s="399"/>
      <c r="EE201" s="399"/>
      <c r="EF201" s="399"/>
      <c r="EG201" s="399"/>
      <c r="EH201" s="399"/>
      <c r="EI201" s="399"/>
      <c r="EJ201" s="399"/>
      <c r="EK201" s="399"/>
      <c r="EL201" s="399"/>
      <c r="EM201" s="399"/>
      <c r="EN201" s="399"/>
      <c r="EO201" s="399"/>
      <c r="EP201" s="399"/>
      <c r="EQ201" s="399"/>
      <c r="ER201" s="399"/>
      <c r="ES201" s="399"/>
      <c r="ET201" s="399"/>
      <c r="EU201" s="399"/>
      <c r="EV201" s="399">
        <v>202</v>
      </c>
      <c r="EW201" s="399"/>
      <c r="EX201" s="399"/>
      <c r="EY201" s="399"/>
      <c r="EZ201" s="399"/>
      <c r="FA201" s="399">
        <v>0</v>
      </c>
      <c r="FB201" s="399">
        <v>-17.698635468909799</v>
      </c>
      <c r="FC201" s="399"/>
      <c r="FD201" s="399">
        <v>-17.698635468909799</v>
      </c>
      <c r="FE201" s="399"/>
      <c r="FF201" s="399">
        <v>0</v>
      </c>
      <c r="FG201" s="399">
        <v>0</v>
      </c>
      <c r="FH201" s="399">
        <v>0</v>
      </c>
      <c r="FI201" s="399">
        <v>0</v>
      </c>
    </row>
    <row r="202" spans="1:165">
      <c r="A202" s="399">
        <v>194</v>
      </c>
      <c r="B202" s="399" t="s">
        <v>956</v>
      </c>
      <c r="C202" s="399" t="s">
        <v>2409</v>
      </c>
      <c r="D202" s="399" t="s">
        <v>1823</v>
      </c>
      <c r="E202" s="399" t="s">
        <v>889</v>
      </c>
      <c r="F202" s="399" t="s">
        <v>889</v>
      </c>
      <c r="G202" s="399" t="s">
        <v>1239</v>
      </c>
      <c r="H202" s="399" t="s">
        <v>1239</v>
      </c>
      <c r="I202" s="399" t="s">
        <v>2410</v>
      </c>
      <c r="J202" s="399" t="s">
        <v>2400</v>
      </c>
      <c r="K202" s="788">
        <v>44682</v>
      </c>
      <c r="L202" s="399">
        <v>0</v>
      </c>
      <c r="M202" s="399">
        <v>0</v>
      </c>
      <c r="N202" s="399">
        <v>1.2E-2</v>
      </c>
      <c r="O202" s="399">
        <v>1.2E-2</v>
      </c>
      <c r="P202" s="399">
        <v>1.2E-2</v>
      </c>
      <c r="Q202" s="399">
        <v>1.2E-2</v>
      </c>
      <c r="R202" s="399"/>
      <c r="S202" s="399">
        <v>960.47</v>
      </c>
      <c r="T202" s="399">
        <v>286.42</v>
      </c>
      <c r="U202" s="399"/>
      <c r="V202" s="399">
        <v>14.962680000000001</v>
      </c>
      <c r="W202" s="399">
        <v>14.962680000000001</v>
      </c>
      <c r="X202" s="399">
        <v>11.230919999999999</v>
      </c>
      <c r="Y202" s="399">
        <v>0</v>
      </c>
      <c r="Z202" s="399">
        <v>0.73033678765561794</v>
      </c>
      <c r="AA202" s="399">
        <v>0</v>
      </c>
      <c r="AB202" s="399">
        <v>0</v>
      </c>
      <c r="AC202" s="399">
        <v>0</v>
      </c>
      <c r="AD202" s="399">
        <v>2.0390917310054157</v>
      </c>
      <c r="AE202" s="399">
        <v>7.8761874024429597</v>
      </c>
      <c r="AF202" s="399">
        <v>3.4370801429261517</v>
      </c>
      <c r="AG202" s="399">
        <v>0</v>
      </c>
      <c r="AH202" s="399">
        <v>0</v>
      </c>
      <c r="AI202" s="399">
        <v>0</v>
      </c>
      <c r="AJ202" s="399">
        <v>0</v>
      </c>
      <c r="AK202" s="399">
        <v>0</v>
      </c>
      <c r="AL202" s="399">
        <v>0.1128706674574038</v>
      </c>
      <c r="AM202" s="399"/>
      <c r="AN202" s="399">
        <v>2.0494050796727281E-2</v>
      </c>
      <c r="AO202" s="399">
        <v>0</v>
      </c>
      <c r="AP202" s="399">
        <v>0</v>
      </c>
      <c r="AQ202" s="399">
        <v>0</v>
      </c>
      <c r="AR202" s="399">
        <v>0</v>
      </c>
      <c r="AS202" s="399">
        <v>0</v>
      </c>
      <c r="AT202" s="399">
        <v>0</v>
      </c>
      <c r="AU202" s="399">
        <v>0</v>
      </c>
      <c r="AV202" s="399">
        <v>0</v>
      </c>
      <c r="AW202" s="399">
        <v>0</v>
      </c>
      <c r="AX202" s="399">
        <v>0</v>
      </c>
      <c r="AY202" s="399">
        <v>0</v>
      </c>
      <c r="AZ202" s="399">
        <v>0</v>
      </c>
      <c r="BA202" s="399"/>
      <c r="BB202" s="399">
        <v>0</v>
      </c>
      <c r="BC202" s="399">
        <v>0</v>
      </c>
      <c r="BD202" s="399">
        <v>0</v>
      </c>
      <c r="BE202" s="399">
        <v>0</v>
      </c>
      <c r="BF202" s="399">
        <v>0</v>
      </c>
      <c r="BG202" s="399">
        <v>0.40226782632213964</v>
      </c>
      <c r="BH202" s="399">
        <v>0</v>
      </c>
      <c r="BI202" s="399">
        <v>0</v>
      </c>
      <c r="BJ202" s="399">
        <v>0</v>
      </c>
      <c r="BK202" s="399">
        <v>0</v>
      </c>
      <c r="BL202" s="399">
        <v>0</v>
      </c>
      <c r="BM202" s="399"/>
      <c r="BN202" s="399"/>
      <c r="BO202" s="399"/>
      <c r="BP202" s="399"/>
      <c r="BQ202" s="399"/>
      <c r="BR202" s="399"/>
      <c r="BS202" s="399"/>
      <c r="BT202" s="399"/>
      <c r="BU202" s="399"/>
      <c r="BV202" s="399">
        <v>3.8393479692482915</v>
      </c>
      <c r="BW202" s="399"/>
      <c r="BX202" s="399"/>
      <c r="BY202" s="399"/>
      <c r="BZ202" s="399"/>
      <c r="CA202" s="399"/>
      <c r="CB202" s="399"/>
      <c r="CC202" s="399"/>
      <c r="CD202" s="399"/>
      <c r="CE202" s="399"/>
      <c r="CF202" s="399"/>
      <c r="CG202" s="399"/>
      <c r="CH202" s="399"/>
      <c r="CI202" s="399">
        <v>9.3590999999999998</v>
      </c>
      <c r="CJ202" s="399">
        <v>-5.6335800000000003</v>
      </c>
      <c r="CK202" s="399"/>
      <c r="CL202" s="399"/>
      <c r="CM202" s="399"/>
      <c r="CN202" s="399"/>
      <c r="CO202" s="399">
        <v>-2.953920000000001</v>
      </c>
      <c r="CP202" s="399">
        <v>-0.77784000000000031</v>
      </c>
      <c r="CQ202" s="399">
        <v>31</v>
      </c>
      <c r="CR202" s="399">
        <v>-0.85785421497162684</v>
      </c>
      <c r="CS202" s="399">
        <v>0</v>
      </c>
      <c r="CT202" s="399">
        <v>0</v>
      </c>
      <c r="CU202" s="399">
        <v>0</v>
      </c>
      <c r="CV202" s="399">
        <v>0</v>
      </c>
      <c r="CW202" s="399">
        <v>0</v>
      </c>
      <c r="CX202" s="399">
        <v>0</v>
      </c>
      <c r="CY202" s="399">
        <v>0</v>
      </c>
      <c r="CZ202" s="399">
        <v>6.9975322070640278E-2</v>
      </c>
      <c r="DA202" s="399">
        <v>0</v>
      </c>
      <c r="DB202" s="399">
        <v>0</v>
      </c>
      <c r="DC202" s="399">
        <v>-0.77792123384443146</v>
      </c>
      <c r="DD202" s="399">
        <v>0</v>
      </c>
      <c r="DE202" s="399">
        <v>0</v>
      </c>
      <c r="DF202" s="399">
        <v>0</v>
      </c>
      <c r="DG202" s="399">
        <v>-9.104608294702804E-2</v>
      </c>
      <c r="DH202" s="399">
        <v>0</v>
      </c>
      <c r="DI202" s="399">
        <v>-5.0667955705229861E-2</v>
      </c>
      <c r="DJ202" s="399"/>
      <c r="DK202" s="399">
        <v>0</v>
      </c>
      <c r="DL202" s="399">
        <v>0</v>
      </c>
      <c r="DM202" s="399">
        <v>0</v>
      </c>
      <c r="DN202" s="399">
        <v>0</v>
      </c>
      <c r="DO202" s="399">
        <v>-6.4593962655321718E-3</v>
      </c>
      <c r="DP202" s="399">
        <v>-1.7348682800461188E-3</v>
      </c>
      <c r="DQ202" s="399">
        <v>0</v>
      </c>
      <c r="DR202" s="399">
        <v>0</v>
      </c>
      <c r="DS202" s="399"/>
      <c r="DT202" s="399"/>
      <c r="DU202" s="399"/>
      <c r="DV202" s="399">
        <v>7.8761874024429597</v>
      </c>
      <c r="DW202" s="399">
        <v>0</v>
      </c>
      <c r="DX202" s="399">
        <v>0</v>
      </c>
      <c r="DY202" s="399">
        <v>-2.9539200000000019</v>
      </c>
      <c r="DZ202" s="399">
        <v>-0.77784000000000031</v>
      </c>
      <c r="EA202" s="399">
        <v>0</v>
      </c>
      <c r="EB202" s="399">
        <v>0</v>
      </c>
      <c r="EC202" s="399">
        <v>-2.8740217123203475</v>
      </c>
      <c r="ED202" s="399">
        <v>0</v>
      </c>
      <c r="EE202" s="399">
        <v>0</v>
      </c>
      <c r="EF202" s="399">
        <v>0</v>
      </c>
      <c r="EG202" s="399">
        <v>0</v>
      </c>
      <c r="EH202" s="399">
        <v>0</v>
      </c>
      <c r="EI202" s="399">
        <v>0</v>
      </c>
      <c r="EJ202" s="399">
        <v>0</v>
      </c>
      <c r="EK202" s="399">
        <v>0</v>
      </c>
      <c r="EL202" s="399">
        <v>0</v>
      </c>
      <c r="EM202" s="399">
        <v>0</v>
      </c>
      <c r="EN202" s="399">
        <v>0</v>
      </c>
      <c r="EO202" s="399">
        <v>0</v>
      </c>
      <c r="EP202" s="399">
        <v>0.3443787838431972</v>
      </c>
      <c r="EQ202" s="399">
        <v>0</v>
      </c>
      <c r="ER202" s="399">
        <v>0</v>
      </c>
      <c r="ES202" s="399">
        <v>0</v>
      </c>
      <c r="ET202" s="399">
        <v>0</v>
      </c>
      <c r="EU202" s="399">
        <v>0</v>
      </c>
      <c r="EV202" s="399">
        <v>202</v>
      </c>
      <c r="EW202" s="399">
        <v>0</v>
      </c>
      <c r="EX202" s="399">
        <v>0</v>
      </c>
      <c r="EY202" s="399">
        <v>0</v>
      </c>
      <c r="EZ202" s="399"/>
      <c r="FA202" s="399">
        <v>0</v>
      </c>
      <c r="FB202" s="399">
        <v>-17.698635468909799</v>
      </c>
      <c r="FC202" s="399"/>
      <c r="FD202" s="399">
        <v>-17.698635468909799</v>
      </c>
      <c r="FE202" s="399"/>
      <c r="FF202" s="399">
        <v>0</v>
      </c>
      <c r="FG202" s="399">
        <v>0</v>
      </c>
      <c r="FH202" s="399">
        <v>0</v>
      </c>
      <c r="FI202" s="399">
        <v>0</v>
      </c>
    </row>
    <row r="203" spans="1:165">
      <c r="A203" s="399">
        <v>199</v>
      </c>
      <c r="B203" s="399" t="s">
        <v>956</v>
      </c>
      <c r="C203" s="399" t="s">
        <v>2402</v>
      </c>
      <c r="D203" s="399" t="s">
        <v>2411</v>
      </c>
      <c r="E203" s="399" t="s">
        <v>894</v>
      </c>
      <c r="F203" s="399" t="s">
        <v>1239</v>
      </c>
      <c r="G203" s="399" t="s">
        <v>1239</v>
      </c>
      <c r="H203" s="399" t="s">
        <v>1239</v>
      </c>
      <c r="I203" s="399" t="s">
        <v>1239</v>
      </c>
      <c r="J203" s="399" t="s">
        <v>2400</v>
      </c>
      <c r="K203" s="788">
        <v>44682</v>
      </c>
      <c r="L203" s="399">
        <v>0</v>
      </c>
      <c r="M203" s="399">
        <v>0</v>
      </c>
      <c r="N203" s="399">
        <v>112.93300000000001</v>
      </c>
      <c r="O203" s="399">
        <v>112.93300000000001</v>
      </c>
      <c r="P203" s="399">
        <v>112.93300000000001</v>
      </c>
      <c r="Q203" s="399">
        <v>112.93300000000001</v>
      </c>
      <c r="R203" s="399"/>
      <c r="S203" s="399">
        <v>609.05999999999995</v>
      </c>
      <c r="T203" s="399">
        <v>286.42</v>
      </c>
      <c r="U203" s="399"/>
      <c r="V203" s="399">
        <v>101129.24283999999</v>
      </c>
      <c r="W203" s="399">
        <v>101129.24283999999</v>
      </c>
      <c r="X203" s="399">
        <v>77231.490709999998</v>
      </c>
      <c r="Y203" s="399">
        <v>0</v>
      </c>
      <c r="Z203" s="399">
        <v>6873.2603700259924</v>
      </c>
      <c r="AA203" s="399">
        <v>0</v>
      </c>
      <c r="AB203" s="399">
        <v>0</v>
      </c>
      <c r="AC203" s="399">
        <v>0</v>
      </c>
      <c r="AD203" s="399">
        <v>11028.150250886254</v>
      </c>
      <c r="AE203" s="399">
        <v>42599.682253335704</v>
      </c>
      <c r="AF203" s="399">
        <v>32346.647648423259</v>
      </c>
      <c r="AG203" s="399">
        <v>0</v>
      </c>
      <c r="AH203" s="399">
        <v>0</v>
      </c>
      <c r="AI203" s="399">
        <v>0</v>
      </c>
      <c r="AJ203" s="399">
        <v>0</v>
      </c>
      <c r="AK203" s="399">
        <v>0</v>
      </c>
      <c r="AL203" s="399">
        <v>1062.235257330582</v>
      </c>
      <c r="AM203" s="399"/>
      <c r="AN203" s="399">
        <v>192.87121988556683</v>
      </c>
      <c r="AO203" s="399">
        <v>0</v>
      </c>
      <c r="AP203" s="399">
        <v>0</v>
      </c>
      <c r="AQ203" s="399">
        <v>0</v>
      </c>
      <c r="AR203" s="399">
        <v>0</v>
      </c>
      <c r="AS203" s="399">
        <v>0</v>
      </c>
      <c r="AT203" s="399">
        <v>0</v>
      </c>
      <c r="AU203" s="399">
        <v>0</v>
      </c>
      <c r="AV203" s="399">
        <v>0</v>
      </c>
      <c r="AW203" s="399">
        <v>0</v>
      </c>
      <c r="AX203" s="399">
        <v>0</v>
      </c>
      <c r="AY203" s="399">
        <v>0</v>
      </c>
      <c r="AZ203" s="399">
        <v>0</v>
      </c>
      <c r="BA203" s="399"/>
      <c r="BB203" s="399">
        <v>0</v>
      </c>
      <c r="BC203" s="399">
        <v>0</v>
      </c>
      <c r="BD203" s="399">
        <v>0</v>
      </c>
      <c r="BE203" s="399">
        <v>0</v>
      </c>
      <c r="BF203" s="399">
        <v>0</v>
      </c>
      <c r="BG203" s="399">
        <v>3785.7760358365163</v>
      </c>
      <c r="BH203" s="399">
        <v>0</v>
      </c>
      <c r="BI203" s="399">
        <v>323.33</v>
      </c>
      <c r="BJ203" s="399">
        <v>1499.3</v>
      </c>
      <c r="BK203" s="399">
        <v>2518.91</v>
      </c>
      <c r="BL203" s="399">
        <v>330</v>
      </c>
      <c r="BM203" s="399"/>
      <c r="BN203" s="399"/>
      <c r="BO203" s="399"/>
      <c r="BP203" s="399"/>
      <c r="BQ203" s="399"/>
      <c r="BR203" s="399">
        <v>9268.4113099999959</v>
      </c>
      <c r="BS203" s="399"/>
      <c r="BT203" s="399"/>
      <c r="BU203" s="399"/>
      <c r="BV203" s="399">
        <v>36132.423684259775</v>
      </c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399"/>
      <c r="CI203" s="399">
        <v>67961.274000000005</v>
      </c>
      <c r="CJ203" s="399">
        <v>-21032.218659999999</v>
      </c>
      <c r="CK203" s="399"/>
      <c r="CL203" s="399"/>
      <c r="CM203" s="399"/>
      <c r="CN203" s="399"/>
      <c r="CO203" s="399">
        <v>-16577.435069999996</v>
      </c>
      <c r="CP203" s="399">
        <v>-7320.317060000003</v>
      </c>
      <c r="CQ203" s="399">
        <v>31</v>
      </c>
      <c r="CR203" s="399">
        <v>-8353.429081509028</v>
      </c>
      <c r="CS203" s="399">
        <v>0</v>
      </c>
      <c r="CT203" s="399">
        <v>0</v>
      </c>
      <c r="CU203" s="399">
        <v>0</v>
      </c>
      <c r="CV203" s="399">
        <v>0</v>
      </c>
      <c r="CW203" s="399">
        <v>0</v>
      </c>
      <c r="CX203" s="399">
        <v>0</v>
      </c>
      <c r="CY203" s="399">
        <v>0</v>
      </c>
      <c r="CZ203" s="399">
        <v>378.45201072384407</v>
      </c>
      <c r="DA203" s="399">
        <v>0</v>
      </c>
      <c r="DB203" s="399">
        <v>0</v>
      </c>
      <c r="DC203" s="399">
        <v>-7321.0815584794327</v>
      </c>
      <c r="DD203" s="399">
        <v>0</v>
      </c>
      <c r="DE203" s="399">
        <v>0</v>
      </c>
      <c r="DF203" s="399">
        <v>0</v>
      </c>
      <c r="DG203" s="399">
        <v>-856.84227378805963</v>
      </c>
      <c r="DH203" s="399">
        <v>0</v>
      </c>
      <c r="DI203" s="399">
        <v>-476.84035347156077</v>
      </c>
      <c r="DJ203" s="399"/>
      <c r="DK203" s="399">
        <v>0</v>
      </c>
      <c r="DL203" s="399">
        <v>0</v>
      </c>
      <c r="DM203" s="399">
        <v>0</v>
      </c>
      <c r="DN203" s="399">
        <v>0</v>
      </c>
      <c r="DO203" s="399">
        <v>-60.789916537945373</v>
      </c>
      <c r="DP203" s="399">
        <v>-16.326989955870687</v>
      </c>
      <c r="DQ203" s="399">
        <v>0</v>
      </c>
      <c r="DR203" s="399">
        <v>0</v>
      </c>
      <c r="DS203" s="399"/>
      <c r="DT203" s="399"/>
      <c r="DU203" s="399"/>
      <c r="DV203" s="399">
        <v>42599.682253335704</v>
      </c>
      <c r="DW203" s="399">
        <v>0</v>
      </c>
      <c r="DX203" s="399">
        <v>0</v>
      </c>
      <c r="DY203" s="399">
        <v>-16577.435069999992</v>
      </c>
      <c r="DZ203" s="399">
        <v>-7320.3170600000049</v>
      </c>
      <c r="EA203" s="399">
        <v>0</v>
      </c>
      <c r="EB203" s="399">
        <v>0</v>
      </c>
      <c r="EC203" s="399">
        <v>-15544.629079808252</v>
      </c>
      <c r="ED203" s="399">
        <v>0</v>
      </c>
      <c r="EE203" s="399">
        <v>0</v>
      </c>
      <c r="EF203" s="399">
        <v>0</v>
      </c>
      <c r="EG203" s="399">
        <v>0</v>
      </c>
      <c r="EH203" s="399">
        <v>0</v>
      </c>
      <c r="EI203" s="399">
        <v>0</v>
      </c>
      <c r="EJ203" s="399">
        <v>0</v>
      </c>
      <c r="EK203" s="399">
        <v>0</v>
      </c>
      <c r="EL203" s="399">
        <v>0</v>
      </c>
      <c r="EM203" s="399">
        <v>0</v>
      </c>
      <c r="EN203" s="399">
        <v>0</v>
      </c>
      <c r="EO203" s="399">
        <v>0</v>
      </c>
      <c r="EP203" s="399">
        <v>3240.9774329803158</v>
      </c>
      <c r="EQ203" s="399">
        <v>0</v>
      </c>
      <c r="ER203" s="399">
        <v>0</v>
      </c>
      <c r="ES203" s="399">
        <v>0</v>
      </c>
      <c r="ET203" s="399">
        <v>0</v>
      </c>
      <c r="EU203" s="399">
        <v>0</v>
      </c>
      <c r="EV203" s="399">
        <v>202</v>
      </c>
      <c r="EW203" s="399">
        <v>0</v>
      </c>
      <c r="EX203" s="399">
        <v>0</v>
      </c>
      <c r="EY203" s="399">
        <v>0</v>
      </c>
      <c r="EZ203" s="399"/>
      <c r="FA203" s="399">
        <v>0</v>
      </c>
      <c r="FB203" s="399">
        <v>-12.3890448282368</v>
      </c>
      <c r="FC203" s="399"/>
      <c r="FD203" s="399">
        <v>-17.698635468909799</v>
      </c>
      <c r="FE203" s="399"/>
      <c r="FF203" s="399">
        <v>0</v>
      </c>
      <c r="FG203" s="399">
        <v>0</v>
      </c>
      <c r="FH203" s="399">
        <v>0</v>
      </c>
      <c r="FI203" s="399">
        <v>0</v>
      </c>
    </row>
    <row r="204" spans="1:165">
      <c r="A204" s="399">
        <v>200</v>
      </c>
      <c r="B204" s="399" t="s">
        <v>2403</v>
      </c>
      <c r="C204" s="399" t="s">
        <v>2402</v>
      </c>
      <c r="D204" s="399" t="s">
        <v>2411</v>
      </c>
      <c r="E204" s="399" t="s">
        <v>894</v>
      </c>
      <c r="F204" s="399" t="s">
        <v>1239</v>
      </c>
      <c r="G204" s="399" t="s">
        <v>1239</v>
      </c>
      <c r="H204" s="399" t="s">
        <v>1239</v>
      </c>
      <c r="I204" s="399" t="s">
        <v>1239</v>
      </c>
      <c r="J204" s="399" t="s">
        <v>2400</v>
      </c>
      <c r="K204" s="788">
        <v>44682</v>
      </c>
      <c r="L204" s="399">
        <v>0</v>
      </c>
      <c r="M204" s="399">
        <v>0</v>
      </c>
      <c r="N204" s="399">
        <v>2.222</v>
      </c>
      <c r="O204" s="399">
        <v>2.222</v>
      </c>
      <c r="P204" s="399">
        <v>2.222</v>
      </c>
      <c r="Q204" s="399">
        <v>2.222</v>
      </c>
      <c r="R204" s="399"/>
      <c r="S204" s="399">
        <v>609.05999999999995</v>
      </c>
      <c r="T204" s="399">
        <v>286.42</v>
      </c>
      <c r="U204" s="399"/>
      <c r="V204" s="399">
        <v>1989.7565599999998</v>
      </c>
      <c r="W204" s="399">
        <v>1989.7565599999998</v>
      </c>
      <c r="X204" s="399">
        <v>1519.5591399999998</v>
      </c>
      <c r="Y204" s="399">
        <v>0</v>
      </c>
      <c r="Z204" s="399">
        <v>135.23402851423194</v>
      </c>
      <c r="AA204" s="399">
        <v>0</v>
      </c>
      <c r="AB204" s="399">
        <v>0</v>
      </c>
      <c r="AC204" s="399">
        <v>0</v>
      </c>
      <c r="AD204" s="399">
        <v>216.98307720036885</v>
      </c>
      <c r="AE204" s="399">
        <v>838.16505332287227</v>
      </c>
      <c r="AF204" s="399">
        <v>636.43267313182571</v>
      </c>
      <c r="AG204" s="399">
        <v>0</v>
      </c>
      <c r="AH204" s="399">
        <v>0</v>
      </c>
      <c r="AI204" s="399">
        <v>0</v>
      </c>
      <c r="AJ204" s="399">
        <v>0</v>
      </c>
      <c r="AK204" s="399">
        <v>0</v>
      </c>
      <c r="AL204" s="399">
        <v>20.89988525752927</v>
      </c>
      <c r="AM204" s="399"/>
      <c r="AN204" s="399">
        <v>3.7948150725273346</v>
      </c>
      <c r="AO204" s="399">
        <v>0</v>
      </c>
      <c r="AP204" s="399">
        <v>0</v>
      </c>
      <c r="AQ204" s="399">
        <v>0</v>
      </c>
      <c r="AR204" s="399">
        <v>0</v>
      </c>
      <c r="AS204" s="399">
        <v>0</v>
      </c>
      <c r="AT204" s="399">
        <v>0</v>
      </c>
      <c r="AU204" s="399">
        <v>0</v>
      </c>
      <c r="AV204" s="399">
        <v>0</v>
      </c>
      <c r="AW204" s="399">
        <v>0</v>
      </c>
      <c r="AX204" s="399">
        <v>0</v>
      </c>
      <c r="AY204" s="399">
        <v>0</v>
      </c>
      <c r="AZ204" s="399">
        <v>0</v>
      </c>
      <c r="BA204" s="399"/>
      <c r="BB204" s="399">
        <v>0</v>
      </c>
      <c r="BC204" s="399">
        <v>0</v>
      </c>
      <c r="BD204" s="399">
        <v>0</v>
      </c>
      <c r="BE204" s="399">
        <v>0</v>
      </c>
      <c r="BF204" s="399">
        <v>0</v>
      </c>
      <c r="BG204" s="399">
        <v>74.486592507316189</v>
      </c>
      <c r="BH204" s="399">
        <v>0</v>
      </c>
      <c r="BI204" s="399">
        <v>2.5099999999999998</v>
      </c>
      <c r="BJ204" s="399">
        <v>11.49</v>
      </c>
      <c r="BK204" s="399">
        <v>0</v>
      </c>
      <c r="BL204" s="399">
        <v>0</v>
      </c>
      <c r="BM204" s="399"/>
      <c r="BN204" s="399"/>
      <c r="BO204" s="399"/>
      <c r="BP204" s="399"/>
      <c r="BQ204" s="399"/>
      <c r="BR204" s="399">
        <v>182.35953999999992</v>
      </c>
      <c r="BS204" s="399"/>
      <c r="BT204" s="399"/>
      <c r="BU204" s="399"/>
      <c r="BV204" s="399">
        <v>710.91926563914194</v>
      </c>
      <c r="BW204" s="399"/>
      <c r="BX204" s="399"/>
      <c r="BY204" s="399"/>
      <c r="BZ204" s="399"/>
      <c r="CA204" s="399"/>
      <c r="CB204" s="399"/>
      <c r="CC204" s="399"/>
      <c r="CD204" s="399"/>
      <c r="CE204" s="399"/>
      <c r="CF204" s="399"/>
      <c r="CG204" s="399"/>
      <c r="CH204" s="399"/>
      <c r="CI204" s="399">
        <v>1335.9960000000001</v>
      </c>
      <c r="CJ204" s="399">
        <v>-415.01443999999992</v>
      </c>
      <c r="CK204" s="399"/>
      <c r="CL204" s="399"/>
      <c r="CM204" s="399"/>
      <c r="CN204" s="399"/>
      <c r="CO204" s="399">
        <v>-326.16737999999992</v>
      </c>
      <c r="CP204" s="399">
        <v>-144.03004000000004</v>
      </c>
      <c r="CQ204" s="399">
        <v>31</v>
      </c>
      <c r="CR204" s="399">
        <v>-164.35691444584916</v>
      </c>
      <c r="CS204" s="399">
        <v>0</v>
      </c>
      <c r="CT204" s="399">
        <v>0</v>
      </c>
      <c r="CU204" s="399">
        <v>0</v>
      </c>
      <c r="CV204" s="399">
        <v>0</v>
      </c>
      <c r="CW204" s="399">
        <v>0</v>
      </c>
      <c r="CX204" s="399">
        <v>0</v>
      </c>
      <c r="CY204" s="399">
        <v>0</v>
      </c>
      <c r="CZ204" s="399">
        <v>7.4461881631443418</v>
      </c>
      <c r="DA204" s="399">
        <v>0</v>
      </c>
      <c r="DB204" s="399">
        <v>0</v>
      </c>
      <c r="DC204" s="399">
        <v>-144.04508180019388</v>
      </c>
      <c r="DD204" s="399">
        <v>0</v>
      </c>
      <c r="DE204" s="399">
        <v>0</v>
      </c>
      <c r="DF204" s="399">
        <v>0</v>
      </c>
      <c r="DG204" s="399">
        <v>-16.85869969235803</v>
      </c>
      <c r="DH204" s="399">
        <v>0</v>
      </c>
      <c r="DI204" s="399">
        <v>-9.3820164647517572</v>
      </c>
      <c r="DJ204" s="399"/>
      <c r="DK204" s="399">
        <v>0</v>
      </c>
      <c r="DL204" s="399">
        <v>0</v>
      </c>
      <c r="DM204" s="399">
        <v>0</v>
      </c>
      <c r="DN204" s="399">
        <v>0</v>
      </c>
      <c r="DO204" s="399">
        <v>-1.196064875167707</v>
      </c>
      <c r="DP204" s="399">
        <v>-0.32123977652187286</v>
      </c>
      <c r="DQ204" s="399">
        <v>0</v>
      </c>
      <c r="DR204" s="399">
        <v>0</v>
      </c>
      <c r="DS204" s="399"/>
      <c r="DT204" s="399"/>
      <c r="DU204" s="399"/>
      <c r="DV204" s="399">
        <v>838.16505332287227</v>
      </c>
      <c r="DW204" s="399">
        <v>0</v>
      </c>
      <c r="DX204" s="399">
        <v>0</v>
      </c>
      <c r="DY204" s="399">
        <v>-326.16737999999987</v>
      </c>
      <c r="DZ204" s="399">
        <v>-144.03004000000004</v>
      </c>
      <c r="EA204" s="399">
        <v>0</v>
      </c>
      <c r="EB204" s="399">
        <v>0</v>
      </c>
      <c r="EC204" s="399">
        <v>-305.84652683745173</v>
      </c>
      <c r="ED204" s="399">
        <v>0</v>
      </c>
      <c r="EE204" s="399">
        <v>0</v>
      </c>
      <c r="EF204" s="399">
        <v>0</v>
      </c>
      <c r="EG204" s="399">
        <v>0</v>
      </c>
      <c r="EH204" s="399">
        <v>0</v>
      </c>
      <c r="EI204" s="399">
        <v>0</v>
      </c>
      <c r="EJ204" s="399">
        <v>0</v>
      </c>
      <c r="EK204" s="399">
        <v>0</v>
      </c>
      <c r="EL204" s="399">
        <v>0</v>
      </c>
      <c r="EM204" s="399">
        <v>0</v>
      </c>
      <c r="EN204" s="399">
        <v>0</v>
      </c>
      <c r="EO204" s="399">
        <v>0</v>
      </c>
      <c r="EP204" s="399">
        <v>63.767471474965348</v>
      </c>
      <c r="EQ204" s="399">
        <v>0</v>
      </c>
      <c r="ER204" s="399">
        <v>0</v>
      </c>
      <c r="ES204" s="399">
        <v>0</v>
      </c>
      <c r="ET204" s="399">
        <v>0</v>
      </c>
      <c r="EU204" s="399">
        <v>0</v>
      </c>
      <c r="EV204" s="399">
        <v>202</v>
      </c>
      <c r="EW204" s="399">
        <v>0</v>
      </c>
      <c r="EX204" s="399">
        <v>0</v>
      </c>
      <c r="EY204" s="399">
        <v>0</v>
      </c>
      <c r="EZ204" s="399"/>
      <c r="FA204" s="399">
        <v>0</v>
      </c>
      <c r="FB204" s="399">
        <v>-12.3890448282368</v>
      </c>
      <c r="FC204" s="399"/>
      <c r="FD204" s="399">
        <v>-17.698635468909799</v>
      </c>
      <c r="FE204" s="399"/>
      <c r="FF204" s="399">
        <v>0</v>
      </c>
      <c r="FG204" s="399">
        <v>0</v>
      </c>
      <c r="FH204" s="399">
        <v>0</v>
      </c>
      <c r="FI204" s="399">
        <v>0</v>
      </c>
    </row>
    <row r="205" spans="1:165">
      <c r="A205" s="399">
        <v>201</v>
      </c>
      <c r="B205" s="399" t="s">
        <v>2404</v>
      </c>
      <c r="C205" s="399" t="s">
        <v>2402</v>
      </c>
      <c r="D205" s="399" t="s">
        <v>2411</v>
      </c>
      <c r="E205" s="399" t="s">
        <v>894</v>
      </c>
      <c r="F205" s="399" t="s">
        <v>1239</v>
      </c>
      <c r="G205" s="399" t="s">
        <v>1239</v>
      </c>
      <c r="H205" s="399" t="s">
        <v>1239</v>
      </c>
      <c r="I205" s="399" t="s">
        <v>1239</v>
      </c>
      <c r="J205" s="399" t="s">
        <v>2400</v>
      </c>
      <c r="K205" s="788">
        <v>44682</v>
      </c>
      <c r="L205" s="399">
        <v>0</v>
      </c>
      <c r="M205" s="399">
        <v>0</v>
      </c>
      <c r="N205" s="399">
        <v>2.544</v>
      </c>
      <c r="O205" s="399">
        <v>2.544</v>
      </c>
      <c r="P205" s="399">
        <v>2.544</v>
      </c>
      <c r="Q205" s="399">
        <v>2.544</v>
      </c>
      <c r="R205" s="399"/>
      <c r="S205" s="399">
        <v>609.05999999999995</v>
      </c>
      <c r="T205" s="399">
        <v>286.42</v>
      </c>
      <c r="U205" s="399"/>
      <c r="V205" s="399">
        <v>2278.1011199999998</v>
      </c>
      <c r="W205" s="399">
        <v>2278.1011199999998</v>
      </c>
      <c r="X205" s="399">
        <v>1739.7652800000001</v>
      </c>
      <c r="Y205" s="399">
        <v>0</v>
      </c>
      <c r="Z205" s="399">
        <v>154.831398982991</v>
      </c>
      <c r="AA205" s="399">
        <v>0</v>
      </c>
      <c r="AB205" s="399">
        <v>0</v>
      </c>
      <c r="AC205" s="399">
        <v>0</v>
      </c>
      <c r="AD205" s="399">
        <v>248.42706948593087</v>
      </c>
      <c r="AE205" s="399">
        <v>959.6273157756018</v>
      </c>
      <c r="AF205" s="399">
        <v>728.66099030034411</v>
      </c>
      <c r="AG205" s="399">
        <v>0</v>
      </c>
      <c r="AH205" s="399">
        <v>0</v>
      </c>
      <c r="AI205" s="399">
        <v>0</v>
      </c>
      <c r="AJ205" s="399">
        <v>0</v>
      </c>
      <c r="AK205" s="399">
        <v>0</v>
      </c>
      <c r="AL205" s="399">
        <v>23.928581500969607</v>
      </c>
      <c r="AM205" s="399"/>
      <c r="AN205" s="399">
        <v>4.3447387689061836</v>
      </c>
      <c r="AO205" s="399">
        <v>0</v>
      </c>
      <c r="AP205" s="399">
        <v>0</v>
      </c>
      <c r="AQ205" s="399">
        <v>0</v>
      </c>
      <c r="AR205" s="399">
        <v>0</v>
      </c>
      <c r="AS205" s="399">
        <v>0</v>
      </c>
      <c r="AT205" s="399">
        <v>0</v>
      </c>
      <c r="AU205" s="399">
        <v>0</v>
      </c>
      <c r="AV205" s="399">
        <v>0</v>
      </c>
      <c r="AW205" s="399">
        <v>0</v>
      </c>
      <c r="AX205" s="399">
        <v>0</v>
      </c>
      <c r="AY205" s="399">
        <v>0</v>
      </c>
      <c r="AZ205" s="399">
        <v>0</v>
      </c>
      <c r="BA205" s="399"/>
      <c r="BB205" s="399">
        <v>0</v>
      </c>
      <c r="BC205" s="399">
        <v>0</v>
      </c>
      <c r="BD205" s="399">
        <v>0</v>
      </c>
      <c r="BE205" s="399">
        <v>0</v>
      </c>
      <c r="BF205" s="399">
        <v>0</v>
      </c>
      <c r="BG205" s="399">
        <v>85.280779180293607</v>
      </c>
      <c r="BH205" s="399">
        <v>0</v>
      </c>
      <c r="BI205" s="399">
        <v>5.65</v>
      </c>
      <c r="BJ205" s="399">
        <v>26.19</v>
      </c>
      <c r="BK205" s="399">
        <v>0</v>
      </c>
      <c r="BL205" s="399">
        <v>6</v>
      </c>
      <c r="BM205" s="399"/>
      <c r="BN205" s="399"/>
      <c r="BO205" s="399"/>
      <c r="BP205" s="399"/>
      <c r="BQ205" s="399"/>
      <c r="BR205" s="399">
        <v>208.78607999999991</v>
      </c>
      <c r="BS205" s="399"/>
      <c r="BT205" s="399"/>
      <c r="BU205" s="399"/>
      <c r="BV205" s="399">
        <v>813.94176948063773</v>
      </c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399">
        <v>1528.5719999999999</v>
      </c>
      <c r="CJ205" s="399">
        <v>-476.18088000000034</v>
      </c>
      <c r="CK205" s="399"/>
      <c r="CL205" s="399"/>
      <c r="CM205" s="399"/>
      <c r="CN205" s="399"/>
      <c r="CO205" s="399">
        <v>-373.43375999999989</v>
      </c>
      <c r="CP205" s="399">
        <v>-164.90208000000007</v>
      </c>
      <c r="CQ205" s="399">
        <v>31</v>
      </c>
      <c r="CR205" s="399">
        <v>-188.17461311891975</v>
      </c>
      <c r="CS205" s="399">
        <v>0</v>
      </c>
      <c r="CT205" s="399">
        <v>0</v>
      </c>
      <c r="CU205" s="399">
        <v>0</v>
      </c>
      <c r="CV205" s="399">
        <v>0</v>
      </c>
      <c r="CW205" s="399">
        <v>0</v>
      </c>
      <c r="CX205" s="399">
        <v>0</v>
      </c>
      <c r="CY205" s="399">
        <v>0</v>
      </c>
      <c r="CZ205" s="399">
        <v>8.5252487340410426</v>
      </c>
      <c r="DA205" s="399">
        <v>0</v>
      </c>
      <c r="DB205" s="399">
        <v>0</v>
      </c>
      <c r="DC205" s="399">
        <v>-164.9193015750194</v>
      </c>
      <c r="DD205" s="399">
        <v>0</v>
      </c>
      <c r="DE205" s="399">
        <v>0</v>
      </c>
      <c r="DF205" s="399">
        <v>0</v>
      </c>
      <c r="DG205" s="399">
        <v>-19.301769584769943</v>
      </c>
      <c r="DH205" s="399">
        <v>0</v>
      </c>
      <c r="DI205" s="399">
        <v>-10.74160660950875</v>
      </c>
      <c r="DJ205" s="399"/>
      <c r="DK205" s="399">
        <v>0</v>
      </c>
      <c r="DL205" s="399">
        <v>0</v>
      </c>
      <c r="DM205" s="399">
        <v>0</v>
      </c>
      <c r="DN205" s="399">
        <v>0</v>
      </c>
      <c r="DO205" s="399">
        <v>-1.3693920082928202</v>
      </c>
      <c r="DP205" s="399">
        <v>-0.3677920753697772</v>
      </c>
      <c r="DQ205" s="399">
        <v>0</v>
      </c>
      <c r="DR205" s="399">
        <v>0</v>
      </c>
      <c r="DS205" s="399"/>
      <c r="DT205" s="399"/>
      <c r="DU205" s="399"/>
      <c r="DV205" s="399">
        <v>959.6273157756018</v>
      </c>
      <c r="DW205" s="399">
        <v>0</v>
      </c>
      <c r="DX205" s="399">
        <v>0</v>
      </c>
      <c r="DY205" s="399">
        <v>-373.43375999999989</v>
      </c>
      <c r="DZ205" s="399">
        <v>-164.90208000000007</v>
      </c>
      <c r="EA205" s="399">
        <v>0</v>
      </c>
      <c r="EB205" s="399">
        <v>0</v>
      </c>
      <c r="EC205" s="399">
        <v>-350.16812073558845</v>
      </c>
      <c r="ED205" s="399">
        <v>0</v>
      </c>
      <c r="EE205" s="399">
        <v>0</v>
      </c>
      <c r="EF205" s="399">
        <v>0</v>
      </c>
      <c r="EG205" s="399">
        <v>0</v>
      </c>
      <c r="EH205" s="399">
        <v>0</v>
      </c>
      <c r="EI205" s="399">
        <v>0</v>
      </c>
      <c r="EJ205" s="399">
        <v>0</v>
      </c>
      <c r="EK205" s="399">
        <v>0</v>
      </c>
      <c r="EL205" s="399">
        <v>0</v>
      </c>
      <c r="EM205" s="399">
        <v>0</v>
      </c>
      <c r="EN205" s="399">
        <v>0</v>
      </c>
      <c r="EO205" s="399">
        <v>0</v>
      </c>
      <c r="EP205" s="399">
        <v>73.008302174757802</v>
      </c>
      <c r="EQ205" s="399">
        <v>0</v>
      </c>
      <c r="ER205" s="399">
        <v>0</v>
      </c>
      <c r="ES205" s="399">
        <v>0</v>
      </c>
      <c r="ET205" s="399">
        <v>0</v>
      </c>
      <c r="EU205" s="399">
        <v>0</v>
      </c>
      <c r="EV205" s="399">
        <v>202</v>
      </c>
      <c r="EW205" s="399">
        <v>0</v>
      </c>
      <c r="EX205" s="399">
        <v>0</v>
      </c>
      <c r="EY205" s="399">
        <v>0</v>
      </c>
      <c r="EZ205" s="399"/>
      <c r="FA205" s="399">
        <v>0</v>
      </c>
      <c r="FB205" s="399">
        <v>-12.3890448282368</v>
      </c>
      <c r="FC205" s="399"/>
      <c r="FD205" s="399">
        <v>-17.698635468909799</v>
      </c>
      <c r="FE205" s="399"/>
      <c r="FF205" s="399">
        <v>0</v>
      </c>
      <c r="FG205" s="399">
        <v>0</v>
      </c>
      <c r="FH205" s="399">
        <v>0</v>
      </c>
      <c r="FI205" s="399">
        <v>0</v>
      </c>
    </row>
    <row r="206" spans="1:165">
      <c r="A206" s="399">
        <v>195</v>
      </c>
      <c r="B206" s="399" t="s">
        <v>956</v>
      </c>
      <c r="C206" s="399" t="s">
        <v>2402</v>
      </c>
      <c r="D206" s="399" t="s">
        <v>1826</v>
      </c>
      <c r="E206" s="399" t="s">
        <v>918</v>
      </c>
      <c r="F206" s="399" t="s">
        <v>1239</v>
      </c>
      <c r="G206" s="399" t="s">
        <v>1239</v>
      </c>
      <c r="H206" s="399" t="s">
        <v>1239</v>
      </c>
      <c r="I206" s="399" t="s">
        <v>1239</v>
      </c>
      <c r="J206" s="399" t="s">
        <v>2400</v>
      </c>
      <c r="K206" s="788">
        <v>44682</v>
      </c>
      <c r="L206" s="399">
        <v>0</v>
      </c>
      <c r="M206" s="399">
        <v>0</v>
      </c>
      <c r="N206" s="399">
        <v>19.076000000000001</v>
      </c>
      <c r="O206" s="399">
        <v>19.076000000000001</v>
      </c>
      <c r="P206" s="399">
        <v>19.076000000000001</v>
      </c>
      <c r="Q206" s="399">
        <v>19.076000000000001</v>
      </c>
      <c r="R206" s="399"/>
      <c r="S206" s="399">
        <v>609.05999999999995</v>
      </c>
      <c r="T206" s="399">
        <v>286.42</v>
      </c>
      <c r="U206" s="399"/>
      <c r="V206" s="399">
        <v>17082.176479999998</v>
      </c>
      <c r="W206" s="399">
        <v>17082.176479999998</v>
      </c>
      <c r="X206" s="399">
        <v>13045.504120000001</v>
      </c>
      <c r="Y206" s="399">
        <v>0</v>
      </c>
      <c r="Z206" s="399">
        <v>1160.9920467765473</v>
      </c>
      <c r="AA206" s="399">
        <v>0</v>
      </c>
      <c r="AB206" s="399">
        <v>0</v>
      </c>
      <c r="AC206" s="399">
        <v>0</v>
      </c>
      <c r="AD206" s="399">
        <v>1862.8124125446609</v>
      </c>
      <c r="AE206" s="399">
        <v>7195.6960203362341</v>
      </c>
      <c r="AF206" s="399">
        <v>5463.8117338716056</v>
      </c>
      <c r="AG206" s="399">
        <v>0</v>
      </c>
      <c r="AH206" s="399">
        <v>0</v>
      </c>
      <c r="AI206" s="399">
        <v>0</v>
      </c>
      <c r="AJ206" s="399">
        <v>0</v>
      </c>
      <c r="AK206" s="399">
        <v>0</v>
      </c>
      <c r="AL206" s="399">
        <v>179.42673770145291</v>
      </c>
      <c r="AM206" s="399"/>
      <c r="AN206" s="399">
        <v>32.578709416530799</v>
      </c>
      <c r="AO206" s="399">
        <v>0</v>
      </c>
      <c r="AP206" s="399">
        <v>0</v>
      </c>
      <c r="AQ206" s="399">
        <v>0</v>
      </c>
      <c r="AR206" s="399">
        <v>0</v>
      </c>
      <c r="AS206" s="399">
        <v>0</v>
      </c>
      <c r="AT206" s="399">
        <v>0</v>
      </c>
      <c r="AU206" s="399">
        <v>0</v>
      </c>
      <c r="AV206" s="399">
        <v>0</v>
      </c>
      <c r="AW206" s="399">
        <v>0</v>
      </c>
      <c r="AX206" s="399">
        <v>0</v>
      </c>
      <c r="AY206" s="399">
        <v>0</v>
      </c>
      <c r="AZ206" s="399">
        <v>0</v>
      </c>
      <c r="BA206" s="399"/>
      <c r="BB206" s="399">
        <v>0</v>
      </c>
      <c r="BC206" s="399">
        <v>0</v>
      </c>
      <c r="BD206" s="399">
        <v>0</v>
      </c>
      <c r="BE206" s="399">
        <v>0</v>
      </c>
      <c r="BF206" s="399">
        <v>0</v>
      </c>
      <c r="BG206" s="399">
        <v>639.47175457676133</v>
      </c>
      <c r="BH206" s="399">
        <v>0</v>
      </c>
      <c r="BI206" s="399">
        <v>53.92</v>
      </c>
      <c r="BJ206" s="399">
        <v>249.93</v>
      </c>
      <c r="BK206" s="399">
        <v>2945.19</v>
      </c>
      <c r="BL206" s="399">
        <v>43</v>
      </c>
      <c r="BM206" s="399"/>
      <c r="BN206" s="399"/>
      <c r="BO206" s="399"/>
      <c r="BP206" s="399"/>
      <c r="BQ206" s="399"/>
      <c r="BR206" s="399"/>
      <c r="BS206" s="399"/>
      <c r="BT206" s="399"/>
      <c r="BU206" s="399"/>
      <c r="BV206" s="399">
        <v>6103.2834884483673</v>
      </c>
      <c r="BW206" s="399"/>
      <c r="BX206" s="399"/>
      <c r="BY206" s="399"/>
      <c r="BZ206" s="399"/>
      <c r="CA206" s="399"/>
      <c r="CB206" s="399"/>
      <c r="CC206" s="399"/>
      <c r="CD206" s="399"/>
      <c r="CE206" s="399"/>
      <c r="CF206" s="399"/>
      <c r="CG206" s="399"/>
      <c r="CH206" s="399"/>
      <c r="CI206" s="399">
        <v>13048.239599999997</v>
      </c>
      <c r="CJ206" s="399">
        <v>-4033.9668799999999</v>
      </c>
      <c r="CK206" s="399"/>
      <c r="CL206" s="399"/>
      <c r="CM206" s="399"/>
      <c r="CN206" s="399"/>
      <c r="CO206" s="399">
        <v>-2800.1660399999992</v>
      </c>
      <c r="CP206" s="399">
        <v>-1236.5063200000004</v>
      </c>
      <c r="CQ206" s="399">
        <v>31</v>
      </c>
      <c r="CR206" s="399">
        <v>-1411.013726358693</v>
      </c>
      <c r="CS206" s="399">
        <v>0</v>
      </c>
      <c r="CT206" s="399">
        <v>0</v>
      </c>
      <c r="CU206" s="399">
        <v>0</v>
      </c>
      <c r="CV206" s="399">
        <v>0</v>
      </c>
      <c r="CW206" s="399">
        <v>0</v>
      </c>
      <c r="CX206" s="399">
        <v>0</v>
      </c>
      <c r="CY206" s="399">
        <v>0</v>
      </c>
      <c r="CZ206" s="399">
        <v>63.925961026166306</v>
      </c>
      <c r="DA206" s="399">
        <v>0</v>
      </c>
      <c r="DB206" s="399">
        <v>0</v>
      </c>
      <c r="DC206" s="399">
        <v>-1236.6354547346973</v>
      </c>
      <c r="DD206" s="399">
        <v>0</v>
      </c>
      <c r="DE206" s="399">
        <v>0</v>
      </c>
      <c r="DF206" s="399">
        <v>0</v>
      </c>
      <c r="DG206" s="399">
        <v>-144.73292319145895</v>
      </c>
      <c r="DH206" s="399">
        <v>0</v>
      </c>
      <c r="DI206" s="399">
        <v>-80.54516025274711</v>
      </c>
      <c r="DJ206" s="399"/>
      <c r="DK206" s="399">
        <v>0</v>
      </c>
      <c r="DL206" s="399">
        <v>0</v>
      </c>
      <c r="DM206" s="399">
        <v>0</v>
      </c>
      <c r="DN206" s="399">
        <v>0</v>
      </c>
      <c r="DO206" s="399">
        <v>-10.268286930107621</v>
      </c>
      <c r="DP206" s="399">
        <v>-2.7578622758466445</v>
      </c>
      <c r="DQ206" s="399">
        <v>0</v>
      </c>
      <c r="DR206" s="399">
        <v>0</v>
      </c>
      <c r="DS206" s="399"/>
      <c r="DT206" s="399"/>
      <c r="DU206" s="399"/>
      <c r="DV206" s="399">
        <v>7195.6960203362341</v>
      </c>
      <c r="DW206" s="399">
        <v>0</v>
      </c>
      <c r="DX206" s="399">
        <v>0</v>
      </c>
      <c r="DY206" s="399">
        <v>-2800.1660399999982</v>
      </c>
      <c r="DZ206" s="399">
        <v>-1236.5063200000004</v>
      </c>
      <c r="EA206" s="399">
        <v>0</v>
      </c>
      <c r="EB206" s="399">
        <v>0</v>
      </c>
      <c r="EC206" s="399">
        <v>-2625.710326710725</v>
      </c>
      <c r="ED206" s="399">
        <v>0</v>
      </c>
      <c r="EE206" s="399">
        <v>0</v>
      </c>
      <c r="EF206" s="399">
        <v>0</v>
      </c>
      <c r="EG206" s="399">
        <v>0</v>
      </c>
      <c r="EH206" s="399">
        <v>0</v>
      </c>
      <c r="EI206" s="399">
        <v>0</v>
      </c>
      <c r="EJ206" s="399">
        <v>0</v>
      </c>
      <c r="EK206" s="399">
        <v>0</v>
      </c>
      <c r="EL206" s="399">
        <v>0</v>
      </c>
      <c r="EM206" s="399">
        <v>0</v>
      </c>
      <c r="EN206" s="399">
        <v>0</v>
      </c>
      <c r="EO206" s="399">
        <v>0</v>
      </c>
      <c r="EP206" s="399">
        <v>547.44747338273578</v>
      </c>
      <c r="EQ206" s="399">
        <v>0</v>
      </c>
      <c r="ER206" s="399">
        <v>0</v>
      </c>
      <c r="ES206" s="399">
        <v>0</v>
      </c>
      <c r="ET206" s="399">
        <v>0</v>
      </c>
      <c r="EU206" s="399">
        <v>0</v>
      </c>
      <c r="EV206" s="399">
        <v>202</v>
      </c>
      <c r="EW206" s="399">
        <v>0</v>
      </c>
      <c r="EX206" s="399">
        <v>0</v>
      </c>
      <c r="EY206" s="399">
        <v>0</v>
      </c>
      <c r="EZ206" s="399"/>
      <c r="FA206" s="399">
        <v>0</v>
      </c>
      <c r="FB206" s="399">
        <v>-17.698635468909799</v>
      </c>
      <c r="FC206" s="399"/>
      <c r="FD206" s="399">
        <v>-17.698635468909799</v>
      </c>
      <c r="FE206" s="399"/>
      <c r="FF206" s="399">
        <v>0</v>
      </c>
      <c r="FG206" s="399">
        <v>0</v>
      </c>
      <c r="FH206" s="399">
        <v>0</v>
      </c>
      <c r="FI206" s="399">
        <v>0</v>
      </c>
    </row>
    <row r="207" spans="1:165">
      <c r="A207" s="399">
        <v>202</v>
      </c>
      <c r="B207" s="399" t="s">
        <v>956</v>
      </c>
      <c r="C207" s="399" t="s">
        <v>2402</v>
      </c>
      <c r="D207" s="399" t="s">
        <v>1826</v>
      </c>
      <c r="E207" s="399" t="s">
        <v>2412</v>
      </c>
      <c r="F207" s="399" t="s">
        <v>1239</v>
      </c>
      <c r="G207" s="399" t="s">
        <v>1239</v>
      </c>
      <c r="H207" s="399" t="s">
        <v>1239</v>
      </c>
      <c r="I207" s="399" t="s">
        <v>1239</v>
      </c>
      <c r="J207" s="399" t="s">
        <v>2400</v>
      </c>
      <c r="K207" s="788">
        <v>44682</v>
      </c>
      <c r="L207" s="399">
        <v>0</v>
      </c>
      <c r="M207" s="399">
        <v>0</v>
      </c>
      <c r="N207" s="399">
        <v>7.01</v>
      </c>
      <c r="O207" s="399">
        <v>7.01</v>
      </c>
      <c r="P207" s="399">
        <v>7.01</v>
      </c>
      <c r="Q207" s="399">
        <v>7.01</v>
      </c>
      <c r="R207" s="399"/>
      <c r="S207" s="399">
        <v>609.05999999999995</v>
      </c>
      <c r="T207" s="399">
        <v>286.42</v>
      </c>
      <c r="U207" s="399"/>
      <c r="V207" s="399">
        <v>6277.3148000000001</v>
      </c>
      <c r="W207" s="399">
        <v>6277.3148000000001</v>
      </c>
      <c r="X207" s="399">
        <v>4793.9286999999995</v>
      </c>
      <c r="Y207" s="399">
        <v>0</v>
      </c>
      <c r="Z207" s="399">
        <v>426.63840678882349</v>
      </c>
      <c r="AA207" s="399">
        <v>0</v>
      </c>
      <c r="AB207" s="399">
        <v>0</v>
      </c>
      <c r="AC207" s="399">
        <v>0</v>
      </c>
      <c r="AD207" s="399">
        <v>684.54157118568207</v>
      </c>
      <c r="AE207" s="399">
        <v>2644.2560863156323</v>
      </c>
      <c r="AF207" s="399">
        <v>2007.8276501593602</v>
      </c>
      <c r="AG207" s="399">
        <v>0</v>
      </c>
      <c r="AH207" s="399">
        <v>0</v>
      </c>
      <c r="AI207" s="399">
        <v>0</v>
      </c>
      <c r="AJ207" s="399">
        <v>0</v>
      </c>
      <c r="AK207" s="399">
        <v>0</v>
      </c>
      <c r="AL207" s="399">
        <v>65.935281573033393</v>
      </c>
      <c r="AM207" s="399"/>
      <c r="AN207" s="399">
        <v>11.97194134042152</v>
      </c>
      <c r="AO207" s="399">
        <v>0</v>
      </c>
      <c r="AP207" s="399">
        <v>0</v>
      </c>
      <c r="AQ207" s="399">
        <v>0</v>
      </c>
      <c r="AR207" s="399">
        <v>0</v>
      </c>
      <c r="AS207" s="399">
        <v>0</v>
      </c>
      <c r="AT207" s="399">
        <v>0</v>
      </c>
      <c r="AU207" s="399">
        <v>0</v>
      </c>
      <c r="AV207" s="399">
        <v>0</v>
      </c>
      <c r="AW207" s="399">
        <v>0</v>
      </c>
      <c r="AX207" s="399">
        <v>0</v>
      </c>
      <c r="AY207" s="399">
        <v>0</v>
      </c>
      <c r="AZ207" s="399">
        <v>0</v>
      </c>
      <c r="BA207" s="399"/>
      <c r="BB207" s="399">
        <v>0</v>
      </c>
      <c r="BC207" s="399">
        <v>0</v>
      </c>
      <c r="BD207" s="399">
        <v>0</v>
      </c>
      <c r="BE207" s="399">
        <v>0</v>
      </c>
      <c r="BF207" s="399">
        <v>0</v>
      </c>
      <c r="BG207" s="399">
        <v>234.9914552098499</v>
      </c>
      <c r="BH207" s="399">
        <v>0</v>
      </c>
      <c r="BI207" s="399">
        <v>25.22</v>
      </c>
      <c r="BJ207" s="399">
        <v>116.64</v>
      </c>
      <c r="BK207" s="399">
        <v>462.27</v>
      </c>
      <c r="BL207" s="399">
        <v>10</v>
      </c>
      <c r="BM207" s="399"/>
      <c r="BN207" s="399"/>
      <c r="BO207" s="399"/>
      <c r="BP207" s="399"/>
      <c r="BQ207" s="399"/>
      <c r="BR207" s="399"/>
      <c r="BS207" s="399"/>
      <c r="BT207" s="399"/>
      <c r="BU207" s="399"/>
      <c r="BV207" s="399">
        <v>2242.8191053692103</v>
      </c>
      <c r="BW207" s="399"/>
      <c r="BX207" s="399"/>
      <c r="BY207" s="399"/>
      <c r="BZ207" s="399"/>
      <c r="CA207" s="399"/>
      <c r="CB207" s="399"/>
      <c r="CC207" s="399"/>
      <c r="CD207" s="399"/>
      <c r="CE207" s="399"/>
      <c r="CF207" s="399"/>
      <c r="CG207" s="399"/>
      <c r="CH207" s="399"/>
      <c r="CI207" s="399">
        <v>4793.9286999999995</v>
      </c>
      <c r="CJ207" s="399">
        <v>-1483.4161000000013</v>
      </c>
      <c r="CK207" s="399"/>
      <c r="CL207" s="399"/>
      <c r="CM207" s="399"/>
      <c r="CN207" s="399"/>
      <c r="CO207" s="399">
        <v>-1028.9978999999996</v>
      </c>
      <c r="CP207" s="399">
        <v>-454.38820000000015</v>
      </c>
      <c r="CQ207" s="399">
        <v>31</v>
      </c>
      <c r="CR207" s="399">
        <v>-518.51573819324994</v>
      </c>
      <c r="CS207" s="399">
        <v>0</v>
      </c>
      <c r="CT207" s="399">
        <v>0</v>
      </c>
      <c r="CU207" s="399">
        <v>0</v>
      </c>
      <c r="CV207" s="399">
        <v>0</v>
      </c>
      <c r="CW207" s="399">
        <v>0</v>
      </c>
      <c r="CX207" s="399">
        <v>0</v>
      </c>
      <c r="CY207" s="399">
        <v>0</v>
      </c>
      <c r="CZ207" s="399">
        <v>23.491349695608392</v>
      </c>
      <c r="DA207" s="399">
        <v>0</v>
      </c>
      <c r="DB207" s="399">
        <v>0</v>
      </c>
      <c r="DC207" s="399">
        <v>-454.43565410412202</v>
      </c>
      <c r="DD207" s="399">
        <v>0</v>
      </c>
      <c r="DE207" s="399">
        <v>0</v>
      </c>
      <c r="DF207" s="399">
        <v>0</v>
      </c>
      <c r="DG207" s="399">
        <v>-53.186086788222212</v>
      </c>
      <c r="DH207" s="399">
        <v>0</v>
      </c>
      <c r="DI207" s="399">
        <v>-29.598530791138501</v>
      </c>
      <c r="DJ207" s="399"/>
      <c r="DK207" s="399">
        <v>0</v>
      </c>
      <c r="DL207" s="399">
        <v>0</v>
      </c>
      <c r="DM207" s="399">
        <v>0</v>
      </c>
      <c r="DN207" s="399">
        <v>0</v>
      </c>
      <c r="DO207" s="399">
        <v>-3.7733639851150471</v>
      </c>
      <c r="DP207" s="399">
        <v>-1.0134522202602749</v>
      </c>
      <c r="DQ207" s="399">
        <v>0</v>
      </c>
      <c r="DR207" s="399">
        <v>0</v>
      </c>
      <c r="DS207" s="399"/>
      <c r="DT207" s="399"/>
      <c r="DU207" s="399"/>
      <c r="DV207" s="399">
        <v>2644.2560863156323</v>
      </c>
      <c r="DW207" s="399">
        <v>0</v>
      </c>
      <c r="DX207" s="399">
        <v>0</v>
      </c>
      <c r="DY207" s="399">
        <v>-1028.9978999999998</v>
      </c>
      <c r="DZ207" s="399">
        <v>-454.3882000000001</v>
      </c>
      <c r="EA207" s="399">
        <v>0</v>
      </c>
      <c r="EB207" s="399">
        <v>0</v>
      </c>
      <c r="EC207" s="399">
        <v>-964.88935784452633</v>
      </c>
      <c r="ED207" s="399">
        <v>0</v>
      </c>
      <c r="EE207" s="399">
        <v>0</v>
      </c>
      <c r="EF207" s="399">
        <v>0</v>
      </c>
      <c r="EG207" s="399">
        <v>0</v>
      </c>
      <c r="EH207" s="399">
        <v>0</v>
      </c>
      <c r="EI207" s="399">
        <v>0</v>
      </c>
      <c r="EJ207" s="399">
        <v>0</v>
      </c>
      <c r="EK207" s="399">
        <v>0</v>
      </c>
      <c r="EL207" s="399">
        <v>0</v>
      </c>
      <c r="EM207" s="399">
        <v>0</v>
      </c>
      <c r="EN207" s="399">
        <v>0</v>
      </c>
      <c r="EO207" s="399">
        <v>0</v>
      </c>
      <c r="EP207" s="399">
        <v>201.17460622840102</v>
      </c>
      <c r="EQ207" s="399">
        <v>0</v>
      </c>
      <c r="ER207" s="399">
        <v>0</v>
      </c>
      <c r="ES207" s="399">
        <v>0</v>
      </c>
      <c r="ET207" s="399">
        <v>0</v>
      </c>
      <c r="EU207" s="399">
        <v>0</v>
      </c>
      <c r="EV207" s="399">
        <v>202</v>
      </c>
      <c r="EW207" s="399">
        <v>0</v>
      </c>
      <c r="EX207" s="399">
        <v>0</v>
      </c>
      <c r="EY207" s="399">
        <v>0</v>
      </c>
      <c r="EZ207" s="399"/>
      <c r="FA207" s="399">
        <v>0</v>
      </c>
      <c r="FB207" s="399">
        <v>-17.698635468909799</v>
      </c>
      <c r="FC207" s="399"/>
      <c r="FD207" s="399">
        <v>-17.698635468909799</v>
      </c>
      <c r="FE207" s="399"/>
      <c r="FF207" s="399">
        <v>0</v>
      </c>
      <c r="FG207" s="399">
        <v>0</v>
      </c>
      <c r="FH207" s="399">
        <v>0</v>
      </c>
      <c r="FI207" s="399">
        <v>0</v>
      </c>
    </row>
    <row r="208" spans="1:165">
      <c r="A208" s="399">
        <v>204</v>
      </c>
      <c r="B208" s="399" t="s">
        <v>956</v>
      </c>
      <c r="C208" s="399" t="s">
        <v>2402</v>
      </c>
      <c r="D208" s="399" t="s">
        <v>1826</v>
      </c>
      <c r="E208" s="399" t="s">
        <v>921</v>
      </c>
      <c r="F208" s="399" t="s">
        <v>2401</v>
      </c>
      <c r="G208" s="399" t="s">
        <v>1239</v>
      </c>
      <c r="H208" s="399" t="s">
        <v>1239</v>
      </c>
      <c r="I208" s="399" t="s">
        <v>1239</v>
      </c>
      <c r="J208" s="399" t="s">
        <v>2400</v>
      </c>
      <c r="K208" s="788">
        <v>44682</v>
      </c>
      <c r="L208" s="399">
        <v>0</v>
      </c>
      <c r="M208" s="399">
        <v>0</v>
      </c>
      <c r="N208" s="399">
        <v>37.753</v>
      </c>
      <c r="O208" s="399">
        <v>35.487819999999999</v>
      </c>
      <c r="P208" s="399">
        <v>37.753</v>
      </c>
      <c r="Q208" s="399">
        <v>35.487819999999999</v>
      </c>
      <c r="R208" s="399"/>
      <c r="S208" s="399">
        <v>609.05999999999995</v>
      </c>
      <c r="T208" s="399">
        <v>286.42</v>
      </c>
      <c r="U208" s="399"/>
      <c r="V208" s="399">
        <v>33807.05644</v>
      </c>
      <c r="W208" s="399">
        <v>33807.05644</v>
      </c>
      <c r="X208" s="399">
        <v>25818.144110000001</v>
      </c>
      <c r="Y208" s="399">
        <v>0</v>
      </c>
      <c r="Z208" s="399">
        <v>2297.7003953635453</v>
      </c>
      <c r="AA208" s="399">
        <v>0</v>
      </c>
      <c r="AB208" s="399">
        <v>0</v>
      </c>
      <c r="AC208" s="399">
        <v>0</v>
      </c>
      <c r="AD208" s="399">
        <v>3686.6616172572121</v>
      </c>
      <c r="AE208" s="399">
        <v>14240.884454589737</v>
      </c>
      <c r="AF208" s="399">
        <v>10813.340552990918</v>
      </c>
      <c r="AG208" s="399">
        <v>0</v>
      </c>
      <c r="AH208" s="399">
        <v>0</v>
      </c>
      <c r="AI208" s="399">
        <v>0</v>
      </c>
      <c r="AJ208" s="399">
        <v>0</v>
      </c>
      <c r="AK208" s="399">
        <v>0</v>
      </c>
      <c r="AL208" s="399">
        <v>355.10052570994714</v>
      </c>
      <c r="AM208" s="399"/>
      <c r="AN208" s="399">
        <v>64.475991644070419</v>
      </c>
      <c r="AO208" s="399">
        <v>0</v>
      </c>
      <c r="AP208" s="399">
        <v>0</v>
      </c>
      <c r="AQ208" s="399">
        <v>0</v>
      </c>
      <c r="AR208" s="399">
        <v>0</v>
      </c>
      <c r="AS208" s="399">
        <v>0</v>
      </c>
      <c r="AT208" s="399">
        <v>0</v>
      </c>
      <c r="AU208" s="399">
        <v>0</v>
      </c>
      <c r="AV208" s="399">
        <v>0</v>
      </c>
      <c r="AW208" s="399">
        <v>0</v>
      </c>
      <c r="AX208" s="399">
        <v>0</v>
      </c>
      <c r="AY208" s="399">
        <v>0</v>
      </c>
      <c r="AZ208" s="399">
        <v>0</v>
      </c>
      <c r="BA208" s="399"/>
      <c r="BB208" s="399">
        <v>0</v>
      </c>
      <c r="BC208" s="399">
        <v>0</v>
      </c>
      <c r="BD208" s="399">
        <v>0</v>
      </c>
      <c r="BE208" s="399">
        <v>0</v>
      </c>
      <c r="BF208" s="399">
        <v>0</v>
      </c>
      <c r="BG208" s="399">
        <v>1265.5681039283115</v>
      </c>
      <c r="BH208" s="399">
        <v>0</v>
      </c>
      <c r="BI208" s="399">
        <v>76.819999999999993</v>
      </c>
      <c r="BJ208" s="399">
        <v>354.72</v>
      </c>
      <c r="BK208" s="399">
        <v>6064.5</v>
      </c>
      <c r="BL208" s="399">
        <v>6</v>
      </c>
      <c r="BM208" s="399"/>
      <c r="BN208" s="399"/>
      <c r="BO208" s="399"/>
      <c r="BP208" s="399"/>
      <c r="BQ208" s="399">
        <v>1549.0886466000006</v>
      </c>
      <c r="BR208" s="399"/>
      <c r="BS208" s="399"/>
      <c r="BT208" s="399"/>
      <c r="BU208" s="399"/>
      <c r="BV208" s="399">
        <v>12078.90865691923</v>
      </c>
      <c r="BW208" s="399"/>
      <c r="BX208" s="399"/>
      <c r="BY208" s="399"/>
      <c r="BZ208" s="399"/>
      <c r="CA208" s="399"/>
      <c r="CB208" s="399"/>
      <c r="CC208" s="399"/>
      <c r="CD208" s="399"/>
      <c r="CE208" s="399"/>
      <c r="CF208" s="399"/>
      <c r="CG208" s="399"/>
      <c r="CH208" s="399"/>
      <c r="CI208" s="399">
        <v>24270.546299999998</v>
      </c>
      <c r="CJ208" s="399">
        <v>-7508.1167535999957</v>
      </c>
      <c r="CK208" s="399"/>
      <c r="CL208" s="399"/>
      <c r="CM208" s="399"/>
      <c r="CN208" s="399"/>
      <c r="CO208" s="399">
        <v>-5541.7628699999987</v>
      </c>
      <c r="CP208" s="399">
        <v>-2447.149460000001</v>
      </c>
      <c r="CQ208" s="399">
        <v>31</v>
      </c>
      <c r="CR208" s="399">
        <v>-2792.5142174050998</v>
      </c>
      <c r="CS208" s="399">
        <v>0</v>
      </c>
      <c r="CT208" s="399">
        <v>0</v>
      </c>
      <c r="CU208" s="399">
        <v>0</v>
      </c>
      <c r="CV208" s="399">
        <v>0</v>
      </c>
      <c r="CW208" s="399">
        <v>0</v>
      </c>
      <c r="CX208" s="399">
        <v>0</v>
      </c>
      <c r="CY208" s="399">
        <v>0</v>
      </c>
      <c r="CZ208" s="399">
        <v>126.51482525796064</v>
      </c>
      <c r="DA208" s="399">
        <v>0</v>
      </c>
      <c r="DB208" s="399">
        <v>0</v>
      </c>
      <c r="DC208" s="399">
        <v>-2447.4050284440691</v>
      </c>
      <c r="DD208" s="399">
        <v>0</v>
      </c>
      <c r="DE208" s="399">
        <v>0</v>
      </c>
      <c r="DF208" s="399">
        <v>0</v>
      </c>
      <c r="DG208" s="399">
        <v>-286.43856412492926</v>
      </c>
      <c r="DH208" s="399">
        <v>0</v>
      </c>
      <c r="DI208" s="399">
        <v>-159.4056109782955</v>
      </c>
      <c r="DJ208" s="399"/>
      <c r="DK208" s="399">
        <v>0</v>
      </c>
      <c r="DL208" s="399">
        <v>0</v>
      </c>
      <c r="DM208" s="399">
        <v>0</v>
      </c>
      <c r="DN208" s="399">
        <v>0</v>
      </c>
      <c r="DO208" s="399">
        <v>-20.321798934386322</v>
      </c>
      <c r="DP208" s="399">
        <v>-5.4580401813817616</v>
      </c>
      <c r="DQ208" s="399">
        <v>0</v>
      </c>
      <c r="DR208" s="399">
        <v>0</v>
      </c>
      <c r="DS208" s="399"/>
      <c r="DT208" s="399"/>
      <c r="DU208" s="399"/>
      <c r="DV208" s="399">
        <v>14240.884454589737</v>
      </c>
      <c r="DW208" s="399">
        <v>0</v>
      </c>
      <c r="DX208" s="399">
        <v>0</v>
      </c>
      <c r="DY208" s="399">
        <v>-5541.7628699999987</v>
      </c>
      <c r="DZ208" s="399">
        <v>-2447.1494600000005</v>
      </c>
      <c r="EA208" s="399">
        <v>0</v>
      </c>
      <c r="EB208" s="399">
        <v>0</v>
      </c>
      <c r="EC208" s="399">
        <v>-5196.5004175041922</v>
      </c>
      <c r="ED208" s="399">
        <v>0</v>
      </c>
      <c r="EE208" s="399">
        <v>0</v>
      </c>
      <c r="EF208" s="399">
        <v>0</v>
      </c>
      <c r="EG208" s="399">
        <v>0</v>
      </c>
      <c r="EH208" s="399">
        <v>0</v>
      </c>
      <c r="EI208" s="399">
        <v>0</v>
      </c>
      <c r="EJ208" s="399">
        <v>0</v>
      </c>
      <c r="EK208" s="399">
        <v>0</v>
      </c>
      <c r="EL208" s="399">
        <v>0</v>
      </c>
      <c r="EM208" s="399">
        <v>0</v>
      </c>
      <c r="EN208" s="399">
        <v>0</v>
      </c>
      <c r="EO208" s="399">
        <v>0</v>
      </c>
      <c r="EP208" s="399">
        <v>1083.4443522026852</v>
      </c>
      <c r="EQ208" s="399">
        <v>0</v>
      </c>
      <c r="ER208" s="399">
        <v>0</v>
      </c>
      <c r="ES208" s="399">
        <v>0</v>
      </c>
      <c r="ET208" s="399">
        <v>0</v>
      </c>
      <c r="EU208" s="399">
        <v>0</v>
      </c>
      <c r="EV208" s="399">
        <v>202</v>
      </c>
      <c r="EW208" s="399">
        <v>0</v>
      </c>
      <c r="EX208" s="399">
        <v>0</v>
      </c>
      <c r="EY208" s="399">
        <v>0</v>
      </c>
      <c r="EZ208" s="399"/>
      <c r="FA208" s="399">
        <v>0</v>
      </c>
      <c r="FB208" s="399">
        <v>-17.698635468909799</v>
      </c>
      <c r="FC208" s="399"/>
      <c r="FD208" s="399">
        <v>-17.698635468909799</v>
      </c>
      <c r="FE208" s="399"/>
      <c r="FF208" s="399">
        <v>0</v>
      </c>
      <c r="FG208" s="399">
        <v>0</v>
      </c>
      <c r="FH208" s="399">
        <v>0</v>
      </c>
      <c r="FI208" s="399">
        <v>0</v>
      </c>
    </row>
    <row r="209" spans="1:165">
      <c r="A209" s="399">
        <v>203</v>
      </c>
      <c r="B209" s="399" t="s">
        <v>956</v>
      </c>
      <c r="C209" s="399" t="s">
        <v>2402</v>
      </c>
      <c r="D209" s="399" t="s">
        <v>2413</v>
      </c>
      <c r="E209" s="399" t="s">
        <v>2414</v>
      </c>
      <c r="F209" s="399" t="s">
        <v>2415</v>
      </c>
      <c r="G209" s="399" t="s">
        <v>1239</v>
      </c>
      <c r="H209" s="399" t="s">
        <v>1239</v>
      </c>
      <c r="I209" s="399" t="s">
        <v>1239</v>
      </c>
      <c r="J209" s="399" t="s">
        <v>2400</v>
      </c>
      <c r="K209" s="788">
        <v>44682</v>
      </c>
      <c r="L209" s="399">
        <v>0</v>
      </c>
      <c r="M209" s="399">
        <v>0</v>
      </c>
      <c r="N209" s="399">
        <v>46.963999999999999</v>
      </c>
      <c r="O209" s="399">
        <v>46.963999999999999</v>
      </c>
      <c r="P209" s="399">
        <v>46.963999999999999</v>
      </c>
      <c r="Q209" s="399">
        <v>46.963999999999999</v>
      </c>
      <c r="R209" s="399"/>
      <c r="S209" s="399">
        <v>334.98</v>
      </c>
      <c r="T209" s="399">
        <v>157.53</v>
      </c>
      <c r="U209" s="399"/>
      <c r="V209" s="399">
        <v>23130.23964</v>
      </c>
      <c r="W209" s="399">
        <v>23130.23964</v>
      </c>
      <c r="X209" s="399">
        <v>17664.569319999999</v>
      </c>
      <c r="Y209" s="399">
        <v>0</v>
      </c>
      <c r="Z209" s="399">
        <v>1572.0621077085107</v>
      </c>
      <c r="AA209" s="399">
        <v>0</v>
      </c>
      <c r="AB209" s="399">
        <v>0</v>
      </c>
      <c r="AC209" s="399">
        <v>0</v>
      </c>
      <c r="AD209" s="399">
        <v>2522.3745637718112</v>
      </c>
      <c r="AE209" s="399">
        <v>9743.4612782810527</v>
      </c>
      <c r="AF209" s="399">
        <v>7398.3722923175765</v>
      </c>
      <c r="AG209" s="399">
        <v>0</v>
      </c>
      <c r="AH209" s="399">
        <v>0</v>
      </c>
      <c r="AI209" s="399">
        <v>0</v>
      </c>
      <c r="AJ209" s="399">
        <v>0</v>
      </c>
      <c r="AK209" s="399">
        <v>0</v>
      </c>
      <c r="AL209" s="399">
        <v>242.95599287985272</v>
      </c>
      <c r="AM209" s="399"/>
      <c r="AN209" s="399">
        <v>44.113785907468746</v>
      </c>
      <c r="AO209" s="399">
        <v>0</v>
      </c>
      <c r="AP209" s="399">
        <v>0</v>
      </c>
      <c r="AQ209" s="399">
        <v>0</v>
      </c>
      <c r="AR209" s="399">
        <v>0</v>
      </c>
      <c r="AS209" s="399">
        <v>0</v>
      </c>
      <c r="AT209" s="399">
        <v>0</v>
      </c>
      <c r="AU209" s="399">
        <v>0</v>
      </c>
      <c r="AV209" s="399">
        <v>0</v>
      </c>
      <c r="AW209" s="399">
        <v>0</v>
      </c>
      <c r="AX209" s="399">
        <v>0</v>
      </c>
      <c r="AY209" s="399">
        <v>0</v>
      </c>
      <c r="AZ209" s="399">
        <v>0</v>
      </c>
      <c r="BA209" s="399"/>
      <c r="BB209" s="399">
        <v>0</v>
      </c>
      <c r="BC209" s="399">
        <v>0</v>
      </c>
      <c r="BD209" s="399">
        <v>0</v>
      </c>
      <c r="BE209" s="399">
        <v>0</v>
      </c>
      <c r="BF209" s="399">
        <v>0</v>
      </c>
      <c r="BG209" s="399">
        <v>865.88820062217917</v>
      </c>
      <c r="BH209" s="399">
        <v>0</v>
      </c>
      <c r="BI209" s="399">
        <v>59.33</v>
      </c>
      <c r="BJ209" s="399">
        <v>273.91000000000003</v>
      </c>
      <c r="BK209" s="399">
        <v>3950.73</v>
      </c>
      <c r="BL209" s="399">
        <v>3</v>
      </c>
      <c r="BM209" s="399"/>
      <c r="BN209" s="399"/>
      <c r="BO209" s="399"/>
      <c r="BP209" s="399"/>
      <c r="BQ209" s="399"/>
      <c r="BR209" s="399"/>
      <c r="BS209" s="399"/>
      <c r="BT209" s="399"/>
      <c r="BU209" s="399"/>
      <c r="BV209" s="399">
        <v>8264.2604929397548</v>
      </c>
      <c r="BW209" s="399"/>
      <c r="BX209" s="399"/>
      <c r="BY209" s="399"/>
      <c r="BZ209" s="399"/>
      <c r="CA209" s="399"/>
      <c r="CB209" s="399"/>
      <c r="CC209" s="399"/>
      <c r="CD209" s="399"/>
      <c r="CE209" s="399"/>
      <c r="CF209" s="399"/>
      <c r="CG209" s="399"/>
      <c r="CH209" s="399"/>
      <c r="CI209" s="399">
        <v>17663.0648</v>
      </c>
      <c r="CJ209" s="399">
        <v>-5467.2048399999985</v>
      </c>
      <c r="CK209" s="399"/>
      <c r="CL209" s="399"/>
      <c r="CM209" s="399"/>
      <c r="CN209" s="399"/>
      <c r="CO209" s="399">
        <v>-3791.4037200000007</v>
      </c>
      <c r="CP209" s="399">
        <v>-1674.2666000000002</v>
      </c>
      <c r="CQ209" s="399">
        <v>31</v>
      </c>
      <c r="CR209" s="399">
        <v>-1910.6084480284517</v>
      </c>
      <c r="CS209" s="399">
        <v>0</v>
      </c>
      <c r="CT209" s="399">
        <v>0</v>
      </c>
      <c r="CU209" s="399">
        <v>0</v>
      </c>
      <c r="CV209" s="399">
        <v>0</v>
      </c>
      <c r="CW209" s="399">
        <v>0</v>
      </c>
      <c r="CX209" s="399">
        <v>0</v>
      </c>
      <c r="CY209" s="399">
        <v>0</v>
      </c>
      <c r="CZ209" s="399">
        <v>86.560094280660905</v>
      </c>
      <c r="DA209" s="399">
        <v>0</v>
      </c>
      <c r="DB209" s="399">
        <v>0</v>
      </c>
      <c r="DC209" s="399">
        <v>-1674.4884212040461</v>
      </c>
      <c r="DD209" s="399">
        <v>0</v>
      </c>
      <c r="DE209" s="399">
        <v>0</v>
      </c>
      <c r="DF209" s="399">
        <v>0</v>
      </c>
      <c r="DG209" s="399">
        <v>-195.97821097819588</v>
      </c>
      <c r="DH209" s="399">
        <v>0</v>
      </c>
      <c r="DI209" s="399">
        <v>-109.06361912143711</v>
      </c>
      <c r="DJ209" s="399"/>
      <c r="DK209" s="399">
        <v>0</v>
      </c>
      <c r="DL209" s="399">
        <v>0</v>
      </c>
      <c r="DM209" s="399">
        <v>0</v>
      </c>
      <c r="DN209" s="399">
        <v>0</v>
      </c>
      <c r="DO209" s="399">
        <v>-13.903958118162649</v>
      </c>
      <c r="DP209" s="399">
        <v>-3.7343328872704902</v>
      </c>
      <c r="DQ209" s="399">
        <v>0</v>
      </c>
      <c r="DR209" s="399">
        <v>0</v>
      </c>
      <c r="DS209" s="399"/>
      <c r="DT209" s="399"/>
      <c r="DU209" s="399"/>
      <c r="DV209" s="399">
        <v>9743.4612782810527</v>
      </c>
      <c r="DW209" s="399">
        <v>0</v>
      </c>
      <c r="DX209" s="399">
        <v>0</v>
      </c>
      <c r="DY209" s="399">
        <v>-3791.4037200000002</v>
      </c>
      <c r="DZ209" s="399">
        <v>-1674.2665999999999</v>
      </c>
      <c r="EA209" s="399">
        <v>0</v>
      </c>
      <c r="EB209" s="399">
        <v>0</v>
      </c>
      <c r="EC209" s="399">
        <v>-3555.3901698995551</v>
      </c>
      <c r="ED209" s="399">
        <v>0</v>
      </c>
      <c r="EE209" s="399">
        <v>0</v>
      </c>
      <c r="EF209" s="399">
        <v>0</v>
      </c>
      <c r="EG209" s="399">
        <v>0</v>
      </c>
      <c r="EH209" s="399">
        <v>0</v>
      </c>
      <c r="EI209" s="399">
        <v>0</v>
      </c>
      <c r="EJ209" s="399">
        <v>0</v>
      </c>
      <c r="EK209" s="399">
        <v>0</v>
      </c>
      <c r="EL209" s="399">
        <v>0</v>
      </c>
      <c r="EM209" s="399">
        <v>0</v>
      </c>
      <c r="EN209" s="399">
        <v>0</v>
      </c>
      <c r="EO209" s="399">
        <v>0</v>
      </c>
      <c r="EP209" s="399">
        <v>741.28107186887905</v>
      </c>
      <c r="EQ209" s="399">
        <v>0</v>
      </c>
      <c r="ER209" s="399">
        <v>0</v>
      </c>
      <c r="ES209" s="399">
        <v>0</v>
      </c>
      <c r="ET209" s="399">
        <v>0</v>
      </c>
      <c r="EU209" s="399">
        <v>0</v>
      </c>
      <c r="EV209" s="399">
        <v>202</v>
      </c>
      <c r="EW209" s="399">
        <v>0</v>
      </c>
      <c r="EX209" s="399">
        <v>0</v>
      </c>
      <c r="EY209" s="399">
        <v>0</v>
      </c>
      <c r="EZ209" s="399"/>
      <c r="FA209" s="399">
        <v>0</v>
      </c>
      <c r="FB209" s="399">
        <v>-9.7342495079003708</v>
      </c>
      <c r="FC209" s="399"/>
      <c r="FD209" s="399">
        <v>-9.7342495079003708</v>
      </c>
      <c r="FE209" s="399"/>
      <c r="FF209" s="399">
        <v>0</v>
      </c>
      <c r="FG209" s="399">
        <v>0</v>
      </c>
      <c r="FH209" s="399">
        <v>0</v>
      </c>
      <c r="FI209" s="399">
        <v>0</v>
      </c>
    </row>
    <row r="210" spans="1:165">
      <c r="A210" s="399">
        <v>224</v>
      </c>
      <c r="B210" s="399" t="s">
        <v>956</v>
      </c>
      <c r="C210" s="399" t="s">
        <v>2399</v>
      </c>
      <c r="D210" s="399" t="s">
        <v>533</v>
      </c>
      <c r="E210" s="399" t="s">
        <v>918</v>
      </c>
      <c r="F210" s="399" t="s">
        <v>1239</v>
      </c>
      <c r="G210" s="399" t="s">
        <v>1239</v>
      </c>
      <c r="H210" s="399" t="s">
        <v>1239</v>
      </c>
      <c r="I210" s="399" t="s">
        <v>893</v>
      </c>
      <c r="J210" s="399" t="s">
        <v>2400</v>
      </c>
      <c r="K210" s="788">
        <v>44713</v>
      </c>
      <c r="L210" s="399">
        <v>0</v>
      </c>
      <c r="M210" s="399">
        <v>0</v>
      </c>
      <c r="N210" s="399">
        <v>1.383</v>
      </c>
      <c r="O210" s="399">
        <v>1.383</v>
      </c>
      <c r="P210" s="399">
        <v>1.383</v>
      </c>
      <c r="Q210" s="399">
        <v>1.383</v>
      </c>
      <c r="R210" s="399"/>
      <c r="S210" s="399">
        <v>3305.85</v>
      </c>
      <c r="T210" s="399">
        <v>286.42</v>
      </c>
      <c r="U210" s="399"/>
      <c r="V210" s="399">
        <v>4968.1094099999991</v>
      </c>
      <c r="W210" s="399">
        <v>4968.1094099999991</v>
      </c>
      <c r="X210" s="399">
        <v>3611.1513</v>
      </c>
      <c r="Y210" s="399">
        <v>0</v>
      </c>
      <c r="Z210" s="399">
        <v>73.229043856259679</v>
      </c>
      <c r="AA210" s="399">
        <v>0</v>
      </c>
      <c r="AB210" s="399">
        <v>0</v>
      </c>
      <c r="AC210" s="399">
        <v>0</v>
      </c>
      <c r="AD210" s="399">
        <v>901.69535317430325</v>
      </c>
      <c r="AE210" s="399">
        <v>3531.3365226925462</v>
      </c>
      <c r="AF210" s="399">
        <v>396.12348647223899</v>
      </c>
      <c r="AG210" s="399">
        <v>0</v>
      </c>
      <c r="AH210" s="399">
        <v>0</v>
      </c>
      <c r="AI210" s="399">
        <v>0</v>
      </c>
      <c r="AJ210" s="399">
        <v>0</v>
      </c>
      <c r="AK210" s="399">
        <v>0</v>
      </c>
      <c r="AL210" s="399">
        <v>13.008344424465788</v>
      </c>
      <c r="AM210" s="399"/>
      <c r="AN210" s="399">
        <v>1.8948309119545585</v>
      </c>
      <c r="AO210" s="399">
        <v>0</v>
      </c>
      <c r="AP210" s="399">
        <v>0</v>
      </c>
      <c r="AQ210" s="399">
        <v>0</v>
      </c>
      <c r="AR210" s="399">
        <v>0</v>
      </c>
      <c r="AS210" s="399">
        <v>0</v>
      </c>
      <c r="AT210" s="399">
        <v>0</v>
      </c>
      <c r="AU210" s="399">
        <v>0</v>
      </c>
      <c r="AV210" s="399">
        <v>0</v>
      </c>
      <c r="AW210" s="399">
        <v>0</v>
      </c>
      <c r="AX210" s="399">
        <v>0</v>
      </c>
      <c r="AY210" s="399">
        <v>0</v>
      </c>
      <c r="AZ210" s="399">
        <v>0</v>
      </c>
      <c r="BA210" s="399"/>
      <c r="BB210" s="399">
        <v>0</v>
      </c>
      <c r="BC210" s="399">
        <v>0</v>
      </c>
      <c r="BD210" s="399">
        <v>0</v>
      </c>
      <c r="BE210" s="399">
        <v>0</v>
      </c>
      <c r="BF210" s="399">
        <v>0</v>
      </c>
      <c r="BG210" s="399">
        <v>16.301829744976203</v>
      </c>
      <c r="BH210" s="399">
        <v>0</v>
      </c>
      <c r="BI210" s="399">
        <v>0</v>
      </c>
      <c r="BJ210" s="399">
        <v>0</v>
      </c>
      <c r="BK210" s="399">
        <v>0</v>
      </c>
      <c r="BL210" s="399">
        <v>0</v>
      </c>
      <c r="BM210" s="399"/>
      <c r="BN210" s="399"/>
      <c r="BO210" s="399"/>
      <c r="BP210" s="399"/>
      <c r="BQ210" s="399"/>
      <c r="BR210" s="399"/>
      <c r="BS210" s="399"/>
      <c r="BT210" s="399"/>
      <c r="BU210" s="399"/>
      <c r="BV210" s="399">
        <v>412.4253162172152</v>
      </c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399"/>
      <c r="CI210" s="399">
        <v>3603.3179999999998</v>
      </c>
      <c r="CJ210" s="399">
        <v>-1364.82141</v>
      </c>
      <c r="CK210" s="399"/>
      <c r="CL210" s="399"/>
      <c r="CM210" s="399"/>
      <c r="CN210" s="399"/>
      <c r="CO210" s="399">
        <v>-1267.3120499999998</v>
      </c>
      <c r="CP210" s="399">
        <v>-89.646060000000034</v>
      </c>
      <c r="CQ210" s="399">
        <v>30</v>
      </c>
      <c r="CR210" s="399">
        <v>-68.386848502517523</v>
      </c>
      <c r="CS210" s="399">
        <v>0</v>
      </c>
      <c r="CT210" s="399">
        <v>0</v>
      </c>
      <c r="CU210" s="399">
        <v>0</v>
      </c>
      <c r="CV210" s="399">
        <v>0</v>
      </c>
      <c r="CW210" s="399">
        <v>0</v>
      </c>
      <c r="CX210" s="399">
        <v>0</v>
      </c>
      <c r="CY210" s="399">
        <v>0</v>
      </c>
      <c r="CZ210" s="399">
        <v>30.943395919156615</v>
      </c>
      <c r="DA210" s="399">
        <v>0</v>
      </c>
      <c r="DB210" s="399">
        <v>0</v>
      </c>
      <c r="DC210" s="399">
        <v>-89.65542220057074</v>
      </c>
      <c r="DD210" s="399">
        <v>0</v>
      </c>
      <c r="DE210" s="399">
        <v>0</v>
      </c>
      <c r="DF210" s="399">
        <v>0</v>
      </c>
      <c r="DG210" s="399">
        <v>-3.6896257817071003</v>
      </c>
      <c r="DH210" s="399">
        <v>0</v>
      </c>
      <c r="DI210" s="399">
        <v>-5.0803492486741817</v>
      </c>
      <c r="DJ210" s="399"/>
      <c r="DK210" s="399">
        <v>0</v>
      </c>
      <c r="DL210" s="399">
        <v>0</v>
      </c>
      <c r="DM210" s="399">
        <v>0</v>
      </c>
      <c r="DN210" s="399">
        <v>0</v>
      </c>
      <c r="DO210" s="399">
        <v>-0.7444454196025827</v>
      </c>
      <c r="DP210" s="399">
        <v>-0.16040177111914766</v>
      </c>
      <c r="DQ210" s="399">
        <v>0</v>
      </c>
      <c r="DR210" s="399">
        <v>0</v>
      </c>
      <c r="DS210" s="399"/>
      <c r="DT210" s="399"/>
      <c r="DU210" s="399"/>
      <c r="DV210" s="399">
        <v>3531.3365226925462</v>
      </c>
      <c r="DW210" s="399">
        <v>0</v>
      </c>
      <c r="DX210" s="399">
        <v>0</v>
      </c>
      <c r="DY210" s="399">
        <v>-1267.3120499999995</v>
      </c>
      <c r="DZ210" s="399">
        <v>-89.646060000000034</v>
      </c>
      <c r="EA210" s="399">
        <v>0</v>
      </c>
      <c r="EB210" s="399">
        <v>0</v>
      </c>
      <c r="EC210" s="399">
        <v>-1288.5851137290474</v>
      </c>
      <c r="ED210" s="399">
        <v>0</v>
      </c>
      <c r="EE210" s="399">
        <v>0</v>
      </c>
      <c r="EF210" s="399">
        <v>0</v>
      </c>
      <c r="EG210" s="399">
        <v>0</v>
      </c>
      <c r="EH210" s="399">
        <v>0</v>
      </c>
      <c r="EI210" s="399">
        <v>0</v>
      </c>
      <c r="EJ210" s="399">
        <v>0</v>
      </c>
      <c r="EK210" s="399">
        <v>0</v>
      </c>
      <c r="EL210" s="399">
        <v>0</v>
      </c>
      <c r="EM210" s="399">
        <v>0</v>
      </c>
      <c r="EN210" s="399">
        <v>0</v>
      </c>
      <c r="EO210" s="399">
        <v>0</v>
      </c>
      <c r="EP210" s="399">
        <v>34.529999708997785</v>
      </c>
      <c r="EQ210" s="399">
        <v>0</v>
      </c>
      <c r="ER210" s="399">
        <v>0</v>
      </c>
      <c r="ES210" s="399">
        <v>0</v>
      </c>
      <c r="ET210" s="399">
        <v>0</v>
      </c>
      <c r="EU210" s="399">
        <v>0</v>
      </c>
      <c r="EV210" s="399">
        <v>202</v>
      </c>
      <c r="EW210" s="399">
        <v>0</v>
      </c>
      <c r="EX210" s="399">
        <v>0</v>
      </c>
      <c r="EY210" s="399">
        <v>0</v>
      </c>
      <c r="EZ210" s="399"/>
      <c r="FA210" s="399">
        <v>0</v>
      </c>
      <c r="FB210" s="399">
        <v>-17.698635468909799</v>
      </c>
      <c r="FC210" s="399"/>
      <c r="FD210" s="399">
        <v>-17.698635468909799</v>
      </c>
      <c r="FE210" s="399"/>
      <c r="FF210" s="399">
        <v>0</v>
      </c>
      <c r="FG210" s="399">
        <v>0</v>
      </c>
      <c r="FH210" s="399">
        <v>0</v>
      </c>
      <c r="FI210" s="399">
        <v>0</v>
      </c>
    </row>
    <row r="211" spans="1:165">
      <c r="A211" s="399">
        <v>225</v>
      </c>
      <c r="B211" s="399" t="s">
        <v>956</v>
      </c>
      <c r="C211" s="399" t="s">
        <v>2399</v>
      </c>
      <c r="D211" s="399" t="s">
        <v>533</v>
      </c>
      <c r="E211" s="399" t="s">
        <v>918</v>
      </c>
      <c r="F211" s="399" t="s">
        <v>1239</v>
      </c>
      <c r="G211" s="399" t="s">
        <v>1239</v>
      </c>
      <c r="H211" s="399" t="s">
        <v>1239</v>
      </c>
      <c r="I211" s="399" t="s">
        <v>2326</v>
      </c>
      <c r="J211" s="399" t="s">
        <v>2400</v>
      </c>
      <c r="K211" s="788">
        <v>44713</v>
      </c>
      <c r="L211" s="399">
        <v>0</v>
      </c>
      <c r="M211" s="399">
        <v>0</v>
      </c>
      <c r="N211" s="399">
        <v>21.067</v>
      </c>
      <c r="O211" s="399">
        <v>21.067</v>
      </c>
      <c r="P211" s="399">
        <v>21.067</v>
      </c>
      <c r="Q211" s="399">
        <v>21.067</v>
      </c>
      <c r="R211" s="399"/>
      <c r="S211" s="399">
        <v>100.48</v>
      </c>
      <c r="T211" s="399">
        <v>286.42</v>
      </c>
      <c r="U211" s="399"/>
      <c r="V211" s="399">
        <v>8150.8222999999998</v>
      </c>
      <c r="W211" s="399">
        <v>8150.8222999999998</v>
      </c>
      <c r="X211" s="399">
        <v>6637.79036</v>
      </c>
      <c r="Y211" s="399">
        <v>0</v>
      </c>
      <c r="Z211" s="399">
        <v>1115.4853701517156</v>
      </c>
      <c r="AA211" s="399">
        <v>0</v>
      </c>
      <c r="AB211" s="399">
        <v>0</v>
      </c>
      <c r="AC211" s="399">
        <v>0</v>
      </c>
      <c r="AD211" s="399">
        <v>0</v>
      </c>
      <c r="AE211" s="399">
        <v>0</v>
      </c>
      <c r="AF211" s="399">
        <v>6034.0806142521033</v>
      </c>
      <c r="AG211" s="399">
        <v>0</v>
      </c>
      <c r="AH211" s="399">
        <v>0</v>
      </c>
      <c r="AI211" s="399">
        <v>0</v>
      </c>
      <c r="AJ211" s="399">
        <v>0</v>
      </c>
      <c r="AK211" s="399">
        <v>0</v>
      </c>
      <c r="AL211" s="399">
        <v>198.15386261042715</v>
      </c>
      <c r="AM211" s="399"/>
      <c r="AN211" s="399">
        <v>28.863631830908666</v>
      </c>
      <c r="AO211" s="399">
        <v>0</v>
      </c>
      <c r="AP211" s="399">
        <v>0</v>
      </c>
      <c r="AQ211" s="399">
        <v>0</v>
      </c>
      <c r="AR211" s="399">
        <v>0</v>
      </c>
      <c r="AS211" s="399">
        <v>0</v>
      </c>
      <c r="AT211" s="399">
        <v>0</v>
      </c>
      <c r="AU211" s="399">
        <v>0</v>
      </c>
      <c r="AV211" s="399">
        <v>0</v>
      </c>
      <c r="AW211" s="399">
        <v>0</v>
      </c>
      <c r="AX211" s="399">
        <v>0</v>
      </c>
      <c r="AY211" s="399">
        <v>0</v>
      </c>
      <c r="AZ211" s="399">
        <v>0</v>
      </c>
      <c r="BA211" s="399"/>
      <c r="BB211" s="399">
        <v>0</v>
      </c>
      <c r="BC211" s="399">
        <v>0</v>
      </c>
      <c r="BD211" s="399">
        <v>0</v>
      </c>
      <c r="BE211" s="399">
        <v>0</v>
      </c>
      <c r="BF211" s="399">
        <v>0</v>
      </c>
      <c r="BG211" s="399">
        <v>248.32295534158615</v>
      </c>
      <c r="BH211" s="399">
        <v>0</v>
      </c>
      <c r="BI211" s="399">
        <v>0</v>
      </c>
      <c r="BJ211" s="399">
        <v>0</v>
      </c>
      <c r="BK211" s="399">
        <v>0</v>
      </c>
      <c r="BL211" s="399">
        <v>0</v>
      </c>
      <c r="BM211" s="399"/>
      <c r="BN211" s="399"/>
      <c r="BO211" s="399"/>
      <c r="BP211" s="399"/>
      <c r="BQ211" s="399"/>
      <c r="BR211" s="399"/>
      <c r="BS211" s="399"/>
      <c r="BT211" s="399"/>
      <c r="BU211" s="399"/>
      <c r="BV211" s="399">
        <v>6282.4035695936891</v>
      </c>
      <c r="BW211" s="399"/>
      <c r="BX211" s="399"/>
      <c r="BY211" s="399"/>
      <c r="BZ211" s="399"/>
      <c r="CA211" s="399"/>
      <c r="CB211" s="399"/>
      <c r="CC211" s="399"/>
      <c r="CD211" s="399"/>
      <c r="CE211" s="399"/>
      <c r="CF211" s="399"/>
      <c r="CG211" s="399"/>
      <c r="CH211" s="399"/>
      <c r="CI211" s="399">
        <v>6638.7356</v>
      </c>
      <c r="CJ211" s="399">
        <v>-1512.1167000000005</v>
      </c>
      <c r="CK211" s="399"/>
      <c r="CL211" s="399"/>
      <c r="CM211" s="399"/>
      <c r="CN211" s="399"/>
      <c r="CO211" s="399">
        <v>-147.46899999999999</v>
      </c>
      <c r="CP211" s="399">
        <v>-1365.5629400000005</v>
      </c>
      <c r="CQ211" s="399">
        <v>30</v>
      </c>
      <c r="CR211" s="399">
        <v>-1513.0804477450474</v>
      </c>
      <c r="CS211" s="399">
        <v>0</v>
      </c>
      <c r="CT211" s="399">
        <v>0</v>
      </c>
      <c r="CU211" s="399">
        <v>0</v>
      </c>
      <c r="CV211" s="399">
        <v>0</v>
      </c>
      <c r="CW211" s="399">
        <v>0</v>
      </c>
      <c r="CX211" s="399">
        <v>0</v>
      </c>
      <c r="CY211" s="399">
        <v>0</v>
      </c>
      <c r="CZ211" s="399">
        <v>0</v>
      </c>
      <c r="DA211" s="399">
        <v>0</v>
      </c>
      <c r="DB211" s="399">
        <v>0</v>
      </c>
      <c r="DC211" s="399">
        <v>-1365.7055527833863</v>
      </c>
      <c r="DD211" s="399">
        <v>0</v>
      </c>
      <c r="DE211" s="399">
        <v>0</v>
      </c>
      <c r="DF211" s="399">
        <v>0</v>
      </c>
      <c r="DG211" s="399">
        <v>-56.203431918455152</v>
      </c>
      <c r="DH211" s="399">
        <v>0</v>
      </c>
      <c r="DI211" s="399">
        <v>-77.388082156051496</v>
      </c>
      <c r="DJ211" s="399"/>
      <c r="DK211" s="399">
        <v>0</v>
      </c>
      <c r="DL211" s="399">
        <v>0</v>
      </c>
      <c r="DM211" s="399">
        <v>0</v>
      </c>
      <c r="DN211" s="399">
        <v>0</v>
      </c>
      <c r="DO211" s="399">
        <v>-11.340008427163838</v>
      </c>
      <c r="DP211" s="399">
        <v>-2.443372459990659</v>
      </c>
      <c r="DQ211" s="399">
        <v>0</v>
      </c>
      <c r="DR211" s="399">
        <v>0</v>
      </c>
      <c r="DS211" s="399"/>
      <c r="DT211" s="399"/>
      <c r="DU211" s="399"/>
      <c r="DV211" s="399">
        <v>0</v>
      </c>
      <c r="DW211" s="399">
        <v>0</v>
      </c>
      <c r="DX211" s="399">
        <v>0</v>
      </c>
      <c r="DY211" s="399">
        <v>-147.46899999999982</v>
      </c>
      <c r="DZ211" s="399">
        <v>-1365.5629400000007</v>
      </c>
      <c r="EA211" s="399">
        <v>0</v>
      </c>
      <c r="EB211" s="399">
        <v>0</v>
      </c>
      <c r="EC211" s="399">
        <v>0</v>
      </c>
      <c r="ED211" s="399">
        <v>0</v>
      </c>
      <c r="EE211" s="399">
        <v>0</v>
      </c>
      <c r="EF211" s="399">
        <v>0</v>
      </c>
      <c r="EG211" s="399">
        <v>0</v>
      </c>
      <c r="EH211" s="399">
        <v>0</v>
      </c>
      <c r="EI211" s="399">
        <v>0</v>
      </c>
      <c r="EJ211" s="399">
        <v>0</v>
      </c>
      <c r="EK211" s="399">
        <v>0</v>
      </c>
      <c r="EL211" s="399">
        <v>0</v>
      </c>
      <c r="EM211" s="399">
        <v>0</v>
      </c>
      <c r="EN211" s="399">
        <v>0</v>
      </c>
      <c r="EO211" s="399">
        <v>0</v>
      </c>
      <c r="EP211" s="399">
        <v>525.98951834378613</v>
      </c>
      <c r="EQ211" s="399">
        <v>0</v>
      </c>
      <c r="ER211" s="399">
        <v>0</v>
      </c>
      <c r="ES211" s="399">
        <v>0</v>
      </c>
      <c r="ET211" s="399">
        <v>0</v>
      </c>
      <c r="EU211" s="399">
        <v>0</v>
      </c>
      <c r="EV211" s="399">
        <v>202</v>
      </c>
      <c r="EW211" s="399">
        <v>0</v>
      </c>
      <c r="EX211" s="399">
        <v>0</v>
      </c>
      <c r="EY211" s="399">
        <v>0</v>
      </c>
      <c r="EZ211" s="399"/>
      <c r="FA211" s="399">
        <v>0</v>
      </c>
      <c r="FB211" s="399">
        <v>-17.698635468909799</v>
      </c>
      <c r="FC211" s="399"/>
      <c r="FD211" s="399">
        <v>-17.698635468909799</v>
      </c>
      <c r="FE211" s="399"/>
      <c r="FF211" s="399">
        <v>0</v>
      </c>
      <c r="FG211" s="399">
        <v>0</v>
      </c>
      <c r="FH211" s="399">
        <v>0</v>
      </c>
      <c r="FI211" s="399">
        <v>0</v>
      </c>
    </row>
    <row r="212" spans="1:165">
      <c r="A212" s="399">
        <v>226</v>
      </c>
      <c r="B212" s="399" t="s">
        <v>956</v>
      </c>
      <c r="C212" s="399" t="s">
        <v>2399</v>
      </c>
      <c r="D212" s="399" t="s">
        <v>533</v>
      </c>
      <c r="E212" s="399" t="s">
        <v>918</v>
      </c>
      <c r="F212" s="399" t="s">
        <v>1239</v>
      </c>
      <c r="G212" s="399" t="s">
        <v>1239</v>
      </c>
      <c r="H212" s="399" t="s">
        <v>1239</v>
      </c>
      <c r="I212" s="399" t="s">
        <v>1239</v>
      </c>
      <c r="J212" s="399" t="s">
        <v>2400</v>
      </c>
      <c r="K212" s="788">
        <v>44713</v>
      </c>
      <c r="L212" s="399">
        <v>200</v>
      </c>
      <c r="M212" s="399">
        <v>200</v>
      </c>
      <c r="N212" s="399">
        <v>0</v>
      </c>
      <c r="O212" s="399">
        <v>0</v>
      </c>
      <c r="P212" s="399">
        <v>0</v>
      </c>
      <c r="Q212" s="399">
        <v>0</v>
      </c>
      <c r="R212" s="399">
        <v>39.21</v>
      </c>
      <c r="S212" s="399"/>
      <c r="T212" s="399"/>
      <c r="U212" s="399">
        <v>7842</v>
      </c>
      <c r="V212" s="399"/>
      <c r="W212" s="399">
        <v>7842</v>
      </c>
      <c r="X212" s="399">
        <v>5968</v>
      </c>
      <c r="Y212" s="399">
        <v>0</v>
      </c>
      <c r="Z212" s="399">
        <v>0</v>
      </c>
      <c r="AA212" s="399">
        <v>0</v>
      </c>
      <c r="AB212" s="399">
        <v>0</v>
      </c>
      <c r="AC212" s="399">
        <v>0</v>
      </c>
      <c r="AD212" s="399">
        <v>2470.4459924729599</v>
      </c>
      <c r="AE212" s="399">
        <v>5372.3982459365207</v>
      </c>
      <c r="AF212" s="399"/>
      <c r="AG212" s="399"/>
      <c r="AH212" s="399"/>
      <c r="AI212" s="399">
        <v>0</v>
      </c>
      <c r="AJ212" s="399">
        <v>0</v>
      </c>
      <c r="AK212" s="399">
        <v>0</v>
      </c>
      <c r="AL212" s="399">
        <v>0</v>
      </c>
      <c r="AM212" s="399"/>
      <c r="AN212" s="399">
        <v>0</v>
      </c>
      <c r="AO212" s="399">
        <v>0</v>
      </c>
      <c r="AP212" s="399">
        <v>0</v>
      </c>
      <c r="AQ212" s="399">
        <v>0</v>
      </c>
      <c r="AR212" s="399">
        <v>0</v>
      </c>
      <c r="AS212" s="399"/>
      <c r="AT212" s="399"/>
      <c r="AU212" s="399">
        <v>0</v>
      </c>
      <c r="AV212" s="399">
        <v>0</v>
      </c>
      <c r="AW212" s="399">
        <v>0</v>
      </c>
      <c r="AX212" s="399"/>
      <c r="AY212" s="399"/>
      <c r="AZ212" s="399">
        <v>0</v>
      </c>
      <c r="BA212" s="399"/>
      <c r="BB212" s="399">
        <v>0</v>
      </c>
      <c r="BC212" s="399">
        <v>0</v>
      </c>
      <c r="BD212" s="399">
        <v>0</v>
      </c>
      <c r="BE212" s="399">
        <v>0</v>
      </c>
      <c r="BF212" s="399"/>
      <c r="BG212" s="399">
        <v>0</v>
      </c>
      <c r="BH212" s="399">
        <v>0</v>
      </c>
      <c r="BI212" s="399">
        <v>109.4</v>
      </c>
      <c r="BJ212" s="399">
        <v>504.94</v>
      </c>
      <c r="BK212" s="399">
        <v>3245.97</v>
      </c>
      <c r="BL212" s="399">
        <v>1</v>
      </c>
      <c r="BM212" s="399"/>
      <c r="BN212" s="399"/>
      <c r="BO212" s="399"/>
      <c r="BP212" s="399"/>
      <c r="BQ212" s="399"/>
      <c r="BR212" s="399"/>
      <c r="BS212" s="399"/>
      <c r="BT212" s="399"/>
      <c r="BU212" s="399"/>
      <c r="BV212" s="399">
        <v>0</v>
      </c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399">
        <v>5968</v>
      </c>
      <c r="CJ212" s="399">
        <v>-1874.0300000000007</v>
      </c>
      <c r="CK212" s="399"/>
      <c r="CL212" s="399"/>
      <c r="CM212" s="399"/>
      <c r="CN212" s="399"/>
      <c r="CO212" s="399">
        <v>-1874.0000000000002</v>
      </c>
      <c r="CP212" s="399">
        <v>0</v>
      </c>
      <c r="CQ212" s="399">
        <v>30</v>
      </c>
      <c r="CR212" s="399">
        <v>84.77806630906025</v>
      </c>
      <c r="CS212" s="399">
        <v>0</v>
      </c>
      <c r="CT212" s="399">
        <v>0</v>
      </c>
      <c r="CU212" s="399">
        <v>0</v>
      </c>
      <c r="CV212" s="399">
        <v>0</v>
      </c>
      <c r="CW212" s="399"/>
      <c r="CX212" s="399"/>
      <c r="CY212" s="399"/>
      <c r="CZ212" s="399">
        <v>84.77806630906025</v>
      </c>
      <c r="DA212" s="399">
        <v>0</v>
      </c>
      <c r="DB212" s="399">
        <v>0</v>
      </c>
      <c r="DC212" s="399"/>
      <c r="DD212" s="399"/>
      <c r="DE212" s="399">
        <v>0</v>
      </c>
      <c r="DF212" s="399">
        <v>0</v>
      </c>
      <c r="DG212" s="399">
        <v>0</v>
      </c>
      <c r="DH212" s="399">
        <v>0</v>
      </c>
      <c r="DI212" s="399">
        <v>0</v>
      </c>
      <c r="DJ212" s="399"/>
      <c r="DK212" s="399">
        <v>0</v>
      </c>
      <c r="DL212" s="399">
        <v>0</v>
      </c>
      <c r="DM212" s="399"/>
      <c r="DN212" s="399">
        <v>0</v>
      </c>
      <c r="DO212" s="399">
        <v>0</v>
      </c>
      <c r="DP212" s="399">
        <v>0</v>
      </c>
      <c r="DQ212" s="399">
        <v>0</v>
      </c>
      <c r="DR212" s="399">
        <v>0</v>
      </c>
      <c r="DS212" s="399"/>
      <c r="DT212" s="399"/>
      <c r="DU212" s="399">
        <v>5372.3982459365207</v>
      </c>
      <c r="DV212" s="399"/>
      <c r="DW212" s="399">
        <v>0</v>
      </c>
      <c r="DX212" s="399">
        <v>0</v>
      </c>
      <c r="DY212" s="399">
        <v>-1874</v>
      </c>
      <c r="DZ212" s="399"/>
      <c r="EA212" s="399">
        <v>0</v>
      </c>
      <c r="EB212" s="399"/>
      <c r="EC212" s="399">
        <v>-1960.3887537343408</v>
      </c>
      <c r="ED212" s="399"/>
      <c r="EE212" s="399">
        <v>0</v>
      </c>
      <c r="EF212" s="399">
        <v>0</v>
      </c>
      <c r="EG212" s="399"/>
      <c r="EH212" s="399">
        <v>0</v>
      </c>
      <c r="EI212" s="399">
        <v>0</v>
      </c>
      <c r="EJ212" s="399">
        <v>0</v>
      </c>
      <c r="EK212" s="399">
        <v>0</v>
      </c>
      <c r="EL212" s="399">
        <v>0</v>
      </c>
      <c r="EM212" s="399"/>
      <c r="EN212" s="399"/>
      <c r="EO212" s="399">
        <v>0</v>
      </c>
      <c r="EP212" s="399">
        <v>0</v>
      </c>
      <c r="EQ212" s="399"/>
      <c r="ER212" s="399">
        <v>0</v>
      </c>
      <c r="ES212" s="399"/>
      <c r="ET212" s="399">
        <v>0</v>
      </c>
      <c r="EU212" s="399"/>
      <c r="EV212" s="399">
        <v>202</v>
      </c>
      <c r="EW212" s="399"/>
      <c r="EX212" s="399"/>
      <c r="EY212" s="399"/>
      <c r="EZ212" s="399"/>
      <c r="FA212" s="399">
        <v>0</v>
      </c>
      <c r="FB212" s="399">
        <v>-17.698635468909799</v>
      </c>
      <c r="FC212" s="399"/>
      <c r="FD212" s="399">
        <v>-17.698635468909799</v>
      </c>
      <c r="FE212" s="399"/>
      <c r="FF212" s="399">
        <v>0</v>
      </c>
      <c r="FG212" s="399">
        <v>0</v>
      </c>
      <c r="FH212" s="399">
        <v>0</v>
      </c>
      <c r="FI212" s="399">
        <v>0</v>
      </c>
    </row>
    <row r="213" spans="1:165">
      <c r="A213" s="399">
        <v>208</v>
      </c>
      <c r="B213" s="399" t="s">
        <v>956</v>
      </c>
      <c r="C213" s="399" t="s">
        <v>2402</v>
      </c>
      <c r="D213" s="399" t="s">
        <v>1823</v>
      </c>
      <c r="E213" s="399" t="s">
        <v>889</v>
      </c>
      <c r="F213" s="399" t="s">
        <v>889</v>
      </c>
      <c r="G213" s="399" t="s">
        <v>1239</v>
      </c>
      <c r="H213" s="399" t="s">
        <v>1239</v>
      </c>
      <c r="I213" s="399" t="s">
        <v>1239</v>
      </c>
      <c r="J213" s="399" t="s">
        <v>2400</v>
      </c>
      <c r="K213" s="788">
        <v>44713</v>
      </c>
      <c r="L213" s="399">
        <v>0</v>
      </c>
      <c r="M213" s="399">
        <v>0</v>
      </c>
      <c r="N213" s="399">
        <v>374.351</v>
      </c>
      <c r="O213" s="399">
        <v>374.351</v>
      </c>
      <c r="P213" s="399">
        <v>374.351</v>
      </c>
      <c r="Q213" s="399">
        <v>374.351</v>
      </c>
      <c r="R213" s="399"/>
      <c r="S213" s="399">
        <v>609.05999999999995</v>
      </c>
      <c r="T213" s="399">
        <v>286.42</v>
      </c>
      <c r="U213" s="399"/>
      <c r="V213" s="399">
        <v>335223.83348000003</v>
      </c>
      <c r="W213" s="399">
        <v>335223.83348000003</v>
      </c>
      <c r="X213" s="399">
        <v>256007.41836999997</v>
      </c>
      <c r="Y213" s="399">
        <v>0</v>
      </c>
      <c r="Z213" s="399">
        <v>22783.525566305685</v>
      </c>
      <c r="AA213" s="399">
        <v>0</v>
      </c>
      <c r="AB213" s="399">
        <v>0</v>
      </c>
      <c r="AC213" s="399">
        <v>0</v>
      </c>
      <c r="AD213" s="399">
        <v>36556.179987864663</v>
      </c>
      <c r="AE213" s="399">
        <v>141209.68761317307</v>
      </c>
      <c r="AF213" s="399">
        <v>107222.86571537898</v>
      </c>
      <c r="AG213" s="399">
        <v>0</v>
      </c>
      <c r="AH213" s="399">
        <v>0</v>
      </c>
      <c r="AI213" s="399">
        <v>0</v>
      </c>
      <c r="AJ213" s="399">
        <v>0</v>
      </c>
      <c r="AK213" s="399">
        <v>0</v>
      </c>
      <c r="AL213" s="399">
        <v>3521.1039361122143</v>
      </c>
      <c r="AM213" s="399"/>
      <c r="AN213" s="399">
        <v>639.33070081713788</v>
      </c>
      <c r="AO213" s="399">
        <v>0</v>
      </c>
      <c r="AP213" s="399">
        <v>0</v>
      </c>
      <c r="AQ213" s="399">
        <v>0</v>
      </c>
      <c r="AR213" s="399">
        <v>0</v>
      </c>
      <c r="AS213" s="399">
        <v>0</v>
      </c>
      <c r="AT213" s="399">
        <v>0</v>
      </c>
      <c r="AU213" s="399">
        <v>0</v>
      </c>
      <c r="AV213" s="399">
        <v>0</v>
      </c>
      <c r="AW213" s="399">
        <v>0</v>
      </c>
      <c r="AX213" s="399">
        <v>0</v>
      </c>
      <c r="AY213" s="399">
        <v>0</v>
      </c>
      <c r="AZ213" s="399">
        <v>0</v>
      </c>
      <c r="BA213" s="399"/>
      <c r="BB213" s="399">
        <v>0</v>
      </c>
      <c r="BC213" s="399">
        <v>0</v>
      </c>
      <c r="BD213" s="399">
        <v>0</v>
      </c>
      <c r="BE213" s="399">
        <v>0</v>
      </c>
      <c r="BF213" s="399">
        <v>0</v>
      </c>
      <c r="BG213" s="399">
        <v>12549.113587626607</v>
      </c>
      <c r="BH213" s="399">
        <v>0</v>
      </c>
      <c r="BI213" s="399">
        <v>1253.6500000000001</v>
      </c>
      <c r="BJ213" s="399">
        <v>5831.13</v>
      </c>
      <c r="BK213" s="399">
        <v>45201.55</v>
      </c>
      <c r="BL213" s="399">
        <v>3173</v>
      </c>
      <c r="BM213" s="399"/>
      <c r="BN213" s="399"/>
      <c r="BO213" s="399"/>
      <c r="BP213" s="399"/>
      <c r="BQ213" s="399"/>
      <c r="BR213" s="399"/>
      <c r="BS213" s="399"/>
      <c r="BT213" s="399"/>
      <c r="BU213" s="399"/>
      <c r="BV213" s="399">
        <v>119771.97930300559</v>
      </c>
      <c r="BW213" s="399"/>
      <c r="BX213" s="399"/>
      <c r="BY213" s="399"/>
      <c r="BZ213" s="399"/>
      <c r="CA213" s="399"/>
      <c r="CB213" s="399"/>
      <c r="CC213" s="399"/>
      <c r="CD213" s="399"/>
      <c r="CE213" s="399"/>
      <c r="CF213" s="399"/>
      <c r="CG213" s="399"/>
      <c r="CH213" s="399"/>
      <c r="CI213" s="399">
        <v>256006.73450000002</v>
      </c>
      <c r="CJ213" s="399">
        <v>-79217.128980000038</v>
      </c>
      <c r="CK213" s="399"/>
      <c r="CL213" s="399"/>
      <c r="CM213" s="399"/>
      <c r="CN213" s="399"/>
      <c r="CO213" s="399">
        <v>-54950.983289999989</v>
      </c>
      <c r="CP213" s="399">
        <v>-24265.431820000009</v>
      </c>
      <c r="CQ213" s="399">
        <v>30</v>
      </c>
      <c r="CR213" s="399">
        <v>-27689.997875660658</v>
      </c>
      <c r="CS213" s="399">
        <v>0</v>
      </c>
      <c r="CT213" s="399">
        <v>0</v>
      </c>
      <c r="CU213" s="399">
        <v>0</v>
      </c>
      <c r="CV213" s="399">
        <v>0</v>
      </c>
      <c r="CW213" s="399">
        <v>0</v>
      </c>
      <c r="CX213" s="399">
        <v>0</v>
      </c>
      <c r="CY213" s="399">
        <v>0</v>
      </c>
      <c r="CZ213" s="399">
        <v>1254.4950427818403</v>
      </c>
      <c r="DA213" s="399">
        <v>0</v>
      </c>
      <c r="DB213" s="399">
        <v>0</v>
      </c>
      <c r="DC213" s="399">
        <v>-24267.965984241397</v>
      </c>
      <c r="DD213" s="399">
        <v>0</v>
      </c>
      <c r="DE213" s="399">
        <v>0</v>
      </c>
      <c r="DF213" s="399">
        <v>0</v>
      </c>
      <c r="DG213" s="399">
        <v>-2840.2660164419067</v>
      </c>
      <c r="DH213" s="399">
        <v>0</v>
      </c>
      <c r="DI213" s="399">
        <v>-1580.6333238507104</v>
      </c>
      <c r="DJ213" s="399"/>
      <c r="DK213" s="399">
        <v>0</v>
      </c>
      <c r="DL213" s="399">
        <v>0</v>
      </c>
      <c r="DM213" s="399">
        <v>0</v>
      </c>
      <c r="DN213" s="399">
        <v>0</v>
      </c>
      <c r="DO213" s="399">
        <v>-201.50678761651943</v>
      </c>
      <c r="DP213" s="399">
        <v>-54.12080629196214</v>
      </c>
      <c r="DQ213" s="399">
        <v>0</v>
      </c>
      <c r="DR213" s="399">
        <v>0</v>
      </c>
      <c r="DS213" s="399"/>
      <c r="DT213" s="399"/>
      <c r="DU213" s="399"/>
      <c r="DV213" s="399">
        <v>141209.68761317307</v>
      </c>
      <c r="DW213" s="399">
        <v>0</v>
      </c>
      <c r="DX213" s="399">
        <v>0</v>
      </c>
      <c r="DY213" s="399">
        <v>-54950.983290000004</v>
      </c>
      <c r="DZ213" s="399">
        <v>-24265.431820000013</v>
      </c>
      <c r="EA213" s="399">
        <v>0</v>
      </c>
      <c r="EB213" s="399">
        <v>0</v>
      </c>
      <c r="EC213" s="399">
        <v>-51527.431668823992</v>
      </c>
      <c r="ED213" s="399">
        <v>0</v>
      </c>
      <c r="EE213" s="399">
        <v>0</v>
      </c>
      <c r="EF213" s="399">
        <v>0</v>
      </c>
      <c r="EG213" s="399">
        <v>0</v>
      </c>
      <c r="EH213" s="399">
        <v>0</v>
      </c>
      <c r="EI213" s="399">
        <v>0</v>
      </c>
      <c r="EJ213" s="399">
        <v>0</v>
      </c>
      <c r="EK213" s="399">
        <v>0</v>
      </c>
      <c r="EL213" s="399">
        <v>0</v>
      </c>
      <c r="EM213" s="399">
        <v>0</v>
      </c>
      <c r="EN213" s="399">
        <v>0</v>
      </c>
      <c r="EO213" s="399">
        <v>0</v>
      </c>
      <c r="EP213" s="399">
        <v>10743.211842540393</v>
      </c>
      <c r="EQ213" s="399">
        <v>0</v>
      </c>
      <c r="ER213" s="399">
        <v>0</v>
      </c>
      <c r="ES213" s="399">
        <v>0</v>
      </c>
      <c r="ET213" s="399">
        <v>0</v>
      </c>
      <c r="EU213" s="399">
        <v>0</v>
      </c>
      <c r="EV213" s="399">
        <v>202</v>
      </c>
      <c r="EW213" s="399">
        <v>0</v>
      </c>
      <c r="EX213" s="399">
        <v>0</v>
      </c>
      <c r="EY213" s="399">
        <v>0</v>
      </c>
      <c r="EZ213" s="399"/>
      <c r="FA213" s="399">
        <v>0</v>
      </c>
      <c r="FB213" s="399">
        <v>-17.698635468909799</v>
      </c>
      <c r="FC213" s="399"/>
      <c r="FD213" s="399">
        <v>-17.698635468909799</v>
      </c>
      <c r="FE213" s="399"/>
      <c r="FF213" s="399">
        <v>0</v>
      </c>
      <c r="FG213" s="399">
        <v>0</v>
      </c>
      <c r="FH213" s="399">
        <v>0</v>
      </c>
      <c r="FI213" s="399">
        <v>0</v>
      </c>
    </row>
    <row r="214" spans="1:165">
      <c r="A214" s="399">
        <v>209</v>
      </c>
      <c r="B214" s="399" t="s">
        <v>2403</v>
      </c>
      <c r="C214" s="399" t="s">
        <v>2402</v>
      </c>
      <c r="D214" s="399" t="s">
        <v>1823</v>
      </c>
      <c r="E214" s="399" t="s">
        <v>889</v>
      </c>
      <c r="F214" s="399" t="s">
        <v>889</v>
      </c>
      <c r="G214" s="399" t="s">
        <v>1239</v>
      </c>
      <c r="H214" s="399" t="s">
        <v>1239</v>
      </c>
      <c r="I214" s="399" t="s">
        <v>1239</v>
      </c>
      <c r="J214" s="399" t="s">
        <v>2400</v>
      </c>
      <c r="K214" s="788">
        <v>44713</v>
      </c>
      <c r="L214" s="399">
        <v>0</v>
      </c>
      <c r="M214" s="399">
        <v>0</v>
      </c>
      <c r="N214" s="399">
        <v>-1.657</v>
      </c>
      <c r="O214" s="399">
        <v>-1.657</v>
      </c>
      <c r="P214" s="399">
        <v>-1.657</v>
      </c>
      <c r="Q214" s="399">
        <v>-1.657</v>
      </c>
      <c r="R214" s="399"/>
      <c r="S214" s="399">
        <v>609.05999999999995</v>
      </c>
      <c r="T214" s="399">
        <v>286.42</v>
      </c>
      <c r="U214" s="399"/>
      <c r="V214" s="399">
        <v>-1483.8103599999999</v>
      </c>
      <c r="W214" s="399">
        <v>-1483.8103599999999</v>
      </c>
      <c r="X214" s="399">
        <v>-1133.1725900000001</v>
      </c>
      <c r="Y214" s="399">
        <v>0</v>
      </c>
      <c r="Z214" s="399">
        <v>-100.84733809544659</v>
      </c>
      <c r="AA214" s="399">
        <v>0</v>
      </c>
      <c r="AB214" s="399">
        <v>0</v>
      </c>
      <c r="AC214" s="399">
        <v>0</v>
      </c>
      <c r="AD214" s="399">
        <v>-161.80961247570261</v>
      </c>
      <c r="AE214" s="399">
        <v>-625.04027603780355</v>
      </c>
      <c r="AF214" s="399">
        <v>-474.6034830690528</v>
      </c>
      <c r="AG214" s="399">
        <v>0</v>
      </c>
      <c r="AH214" s="399">
        <v>0</v>
      </c>
      <c r="AI214" s="399">
        <v>0</v>
      </c>
      <c r="AJ214" s="399">
        <v>0</v>
      </c>
      <c r="AK214" s="399">
        <v>0</v>
      </c>
      <c r="AL214" s="399">
        <v>-15.585557998076508</v>
      </c>
      <c r="AM214" s="399"/>
      <c r="AN214" s="399">
        <v>-2.8298868475147585</v>
      </c>
      <c r="AO214" s="399">
        <v>0</v>
      </c>
      <c r="AP214" s="399">
        <v>0</v>
      </c>
      <c r="AQ214" s="399">
        <v>0</v>
      </c>
      <c r="AR214" s="399">
        <v>0</v>
      </c>
      <c r="AS214" s="399">
        <v>0</v>
      </c>
      <c r="AT214" s="399">
        <v>0</v>
      </c>
      <c r="AU214" s="399">
        <v>0</v>
      </c>
      <c r="AV214" s="399">
        <v>0</v>
      </c>
      <c r="AW214" s="399">
        <v>0</v>
      </c>
      <c r="AX214" s="399">
        <v>0</v>
      </c>
      <c r="AY214" s="399">
        <v>0</v>
      </c>
      <c r="AZ214" s="399">
        <v>0</v>
      </c>
      <c r="BA214" s="399"/>
      <c r="BB214" s="399">
        <v>0</v>
      </c>
      <c r="BC214" s="399">
        <v>0</v>
      </c>
      <c r="BD214" s="399">
        <v>0</v>
      </c>
      <c r="BE214" s="399">
        <v>0</v>
      </c>
      <c r="BF214" s="399">
        <v>0</v>
      </c>
      <c r="BG214" s="399">
        <v>-55.546482351315447</v>
      </c>
      <c r="BH214" s="399">
        <v>0</v>
      </c>
      <c r="BI214" s="399">
        <v>-8.6</v>
      </c>
      <c r="BJ214" s="399">
        <v>-39.659999999999997</v>
      </c>
      <c r="BK214" s="399">
        <v>-680.29</v>
      </c>
      <c r="BL214" s="399">
        <v>0</v>
      </c>
      <c r="BM214" s="399"/>
      <c r="BN214" s="399"/>
      <c r="BO214" s="399"/>
      <c r="BP214" s="399"/>
      <c r="BQ214" s="399"/>
      <c r="BR214" s="399"/>
      <c r="BS214" s="399"/>
      <c r="BT214" s="399"/>
      <c r="BU214" s="399"/>
      <c r="BV214" s="399">
        <v>-530.14996542036829</v>
      </c>
      <c r="BW214" s="399"/>
      <c r="BX214" s="399"/>
      <c r="BY214" s="399"/>
      <c r="BZ214" s="399"/>
      <c r="CA214" s="399"/>
      <c r="CB214" s="399"/>
      <c r="CC214" s="399"/>
      <c r="CD214" s="399"/>
      <c r="CE214" s="399"/>
      <c r="CF214" s="399"/>
      <c r="CG214" s="399"/>
      <c r="CH214" s="399"/>
      <c r="CI214" s="399">
        <v>-1135.2241999999999</v>
      </c>
      <c r="CJ214" s="399">
        <v>348.55616000000009</v>
      </c>
      <c r="CK214" s="399"/>
      <c r="CL214" s="399"/>
      <c r="CM214" s="399"/>
      <c r="CN214" s="399"/>
      <c r="CO214" s="399">
        <v>243.23102999999995</v>
      </c>
      <c r="CP214" s="399">
        <v>107.40674000000004</v>
      </c>
      <c r="CQ214" s="399">
        <v>30</v>
      </c>
      <c r="CR214" s="399">
        <v>122.56498975552302</v>
      </c>
      <c r="CS214" s="399">
        <v>0</v>
      </c>
      <c r="CT214" s="399">
        <v>0</v>
      </c>
      <c r="CU214" s="399">
        <v>0</v>
      </c>
      <c r="CV214" s="399">
        <v>0</v>
      </c>
      <c r="CW214" s="399">
        <v>0</v>
      </c>
      <c r="CX214" s="399">
        <v>0</v>
      </c>
      <c r="CY214" s="399">
        <v>0</v>
      </c>
      <c r="CZ214" s="399">
        <v>-5.5528054843970267</v>
      </c>
      <c r="DA214" s="399">
        <v>0</v>
      </c>
      <c r="DB214" s="399">
        <v>0</v>
      </c>
      <c r="DC214" s="399">
        <v>107.41795704001862</v>
      </c>
      <c r="DD214" s="399">
        <v>0</v>
      </c>
      <c r="DE214" s="399">
        <v>0</v>
      </c>
      <c r="DF214" s="399">
        <v>0</v>
      </c>
      <c r="DG214" s="399">
        <v>12.57194662026879</v>
      </c>
      <c r="DH214" s="399">
        <v>0</v>
      </c>
      <c r="DI214" s="399">
        <v>6.9964002169638349</v>
      </c>
      <c r="DJ214" s="399"/>
      <c r="DK214" s="399">
        <v>0</v>
      </c>
      <c r="DL214" s="399">
        <v>0</v>
      </c>
      <c r="DM214" s="399">
        <v>0</v>
      </c>
      <c r="DN214" s="399">
        <v>0</v>
      </c>
      <c r="DO214" s="399">
        <v>0.89193496766556635</v>
      </c>
      <c r="DP214" s="399">
        <v>0.23955639500303461</v>
      </c>
      <c r="DQ214" s="399">
        <v>0</v>
      </c>
      <c r="DR214" s="399">
        <v>0</v>
      </c>
      <c r="DS214" s="399"/>
      <c r="DT214" s="399"/>
      <c r="DU214" s="399"/>
      <c r="DV214" s="399">
        <v>-625.04027603780355</v>
      </c>
      <c r="DW214" s="399">
        <v>0</v>
      </c>
      <c r="DX214" s="399">
        <v>0</v>
      </c>
      <c r="DY214" s="399">
        <v>243.23102999999992</v>
      </c>
      <c r="DZ214" s="399">
        <v>107.40674000000007</v>
      </c>
      <c r="EA214" s="399">
        <v>0</v>
      </c>
      <c r="EB214" s="399">
        <v>0</v>
      </c>
      <c r="EC214" s="399">
        <v>228.07727046339232</v>
      </c>
      <c r="ED214" s="399">
        <v>0</v>
      </c>
      <c r="EE214" s="399">
        <v>0</v>
      </c>
      <c r="EF214" s="399">
        <v>0</v>
      </c>
      <c r="EG214" s="399">
        <v>0</v>
      </c>
      <c r="EH214" s="399">
        <v>0</v>
      </c>
      <c r="EI214" s="399">
        <v>0</v>
      </c>
      <c r="EJ214" s="399">
        <v>0</v>
      </c>
      <c r="EK214" s="399">
        <v>0</v>
      </c>
      <c r="EL214" s="399">
        <v>0</v>
      </c>
      <c r="EM214" s="399">
        <v>0</v>
      </c>
      <c r="EN214" s="399">
        <v>0</v>
      </c>
      <c r="EO214" s="399">
        <v>0</v>
      </c>
      <c r="EP214" s="399">
        <v>-47.552970402348144</v>
      </c>
      <c r="EQ214" s="399">
        <v>0</v>
      </c>
      <c r="ER214" s="399">
        <v>0</v>
      </c>
      <c r="ES214" s="399">
        <v>0</v>
      </c>
      <c r="ET214" s="399">
        <v>0</v>
      </c>
      <c r="EU214" s="399">
        <v>0</v>
      </c>
      <c r="EV214" s="399">
        <v>202</v>
      </c>
      <c r="EW214" s="399">
        <v>0</v>
      </c>
      <c r="EX214" s="399">
        <v>0</v>
      </c>
      <c r="EY214" s="399">
        <v>0</v>
      </c>
      <c r="EZ214" s="399"/>
      <c r="FA214" s="399">
        <v>0</v>
      </c>
      <c r="FB214" s="399">
        <v>-17.698635468909799</v>
      </c>
      <c r="FC214" s="399"/>
      <c r="FD214" s="399">
        <v>-17.698635468909799</v>
      </c>
      <c r="FE214" s="399"/>
      <c r="FF214" s="399">
        <v>0</v>
      </c>
      <c r="FG214" s="399">
        <v>0</v>
      </c>
      <c r="FH214" s="399">
        <v>0</v>
      </c>
      <c r="FI214" s="399">
        <v>0</v>
      </c>
    </row>
    <row r="215" spans="1:165">
      <c r="A215" s="399">
        <v>210</v>
      </c>
      <c r="B215" s="399" t="s">
        <v>2404</v>
      </c>
      <c r="C215" s="399" t="s">
        <v>2402</v>
      </c>
      <c r="D215" s="399" t="s">
        <v>1823</v>
      </c>
      <c r="E215" s="399" t="s">
        <v>889</v>
      </c>
      <c r="F215" s="399" t="s">
        <v>889</v>
      </c>
      <c r="G215" s="399" t="s">
        <v>1239</v>
      </c>
      <c r="H215" s="399" t="s">
        <v>1239</v>
      </c>
      <c r="I215" s="399" t="s">
        <v>1239</v>
      </c>
      <c r="J215" s="399" t="s">
        <v>2400</v>
      </c>
      <c r="K215" s="788">
        <v>44713</v>
      </c>
      <c r="L215" s="399">
        <v>0</v>
      </c>
      <c r="M215" s="399">
        <v>0</v>
      </c>
      <c r="N215" s="399">
        <v>4.8550000000000004</v>
      </c>
      <c r="O215" s="399">
        <v>4.8550000000000004</v>
      </c>
      <c r="P215" s="399">
        <v>4.8550000000000004</v>
      </c>
      <c r="Q215" s="399">
        <v>4.8550000000000004</v>
      </c>
      <c r="R215" s="399"/>
      <c r="S215" s="399">
        <v>609.05999999999995</v>
      </c>
      <c r="T215" s="399">
        <v>286.42</v>
      </c>
      <c r="U215" s="399"/>
      <c r="V215" s="399">
        <v>4347.5554000000002</v>
      </c>
      <c r="W215" s="399">
        <v>4347.5554000000002</v>
      </c>
      <c r="X215" s="399">
        <v>3320.1888500000005</v>
      </c>
      <c r="Y215" s="399">
        <v>0</v>
      </c>
      <c r="Z215" s="399">
        <v>295.48209200566879</v>
      </c>
      <c r="AA215" s="399">
        <v>0</v>
      </c>
      <c r="AB215" s="399">
        <v>0</v>
      </c>
      <c r="AC215" s="399">
        <v>0</v>
      </c>
      <c r="AD215" s="399">
        <v>474.10118803230915</v>
      </c>
      <c r="AE215" s="399">
        <v>1831.3642366708125</v>
      </c>
      <c r="AF215" s="399">
        <v>1390.5853411588723</v>
      </c>
      <c r="AG215" s="399">
        <v>0</v>
      </c>
      <c r="AH215" s="399">
        <v>0</v>
      </c>
      <c r="AI215" s="399">
        <v>0</v>
      </c>
      <c r="AJ215" s="399">
        <v>0</v>
      </c>
      <c r="AK215" s="399">
        <v>0</v>
      </c>
      <c r="AL215" s="399">
        <v>45.665590875474628</v>
      </c>
      <c r="AM215" s="399"/>
      <c r="AN215" s="399">
        <v>8.2915513848425793</v>
      </c>
      <c r="AO215" s="399">
        <v>0</v>
      </c>
      <c r="AP215" s="399">
        <v>0</v>
      </c>
      <c r="AQ215" s="399">
        <v>0</v>
      </c>
      <c r="AR215" s="399">
        <v>0</v>
      </c>
      <c r="AS215" s="399">
        <v>0</v>
      </c>
      <c r="AT215" s="399">
        <v>0</v>
      </c>
      <c r="AU215" s="399">
        <v>0</v>
      </c>
      <c r="AV215" s="399">
        <v>0</v>
      </c>
      <c r="AW215" s="399">
        <v>0</v>
      </c>
      <c r="AX215" s="399">
        <v>0</v>
      </c>
      <c r="AY215" s="399">
        <v>0</v>
      </c>
      <c r="AZ215" s="399">
        <v>0</v>
      </c>
      <c r="BA215" s="399"/>
      <c r="BB215" s="399">
        <v>0</v>
      </c>
      <c r="BC215" s="399">
        <v>0</v>
      </c>
      <c r="BD215" s="399">
        <v>0</v>
      </c>
      <c r="BE215" s="399">
        <v>0</v>
      </c>
      <c r="BF215" s="399">
        <v>0</v>
      </c>
      <c r="BG215" s="399">
        <v>162.75085806616568</v>
      </c>
      <c r="BH215" s="399">
        <v>0</v>
      </c>
      <c r="BI215" s="399">
        <v>13.22</v>
      </c>
      <c r="BJ215" s="399">
        <v>61.36</v>
      </c>
      <c r="BK215" s="399">
        <v>1251.33</v>
      </c>
      <c r="BL215" s="399">
        <v>36</v>
      </c>
      <c r="BM215" s="399"/>
      <c r="BN215" s="399"/>
      <c r="BO215" s="399"/>
      <c r="BP215" s="399"/>
      <c r="BQ215" s="399"/>
      <c r="BR215" s="399"/>
      <c r="BS215" s="399"/>
      <c r="BT215" s="399"/>
      <c r="BU215" s="399"/>
      <c r="BV215" s="399">
        <v>1553.3361992250379</v>
      </c>
      <c r="BW215" s="399"/>
      <c r="BX215" s="399"/>
      <c r="BY215" s="399"/>
      <c r="BZ215" s="399"/>
      <c r="CA215" s="399"/>
      <c r="CB215" s="399"/>
      <c r="CC215" s="399"/>
      <c r="CD215" s="399"/>
      <c r="CE215" s="399"/>
      <c r="CF215" s="399"/>
      <c r="CG215" s="399"/>
      <c r="CH215" s="399"/>
      <c r="CI215" s="399">
        <v>3323.6082000000001</v>
      </c>
      <c r="CJ215" s="399">
        <v>-1023.9772000000007</v>
      </c>
      <c r="CK215" s="399"/>
      <c r="CL215" s="399"/>
      <c r="CM215" s="399"/>
      <c r="CN215" s="399"/>
      <c r="CO215" s="399">
        <v>-712.66544999999985</v>
      </c>
      <c r="CP215" s="399">
        <v>-314.70110000000011</v>
      </c>
      <c r="CQ215" s="399">
        <v>30</v>
      </c>
      <c r="CR215" s="399">
        <v>-359.11468030359856</v>
      </c>
      <c r="CS215" s="399">
        <v>0</v>
      </c>
      <c r="CT215" s="399">
        <v>0</v>
      </c>
      <c r="CU215" s="399">
        <v>0</v>
      </c>
      <c r="CV215" s="399">
        <v>0</v>
      </c>
      <c r="CW215" s="399">
        <v>0</v>
      </c>
      <c r="CX215" s="399">
        <v>0</v>
      </c>
      <c r="CY215" s="399">
        <v>0</v>
      </c>
      <c r="CZ215" s="399">
        <v>16.269686558085425</v>
      </c>
      <c r="DA215" s="399">
        <v>0</v>
      </c>
      <c r="DB215" s="399">
        <v>0</v>
      </c>
      <c r="DC215" s="399">
        <v>-314.7339658595597</v>
      </c>
      <c r="DD215" s="399">
        <v>0</v>
      </c>
      <c r="DE215" s="399">
        <v>0</v>
      </c>
      <c r="DF215" s="399">
        <v>0</v>
      </c>
      <c r="DG215" s="399">
        <v>-36.835727725651765</v>
      </c>
      <c r="DH215" s="399">
        <v>0</v>
      </c>
      <c r="DI215" s="399">
        <v>-20.499410412407599</v>
      </c>
      <c r="DJ215" s="399"/>
      <c r="DK215" s="399">
        <v>0</v>
      </c>
      <c r="DL215" s="399">
        <v>0</v>
      </c>
      <c r="DM215" s="399">
        <v>0</v>
      </c>
      <c r="DN215" s="399">
        <v>0</v>
      </c>
      <c r="DO215" s="399">
        <v>-2.6133640724298886</v>
      </c>
      <c r="DP215" s="399">
        <v>-0.7018987916353252</v>
      </c>
      <c r="DQ215" s="399">
        <v>0</v>
      </c>
      <c r="DR215" s="399">
        <v>0</v>
      </c>
      <c r="DS215" s="399"/>
      <c r="DT215" s="399"/>
      <c r="DU215" s="399"/>
      <c r="DV215" s="399">
        <v>1831.3642366708125</v>
      </c>
      <c r="DW215" s="399">
        <v>0</v>
      </c>
      <c r="DX215" s="399">
        <v>0</v>
      </c>
      <c r="DY215" s="399">
        <v>-712.66544999999996</v>
      </c>
      <c r="DZ215" s="399">
        <v>-314.7011</v>
      </c>
      <c r="EA215" s="399">
        <v>0</v>
      </c>
      <c r="EB215" s="399">
        <v>0</v>
      </c>
      <c r="EC215" s="399">
        <v>-668.26502601072389</v>
      </c>
      <c r="ED215" s="399">
        <v>0</v>
      </c>
      <c r="EE215" s="399">
        <v>0</v>
      </c>
      <c r="EF215" s="399">
        <v>0</v>
      </c>
      <c r="EG215" s="399">
        <v>0</v>
      </c>
      <c r="EH215" s="399">
        <v>0</v>
      </c>
      <c r="EI215" s="399">
        <v>0</v>
      </c>
      <c r="EJ215" s="399">
        <v>0</v>
      </c>
      <c r="EK215" s="399">
        <v>0</v>
      </c>
      <c r="EL215" s="399">
        <v>0</v>
      </c>
      <c r="EM215" s="399">
        <v>0</v>
      </c>
      <c r="EN215" s="399">
        <v>0</v>
      </c>
      <c r="EO215" s="399">
        <v>0</v>
      </c>
      <c r="EP215" s="399">
        <v>139.32991629656021</v>
      </c>
      <c r="EQ215" s="399">
        <v>0</v>
      </c>
      <c r="ER215" s="399">
        <v>0</v>
      </c>
      <c r="ES215" s="399">
        <v>0</v>
      </c>
      <c r="ET215" s="399">
        <v>0</v>
      </c>
      <c r="EU215" s="399">
        <v>0</v>
      </c>
      <c r="EV215" s="399">
        <v>202</v>
      </c>
      <c r="EW215" s="399">
        <v>0</v>
      </c>
      <c r="EX215" s="399">
        <v>0</v>
      </c>
      <c r="EY215" s="399">
        <v>0</v>
      </c>
      <c r="EZ215" s="399"/>
      <c r="FA215" s="399">
        <v>0</v>
      </c>
      <c r="FB215" s="399">
        <v>-17.698635468909799</v>
      </c>
      <c r="FC215" s="399"/>
      <c r="FD215" s="399">
        <v>-17.698635468909799</v>
      </c>
      <c r="FE215" s="399"/>
      <c r="FF215" s="399">
        <v>0</v>
      </c>
      <c r="FG215" s="399">
        <v>0</v>
      </c>
      <c r="FH215" s="399">
        <v>0</v>
      </c>
      <c r="FI215" s="399">
        <v>0</v>
      </c>
    </row>
    <row r="216" spans="1:165">
      <c r="A216" s="399">
        <v>211</v>
      </c>
      <c r="B216" s="399" t="s">
        <v>956</v>
      </c>
      <c r="C216" s="399" t="s">
        <v>2402</v>
      </c>
      <c r="D216" s="399" t="s">
        <v>1823</v>
      </c>
      <c r="E216" s="399" t="s">
        <v>889</v>
      </c>
      <c r="F216" s="399" t="s">
        <v>2405</v>
      </c>
      <c r="G216" s="399" t="s">
        <v>1239</v>
      </c>
      <c r="H216" s="399" t="s">
        <v>1239</v>
      </c>
      <c r="I216" s="399" t="s">
        <v>1239</v>
      </c>
      <c r="J216" s="399" t="s">
        <v>2400</v>
      </c>
      <c r="K216" s="788">
        <v>44713</v>
      </c>
      <c r="L216" s="399">
        <v>0</v>
      </c>
      <c r="M216" s="399">
        <v>0</v>
      </c>
      <c r="N216" s="399">
        <v>7.44</v>
      </c>
      <c r="O216" s="399">
        <v>7.44</v>
      </c>
      <c r="P216" s="399">
        <v>7.44</v>
      </c>
      <c r="Q216" s="399">
        <v>7.44</v>
      </c>
      <c r="R216" s="399"/>
      <c r="S216" s="399">
        <v>510.09</v>
      </c>
      <c r="T216" s="399">
        <v>286.42</v>
      </c>
      <c r="U216" s="399"/>
      <c r="V216" s="399">
        <v>5926.0344000000005</v>
      </c>
      <c r="W216" s="399">
        <v>5926.0344000000005</v>
      </c>
      <c r="X216" s="399">
        <v>4387.1448</v>
      </c>
      <c r="Y216" s="399">
        <v>0</v>
      </c>
      <c r="Z216" s="399">
        <v>0</v>
      </c>
      <c r="AA216" s="399">
        <v>0</v>
      </c>
      <c r="AB216" s="399">
        <v>0</v>
      </c>
      <c r="AC216" s="399">
        <v>0</v>
      </c>
      <c r="AD216" s="399">
        <v>726.5319956664016</v>
      </c>
      <c r="AE216" s="399">
        <v>2806.4572442494014</v>
      </c>
      <c r="AF216" s="399">
        <v>2130.9896886142142</v>
      </c>
      <c r="AG216" s="399">
        <v>0</v>
      </c>
      <c r="AH216" s="399">
        <v>0</v>
      </c>
      <c r="AI216" s="399">
        <v>0</v>
      </c>
      <c r="AJ216" s="399">
        <v>0</v>
      </c>
      <c r="AK216" s="399">
        <v>0</v>
      </c>
      <c r="AL216" s="399">
        <v>0</v>
      </c>
      <c r="AM216" s="399"/>
      <c r="AN216" s="399">
        <v>12.706311493970915</v>
      </c>
      <c r="AO216" s="399">
        <v>0</v>
      </c>
      <c r="AP216" s="399">
        <v>0</v>
      </c>
      <c r="AQ216" s="399">
        <v>0</v>
      </c>
      <c r="AR216" s="399">
        <v>0</v>
      </c>
      <c r="AS216" s="399">
        <v>0</v>
      </c>
      <c r="AT216" s="399">
        <v>0</v>
      </c>
      <c r="AU216" s="399">
        <v>0</v>
      </c>
      <c r="AV216" s="399">
        <v>0</v>
      </c>
      <c r="AW216" s="399">
        <v>0</v>
      </c>
      <c r="AX216" s="399">
        <v>0</v>
      </c>
      <c r="AY216" s="399">
        <v>0</v>
      </c>
      <c r="AZ216" s="399">
        <v>0</v>
      </c>
      <c r="BA216" s="399"/>
      <c r="BB216" s="399">
        <v>0</v>
      </c>
      <c r="BC216" s="399">
        <v>0</v>
      </c>
      <c r="BD216" s="399">
        <v>0</v>
      </c>
      <c r="BE216" s="399">
        <v>0</v>
      </c>
      <c r="BF216" s="399">
        <v>0</v>
      </c>
      <c r="BG216" s="399">
        <v>249.40605231972657</v>
      </c>
      <c r="BH216" s="399">
        <v>0</v>
      </c>
      <c r="BI216" s="399">
        <v>30.29</v>
      </c>
      <c r="BJ216" s="399">
        <v>138.31</v>
      </c>
      <c r="BK216" s="399">
        <v>506.49</v>
      </c>
      <c r="BL216" s="399">
        <v>3</v>
      </c>
      <c r="BM216" s="399"/>
      <c r="BN216" s="399"/>
      <c r="BO216" s="399"/>
      <c r="BP216" s="399"/>
      <c r="BQ216" s="399"/>
      <c r="BR216" s="399"/>
      <c r="BS216" s="399"/>
      <c r="BT216" s="399">
        <v>2851.6776</v>
      </c>
      <c r="BU216" s="399"/>
      <c r="BV216" s="399">
        <v>2380.3957409339409</v>
      </c>
      <c r="BW216" s="399"/>
      <c r="BX216" s="399"/>
      <c r="BY216" s="399"/>
      <c r="BZ216" s="399"/>
      <c r="CA216" s="399"/>
      <c r="CB216" s="399"/>
      <c r="CC216" s="399"/>
      <c r="CD216" s="399"/>
      <c r="CE216" s="399"/>
      <c r="CF216" s="399"/>
      <c r="CG216" s="399"/>
      <c r="CH216" s="399"/>
      <c r="CI216" s="399">
        <v>1535.4672</v>
      </c>
      <c r="CJ216" s="399">
        <v>-538.68600000000015</v>
      </c>
      <c r="CK216" s="399"/>
      <c r="CL216" s="399"/>
      <c r="CM216" s="399"/>
      <c r="CN216" s="399"/>
      <c r="CO216" s="399">
        <v>-1056.6288</v>
      </c>
      <c r="CP216" s="399">
        <v>-482.26080000000019</v>
      </c>
      <c r="CQ216" s="399">
        <v>30</v>
      </c>
      <c r="CR216" s="399">
        <v>-514.90302354100641</v>
      </c>
      <c r="CS216" s="399">
        <v>0</v>
      </c>
      <c r="CT216" s="399">
        <v>0</v>
      </c>
      <c r="CU216" s="399">
        <v>0</v>
      </c>
      <c r="CV216" s="399">
        <v>0</v>
      </c>
      <c r="CW216" s="399">
        <v>0</v>
      </c>
      <c r="CX216" s="399">
        <v>0</v>
      </c>
      <c r="CY216" s="399">
        <v>0</v>
      </c>
      <c r="CZ216" s="399">
        <v>24.932331203327635</v>
      </c>
      <c r="DA216" s="399">
        <v>0</v>
      </c>
      <c r="DB216" s="399">
        <v>0</v>
      </c>
      <c r="DC216" s="399">
        <v>-482.31116498354754</v>
      </c>
      <c r="DD216" s="399">
        <v>0</v>
      </c>
      <c r="DE216" s="399">
        <v>0</v>
      </c>
      <c r="DF216" s="399">
        <v>0</v>
      </c>
      <c r="DG216" s="399">
        <v>-56.44857142715739</v>
      </c>
      <c r="DH216" s="399">
        <v>0</v>
      </c>
      <c r="DI216" s="399">
        <v>0</v>
      </c>
      <c r="DJ216" s="399"/>
      <c r="DK216" s="399">
        <v>0</v>
      </c>
      <c r="DL216" s="399">
        <v>0</v>
      </c>
      <c r="DM216" s="399">
        <v>0</v>
      </c>
      <c r="DN216" s="399">
        <v>0</v>
      </c>
      <c r="DO216" s="399">
        <v>0</v>
      </c>
      <c r="DP216" s="399">
        <v>-1.0756183336285954</v>
      </c>
      <c r="DQ216" s="399">
        <v>0</v>
      </c>
      <c r="DR216" s="399">
        <v>0</v>
      </c>
      <c r="DS216" s="399"/>
      <c r="DT216" s="399"/>
      <c r="DU216" s="399"/>
      <c r="DV216" s="399">
        <v>2806.4572442494014</v>
      </c>
      <c r="DW216" s="399">
        <v>0</v>
      </c>
      <c r="DX216" s="399">
        <v>0</v>
      </c>
      <c r="DY216" s="399">
        <v>-1056.6287999999995</v>
      </c>
      <c r="DZ216" s="399">
        <v>-482.26080000000024</v>
      </c>
      <c r="EA216" s="399">
        <v>0</v>
      </c>
      <c r="EB216" s="399">
        <v>0</v>
      </c>
      <c r="EC216" s="399">
        <v>-1024.0765795097395</v>
      </c>
      <c r="ED216" s="399">
        <v>0</v>
      </c>
      <c r="EE216" s="399">
        <v>0</v>
      </c>
      <c r="EF216" s="399">
        <v>0</v>
      </c>
      <c r="EG216" s="399">
        <v>0</v>
      </c>
      <c r="EH216" s="399">
        <v>0</v>
      </c>
      <c r="EI216" s="399">
        <v>0</v>
      </c>
      <c r="EJ216" s="399">
        <v>0</v>
      </c>
      <c r="EK216" s="399">
        <v>0</v>
      </c>
      <c r="EL216" s="399">
        <v>0</v>
      </c>
      <c r="EM216" s="399">
        <v>0</v>
      </c>
      <c r="EN216" s="399">
        <v>0</v>
      </c>
      <c r="EO216" s="399">
        <v>0</v>
      </c>
      <c r="EP216" s="399">
        <v>0</v>
      </c>
      <c r="EQ216" s="399">
        <v>0</v>
      </c>
      <c r="ER216" s="399">
        <v>0</v>
      </c>
      <c r="ES216" s="399">
        <v>0</v>
      </c>
      <c r="ET216" s="399">
        <v>0</v>
      </c>
      <c r="EU216" s="399">
        <v>0</v>
      </c>
      <c r="EV216" s="399">
        <v>202</v>
      </c>
      <c r="EW216" s="399">
        <v>0</v>
      </c>
      <c r="EX216" s="399">
        <v>0</v>
      </c>
      <c r="EY216" s="399">
        <v>0</v>
      </c>
      <c r="EZ216" s="399"/>
      <c r="FA216" s="399">
        <v>0</v>
      </c>
      <c r="FB216" s="399">
        <v>-17.698635468909799</v>
      </c>
      <c r="FC216" s="399"/>
      <c r="FD216" s="399">
        <v>-17.698635468909799</v>
      </c>
      <c r="FE216" s="399"/>
      <c r="FF216" s="399">
        <v>0</v>
      </c>
      <c r="FG216" s="399">
        <v>0</v>
      </c>
      <c r="FH216" s="399">
        <v>0</v>
      </c>
      <c r="FI216" s="399">
        <v>0</v>
      </c>
    </row>
    <row r="217" spans="1:165">
      <c r="A217" s="399">
        <v>212</v>
      </c>
      <c r="B217" s="399" t="s">
        <v>2403</v>
      </c>
      <c r="C217" s="399" t="s">
        <v>2402</v>
      </c>
      <c r="D217" s="399" t="s">
        <v>1823</v>
      </c>
      <c r="E217" s="399" t="s">
        <v>889</v>
      </c>
      <c r="F217" s="399" t="s">
        <v>2405</v>
      </c>
      <c r="G217" s="399" t="s">
        <v>1239</v>
      </c>
      <c r="H217" s="399" t="s">
        <v>1239</v>
      </c>
      <c r="I217" s="399" t="s">
        <v>1239</v>
      </c>
      <c r="J217" s="399" t="s">
        <v>2400</v>
      </c>
      <c r="K217" s="788">
        <v>44713</v>
      </c>
      <c r="L217" s="399">
        <v>0</v>
      </c>
      <c r="M217" s="399">
        <v>0</v>
      </c>
      <c r="N217" s="399">
        <v>0.06</v>
      </c>
      <c r="O217" s="399">
        <v>0.06</v>
      </c>
      <c r="P217" s="399">
        <v>0.06</v>
      </c>
      <c r="Q217" s="399">
        <v>0.06</v>
      </c>
      <c r="R217" s="399"/>
      <c r="S217" s="399">
        <v>510.09</v>
      </c>
      <c r="T217" s="399">
        <v>286.42</v>
      </c>
      <c r="U217" s="399"/>
      <c r="V217" s="399">
        <v>47.790599999999998</v>
      </c>
      <c r="W217" s="399">
        <v>47.790599999999998</v>
      </c>
      <c r="X217" s="399">
        <v>35.380200000000002</v>
      </c>
      <c r="Y217" s="399">
        <v>0</v>
      </c>
      <c r="Z217" s="399">
        <v>0</v>
      </c>
      <c r="AA217" s="399">
        <v>0</v>
      </c>
      <c r="AB217" s="399">
        <v>0</v>
      </c>
      <c r="AC217" s="399">
        <v>0</v>
      </c>
      <c r="AD217" s="399">
        <v>5.8591289973096901</v>
      </c>
      <c r="AE217" s="399">
        <v>22.632719711688718</v>
      </c>
      <c r="AF217" s="399">
        <v>17.185400714630759</v>
      </c>
      <c r="AG217" s="399">
        <v>0</v>
      </c>
      <c r="AH217" s="399">
        <v>0</v>
      </c>
      <c r="AI217" s="399">
        <v>0</v>
      </c>
      <c r="AJ217" s="399">
        <v>0</v>
      </c>
      <c r="AK217" s="399">
        <v>0</v>
      </c>
      <c r="AL217" s="399">
        <v>0</v>
      </c>
      <c r="AM217" s="399"/>
      <c r="AN217" s="399">
        <v>0.10247025398363639</v>
      </c>
      <c r="AO217" s="399">
        <v>0</v>
      </c>
      <c r="AP217" s="399">
        <v>0</v>
      </c>
      <c r="AQ217" s="399">
        <v>0</v>
      </c>
      <c r="AR217" s="399">
        <v>0</v>
      </c>
      <c r="AS217" s="399">
        <v>0</v>
      </c>
      <c r="AT217" s="399">
        <v>0</v>
      </c>
      <c r="AU217" s="399">
        <v>0</v>
      </c>
      <c r="AV217" s="399">
        <v>0</v>
      </c>
      <c r="AW217" s="399">
        <v>0</v>
      </c>
      <c r="AX217" s="399">
        <v>0</v>
      </c>
      <c r="AY217" s="399">
        <v>0</v>
      </c>
      <c r="AZ217" s="399">
        <v>0</v>
      </c>
      <c r="BA217" s="399"/>
      <c r="BB217" s="399">
        <v>0</v>
      </c>
      <c r="BC217" s="399">
        <v>0</v>
      </c>
      <c r="BD217" s="399">
        <v>0</v>
      </c>
      <c r="BE217" s="399">
        <v>0</v>
      </c>
      <c r="BF217" s="399">
        <v>0</v>
      </c>
      <c r="BG217" s="399">
        <v>2.0113391316106979</v>
      </c>
      <c r="BH217" s="399">
        <v>0</v>
      </c>
      <c r="BI217" s="399">
        <v>0.08</v>
      </c>
      <c r="BJ217" s="399">
        <v>0.38</v>
      </c>
      <c r="BK217" s="399">
        <v>14.18</v>
      </c>
      <c r="BL217" s="399">
        <v>0</v>
      </c>
      <c r="BM217" s="399"/>
      <c r="BN217" s="399"/>
      <c r="BO217" s="399"/>
      <c r="BP217" s="399"/>
      <c r="BQ217" s="399"/>
      <c r="BR217" s="399"/>
      <c r="BS217" s="399"/>
      <c r="BT217" s="399">
        <v>22.997399999999999</v>
      </c>
      <c r="BU217" s="399"/>
      <c r="BV217" s="399">
        <v>19.196739846241456</v>
      </c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399"/>
      <c r="CI217" s="399">
        <v>12.3828</v>
      </c>
      <c r="CJ217" s="399">
        <v>-4.3740000000000023</v>
      </c>
      <c r="CK217" s="399"/>
      <c r="CL217" s="399"/>
      <c r="CM217" s="399"/>
      <c r="CN217" s="399"/>
      <c r="CO217" s="399">
        <v>-8.5211999999999986</v>
      </c>
      <c r="CP217" s="399">
        <v>-3.8892000000000011</v>
      </c>
      <c r="CQ217" s="399">
        <v>30</v>
      </c>
      <c r="CR217" s="399">
        <v>-4.1524437382339165</v>
      </c>
      <c r="CS217" s="399">
        <v>0</v>
      </c>
      <c r="CT217" s="399">
        <v>0</v>
      </c>
      <c r="CU217" s="399">
        <v>0</v>
      </c>
      <c r="CV217" s="399">
        <v>0</v>
      </c>
      <c r="CW217" s="399">
        <v>0</v>
      </c>
      <c r="CX217" s="399">
        <v>0</v>
      </c>
      <c r="CY217" s="399">
        <v>0</v>
      </c>
      <c r="CZ217" s="399">
        <v>0.20106718712361005</v>
      </c>
      <c r="DA217" s="399">
        <v>0</v>
      </c>
      <c r="DB217" s="399">
        <v>0</v>
      </c>
      <c r="DC217" s="399">
        <v>-3.8896061692221586</v>
      </c>
      <c r="DD217" s="399">
        <v>0</v>
      </c>
      <c r="DE217" s="399">
        <v>0</v>
      </c>
      <c r="DF217" s="399">
        <v>0</v>
      </c>
      <c r="DG217" s="399">
        <v>-0.45523041473514003</v>
      </c>
      <c r="DH217" s="399">
        <v>0</v>
      </c>
      <c r="DI217" s="399">
        <v>0</v>
      </c>
      <c r="DJ217" s="399"/>
      <c r="DK217" s="399">
        <v>0</v>
      </c>
      <c r="DL217" s="399">
        <v>0</v>
      </c>
      <c r="DM217" s="399">
        <v>0</v>
      </c>
      <c r="DN217" s="399">
        <v>0</v>
      </c>
      <c r="DO217" s="399">
        <v>0</v>
      </c>
      <c r="DP217" s="399">
        <v>-8.6743414002305869E-3</v>
      </c>
      <c r="DQ217" s="399">
        <v>0</v>
      </c>
      <c r="DR217" s="399">
        <v>0</v>
      </c>
      <c r="DS217" s="399"/>
      <c r="DT217" s="399"/>
      <c r="DU217" s="399"/>
      <c r="DV217" s="399">
        <v>22.632719711688718</v>
      </c>
      <c r="DW217" s="399">
        <v>0</v>
      </c>
      <c r="DX217" s="399">
        <v>0</v>
      </c>
      <c r="DY217" s="399">
        <v>-8.5211999999999968</v>
      </c>
      <c r="DZ217" s="399">
        <v>-3.8892000000000024</v>
      </c>
      <c r="EA217" s="399">
        <v>0</v>
      </c>
      <c r="EB217" s="399">
        <v>0</v>
      </c>
      <c r="EC217" s="399">
        <v>-8.2586820928204787</v>
      </c>
      <c r="ED217" s="399">
        <v>0</v>
      </c>
      <c r="EE217" s="399">
        <v>0</v>
      </c>
      <c r="EF217" s="399">
        <v>0</v>
      </c>
      <c r="EG217" s="399">
        <v>0</v>
      </c>
      <c r="EH217" s="399">
        <v>0</v>
      </c>
      <c r="EI217" s="399">
        <v>0</v>
      </c>
      <c r="EJ217" s="399">
        <v>0</v>
      </c>
      <c r="EK217" s="399">
        <v>0</v>
      </c>
      <c r="EL217" s="399">
        <v>0</v>
      </c>
      <c r="EM217" s="399">
        <v>0</v>
      </c>
      <c r="EN217" s="399">
        <v>0</v>
      </c>
      <c r="EO217" s="399">
        <v>0</v>
      </c>
      <c r="EP217" s="399">
        <v>0</v>
      </c>
      <c r="EQ217" s="399">
        <v>0</v>
      </c>
      <c r="ER217" s="399">
        <v>0</v>
      </c>
      <c r="ES217" s="399">
        <v>0</v>
      </c>
      <c r="ET217" s="399">
        <v>0</v>
      </c>
      <c r="EU217" s="399">
        <v>0</v>
      </c>
      <c r="EV217" s="399">
        <v>202</v>
      </c>
      <c r="EW217" s="399">
        <v>0</v>
      </c>
      <c r="EX217" s="399">
        <v>0</v>
      </c>
      <c r="EY217" s="399">
        <v>0</v>
      </c>
      <c r="EZ217" s="399"/>
      <c r="FA217" s="399">
        <v>0</v>
      </c>
      <c r="FB217" s="399">
        <v>-17.698635468909799</v>
      </c>
      <c r="FC217" s="399"/>
      <c r="FD217" s="399">
        <v>-17.698635468909799</v>
      </c>
      <c r="FE217" s="399"/>
      <c r="FF217" s="399">
        <v>0</v>
      </c>
      <c r="FG217" s="399">
        <v>0</v>
      </c>
      <c r="FH217" s="399">
        <v>0</v>
      </c>
      <c r="FI217" s="399">
        <v>0</v>
      </c>
    </row>
    <row r="218" spans="1:165">
      <c r="A218" s="399">
        <v>213</v>
      </c>
      <c r="B218" s="399" t="s">
        <v>956</v>
      </c>
      <c r="C218" s="399" t="s">
        <v>2402</v>
      </c>
      <c r="D218" s="399" t="s">
        <v>1823</v>
      </c>
      <c r="E218" s="399" t="s">
        <v>889</v>
      </c>
      <c r="F218" s="399" t="s">
        <v>2406</v>
      </c>
      <c r="G218" s="399" t="s">
        <v>1239</v>
      </c>
      <c r="H218" s="399" t="s">
        <v>1239</v>
      </c>
      <c r="I218" s="399" t="s">
        <v>1239</v>
      </c>
      <c r="J218" s="399" t="s">
        <v>2400</v>
      </c>
      <c r="K218" s="788">
        <v>44713</v>
      </c>
      <c r="L218" s="399">
        <v>0</v>
      </c>
      <c r="M218" s="399">
        <v>0</v>
      </c>
      <c r="N218" s="399">
        <v>12.893000000000001</v>
      </c>
      <c r="O218" s="399">
        <v>12.893000000000001</v>
      </c>
      <c r="P218" s="399">
        <v>12.893000000000001</v>
      </c>
      <c r="Q218" s="399">
        <v>12.893000000000001</v>
      </c>
      <c r="R218" s="399"/>
      <c r="S218" s="399">
        <v>510.09</v>
      </c>
      <c r="T218" s="399">
        <v>286.42</v>
      </c>
      <c r="U218" s="399"/>
      <c r="V218" s="399">
        <v>10269.40343</v>
      </c>
      <c r="W218" s="399">
        <v>10269.40343</v>
      </c>
      <c r="X218" s="399">
        <v>7602.615310000001</v>
      </c>
      <c r="Y218" s="399">
        <v>0</v>
      </c>
      <c r="Z218" s="399">
        <v>0</v>
      </c>
      <c r="AA218" s="399">
        <v>0</v>
      </c>
      <c r="AB218" s="399">
        <v>0</v>
      </c>
      <c r="AC218" s="399">
        <v>0</v>
      </c>
      <c r="AD218" s="399">
        <v>1259.0291693718973</v>
      </c>
      <c r="AE218" s="399">
        <v>4863.3942540467115</v>
      </c>
      <c r="AF218" s="399">
        <v>3692.8561902289061</v>
      </c>
      <c r="AG218" s="399">
        <v>0</v>
      </c>
      <c r="AH218" s="399">
        <v>0</v>
      </c>
      <c r="AI218" s="399">
        <v>0</v>
      </c>
      <c r="AJ218" s="399">
        <v>0</v>
      </c>
      <c r="AK218" s="399">
        <v>0</v>
      </c>
      <c r="AL218" s="399">
        <v>0</v>
      </c>
      <c r="AM218" s="399"/>
      <c r="AN218" s="399">
        <v>22.019149743517069</v>
      </c>
      <c r="AO218" s="399">
        <v>0</v>
      </c>
      <c r="AP218" s="399">
        <v>0</v>
      </c>
      <c r="AQ218" s="399">
        <v>0</v>
      </c>
      <c r="AR218" s="399">
        <v>0</v>
      </c>
      <c r="AS218" s="399">
        <v>0</v>
      </c>
      <c r="AT218" s="399">
        <v>0</v>
      </c>
      <c r="AU218" s="399">
        <v>0</v>
      </c>
      <c r="AV218" s="399">
        <v>0</v>
      </c>
      <c r="AW218" s="399">
        <v>0</v>
      </c>
      <c r="AX218" s="399">
        <v>0</v>
      </c>
      <c r="AY218" s="399">
        <v>0</v>
      </c>
      <c r="AZ218" s="399">
        <v>0</v>
      </c>
      <c r="BA218" s="399"/>
      <c r="BB218" s="399">
        <v>0</v>
      </c>
      <c r="BC218" s="399">
        <v>0</v>
      </c>
      <c r="BD218" s="399">
        <v>0</v>
      </c>
      <c r="BE218" s="399">
        <v>0</v>
      </c>
      <c r="BF218" s="399">
        <v>0</v>
      </c>
      <c r="BG218" s="399">
        <v>432.20325706427889</v>
      </c>
      <c r="BH218" s="399">
        <v>0</v>
      </c>
      <c r="BI218" s="399">
        <v>51.24</v>
      </c>
      <c r="BJ218" s="399">
        <v>241.37</v>
      </c>
      <c r="BK218" s="399">
        <v>1177.75</v>
      </c>
      <c r="BL218" s="399">
        <v>119</v>
      </c>
      <c r="BM218" s="399"/>
      <c r="BN218" s="399"/>
      <c r="BO218" s="399"/>
      <c r="BP218" s="399"/>
      <c r="BQ218" s="399"/>
      <c r="BR218" s="399"/>
      <c r="BS218" s="399"/>
      <c r="BT218" s="399">
        <v>3041.0719099999997</v>
      </c>
      <c r="BU218" s="399"/>
      <c r="BV218" s="399">
        <v>4125.0594472931853</v>
      </c>
      <c r="BW218" s="399"/>
      <c r="BX218" s="399"/>
      <c r="BY218" s="399"/>
      <c r="BZ218" s="399"/>
      <c r="CA218" s="399"/>
      <c r="CB218" s="399"/>
      <c r="CC218" s="399"/>
      <c r="CD218" s="399"/>
      <c r="CE218" s="399"/>
      <c r="CF218" s="399"/>
      <c r="CG218" s="399"/>
      <c r="CH218" s="399"/>
      <c r="CI218" s="399">
        <v>4560.482</v>
      </c>
      <c r="CJ218" s="399">
        <v>-1601.2416300000004</v>
      </c>
      <c r="CK218" s="399"/>
      <c r="CL218" s="399"/>
      <c r="CM218" s="399"/>
      <c r="CN218" s="399"/>
      <c r="CO218" s="399">
        <v>-1831.0638599999997</v>
      </c>
      <c r="CP218" s="399">
        <v>-835.7242600000003</v>
      </c>
      <c r="CQ218" s="399">
        <v>30</v>
      </c>
      <c r="CR218" s="399">
        <v>-892.2909519508321</v>
      </c>
      <c r="CS218" s="399">
        <v>0</v>
      </c>
      <c r="CT218" s="399">
        <v>0</v>
      </c>
      <c r="CU218" s="399">
        <v>0</v>
      </c>
      <c r="CV218" s="399">
        <v>0</v>
      </c>
      <c r="CW218" s="399">
        <v>0</v>
      </c>
      <c r="CX218" s="399">
        <v>0</v>
      </c>
      <c r="CY218" s="399">
        <v>0</v>
      </c>
      <c r="CZ218" s="399">
        <v>43.205987393078431</v>
      </c>
      <c r="DA218" s="399">
        <v>0</v>
      </c>
      <c r="DB218" s="399">
        <v>0</v>
      </c>
      <c r="DC218" s="399">
        <v>-835.81153899635456</v>
      </c>
      <c r="DD218" s="399">
        <v>0</v>
      </c>
      <c r="DE218" s="399">
        <v>0</v>
      </c>
      <c r="DF218" s="399">
        <v>0</v>
      </c>
      <c r="DG218" s="399">
        <v>-97.821428953002737</v>
      </c>
      <c r="DH218" s="399">
        <v>0</v>
      </c>
      <c r="DI218" s="399">
        <v>0</v>
      </c>
      <c r="DJ218" s="399"/>
      <c r="DK218" s="399">
        <v>0</v>
      </c>
      <c r="DL218" s="399">
        <v>0</v>
      </c>
      <c r="DM218" s="399">
        <v>0</v>
      </c>
      <c r="DN218" s="399">
        <v>0</v>
      </c>
      <c r="DO218" s="399">
        <v>0</v>
      </c>
      <c r="DP218" s="399">
        <v>-1.863971394552884</v>
      </c>
      <c r="DQ218" s="399">
        <v>0</v>
      </c>
      <c r="DR218" s="399">
        <v>0</v>
      </c>
      <c r="DS218" s="399"/>
      <c r="DT218" s="399"/>
      <c r="DU218" s="399"/>
      <c r="DV218" s="399">
        <v>4863.3942540467115</v>
      </c>
      <c r="DW218" s="399">
        <v>0</v>
      </c>
      <c r="DX218" s="399">
        <v>0</v>
      </c>
      <c r="DY218" s="399">
        <v>-1831.0638599999993</v>
      </c>
      <c r="DZ218" s="399">
        <v>-835.72426000000041</v>
      </c>
      <c r="EA218" s="399">
        <v>0</v>
      </c>
      <c r="EB218" s="399">
        <v>0</v>
      </c>
      <c r="EC218" s="399">
        <v>-1774.6531370455741</v>
      </c>
      <c r="ED218" s="399">
        <v>0</v>
      </c>
      <c r="EE218" s="399">
        <v>0</v>
      </c>
      <c r="EF218" s="399">
        <v>0</v>
      </c>
      <c r="EG218" s="399">
        <v>0</v>
      </c>
      <c r="EH218" s="399">
        <v>0</v>
      </c>
      <c r="EI218" s="399">
        <v>0</v>
      </c>
      <c r="EJ218" s="399">
        <v>0</v>
      </c>
      <c r="EK218" s="399">
        <v>0</v>
      </c>
      <c r="EL218" s="399">
        <v>0</v>
      </c>
      <c r="EM218" s="399">
        <v>0</v>
      </c>
      <c r="EN218" s="399">
        <v>0</v>
      </c>
      <c r="EO218" s="399">
        <v>0</v>
      </c>
      <c r="EP218" s="399">
        <v>0</v>
      </c>
      <c r="EQ218" s="399">
        <v>0</v>
      </c>
      <c r="ER218" s="399">
        <v>0</v>
      </c>
      <c r="ES218" s="399">
        <v>0</v>
      </c>
      <c r="ET218" s="399">
        <v>0</v>
      </c>
      <c r="EU218" s="399">
        <v>0</v>
      </c>
      <c r="EV218" s="399">
        <v>202</v>
      </c>
      <c r="EW218" s="399">
        <v>0</v>
      </c>
      <c r="EX218" s="399">
        <v>0</v>
      </c>
      <c r="EY218" s="399">
        <v>0</v>
      </c>
      <c r="EZ218" s="399"/>
      <c r="FA218" s="399">
        <v>0</v>
      </c>
      <c r="FB218" s="399">
        <v>-17.698635468909799</v>
      </c>
      <c r="FC218" s="399"/>
      <c r="FD218" s="399">
        <v>-17.698635468909799</v>
      </c>
      <c r="FE218" s="399"/>
      <c r="FF218" s="399">
        <v>0</v>
      </c>
      <c r="FG218" s="399">
        <v>0</v>
      </c>
      <c r="FH218" s="399">
        <v>0</v>
      </c>
      <c r="FI218" s="399">
        <v>0</v>
      </c>
    </row>
    <row r="219" spans="1:165">
      <c r="A219" s="399">
        <v>214</v>
      </c>
      <c r="B219" s="399" t="s">
        <v>2403</v>
      </c>
      <c r="C219" s="399" t="s">
        <v>2402</v>
      </c>
      <c r="D219" s="399" t="s">
        <v>1823</v>
      </c>
      <c r="E219" s="399" t="s">
        <v>889</v>
      </c>
      <c r="F219" s="399" t="s">
        <v>2406</v>
      </c>
      <c r="G219" s="399" t="s">
        <v>1239</v>
      </c>
      <c r="H219" s="399" t="s">
        <v>1239</v>
      </c>
      <c r="I219" s="399" t="s">
        <v>1239</v>
      </c>
      <c r="J219" s="399" t="s">
        <v>2400</v>
      </c>
      <c r="K219" s="788">
        <v>44713</v>
      </c>
      <c r="L219" s="399">
        <v>0</v>
      </c>
      <c r="M219" s="399">
        <v>0</v>
      </c>
      <c r="N219" s="399">
        <v>0.14000000000000001</v>
      </c>
      <c r="O219" s="399">
        <v>0.14000000000000001</v>
      </c>
      <c r="P219" s="399">
        <v>0.14000000000000001</v>
      </c>
      <c r="Q219" s="399">
        <v>0.14000000000000001</v>
      </c>
      <c r="R219" s="399"/>
      <c r="S219" s="399">
        <v>510.09</v>
      </c>
      <c r="T219" s="399">
        <v>286.42</v>
      </c>
      <c r="U219" s="399"/>
      <c r="V219" s="399">
        <v>111.51140000000001</v>
      </c>
      <c r="W219" s="399">
        <v>111.51140000000001</v>
      </c>
      <c r="X219" s="399">
        <v>82.553799999999995</v>
      </c>
      <c r="Y219" s="399">
        <v>0</v>
      </c>
      <c r="Z219" s="399">
        <v>0</v>
      </c>
      <c r="AA219" s="399">
        <v>0</v>
      </c>
      <c r="AB219" s="399">
        <v>0</v>
      </c>
      <c r="AC219" s="399">
        <v>0</v>
      </c>
      <c r="AD219" s="399">
        <v>13.671300993722612</v>
      </c>
      <c r="AE219" s="399">
        <v>52.809679327273685</v>
      </c>
      <c r="AF219" s="399">
        <v>40.099268334138436</v>
      </c>
      <c r="AG219" s="399">
        <v>0</v>
      </c>
      <c r="AH219" s="399">
        <v>0</v>
      </c>
      <c r="AI219" s="399">
        <v>0</v>
      </c>
      <c r="AJ219" s="399">
        <v>0</v>
      </c>
      <c r="AK219" s="399">
        <v>0</v>
      </c>
      <c r="AL219" s="399">
        <v>0</v>
      </c>
      <c r="AM219" s="399"/>
      <c r="AN219" s="399">
        <v>0.23909725929515163</v>
      </c>
      <c r="AO219" s="399">
        <v>0</v>
      </c>
      <c r="AP219" s="399">
        <v>0</v>
      </c>
      <c r="AQ219" s="399">
        <v>0</v>
      </c>
      <c r="AR219" s="399">
        <v>0</v>
      </c>
      <c r="AS219" s="399">
        <v>0</v>
      </c>
      <c r="AT219" s="399">
        <v>0</v>
      </c>
      <c r="AU219" s="399">
        <v>0</v>
      </c>
      <c r="AV219" s="399">
        <v>0</v>
      </c>
      <c r="AW219" s="399">
        <v>0</v>
      </c>
      <c r="AX219" s="399">
        <v>0</v>
      </c>
      <c r="AY219" s="399">
        <v>0</v>
      </c>
      <c r="AZ219" s="399">
        <v>0</v>
      </c>
      <c r="BA219" s="399"/>
      <c r="BB219" s="399">
        <v>0</v>
      </c>
      <c r="BC219" s="399">
        <v>0</v>
      </c>
      <c r="BD219" s="399">
        <v>0</v>
      </c>
      <c r="BE219" s="399">
        <v>0</v>
      </c>
      <c r="BF219" s="399">
        <v>0</v>
      </c>
      <c r="BG219" s="399">
        <v>4.6931246404249629</v>
      </c>
      <c r="BH219" s="399">
        <v>0</v>
      </c>
      <c r="BI219" s="399">
        <v>0.34</v>
      </c>
      <c r="BJ219" s="399">
        <v>1.54</v>
      </c>
      <c r="BK219" s="399">
        <v>33.119999999999997</v>
      </c>
      <c r="BL219" s="399">
        <v>0</v>
      </c>
      <c r="BM219" s="399"/>
      <c r="BN219" s="399"/>
      <c r="BO219" s="399"/>
      <c r="BP219" s="399"/>
      <c r="BQ219" s="399"/>
      <c r="BR219" s="399"/>
      <c r="BS219" s="399"/>
      <c r="BT219" s="399">
        <v>33.021799999999999</v>
      </c>
      <c r="BU219" s="399"/>
      <c r="BV219" s="399">
        <v>44.792392974563398</v>
      </c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399">
        <v>49.532000000000011</v>
      </c>
      <c r="CJ219" s="399">
        <v>-17.4054</v>
      </c>
      <c r="CK219" s="399"/>
      <c r="CL219" s="399"/>
      <c r="CM219" s="399"/>
      <c r="CN219" s="399"/>
      <c r="CO219" s="399">
        <v>-19.8828</v>
      </c>
      <c r="CP219" s="399">
        <v>-9.0748000000000033</v>
      </c>
      <c r="CQ219" s="399">
        <v>30</v>
      </c>
      <c r="CR219" s="399">
        <v>-9.6890353892124708</v>
      </c>
      <c r="CS219" s="399">
        <v>0</v>
      </c>
      <c r="CT219" s="399">
        <v>0</v>
      </c>
      <c r="CU219" s="399">
        <v>0</v>
      </c>
      <c r="CV219" s="399">
        <v>0</v>
      </c>
      <c r="CW219" s="399">
        <v>0</v>
      </c>
      <c r="CX219" s="399">
        <v>0</v>
      </c>
      <c r="CY219" s="399">
        <v>0</v>
      </c>
      <c r="CZ219" s="399">
        <v>0.46915676995508804</v>
      </c>
      <c r="DA219" s="399">
        <v>0</v>
      </c>
      <c r="DB219" s="399">
        <v>0</v>
      </c>
      <c r="DC219" s="399">
        <v>-9.0757477281850321</v>
      </c>
      <c r="DD219" s="399">
        <v>0</v>
      </c>
      <c r="DE219" s="399">
        <v>0</v>
      </c>
      <c r="DF219" s="399">
        <v>0</v>
      </c>
      <c r="DG219" s="399">
        <v>-1.0622043010486606</v>
      </c>
      <c r="DH219" s="399">
        <v>0</v>
      </c>
      <c r="DI219" s="399">
        <v>0</v>
      </c>
      <c r="DJ219" s="399"/>
      <c r="DK219" s="399">
        <v>0</v>
      </c>
      <c r="DL219" s="399">
        <v>0</v>
      </c>
      <c r="DM219" s="399">
        <v>0</v>
      </c>
      <c r="DN219" s="399">
        <v>0</v>
      </c>
      <c r="DO219" s="399">
        <v>0</v>
      </c>
      <c r="DP219" s="399">
        <v>-2.0240129933871392E-2</v>
      </c>
      <c r="DQ219" s="399">
        <v>0</v>
      </c>
      <c r="DR219" s="399">
        <v>0</v>
      </c>
      <c r="DS219" s="399"/>
      <c r="DT219" s="399"/>
      <c r="DU219" s="399"/>
      <c r="DV219" s="399">
        <v>52.809679327273685</v>
      </c>
      <c r="DW219" s="399">
        <v>0</v>
      </c>
      <c r="DX219" s="399">
        <v>0</v>
      </c>
      <c r="DY219" s="399">
        <v>-19.882799999999996</v>
      </c>
      <c r="DZ219" s="399">
        <v>-9.0748000000000033</v>
      </c>
      <c r="EA219" s="399">
        <v>0</v>
      </c>
      <c r="EB219" s="399">
        <v>0</v>
      </c>
      <c r="EC219" s="399">
        <v>-19.270258216581119</v>
      </c>
      <c r="ED219" s="399">
        <v>0</v>
      </c>
      <c r="EE219" s="399">
        <v>0</v>
      </c>
      <c r="EF219" s="399">
        <v>0</v>
      </c>
      <c r="EG219" s="399">
        <v>0</v>
      </c>
      <c r="EH219" s="399">
        <v>0</v>
      </c>
      <c r="EI219" s="399">
        <v>0</v>
      </c>
      <c r="EJ219" s="399">
        <v>0</v>
      </c>
      <c r="EK219" s="399">
        <v>0</v>
      </c>
      <c r="EL219" s="399">
        <v>0</v>
      </c>
      <c r="EM219" s="399">
        <v>0</v>
      </c>
      <c r="EN219" s="399">
        <v>0</v>
      </c>
      <c r="EO219" s="399">
        <v>0</v>
      </c>
      <c r="EP219" s="399">
        <v>0</v>
      </c>
      <c r="EQ219" s="399">
        <v>0</v>
      </c>
      <c r="ER219" s="399">
        <v>0</v>
      </c>
      <c r="ES219" s="399">
        <v>0</v>
      </c>
      <c r="ET219" s="399">
        <v>0</v>
      </c>
      <c r="EU219" s="399">
        <v>0</v>
      </c>
      <c r="EV219" s="399">
        <v>202</v>
      </c>
      <c r="EW219" s="399">
        <v>0</v>
      </c>
      <c r="EX219" s="399">
        <v>0</v>
      </c>
      <c r="EY219" s="399">
        <v>0</v>
      </c>
      <c r="EZ219" s="399"/>
      <c r="FA219" s="399">
        <v>0</v>
      </c>
      <c r="FB219" s="399">
        <v>-17.698635468909799</v>
      </c>
      <c r="FC219" s="399"/>
      <c r="FD219" s="399">
        <v>-17.698635468909799</v>
      </c>
      <c r="FE219" s="399"/>
      <c r="FF219" s="399">
        <v>0</v>
      </c>
      <c r="FG219" s="399">
        <v>0</v>
      </c>
      <c r="FH219" s="399">
        <v>0</v>
      </c>
      <c r="FI219" s="399">
        <v>0</v>
      </c>
    </row>
    <row r="220" spans="1:165">
      <c r="A220" s="399">
        <v>215</v>
      </c>
      <c r="B220" s="399" t="s">
        <v>956</v>
      </c>
      <c r="C220" s="399" t="s">
        <v>2402</v>
      </c>
      <c r="D220" s="399" t="s">
        <v>1823</v>
      </c>
      <c r="E220" s="399" t="s">
        <v>889</v>
      </c>
      <c r="F220" s="399" t="s">
        <v>2407</v>
      </c>
      <c r="G220" s="399" t="s">
        <v>1239</v>
      </c>
      <c r="H220" s="399" t="s">
        <v>1239</v>
      </c>
      <c r="I220" s="399" t="s">
        <v>1239</v>
      </c>
      <c r="J220" s="399" t="s">
        <v>2400</v>
      </c>
      <c r="K220" s="788">
        <v>44713</v>
      </c>
      <c r="L220" s="399">
        <v>0</v>
      </c>
      <c r="M220" s="399">
        <v>0</v>
      </c>
      <c r="N220" s="399">
        <v>7.9829999999999997</v>
      </c>
      <c r="O220" s="399">
        <v>7.9829999999999997</v>
      </c>
      <c r="P220" s="399">
        <v>7.9829999999999997</v>
      </c>
      <c r="Q220" s="399">
        <v>7.9829999999999997</v>
      </c>
      <c r="R220" s="399"/>
      <c r="S220" s="399">
        <v>510.09</v>
      </c>
      <c r="T220" s="399">
        <v>286.42</v>
      </c>
      <c r="U220" s="399"/>
      <c r="V220" s="399">
        <v>6358.5393299999996</v>
      </c>
      <c r="W220" s="399">
        <v>6358.5393299999996</v>
      </c>
      <c r="X220" s="399">
        <v>4707.3356100000001</v>
      </c>
      <c r="Y220" s="399">
        <v>0</v>
      </c>
      <c r="Z220" s="399">
        <v>0</v>
      </c>
      <c r="AA220" s="399">
        <v>0</v>
      </c>
      <c r="AB220" s="399">
        <v>0</v>
      </c>
      <c r="AC220" s="399">
        <v>0</v>
      </c>
      <c r="AD220" s="399">
        <v>779.55711309205424</v>
      </c>
      <c r="AE220" s="399">
        <v>3011.283357640184</v>
      </c>
      <c r="AF220" s="399">
        <v>2286.5175650816223</v>
      </c>
      <c r="AG220" s="399">
        <v>0</v>
      </c>
      <c r="AH220" s="399">
        <v>0</v>
      </c>
      <c r="AI220" s="399">
        <v>0</v>
      </c>
      <c r="AJ220" s="399">
        <v>0</v>
      </c>
      <c r="AK220" s="399">
        <v>0</v>
      </c>
      <c r="AL220" s="399">
        <v>0</v>
      </c>
      <c r="AM220" s="399"/>
      <c r="AN220" s="399">
        <v>13.633667292522823</v>
      </c>
      <c r="AO220" s="399">
        <v>0</v>
      </c>
      <c r="AP220" s="399">
        <v>0</v>
      </c>
      <c r="AQ220" s="399">
        <v>0</v>
      </c>
      <c r="AR220" s="399">
        <v>0</v>
      </c>
      <c r="AS220" s="399">
        <v>0</v>
      </c>
      <c r="AT220" s="399">
        <v>0</v>
      </c>
      <c r="AU220" s="399">
        <v>0</v>
      </c>
      <c r="AV220" s="399">
        <v>0</v>
      </c>
      <c r="AW220" s="399">
        <v>0</v>
      </c>
      <c r="AX220" s="399">
        <v>0</v>
      </c>
      <c r="AY220" s="399">
        <v>0</v>
      </c>
      <c r="AZ220" s="399">
        <v>0</v>
      </c>
      <c r="BA220" s="399"/>
      <c r="BB220" s="399">
        <v>0</v>
      </c>
      <c r="BC220" s="399">
        <v>0</v>
      </c>
      <c r="BD220" s="399">
        <v>0</v>
      </c>
      <c r="BE220" s="399">
        <v>0</v>
      </c>
      <c r="BF220" s="399">
        <v>0</v>
      </c>
      <c r="BG220" s="399">
        <v>267.60867146080335</v>
      </c>
      <c r="BH220" s="399">
        <v>0</v>
      </c>
      <c r="BI220" s="399">
        <v>32.369999999999997</v>
      </c>
      <c r="BJ220" s="399">
        <v>150.57</v>
      </c>
      <c r="BK220" s="399">
        <v>1188.79</v>
      </c>
      <c r="BL220" s="399">
        <v>107</v>
      </c>
      <c r="BM220" s="399"/>
      <c r="BN220" s="399"/>
      <c r="BO220" s="399"/>
      <c r="BP220" s="399"/>
      <c r="BQ220" s="399"/>
      <c r="BR220" s="399"/>
      <c r="BS220" s="399"/>
      <c r="BT220" s="399">
        <v>470.75751000000002</v>
      </c>
      <c r="BU220" s="399"/>
      <c r="BV220" s="399">
        <v>2554.1262365424254</v>
      </c>
      <c r="BW220" s="399"/>
      <c r="BX220" s="399"/>
      <c r="BY220" s="399"/>
      <c r="BZ220" s="399"/>
      <c r="CA220" s="399"/>
      <c r="CB220" s="399"/>
      <c r="CC220" s="399"/>
      <c r="CD220" s="399"/>
      <c r="CE220" s="399"/>
      <c r="CF220" s="399"/>
      <c r="CG220" s="399"/>
      <c r="CH220" s="399"/>
      <c r="CI220" s="399">
        <v>4234.9859999999999</v>
      </c>
      <c r="CJ220" s="399">
        <v>-1487.7373799999996</v>
      </c>
      <c r="CK220" s="399"/>
      <c r="CL220" s="399"/>
      <c r="CM220" s="399"/>
      <c r="CN220" s="399"/>
      <c r="CO220" s="399">
        <v>-1133.7456599999998</v>
      </c>
      <c r="CP220" s="399">
        <v>-517.45806000000016</v>
      </c>
      <c r="CQ220" s="399">
        <v>30</v>
      </c>
      <c r="CR220" s="399">
        <v>-552.48263937202273</v>
      </c>
      <c r="CS220" s="399">
        <v>0</v>
      </c>
      <c r="CT220" s="399">
        <v>0</v>
      </c>
      <c r="CU220" s="399">
        <v>0</v>
      </c>
      <c r="CV220" s="399">
        <v>0</v>
      </c>
      <c r="CW220" s="399">
        <v>0</v>
      </c>
      <c r="CX220" s="399">
        <v>0</v>
      </c>
      <c r="CY220" s="399">
        <v>0</v>
      </c>
      <c r="CZ220" s="399">
        <v>26.751989246796256</v>
      </c>
      <c r="DA220" s="399">
        <v>0</v>
      </c>
      <c r="DB220" s="399">
        <v>0</v>
      </c>
      <c r="DC220" s="399">
        <v>-517.5121008150079</v>
      </c>
      <c r="DD220" s="399">
        <v>0</v>
      </c>
      <c r="DE220" s="399">
        <v>0</v>
      </c>
      <c r="DF220" s="399">
        <v>0</v>
      </c>
      <c r="DG220" s="399">
        <v>-60.568406680510378</v>
      </c>
      <c r="DH220" s="399">
        <v>0</v>
      </c>
      <c r="DI220" s="399">
        <v>0</v>
      </c>
      <c r="DJ220" s="399"/>
      <c r="DK220" s="399">
        <v>0</v>
      </c>
      <c r="DL220" s="399">
        <v>0</v>
      </c>
      <c r="DM220" s="399">
        <v>0</v>
      </c>
      <c r="DN220" s="399">
        <v>0</v>
      </c>
      <c r="DO220" s="399">
        <v>0</v>
      </c>
      <c r="DP220" s="399">
        <v>-1.1541211233006816</v>
      </c>
      <c r="DQ220" s="399">
        <v>0</v>
      </c>
      <c r="DR220" s="399">
        <v>0</v>
      </c>
      <c r="DS220" s="399"/>
      <c r="DT220" s="399"/>
      <c r="DU220" s="399"/>
      <c r="DV220" s="399">
        <v>3011.283357640184</v>
      </c>
      <c r="DW220" s="399">
        <v>0</v>
      </c>
      <c r="DX220" s="399">
        <v>0</v>
      </c>
      <c r="DY220" s="399">
        <v>-1133.74566</v>
      </c>
      <c r="DZ220" s="399">
        <v>-517.45805999999993</v>
      </c>
      <c r="EA220" s="399">
        <v>0</v>
      </c>
      <c r="EB220" s="399">
        <v>0</v>
      </c>
      <c r="EC220" s="399">
        <v>-1098.8176524497646</v>
      </c>
      <c r="ED220" s="399">
        <v>0</v>
      </c>
      <c r="EE220" s="399">
        <v>0</v>
      </c>
      <c r="EF220" s="399">
        <v>0</v>
      </c>
      <c r="EG220" s="399">
        <v>0</v>
      </c>
      <c r="EH220" s="399">
        <v>0</v>
      </c>
      <c r="EI220" s="399">
        <v>0</v>
      </c>
      <c r="EJ220" s="399">
        <v>0</v>
      </c>
      <c r="EK220" s="399">
        <v>0</v>
      </c>
      <c r="EL220" s="399">
        <v>0</v>
      </c>
      <c r="EM220" s="399">
        <v>0</v>
      </c>
      <c r="EN220" s="399">
        <v>0</v>
      </c>
      <c r="EO220" s="399">
        <v>0</v>
      </c>
      <c r="EP220" s="399">
        <v>0</v>
      </c>
      <c r="EQ220" s="399">
        <v>0</v>
      </c>
      <c r="ER220" s="399">
        <v>0</v>
      </c>
      <c r="ES220" s="399">
        <v>0</v>
      </c>
      <c r="ET220" s="399">
        <v>0</v>
      </c>
      <c r="EU220" s="399">
        <v>0</v>
      </c>
      <c r="EV220" s="399">
        <v>202</v>
      </c>
      <c r="EW220" s="399">
        <v>0</v>
      </c>
      <c r="EX220" s="399">
        <v>0</v>
      </c>
      <c r="EY220" s="399">
        <v>0</v>
      </c>
      <c r="EZ220" s="399"/>
      <c r="FA220" s="399">
        <v>0</v>
      </c>
      <c r="FB220" s="399">
        <v>-17.698635468909799</v>
      </c>
      <c r="FC220" s="399"/>
      <c r="FD220" s="399">
        <v>-17.698635468909799</v>
      </c>
      <c r="FE220" s="399"/>
      <c r="FF220" s="399">
        <v>0</v>
      </c>
      <c r="FG220" s="399">
        <v>0</v>
      </c>
      <c r="FH220" s="399">
        <v>0</v>
      </c>
      <c r="FI220" s="399">
        <v>0</v>
      </c>
    </row>
    <row r="221" spans="1:165">
      <c r="A221" s="399">
        <v>216</v>
      </c>
      <c r="B221" s="399" t="s">
        <v>2403</v>
      </c>
      <c r="C221" s="399" t="s">
        <v>2402</v>
      </c>
      <c r="D221" s="399" t="s">
        <v>1823</v>
      </c>
      <c r="E221" s="399" t="s">
        <v>889</v>
      </c>
      <c r="F221" s="399" t="s">
        <v>2407</v>
      </c>
      <c r="G221" s="399" t="s">
        <v>1239</v>
      </c>
      <c r="H221" s="399" t="s">
        <v>1239</v>
      </c>
      <c r="I221" s="399" t="s">
        <v>1239</v>
      </c>
      <c r="J221" s="399" t="s">
        <v>2400</v>
      </c>
      <c r="K221" s="788">
        <v>44713</v>
      </c>
      <c r="L221" s="399">
        <v>0</v>
      </c>
      <c r="M221" s="399">
        <v>0</v>
      </c>
      <c r="N221" s="399">
        <v>0.24</v>
      </c>
      <c r="O221" s="399">
        <v>0.24</v>
      </c>
      <c r="P221" s="399">
        <v>0.24</v>
      </c>
      <c r="Q221" s="399">
        <v>0.24</v>
      </c>
      <c r="R221" s="399"/>
      <c r="S221" s="399">
        <v>510.09</v>
      </c>
      <c r="T221" s="399">
        <v>286.42</v>
      </c>
      <c r="U221" s="399"/>
      <c r="V221" s="399">
        <v>191.16239999999999</v>
      </c>
      <c r="W221" s="399">
        <v>191.16239999999999</v>
      </c>
      <c r="X221" s="399">
        <v>141.52080000000001</v>
      </c>
      <c r="Y221" s="399">
        <v>0</v>
      </c>
      <c r="Z221" s="399">
        <v>0</v>
      </c>
      <c r="AA221" s="399">
        <v>0</v>
      </c>
      <c r="AB221" s="399">
        <v>0</v>
      </c>
      <c r="AC221" s="399">
        <v>0</v>
      </c>
      <c r="AD221" s="399">
        <v>23.43651598923876</v>
      </c>
      <c r="AE221" s="399">
        <v>90.530878846754874</v>
      </c>
      <c r="AF221" s="399">
        <v>68.741602858523038</v>
      </c>
      <c r="AG221" s="399">
        <v>0</v>
      </c>
      <c r="AH221" s="399">
        <v>0</v>
      </c>
      <c r="AI221" s="399">
        <v>0</v>
      </c>
      <c r="AJ221" s="399">
        <v>0</v>
      </c>
      <c r="AK221" s="399">
        <v>0</v>
      </c>
      <c r="AL221" s="399">
        <v>0</v>
      </c>
      <c r="AM221" s="399"/>
      <c r="AN221" s="399">
        <v>0.40988101593454557</v>
      </c>
      <c r="AO221" s="399">
        <v>0</v>
      </c>
      <c r="AP221" s="399">
        <v>0</v>
      </c>
      <c r="AQ221" s="399">
        <v>0</v>
      </c>
      <c r="AR221" s="399">
        <v>0</v>
      </c>
      <c r="AS221" s="399">
        <v>0</v>
      </c>
      <c r="AT221" s="399">
        <v>0</v>
      </c>
      <c r="AU221" s="399">
        <v>0</v>
      </c>
      <c r="AV221" s="399">
        <v>0</v>
      </c>
      <c r="AW221" s="399">
        <v>0</v>
      </c>
      <c r="AX221" s="399">
        <v>0</v>
      </c>
      <c r="AY221" s="399">
        <v>0</v>
      </c>
      <c r="AZ221" s="399">
        <v>0</v>
      </c>
      <c r="BA221" s="399"/>
      <c r="BB221" s="399">
        <v>0</v>
      </c>
      <c r="BC221" s="399">
        <v>0</v>
      </c>
      <c r="BD221" s="399">
        <v>0</v>
      </c>
      <c r="BE221" s="399">
        <v>0</v>
      </c>
      <c r="BF221" s="399">
        <v>0</v>
      </c>
      <c r="BG221" s="399">
        <v>8.0453565264427915</v>
      </c>
      <c r="BH221" s="399">
        <v>0</v>
      </c>
      <c r="BI221" s="399">
        <v>0.86</v>
      </c>
      <c r="BJ221" s="399">
        <v>3.96</v>
      </c>
      <c r="BK221" s="399">
        <v>56.78</v>
      </c>
      <c r="BL221" s="399">
        <v>0</v>
      </c>
      <c r="BM221" s="399"/>
      <c r="BN221" s="399"/>
      <c r="BO221" s="399"/>
      <c r="BP221" s="399"/>
      <c r="BQ221" s="399"/>
      <c r="BR221" s="399"/>
      <c r="BS221" s="399"/>
      <c r="BT221" s="399">
        <v>14.152799999999999</v>
      </c>
      <c r="BU221" s="399"/>
      <c r="BV221" s="399">
        <v>76.786959384965826</v>
      </c>
      <c r="BW221" s="399"/>
      <c r="BX221" s="399"/>
      <c r="BY221" s="399"/>
      <c r="BZ221" s="399"/>
      <c r="CA221" s="399"/>
      <c r="CB221" s="399"/>
      <c r="CC221" s="399"/>
      <c r="CD221" s="399"/>
      <c r="CE221" s="399"/>
      <c r="CF221" s="399"/>
      <c r="CG221" s="399"/>
      <c r="CH221" s="399"/>
      <c r="CI221" s="399">
        <v>127.36799999999999</v>
      </c>
      <c r="CJ221" s="399">
        <v>-44.708399999999983</v>
      </c>
      <c r="CK221" s="399"/>
      <c r="CL221" s="399"/>
      <c r="CM221" s="399"/>
      <c r="CN221" s="399"/>
      <c r="CO221" s="399">
        <v>-34.084799999999994</v>
      </c>
      <c r="CP221" s="399">
        <v>-15.556800000000004</v>
      </c>
      <c r="CQ221" s="399">
        <v>30</v>
      </c>
      <c r="CR221" s="399">
        <v>-16.609774952935666</v>
      </c>
      <c r="CS221" s="399">
        <v>0</v>
      </c>
      <c r="CT221" s="399">
        <v>0</v>
      </c>
      <c r="CU221" s="399">
        <v>0</v>
      </c>
      <c r="CV221" s="399">
        <v>0</v>
      </c>
      <c r="CW221" s="399">
        <v>0</v>
      </c>
      <c r="CX221" s="399">
        <v>0</v>
      </c>
      <c r="CY221" s="399">
        <v>0</v>
      </c>
      <c r="CZ221" s="399">
        <v>0.80426874849444019</v>
      </c>
      <c r="DA221" s="399">
        <v>0</v>
      </c>
      <c r="DB221" s="399">
        <v>0</v>
      </c>
      <c r="DC221" s="399">
        <v>-15.558424676888635</v>
      </c>
      <c r="DD221" s="399">
        <v>0</v>
      </c>
      <c r="DE221" s="399">
        <v>0</v>
      </c>
      <c r="DF221" s="399">
        <v>0</v>
      </c>
      <c r="DG221" s="399">
        <v>-1.8209216589405601</v>
      </c>
      <c r="DH221" s="399">
        <v>0</v>
      </c>
      <c r="DI221" s="399">
        <v>0</v>
      </c>
      <c r="DJ221" s="399"/>
      <c r="DK221" s="399">
        <v>0</v>
      </c>
      <c r="DL221" s="399">
        <v>0</v>
      </c>
      <c r="DM221" s="399">
        <v>0</v>
      </c>
      <c r="DN221" s="399">
        <v>0</v>
      </c>
      <c r="DO221" s="399">
        <v>0</v>
      </c>
      <c r="DP221" s="399">
        <v>-3.4697365600922347E-2</v>
      </c>
      <c r="DQ221" s="399">
        <v>0</v>
      </c>
      <c r="DR221" s="399">
        <v>0</v>
      </c>
      <c r="DS221" s="399"/>
      <c r="DT221" s="399"/>
      <c r="DU221" s="399"/>
      <c r="DV221" s="399">
        <v>90.530878846754874</v>
      </c>
      <c r="DW221" s="399">
        <v>0</v>
      </c>
      <c r="DX221" s="399">
        <v>0</v>
      </c>
      <c r="DY221" s="399">
        <v>-34.084799999999987</v>
      </c>
      <c r="DZ221" s="399">
        <v>-15.55680000000001</v>
      </c>
      <c r="EA221" s="399">
        <v>0</v>
      </c>
      <c r="EB221" s="399">
        <v>0</v>
      </c>
      <c r="EC221" s="399">
        <v>-33.034728371281915</v>
      </c>
      <c r="ED221" s="399">
        <v>0</v>
      </c>
      <c r="EE221" s="399">
        <v>0</v>
      </c>
      <c r="EF221" s="399">
        <v>0</v>
      </c>
      <c r="EG221" s="399">
        <v>0</v>
      </c>
      <c r="EH221" s="399">
        <v>0</v>
      </c>
      <c r="EI221" s="399">
        <v>0</v>
      </c>
      <c r="EJ221" s="399">
        <v>0</v>
      </c>
      <c r="EK221" s="399">
        <v>0</v>
      </c>
      <c r="EL221" s="399">
        <v>0</v>
      </c>
      <c r="EM221" s="399">
        <v>0</v>
      </c>
      <c r="EN221" s="399">
        <v>0</v>
      </c>
      <c r="EO221" s="399">
        <v>0</v>
      </c>
      <c r="EP221" s="399">
        <v>0</v>
      </c>
      <c r="EQ221" s="399">
        <v>0</v>
      </c>
      <c r="ER221" s="399">
        <v>0</v>
      </c>
      <c r="ES221" s="399">
        <v>0</v>
      </c>
      <c r="ET221" s="399">
        <v>0</v>
      </c>
      <c r="EU221" s="399">
        <v>0</v>
      </c>
      <c r="EV221" s="399">
        <v>202</v>
      </c>
      <c r="EW221" s="399">
        <v>0</v>
      </c>
      <c r="EX221" s="399">
        <v>0</v>
      </c>
      <c r="EY221" s="399">
        <v>0</v>
      </c>
      <c r="EZ221" s="399"/>
      <c r="FA221" s="399">
        <v>0</v>
      </c>
      <c r="FB221" s="399">
        <v>-17.698635468909799</v>
      </c>
      <c r="FC221" s="399"/>
      <c r="FD221" s="399">
        <v>-17.698635468909799</v>
      </c>
      <c r="FE221" s="399"/>
      <c r="FF221" s="399">
        <v>0</v>
      </c>
      <c r="FG221" s="399">
        <v>0</v>
      </c>
      <c r="FH221" s="399">
        <v>0</v>
      </c>
      <c r="FI221" s="399">
        <v>0</v>
      </c>
    </row>
    <row r="222" spans="1:165">
      <c r="A222" s="399">
        <v>217</v>
      </c>
      <c r="B222" s="399" t="s">
        <v>956</v>
      </c>
      <c r="C222" s="399" t="s">
        <v>2402</v>
      </c>
      <c r="D222" s="399" t="s">
        <v>1823</v>
      </c>
      <c r="E222" s="399" t="s">
        <v>889</v>
      </c>
      <c r="F222" s="399" t="s">
        <v>2408</v>
      </c>
      <c r="G222" s="399" t="s">
        <v>1239</v>
      </c>
      <c r="H222" s="399" t="s">
        <v>1239</v>
      </c>
      <c r="I222" s="399" t="s">
        <v>1239</v>
      </c>
      <c r="J222" s="399" t="s">
        <v>2400</v>
      </c>
      <c r="K222" s="788">
        <v>44713</v>
      </c>
      <c r="L222" s="399">
        <v>0</v>
      </c>
      <c r="M222" s="399">
        <v>0</v>
      </c>
      <c r="N222" s="399">
        <v>1.7869999999999999</v>
      </c>
      <c r="O222" s="399">
        <v>1.7869999999999999</v>
      </c>
      <c r="P222" s="399">
        <v>1.7869999999999999</v>
      </c>
      <c r="Q222" s="399">
        <v>1.7869999999999999</v>
      </c>
      <c r="R222" s="399"/>
      <c r="S222" s="399">
        <v>510.09</v>
      </c>
      <c r="T222" s="399">
        <v>286.42</v>
      </c>
      <c r="U222" s="399"/>
      <c r="V222" s="399">
        <v>1423.36337</v>
      </c>
      <c r="W222" s="399">
        <v>1423.36337</v>
      </c>
      <c r="X222" s="399">
        <v>1053.74029</v>
      </c>
      <c r="Y222" s="399">
        <v>0</v>
      </c>
      <c r="Z222" s="399">
        <v>0</v>
      </c>
      <c r="AA222" s="399">
        <v>0</v>
      </c>
      <c r="AB222" s="399">
        <v>0</v>
      </c>
      <c r="AC222" s="399">
        <v>0</v>
      </c>
      <c r="AD222" s="399">
        <v>174.50439196987361</v>
      </c>
      <c r="AE222" s="399">
        <v>674.07783541312904</v>
      </c>
      <c r="AF222" s="399">
        <v>511.8385179507527</v>
      </c>
      <c r="AG222" s="399">
        <v>0</v>
      </c>
      <c r="AH222" s="399">
        <v>0</v>
      </c>
      <c r="AI222" s="399">
        <v>0</v>
      </c>
      <c r="AJ222" s="399">
        <v>0</v>
      </c>
      <c r="AK222" s="399">
        <v>0</v>
      </c>
      <c r="AL222" s="399">
        <v>0</v>
      </c>
      <c r="AM222" s="399"/>
      <c r="AN222" s="399">
        <v>3.0519057311459705</v>
      </c>
      <c r="AO222" s="399">
        <v>0</v>
      </c>
      <c r="AP222" s="399">
        <v>0</v>
      </c>
      <c r="AQ222" s="399">
        <v>0</v>
      </c>
      <c r="AR222" s="399">
        <v>0</v>
      </c>
      <c r="AS222" s="399">
        <v>0</v>
      </c>
      <c r="AT222" s="399">
        <v>0</v>
      </c>
      <c r="AU222" s="399">
        <v>0</v>
      </c>
      <c r="AV222" s="399">
        <v>0</v>
      </c>
      <c r="AW222" s="399">
        <v>0</v>
      </c>
      <c r="AX222" s="399">
        <v>0</v>
      </c>
      <c r="AY222" s="399">
        <v>0</v>
      </c>
      <c r="AZ222" s="399">
        <v>0</v>
      </c>
      <c r="BA222" s="399"/>
      <c r="BB222" s="399">
        <v>0</v>
      </c>
      <c r="BC222" s="399">
        <v>0</v>
      </c>
      <c r="BD222" s="399">
        <v>0</v>
      </c>
      <c r="BE222" s="399">
        <v>0</v>
      </c>
      <c r="BF222" s="399">
        <v>0</v>
      </c>
      <c r="BG222" s="399">
        <v>59.904383803138622</v>
      </c>
      <c r="BH222" s="399">
        <v>0</v>
      </c>
      <c r="BI222" s="399">
        <v>7.23</v>
      </c>
      <c r="BJ222" s="399">
        <v>33.46</v>
      </c>
      <c r="BK222" s="399">
        <v>349.97</v>
      </c>
      <c r="BL222" s="399">
        <v>19</v>
      </c>
      <c r="BM222" s="399"/>
      <c r="BN222" s="399"/>
      <c r="BO222" s="399"/>
      <c r="BP222" s="399"/>
      <c r="BQ222" s="399"/>
      <c r="BR222" s="399"/>
      <c r="BS222" s="399"/>
      <c r="BT222" s="399"/>
      <c r="BU222" s="399"/>
      <c r="BV222" s="399">
        <v>571.74290175389137</v>
      </c>
      <c r="BW222" s="399"/>
      <c r="BX222" s="399"/>
      <c r="BY222" s="399"/>
      <c r="BZ222" s="399"/>
      <c r="CA222" s="399"/>
      <c r="CB222" s="399"/>
      <c r="CC222" s="399"/>
      <c r="CD222" s="399"/>
      <c r="CE222" s="399"/>
      <c r="CF222" s="399"/>
      <c r="CG222" s="399"/>
      <c r="CH222" s="399"/>
      <c r="CI222" s="399">
        <v>1055.5092999999999</v>
      </c>
      <c r="CJ222" s="399">
        <v>-367.88407000000007</v>
      </c>
      <c r="CK222" s="399"/>
      <c r="CL222" s="399"/>
      <c r="CM222" s="399"/>
      <c r="CN222" s="399"/>
      <c r="CO222" s="399">
        <v>-253.78973999999997</v>
      </c>
      <c r="CP222" s="399">
        <v>-115.83334000000004</v>
      </c>
      <c r="CQ222" s="399">
        <v>30</v>
      </c>
      <c r="CR222" s="399">
        <v>-123.67361600373363</v>
      </c>
      <c r="CS222" s="399">
        <v>0</v>
      </c>
      <c r="CT222" s="399">
        <v>0</v>
      </c>
      <c r="CU222" s="399">
        <v>0</v>
      </c>
      <c r="CV222" s="399">
        <v>0</v>
      </c>
      <c r="CW222" s="399">
        <v>0</v>
      </c>
      <c r="CX222" s="399">
        <v>0</v>
      </c>
      <c r="CY222" s="399">
        <v>0</v>
      </c>
      <c r="CZ222" s="399">
        <v>5.9884510564981781</v>
      </c>
      <c r="DA222" s="399">
        <v>0</v>
      </c>
      <c r="DB222" s="399">
        <v>0</v>
      </c>
      <c r="DC222" s="399">
        <v>-115.84543707333324</v>
      </c>
      <c r="DD222" s="399">
        <v>0</v>
      </c>
      <c r="DE222" s="399">
        <v>0</v>
      </c>
      <c r="DF222" s="399">
        <v>0</v>
      </c>
      <c r="DG222" s="399">
        <v>-13.558279185528257</v>
      </c>
      <c r="DH222" s="399">
        <v>0</v>
      </c>
      <c r="DI222" s="399">
        <v>0</v>
      </c>
      <c r="DJ222" s="399"/>
      <c r="DK222" s="399">
        <v>0</v>
      </c>
      <c r="DL222" s="399">
        <v>0</v>
      </c>
      <c r="DM222" s="399">
        <v>0</v>
      </c>
      <c r="DN222" s="399">
        <v>0</v>
      </c>
      <c r="DO222" s="399">
        <v>0</v>
      </c>
      <c r="DP222" s="399">
        <v>-0.25835080137020094</v>
      </c>
      <c r="DQ222" s="399">
        <v>0</v>
      </c>
      <c r="DR222" s="399">
        <v>0</v>
      </c>
      <c r="DS222" s="399"/>
      <c r="DT222" s="399"/>
      <c r="DU222" s="399"/>
      <c r="DV222" s="399">
        <v>674.07783541312904</v>
      </c>
      <c r="DW222" s="399">
        <v>0</v>
      </c>
      <c r="DX222" s="399">
        <v>0</v>
      </c>
      <c r="DY222" s="399">
        <v>-253.78973999999994</v>
      </c>
      <c r="DZ222" s="399">
        <v>-115.83334000000002</v>
      </c>
      <c r="EA222" s="399">
        <v>0</v>
      </c>
      <c r="EB222" s="399">
        <v>0</v>
      </c>
      <c r="EC222" s="399">
        <v>-245.97108166450329</v>
      </c>
      <c r="ED222" s="399">
        <v>0</v>
      </c>
      <c r="EE222" s="399">
        <v>0</v>
      </c>
      <c r="EF222" s="399">
        <v>0</v>
      </c>
      <c r="EG222" s="399">
        <v>0</v>
      </c>
      <c r="EH222" s="399">
        <v>0</v>
      </c>
      <c r="EI222" s="399">
        <v>0</v>
      </c>
      <c r="EJ222" s="399">
        <v>0</v>
      </c>
      <c r="EK222" s="399">
        <v>0</v>
      </c>
      <c r="EL222" s="399">
        <v>0</v>
      </c>
      <c r="EM222" s="399">
        <v>0</v>
      </c>
      <c r="EN222" s="399">
        <v>0</v>
      </c>
      <c r="EO222" s="399">
        <v>0</v>
      </c>
      <c r="EP222" s="399">
        <v>0</v>
      </c>
      <c r="EQ222" s="399">
        <v>0</v>
      </c>
      <c r="ER222" s="399">
        <v>0</v>
      </c>
      <c r="ES222" s="399">
        <v>0</v>
      </c>
      <c r="ET222" s="399">
        <v>0</v>
      </c>
      <c r="EU222" s="399">
        <v>0</v>
      </c>
      <c r="EV222" s="399">
        <v>202</v>
      </c>
      <c r="EW222" s="399">
        <v>0</v>
      </c>
      <c r="EX222" s="399">
        <v>0</v>
      </c>
      <c r="EY222" s="399">
        <v>0</v>
      </c>
      <c r="EZ222" s="399"/>
      <c r="FA222" s="399">
        <v>0</v>
      </c>
      <c r="FB222" s="399">
        <v>-17.698635468909799</v>
      </c>
      <c r="FC222" s="399"/>
      <c r="FD222" s="399">
        <v>-17.698635468909799</v>
      </c>
      <c r="FE222" s="399"/>
      <c r="FF222" s="399">
        <v>0</v>
      </c>
      <c r="FG222" s="399">
        <v>0</v>
      </c>
      <c r="FH222" s="399">
        <v>0</v>
      </c>
      <c r="FI222" s="399">
        <v>0</v>
      </c>
    </row>
    <row r="223" spans="1:165">
      <c r="A223" s="399">
        <v>218</v>
      </c>
      <c r="B223" s="399" t="s">
        <v>2403</v>
      </c>
      <c r="C223" s="399" t="s">
        <v>2402</v>
      </c>
      <c r="D223" s="399" t="s">
        <v>1823</v>
      </c>
      <c r="E223" s="399" t="s">
        <v>889</v>
      </c>
      <c r="F223" s="399" t="s">
        <v>2408</v>
      </c>
      <c r="G223" s="399" t="s">
        <v>1239</v>
      </c>
      <c r="H223" s="399" t="s">
        <v>1239</v>
      </c>
      <c r="I223" s="399" t="s">
        <v>1239</v>
      </c>
      <c r="J223" s="399" t="s">
        <v>2400</v>
      </c>
      <c r="K223" s="788">
        <v>44713</v>
      </c>
      <c r="L223" s="399">
        <v>0</v>
      </c>
      <c r="M223" s="399">
        <v>0</v>
      </c>
      <c r="N223" s="399">
        <v>0.436</v>
      </c>
      <c r="O223" s="399">
        <v>0.436</v>
      </c>
      <c r="P223" s="399">
        <v>0.436</v>
      </c>
      <c r="Q223" s="399">
        <v>0.436</v>
      </c>
      <c r="R223" s="399"/>
      <c r="S223" s="399">
        <v>510.09</v>
      </c>
      <c r="T223" s="399">
        <v>286.42</v>
      </c>
      <c r="U223" s="399"/>
      <c r="V223" s="399">
        <v>347.27836000000002</v>
      </c>
      <c r="W223" s="399">
        <v>347.27836000000002</v>
      </c>
      <c r="X223" s="399">
        <v>257.09611999999998</v>
      </c>
      <c r="Y223" s="399">
        <v>0</v>
      </c>
      <c r="Z223" s="399">
        <v>0</v>
      </c>
      <c r="AA223" s="399">
        <v>0</v>
      </c>
      <c r="AB223" s="399">
        <v>0</v>
      </c>
      <c r="AC223" s="399">
        <v>0</v>
      </c>
      <c r="AD223" s="399">
        <v>42.576337380450418</v>
      </c>
      <c r="AE223" s="399">
        <v>164.46442990493804</v>
      </c>
      <c r="AF223" s="399">
        <v>124.88057852631684</v>
      </c>
      <c r="AG223" s="399">
        <v>0</v>
      </c>
      <c r="AH223" s="399">
        <v>0</v>
      </c>
      <c r="AI223" s="399">
        <v>0</v>
      </c>
      <c r="AJ223" s="399">
        <v>0</v>
      </c>
      <c r="AK223" s="399">
        <v>0</v>
      </c>
      <c r="AL223" s="399">
        <v>0</v>
      </c>
      <c r="AM223" s="399"/>
      <c r="AN223" s="399">
        <v>0.74461717894775781</v>
      </c>
      <c r="AO223" s="399">
        <v>0</v>
      </c>
      <c r="AP223" s="399">
        <v>0</v>
      </c>
      <c r="AQ223" s="399">
        <v>0</v>
      </c>
      <c r="AR223" s="399">
        <v>0</v>
      </c>
      <c r="AS223" s="399">
        <v>0</v>
      </c>
      <c r="AT223" s="399">
        <v>0</v>
      </c>
      <c r="AU223" s="399">
        <v>0</v>
      </c>
      <c r="AV223" s="399">
        <v>0</v>
      </c>
      <c r="AW223" s="399">
        <v>0</v>
      </c>
      <c r="AX223" s="399">
        <v>0</v>
      </c>
      <c r="AY223" s="399">
        <v>0</v>
      </c>
      <c r="AZ223" s="399">
        <v>0</v>
      </c>
      <c r="BA223" s="399"/>
      <c r="BB223" s="399">
        <v>0</v>
      </c>
      <c r="BC223" s="399">
        <v>0</v>
      </c>
      <c r="BD223" s="399">
        <v>0</v>
      </c>
      <c r="BE223" s="399">
        <v>0</v>
      </c>
      <c r="BF223" s="399">
        <v>0</v>
      </c>
      <c r="BG223" s="399">
        <v>14.615731023037739</v>
      </c>
      <c r="BH223" s="399">
        <v>0</v>
      </c>
      <c r="BI223" s="399">
        <v>1.72</v>
      </c>
      <c r="BJ223" s="399">
        <v>8.02</v>
      </c>
      <c r="BK223" s="399">
        <v>103.15</v>
      </c>
      <c r="BL223" s="399">
        <v>0</v>
      </c>
      <c r="BM223" s="399"/>
      <c r="BN223" s="399"/>
      <c r="BO223" s="399"/>
      <c r="BP223" s="399"/>
      <c r="BQ223" s="399"/>
      <c r="BR223" s="399"/>
      <c r="BS223" s="399"/>
      <c r="BT223" s="399"/>
      <c r="BU223" s="399"/>
      <c r="BV223" s="399">
        <v>139.49630954935458</v>
      </c>
      <c r="BW223" s="399"/>
      <c r="BX223" s="399"/>
      <c r="BY223" s="399"/>
      <c r="BZ223" s="399"/>
      <c r="CA223" s="399"/>
      <c r="CB223" s="399"/>
      <c r="CC223" s="399"/>
      <c r="CD223" s="399"/>
      <c r="CE223" s="399"/>
      <c r="CF223" s="399"/>
      <c r="CG223" s="399"/>
      <c r="CH223" s="399"/>
      <c r="CI223" s="399">
        <v>259.45479999999998</v>
      </c>
      <c r="CJ223" s="399">
        <v>-87.853560000000016</v>
      </c>
      <c r="CK223" s="399"/>
      <c r="CL223" s="399"/>
      <c r="CM223" s="399"/>
      <c r="CN223" s="399"/>
      <c r="CO223" s="399">
        <v>-61.920719999999989</v>
      </c>
      <c r="CP223" s="399">
        <v>-28.261520000000008</v>
      </c>
      <c r="CQ223" s="399">
        <v>30</v>
      </c>
      <c r="CR223" s="399">
        <v>-30.174424497833115</v>
      </c>
      <c r="CS223" s="399">
        <v>0</v>
      </c>
      <c r="CT223" s="399">
        <v>0</v>
      </c>
      <c r="CU223" s="399">
        <v>0</v>
      </c>
      <c r="CV223" s="399">
        <v>0</v>
      </c>
      <c r="CW223" s="399">
        <v>0</v>
      </c>
      <c r="CX223" s="399">
        <v>0</v>
      </c>
      <c r="CY223" s="399">
        <v>0</v>
      </c>
      <c r="CZ223" s="399">
        <v>1.4610882264315634</v>
      </c>
      <c r="DA223" s="399">
        <v>0</v>
      </c>
      <c r="DB223" s="399">
        <v>0</v>
      </c>
      <c r="DC223" s="399">
        <v>-28.264471496347667</v>
      </c>
      <c r="DD223" s="399">
        <v>0</v>
      </c>
      <c r="DE223" s="399">
        <v>0</v>
      </c>
      <c r="DF223" s="399">
        <v>0</v>
      </c>
      <c r="DG223" s="399">
        <v>-3.308007680408684</v>
      </c>
      <c r="DH223" s="399">
        <v>0</v>
      </c>
      <c r="DI223" s="399">
        <v>0</v>
      </c>
      <c r="DJ223" s="399"/>
      <c r="DK223" s="399">
        <v>0</v>
      </c>
      <c r="DL223" s="399">
        <v>0</v>
      </c>
      <c r="DM223" s="399">
        <v>0</v>
      </c>
      <c r="DN223" s="399">
        <v>0</v>
      </c>
      <c r="DO223" s="399">
        <v>0</v>
      </c>
      <c r="DP223" s="399">
        <v>-6.3033547508342336E-2</v>
      </c>
      <c r="DQ223" s="399">
        <v>0</v>
      </c>
      <c r="DR223" s="399">
        <v>0</v>
      </c>
      <c r="DS223" s="399"/>
      <c r="DT223" s="399"/>
      <c r="DU223" s="399"/>
      <c r="DV223" s="399">
        <v>164.46442990493804</v>
      </c>
      <c r="DW223" s="399">
        <v>0</v>
      </c>
      <c r="DX223" s="399">
        <v>0</v>
      </c>
      <c r="DY223" s="399">
        <v>-61.920719999999989</v>
      </c>
      <c r="DZ223" s="399">
        <v>-28.261520000000004</v>
      </c>
      <c r="EA223" s="399">
        <v>0</v>
      </c>
      <c r="EB223" s="399">
        <v>0</v>
      </c>
      <c r="EC223" s="399">
        <v>-60.013089874495492</v>
      </c>
      <c r="ED223" s="399">
        <v>0</v>
      </c>
      <c r="EE223" s="399">
        <v>0</v>
      </c>
      <c r="EF223" s="399">
        <v>0</v>
      </c>
      <c r="EG223" s="399">
        <v>0</v>
      </c>
      <c r="EH223" s="399">
        <v>0</v>
      </c>
      <c r="EI223" s="399">
        <v>0</v>
      </c>
      <c r="EJ223" s="399">
        <v>0</v>
      </c>
      <c r="EK223" s="399">
        <v>0</v>
      </c>
      <c r="EL223" s="399">
        <v>0</v>
      </c>
      <c r="EM223" s="399">
        <v>0</v>
      </c>
      <c r="EN223" s="399">
        <v>0</v>
      </c>
      <c r="EO223" s="399">
        <v>0</v>
      </c>
      <c r="EP223" s="399">
        <v>0</v>
      </c>
      <c r="EQ223" s="399">
        <v>0</v>
      </c>
      <c r="ER223" s="399">
        <v>0</v>
      </c>
      <c r="ES223" s="399">
        <v>0</v>
      </c>
      <c r="ET223" s="399">
        <v>0</v>
      </c>
      <c r="EU223" s="399">
        <v>0</v>
      </c>
      <c r="EV223" s="399">
        <v>202</v>
      </c>
      <c r="EW223" s="399">
        <v>0</v>
      </c>
      <c r="EX223" s="399">
        <v>0</v>
      </c>
      <c r="EY223" s="399">
        <v>0</v>
      </c>
      <c r="EZ223" s="399"/>
      <c r="FA223" s="399">
        <v>0</v>
      </c>
      <c r="FB223" s="399">
        <v>-17.698635468909799</v>
      </c>
      <c r="FC223" s="399"/>
      <c r="FD223" s="399">
        <v>-17.698635468909799</v>
      </c>
      <c r="FE223" s="399"/>
      <c r="FF223" s="399">
        <v>0</v>
      </c>
      <c r="FG223" s="399">
        <v>0</v>
      </c>
      <c r="FH223" s="399">
        <v>0</v>
      </c>
      <c r="FI223" s="399">
        <v>0</v>
      </c>
    </row>
    <row r="224" spans="1:165">
      <c r="A224" s="399">
        <v>219</v>
      </c>
      <c r="B224" s="399" t="s">
        <v>956</v>
      </c>
      <c r="C224" s="399" t="s">
        <v>2409</v>
      </c>
      <c r="D224" s="399" t="s">
        <v>1823</v>
      </c>
      <c r="E224" s="399" t="s">
        <v>889</v>
      </c>
      <c r="F224" s="399" t="s">
        <v>889</v>
      </c>
      <c r="G224" s="399" t="s">
        <v>1239</v>
      </c>
      <c r="H224" s="399" t="s">
        <v>1239</v>
      </c>
      <c r="I224" s="399" t="s">
        <v>2326</v>
      </c>
      <c r="J224" s="399" t="s">
        <v>2400</v>
      </c>
      <c r="K224" s="788">
        <v>44713</v>
      </c>
      <c r="L224" s="399">
        <v>0</v>
      </c>
      <c r="M224" s="399">
        <v>0</v>
      </c>
      <c r="N224" s="399">
        <v>4.2000000000000003E-2</v>
      </c>
      <c r="O224" s="399">
        <v>4.2000000000000003E-2</v>
      </c>
      <c r="P224" s="399">
        <v>4.2000000000000003E-2</v>
      </c>
      <c r="Q224" s="399">
        <v>4.2000000000000003E-2</v>
      </c>
      <c r="R224" s="399"/>
      <c r="S224" s="399">
        <v>409.62</v>
      </c>
      <c r="T224" s="399">
        <v>286.42</v>
      </c>
      <c r="U224" s="399"/>
      <c r="V224" s="399">
        <v>29.233680000000003</v>
      </c>
      <c r="W224" s="399">
        <v>29.233680000000003</v>
      </c>
      <c r="X224" s="399">
        <v>22.71528</v>
      </c>
      <c r="Y224" s="399">
        <v>0</v>
      </c>
      <c r="Z224" s="399">
        <v>2.556178756794663</v>
      </c>
      <c r="AA224" s="399">
        <v>0</v>
      </c>
      <c r="AB224" s="399">
        <v>0</v>
      </c>
      <c r="AC224" s="399">
        <v>0</v>
      </c>
      <c r="AD224" s="399">
        <v>2.3790149425076286</v>
      </c>
      <c r="AE224" s="399">
        <v>9.1888806224054704</v>
      </c>
      <c r="AF224" s="399">
        <v>12.029780500241532</v>
      </c>
      <c r="AG224" s="399">
        <v>0</v>
      </c>
      <c r="AH224" s="399">
        <v>0</v>
      </c>
      <c r="AI224" s="399">
        <v>0</v>
      </c>
      <c r="AJ224" s="399">
        <v>0</v>
      </c>
      <c r="AK224" s="399">
        <v>0</v>
      </c>
      <c r="AL224" s="399">
        <v>0.39504733610091336</v>
      </c>
      <c r="AM224" s="399"/>
      <c r="AN224" s="399">
        <v>7.1729177788545484E-2</v>
      </c>
      <c r="AO224" s="399">
        <v>0</v>
      </c>
      <c r="AP224" s="399">
        <v>0</v>
      </c>
      <c r="AQ224" s="399">
        <v>0</v>
      </c>
      <c r="AR224" s="399">
        <v>0</v>
      </c>
      <c r="AS224" s="399">
        <v>0</v>
      </c>
      <c r="AT224" s="399">
        <v>0</v>
      </c>
      <c r="AU224" s="399">
        <v>0</v>
      </c>
      <c r="AV224" s="399">
        <v>0</v>
      </c>
      <c r="AW224" s="399">
        <v>0</v>
      </c>
      <c r="AX224" s="399">
        <v>0</v>
      </c>
      <c r="AY224" s="399">
        <v>0</v>
      </c>
      <c r="AZ224" s="399">
        <v>0</v>
      </c>
      <c r="BA224" s="399"/>
      <c r="BB224" s="399">
        <v>0</v>
      </c>
      <c r="BC224" s="399">
        <v>0</v>
      </c>
      <c r="BD224" s="399">
        <v>0</v>
      </c>
      <c r="BE224" s="399">
        <v>0</v>
      </c>
      <c r="BF224" s="399">
        <v>0</v>
      </c>
      <c r="BG224" s="399">
        <v>1.4079373921274887</v>
      </c>
      <c r="BH224" s="399">
        <v>0</v>
      </c>
      <c r="BI224" s="399">
        <v>0</v>
      </c>
      <c r="BJ224" s="399">
        <v>0</v>
      </c>
      <c r="BK224" s="399">
        <v>0</v>
      </c>
      <c r="BL224" s="399">
        <v>0</v>
      </c>
      <c r="BM224" s="399"/>
      <c r="BN224" s="399"/>
      <c r="BO224" s="399"/>
      <c r="BP224" s="399"/>
      <c r="BQ224" s="399"/>
      <c r="BR224" s="399"/>
      <c r="BS224" s="399"/>
      <c r="BT224" s="399"/>
      <c r="BU224" s="399"/>
      <c r="BV224" s="399">
        <v>13.437717892369021</v>
      </c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399"/>
      <c r="CI224" s="399">
        <v>21.633600000000001</v>
      </c>
      <c r="CJ224" s="399">
        <v>-7.6300800000000066</v>
      </c>
      <c r="CK224" s="399"/>
      <c r="CL224" s="399"/>
      <c r="CM224" s="399"/>
      <c r="CN224" s="399"/>
      <c r="CO224" s="399">
        <v>-3.79596</v>
      </c>
      <c r="CP224" s="399">
        <v>-2.7224400000000011</v>
      </c>
      <c r="CQ224" s="399">
        <v>30</v>
      </c>
      <c r="CR224" s="399">
        <v>-3.1657629442121227</v>
      </c>
      <c r="CS224" s="399">
        <v>0</v>
      </c>
      <c r="CT224" s="399">
        <v>0</v>
      </c>
      <c r="CU224" s="399">
        <v>0</v>
      </c>
      <c r="CV224" s="399">
        <v>0</v>
      </c>
      <c r="CW224" s="399">
        <v>0</v>
      </c>
      <c r="CX224" s="399">
        <v>0</v>
      </c>
      <c r="CY224" s="399">
        <v>0</v>
      </c>
      <c r="CZ224" s="399">
        <v>8.1640435435813785E-2</v>
      </c>
      <c r="DA224" s="399">
        <v>0</v>
      </c>
      <c r="DB224" s="399">
        <v>0</v>
      </c>
      <c r="DC224" s="399">
        <v>-2.7227243184555121</v>
      </c>
      <c r="DD224" s="399">
        <v>0</v>
      </c>
      <c r="DE224" s="399">
        <v>0</v>
      </c>
      <c r="DF224" s="399">
        <v>0</v>
      </c>
      <c r="DG224" s="399">
        <v>-0.318661290314598</v>
      </c>
      <c r="DH224" s="399">
        <v>0</v>
      </c>
      <c r="DI224" s="399">
        <v>-0.17733784496830474</v>
      </c>
      <c r="DJ224" s="399"/>
      <c r="DK224" s="399">
        <v>0</v>
      </c>
      <c r="DL224" s="399">
        <v>0</v>
      </c>
      <c r="DM224" s="399">
        <v>0</v>
      </c>
      <c r="DN224" s="399">
        <v>0</v>
      </c>
      <c r="DO224" s="399">
        <v>-2.2607886929362608E-2</v>
      </c>
      <c r="DP224" s="399">
        <v>-6.0720389801614122E-3</v>
      </c>
      <c r="DQ224" s="399">
        <v>0</v>
      </c>
      <c r="DR224" s="399">
        <v>0</v>
      </c>
      <c r="DS224" s="399"/>
      <c r="DT224" s="399"/>
      <c r="DU224" s="399"/>
      <c r="DV224" s="399">
        <v>9.1888806224054704</v>
      </c>
      <c r="DW224" s="399">
        <v>0</v>
      </c>
      <c r="DX224" s="399">
        <v>0</v>
      </c>
      <c r="DY224" s="399">
        <v>-3.7959600000000009</v>
      </c>
      <c r="DZ224" s="399">
        <v>-2.7224400000000006</v>
      </c>
      <c r="EA224" s="399">
        <v>0</v>
      </c>
      <c r="EB224" s="399">
        <v>0</v>
      </c>
      <c r="EC224" s="399">
        <v>-3.3530236231456021</v>
      </c>
      <c r="ED224" s="399">
        <v>0</v>
      </c>
      <c r="EE224" s="399">
        <v>0</v>
      </c>
      <c r="EF224" s="399">
        <v>0</v>
      </c>
      <c r="EG224" s="399">
        <v>0</v>
      </c>
      <c r="EH224" s="399">
        <v>0</v>
      </c>
      <c r="EI224" s="399">
        <v>0</v>
      </c>
      <c r="EJ224" s="399">
        <v>0</v>
      </c>
      <c r="EK224" s="399">
        <v>0</v>
      </c>
      <c r="EL224" s="399">
        <v>0</v>
      </c>
      <c r="EM224" s="399">
        <v>0</v>
      </c>
      <c r="EN224" s="399">
        <v>0</v>
      </c>
      <c r="EO224" s="399">
        <v>0</v>
      </c>
      <c r="EP224" s="399">
        <v>1.2053257434511901</v>
      </c>
      <c r="EQ224" s="399">
        <v>0</v>
      </c>
      <c r="ER224" s="399">
        <v>0</v>
      </c>
      <c r="ES224" s="399">
        <v>0</v>
      </c>
      <c r="ET224" s="399">
        <v>0</v>
      </c>
      <c r="EU224" s="399">
        <v>0</v>
      </c>
      <c r="EV224" s="399">
        <v>202</v>
      </c>
      <c r="EW224" s="399">
        <v>0</v>
      </c>
      <c r="EX224" s="399">
        <v>0</v>
      </c>
      <c r="EY224" s="399">
        <v>0</v>
      </c>
      <c r="EZ224" s="399"/>
      <c r="FA224" s="399">
        <v>0</v>
      </c>
      <c r="FB224" s="399">
        <v>-17.698635468909799</v>
      </c>
      <c r="FC224" s="399"/>
      <c r="FD224" s="399">
        <v>-17.698635468909799</v>
      </c>
      <c r="FE224" s="399"/>
      <c r="FF224" s="399">
        <v>0</v>
      </c>
      <c r="FG224" s="399">
        <v>0</v>
      </c>
      <c r="FH224" s="399">
        <v>0</v>
      </c>
      <c r="FI224" s="399">
        <v>0</v>
      </c>
    </row>
    <row r="225" spans="1:165">
      <c r="A225" s="399">
        <v>220</v>
      </c>
      <c r="B225" s="399" t="s">
        <v>956</v>
      </c>
      <c r="C225" s="399" t="s">
        <v>2409</v>
      </c>
      <c r="D225" s="399" t="s">
        <v>1823</v>
      </c>
      <c r="E225" s="399" t="s">
        <v>889</v>
      </c>
      <c r="F225" s="399" t="s">
        <v>889</v>
      </c>
      <c r="G225" s="399" t="s">
        <v>1239</v>
      </c>
      <c r="H225" s="399" t="s">
        <v>1239</v>
      </c>
      <c r="I225" s="399" t="s">
        <v>1239</v>
      </c>
      <c r="J225" s="399" t="s">
        <v>2400</v>
      </c>
      <c r="K225" s="788">
        <v>44713</v>
      </c>
      <c r="L225" s="399">
        <v>0</v>
      </c>
      <c r="M225" s="399">
        <v>0</v>
      </c>
      <c r="N225" s="399">
        <v>0</v>
      </c>
      <c r="O225" s="399">
        <v>0</v>
      </c>
      <c r="P225" s="399">
        <v>0</v>
      </c>
      <c r="Q225" s="399">
        <v>0</v>
      </c>
      <c r="R225" s="399"/>
      <c r="S225" s="399"/>
      <c r="T225" s="399"/>
      <c r="U225" s="399"/>
      <c r="V225" s="399"/>
      <c r="W225" s="399"/>
      <c r="X225" s="399"/>
      <c r="Y225" s="399"/>
      <c r="Z225" s="399"/>
      <c r="AA225" s="399">
        <v>0</v>
      </c>
      <c r="AB225" s="399"/>
      <c r="AC225" s="399"/>
      <c r="AD225" s="399"/>
      <c r="AE225" s="399"/>
      <c r="AF225" s="399"/>
      <c r="AG225" s="399"/>
      <c r="AH225" s="399"/>
      <c r="AI225" s="399"/>
      <c r="AJ225" s="399"/>
      <c r="AK225" s="399"/>
      <c r="AL225" s="399"/>
      <c r="AM225" s="399"/>
      <c r="AN225" s="399"/>
      <c r="AO225" s="399"/>
      <c r="AP225" s="399"/>
      <c r="AQ225" s="399"/>
      <c r="AR225" s="399"/>
      <c r="AS225" s="399"/>
      <c r="AT225" s="399"/>
      <c r="AU225" s="399"/>
      <c r="AV225" s="399"/>
      <c r="AW225" s="399"/>
      <c r="AX225" s="399"/>
      <c r="AY225" s="399"/>
      <c r="AZ225" s="399">
        <v>0</v>
      </c>
      <c r="BA225" s="399"/>
      <c r="BB225" s="399"/>
      <c r="BC225" s="399"/>
      <c r="BD225" s="399"/>
      <c r="BE225" s="399"/>
      <c r="BF225" s="399"/>
      <c r="BG225" s="399"/>
      <c r="BH225" s="399"/>
      <c r="BI225" s="399">
        <v>0.22</v>
      </c>
      <c r="BJ225" s="399">
        <v>1.06</v>
      </c>
      <c r="BK225" s="399">
        <v>0</v>
      </c>
      <c r="BL225" s="399">
        <v>1</v>
      </c>
      <c r="BM225" s="399"/>
      <c r="BN225" s="399"/>
      <c r="BO225" s="399"/>
      <c r="BP225" s="399"/>
      <c r="BQ225" s="399"/>
      <c r="BR225" s="399"/>
      <c r="BS225" s="399"/>
      <c r="BT225" s="399"/>
      <c r="BU225" s="399"/>
      <c r="BV225" s="399"/>
      <c r="BW225" s="399"/>
      <c r="BX225" s="399"/>
      <c r="BY225" s="399"/>
      <c r="BZ225" s="399"/>
      <c r="CA225" s="399"/>
      <c r="CB225" s="399"/>
      <c r="CC225" s="399"/>
      <c r="CD225" s="399"/>
      <c r="CE225" s="399"/>
      <c r="CF225" s="399"/>
      <c r="CG225" s="399"/>
      <c r="CH225" s="399"/>
      <c r="CI225" s="399"/>
      <c r="CJ225" s="399">
        <v>-0.03</v>
      </c>
      <c r="CK225" s="399"/>
      <c r="CL225" s="399"/>
      <c r="CM225" s="399"/>
      <c r="CN225" s="399"/>
      <c r="CO225" s="399">
        <v>0</v>
      </c>
      <c r="CP225" s="399">
        <v>0</v>
      </c>
      <c r="CQ225" s="399">
        <v>30</v>
      </c>
      <c r="CR225" s="399"/>
      <c r="CS225" s="399"/>
      <c r="CT225" s="399"/>
      <c r="CU225" s="399"/>
      <c r="CV225" s="399"/>
      <c r="CW225" s="399"/>
      <c r="CX225" s="399"/>
      <c r="CY225" s="399"/>
      <c r="CZ225" s="399"/>
      <c r="DA225" s="399"/>
      <c r="DB225" s="399"/>
      <c r="DC225" s="399"/>
      <c r="DD225" s="399"/>
      <c r="DE225" s="399"/>
      <c r="DF225" s="399"/>
      <c r="DG225" s="399"/>
      <c r="DH225" s="399"/>
      <c r="DI225" s="399"/>
      <c r="DJ225" s="399"/>
      <c r="DK225" s="399">
        <v>0</v>
      </c>
      <c r="DL225" s="399"/>
      <c r="DM225" s="399"/>
      <c r="DN225" s="399"/>
      <c r="DO225" s="399"/>
      <c r="DP225" s="399"/>
      <c r="DQ225" s="399"/>
      <c r="DR225" s="399"/>
      <c r="DS225" s="399"/>
      <c r="DT225" s="399"/>
      <c r="DU225" s="399"/>
      <c r="DV225" s="399"/>
      <c r="DW225" s="399"/>
      <c r="DX225" s="399"/>
      <c r="DY225" s="399"/>
      <c r="DZ225" s="399"/>
      <c r="EA225" s="399"/>
      <c r="EB225" s="399"/>
      <c r="EC225" s="399"/>
      <c r="ED225" s="399"/>
      <c r="EE225" s="399"/>
      <c r="EF225" s="399"/>
      <c r="EG225" s="399"/>
      <c r="EH225" s="399"/>
      <c r="EI225" s="399"/>
      <c r="EJ225" s="399"/>
      <c r="EK225" s="399"/>
      <c r="EL225" s="399"/>
      <c r="EM225" s="399"/>
      <c r="EN225" s="399"/>
      <c r="EO225" s="399"/>
      <c r="EP225" s="399"/>
      <c r="EQ225" s="399"/>
      <c r="ER225" s="399"/>
      <c r="ES225" s="399"/>
      <c r="ET225" s="399"/>
      <c r="EU225" s="399"/>
      <c r="EV225" s="399">
        <v>202</v>
      </c>
      <c r="EW225" s="399"/>
      <c r="EX225" s="399"/>
      <c r="EY225" s="399"/>
      <c r="EZ225" s="399"/>
      <c r="FA225" s="399">
        <v>0</v>
      </c>
      <c r="FB225" s="399">
        <v>-17.698635468909799</v>
      </c>
      <c r="FC225" s="399"/>
      <c r="FD225" s="399">
        <v>-17.698635468909799</v>
      </c>
      <c r="FE225" s="399"/>
      <c r="FF225" s="399">
        <v>0</v>
      </c>
      <c r="FG225" s="399">
        <v>0</v>
      </c>
      <c r="FH225" s="399">
        <v>0</v>
      </c>
      <c r="FI225" s="399">
        <v>0</v>
      </c>
    </row>
    <row r="226" spans="1:165">
      <c r="A226" s="399">
        <v>221</v>
      </c>
      <c r="B226" s="399" t="s">
        <v>956</v>
      </c>
      <c r="C226" s="399" t="s">
        <v>2409</v>
      </c>
      <c r="D226" s="399" t="s">
        <v>1823</v>
      </c>
      <c r="E226" s="399" t="s">
        <v>889</v>
      </c>
      <c r="F226" s="399" t="s">
        <v>889</v>
      </c>
      <c r="G226" s="399" t="s">
        <v>1239</v>
      </c>
      <c r="H226" s="399" t="s">
        <v>1239</v>
      </c>
      <c r="I226" s="399" t="s">
        <v>2410</v>
      </c>
      <c r="J226" s="399" t="s">
        <v>2400</v>
      </c>
      <c r="K226" s="788">
        <v>44713</v>
      </c>
      <c r="L226" s="399">
        <v>0</v>
      </c>
      <c r="M226" s="399">
        <v>0</v>
      </c>
      <c r="N226" s="399">
        <v>1.2E-2</v>
      </c>
      <c r="O226" s="399">
        <v>1.2E-2</v>
      </c>
      <c r="P226" s="399">
        <v>1.2E-2</v>
      </c>
      <c r="Q226" s="399">
        <v>1.2E-2</v>
      </c>
      <c r="R226" s="399"/>
      <c r="S226" s="399">
        <v>960.47</v>
      </c>
      <c r="T226" s="399">
        <v>286.42</v>
      </c>
      <c r="U226" s="399"/>
      <c r="V226" s="399">
        <v>14.962680000000001</v>
      </c>
      <c r="W226" s="399">
        <v>14.962680000000001</v>
      </c>
      <c r="X226" s="399">
        <v>11.230919999999999</v>
      </c>
      <c r="Y226" s="399">
        <v>0</v>
      </c>
      <c r="Z226" s="399">
        <v>0.73033678765561794</v>
      </c>
      <c r="AA226" s="399">
        <v>0</v>
      </c>
      <c r="AB226" s="399">
        <v>0</v>
      </c>
      <c r="AC226" s="399">
        <v>0</v>
      </c>
      <c r="AD226" s="399">
        <v>2.0390917310054157</v>
      </c>
      <c r="AE226" s="399">
        <v>7.8761874024429597</v>
      </c>
      <c r="AF226" s="399">
        <v>3.4370801429261517</v>
      </c>
      <c r="AG226" s="399">
        <v>0</v>
      </c>
      <c r="AH226" s="399">
        <v>0</v>
      </c>
      <c r="AI226" s="399">
        <v>0</v>
      </c>
      <c r="AJ226" s="399">
        <v>0</v>
      </c>
      <c r="AK226" s="399">
        <v>0</v>
      </c>
      <c r="AL226" s="399">
        <v>0.1128706674574038</v>
      </c>
      <c r="AM226" s="399"/>
      <c r="AN226" s="399">
        <v>2.0494050796727281E-2</v>
      </c>
      <c r="AO226" s="399">
        <v>0</v>
      </c>
      <c r="AP226" s="399">
        <v>0</v>
      </c>
      <c r="AQ226" s="399">
        <v>0</v>
      </c>
      <c r="AR226" s="399">
        <v>0</v>
      </c>
      <c r="AS226" s="399">
        <v>0</v>
      </c>
      <c r="AT226" s="399">
        <v>0</v>
      </c>
      <c r="AU226" s="399">
        <v>0</v>
      </c>
      <c r="AV226" s="399">
        <v>0</v>
      </c>
      <c r="AW226" s="399">
        <v>0</v>
      </c>
      <c r="AX226" s="399">
        <v>0</v>
      </c>
      <c r="AY226" s="399">
        <v>0</v>
      </c>
      <c r="AZ226" s="399">
        <v>0</v>
      </c>
      <c r="BA226" s="399"/>
      <c r="BB226" s="399">
        <v>0</v>
      </c>
      <c r="BC226" s="399">
        <v>0</v>
      </c>
      <c r="BD226" s="399">
        <v>0</v>
      </c>
      <c r="BE226" s="399">
        <v>0</v>
      </c>
      <c r="BF226" s="399">
        <v>0</v>
      </c>
      <c r="BG226" s="399">
        <v>0.40226782632213964</v>
      </c>
      <c r="BH226" s="399">
        <v>0</v>
      </c>
      <c r="BI226" s="399">
        <v>0</v>
      </c>
      <c r="BJ226" s="399">
        <v>0</v>
      </c>
      <c r="BK226" s="399">
        <v>0</v>
      </c>
      <c r="BL226" s="399">
        <v>0</v>
      </c>
      <c r="BM226" s="399"/>
      <c r="BN226" s="399"/>
      <c r="BO226" s="399"/>
      <c r="BP226" s="399"/>
      <c r="BQ226" s="399"/>
      <c r="BR226" s="399"/>
      <c r="BS226" s="399"/>
      <c r="BT226" s="399"/>
      <c r="BU226" s="399"/>
      <c r="BV226" s="399">
        <v>3.8393479692482915</v>
      </c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399">
        <v>9.3590999999999998</v>
      </c>
      <c r="CJ226" s="399">
        <v>-5.6335800000000003</v>
      </c>
      <c r="CK226" s="399"/>
      <c r="CL226" s="399"/>
      <c r="CM226" s="399"/>
      <c r="CN226" s="399"/>
      <c r="CO226" s="399">
        <v>-2.953920000000001</v>
      </c>
      <c r="CP226" s="399">
        <v>-0.77784000000000031</v>
      </c>
      <c r="CQ226" s="399">
        <v>30</v>
      </c>
      <c r="CR226" s="399">
        <v>-0.85785421497162684</v>
      </c>
      <c r="CS226" s="399">
        <v>0</v>
      </c>
      <c r="CT226" s="399">
        <v>0</v>
      </c>
      <c r="CU226" s="399">
        <v>0</v>
      </c>
      <c r="CV226" s="399">
        <v>0</v>
      </c>
      <c r="CW226" s="399">
        <v>0</v>
      </c>
      <c r="CX226" s="399">
        <v>0</v>
      </c>
      <c r="CY226" s="399">
        <v>0</v>
      </c>
      <c r="CZ226" s="399">
        <v>6.9975322070640278E-2</v>
      </c>
      <c r="DA226" s="399">
        <v>0</v>
      </c>
      <c r="DB226" s="399">
        <v>0</v>
      </c>
      <c r="DC226" s="399">
        <v>-0.77792123384443146</v>
      </c>
      <c r="DD226" s="399">
        <v>0</v>
      </c>
      <c r="DE226" s="399">
        <v>0</v>
      </c>
      <c r="DF226" s="399">
        <v>0</v>
      </c>
      <c r="DG226" s="399">
        <v>-9.104608294702804E-2</v>
      </c>
      <c r="DH226" s="399">
        <v>0</v>
      </c>
      <c r="DI226" s="399">
        <v>-5.0667955705229861E-2</v>
      </c>
      <c r="DJ226" s="399"/>
      <c r="DK226" s="399">
        <v>0</v>
      </c>
      <c r="DL226" s="399">
        <v>0</v>
      </c>
      <c r="DM226" s="399">
        <v>0</v>
      </c>
      <c r="DN226" s="399">
        <v>0</v>
      </c>
      <c r="DO226" s="399">
        <v>-6.4593962655321718E-3</v>
      </c>
      <c r="DP226" s="399">
        <v>-1.7348682800461188E-3</v>
      </c>
      <c r="DQ226" s="399">
        <v>0</v>
      </c>
      <c r="DR226" s="399">
        <v>0</v>
      </c>
      <c r="DS226" s="399"/>
      <c r="DT226" s="399"/>
      <c r="DU226" s="399"/>
      <c r="DV226" s="399">
        <v>7.8761874024429597</v>
      </c>
      <c r="DW226" s="399">
        <v>0</v>
      </c>
      <c r="DX226" s="399">
        <v>0</v>
      </c>
      <c r="DY226" s="399">
        <v>-2.9539200000000019</v>
      </c>
      <c r="DZ226" s="399">
        <v>-0.77784000000000031</v>
      </c>
      <c r="EA226" s="399">
        <v>0</v>
      </c>
      <c r="EB226" s="399">
        <v>0</v>
      </c>
      <c r="EC226" s="399">
        <v>-2.8740217123203475</v>
      </c>
      <c r="ED226" s="399">
        <v>0</v>
      </c>
      <c r="EE226" s="399">
        <v>0</v>
      </c>
      <c r="EF226" s="399">
        <v>0</v>
      </c>
      <c r="EG226" s="399">
        <v>0</v>
      </c>
      <c r="EH226" s="399">
        <v>0</v>
      </c>
      <c r="EI226" s="399">
        <v>0</v>
      </c>
      <c r="EJ226" s="399">
        <v>0</v>
      </c>
      <c r="EK226" s="399">
        <v>0</v>
      </c>
      <c r="EL226" s="399">
        <v>0</v>
      </c>
      <c r="EM226" s="399">
        <v>0</v>
      </c>
      <c r="EN226" s="399">
        <v>0</v>
      </c>
      <c r="EO226" s="399">
        <v>0</v>
      </c>
      <c r="EP226" s="399">
        <v>0.3443787838431972</v>
      </c>
      <c r="EQ226" s="399">
        <v>0</v>
      </c>
      <c r="ER226" s="399">
        <v>0</v>
      </c>
      <c r="ES226" s="399">
        <v>0</v>
      </c>
      <c r="ET226" s="399">
        <v>0</v>
      </c>
      <c r="EU226" s="399">
        <v>0</v>
      </c>
      <c r="EV226" s="399">
        <v>202</v>
      </c>
      <c r="EW226" s="399">
        <v>0</v>
      </c>
      <c r="EX226" s="399">
        <v>0</v>
      </c>
      <c r="EY226" s="399">
        <v>0</v>
      </c>
      <c r="EZ226" s="399"/>
      <c r="FA226" s="399">
        <v>0</v>
      </c>
      <c r="FB226" s="399">
        <v>-17.698635468909799</v>
      </c>
      <c r="FC226" s="399"/>
      <c r="FD226" s="399">
        <v>-17.698635468909799</v>
      </c>
      <c r="FE226" s="399"/>
      <c r="FF226" s="399">
        <v>0</v>
      </c>
      <c r="FG226" s="399">
        <v>0</v>
      </c>
      <c r="FH226" s="399">
        <v>0</v>
      </c>
      <c r="FI226" s="399">
        <v>0</v>
      </c>
    </row>
    <row r="227" spans="1:165">
      <c r="A227" s="399">
        <v>227</v>
      </c>
      <c r="B227" s="399" t="s">
        <v>956</v>
      </c>
      <c r="C227" s="399" t="s">
        <v>2402</v>
      </c>
      <c r="D227" s="399" t="s">
        <v>2411</v>
      </c>
      <c r="E227" s="399" t="s">
        <v>894</v>
      </c>
      <c r="F227" s="399" t="s">
        <v>1239</v>
      </c>
      <c r="G227" s="399" t="s">
        <v>1239</v>
      </c>
      <c r="H227" s="399" t="s">
        <v>1239</v>
      </c>
      <c r="I227" s="399" t="s">
        <v>1239</v>
      </c>
      <c r="J227" s="399" t="s">
        <v>2400</v>
      </c>
      <c r="K227" s="788">
        <v>44713</v>
      </c>
      <c r="L227" s="399">
        <v>0</v>
      </c>
      <c r="M227" s="399">
        <v>0</v>
      </c>
      <c r="N227" s="399">
        <v>94.849000000000004</v>
      </c>
      <c r="O227" s="399">
        <v>94.849000000000004</v>
      </c>
      <c r="P227" s="399">
        <v>94.849000000000004</v>
      </c>
      <c r="Q227" s="399">
        <v>94.849000000000004</v>
      </c>
      <c r="R227" s="399"/>
      <c r="S227" s="399">
        <v>609.05999999999995</v>
      </c>
      <c r="T227" s="399">
        <v>286.42</v>
      </c>
      <c r="U227" s="399"/>
      <c r="V227" s="399">
        <v>84935.382519999999</v>
      </c>
      <c r="W227" s="399">
        <v>84935.382519999999</v>
      </c>
      <c r="X227" s="399">
        <v>64864.385630000004</v>
      </c>
      <c r="Y227" s="399">
        <v>0</v>
      </c>
      <c r="Z227" s="399">
        <v>5772.6428310289757</v>
      </c>
      <c r="AA227" s="399">
        <v>0</v>
      </c>
      <c r="AB227" s="399">
        <v>0</v>
      </c>
      <c r="AC227" s="399">
        <v>0</v>
      </c>
      <c r="AD227" s="399">
        <v>9262.2087710971136</v>
      </c>
      <c r="AE227" s="399">
        <v>35778.180532232727</v>
      </c>
      <c r="AF227" s="399">
        <v>27166.967873033547</v>
      </c>
      <c r="AG227" s="399">
        <v>0</v>
      </c>
      <c r="AH227" s="399">
        <v>0</v>
      </c>
      <c r="AI227" s="399">
        <v>0</v>
      </c>
      <c r="AJ227" s="399">
        <v>0</v>
      </c>
      <c r="AK227" s="399">
        <v>0</v>
      </c>
      <c r="AL227" s="399">
        <v>892.13916147227451</v>
      </c>
      <c r="AM227" s="399"/>
      <c r="AN227" s="399">
        <v>161.98668533489882</v>
      </c>
      <c r="AO227" s="399">
        <v>0</v>
      </c>
      <c r="AP227" s="399">
        <v>0</v>
      </c>
      <c r="AQ227" s="399">
        <v>0</v>
      </c>
      <c r="AR227" s="399">
        <v>0</v>
      </c>
      <c r="AS227" s="399">
        <v>0</v>
      </c>
      <c r="AT227" s="399">
        <v>0</v>
      </c>
      <c r="AU227" s="399">
        <v>0</v>
      </c>
      <c r="AV227" s="399">
        <v>0</v>
      </c>
      <c r="AW227" s="399">
        <v>0</v>
      </c>
      <c r="AX227" s="399">
        <v>0</v>
      </c>
      <c r="AY227" s="399">
        <v>0</v>
      </c>
      <c r="AZ227" s="399">
        <v>0</v>
      </c>
      <c r="BA227" s="399"/>
      <c r="BB227" s="399">
        <v>0</v>
      </c>
      <c r="BC227" s="399">
        <v>0</v>
      </c>
      <c r="BD227" s="399">
        <v>0</v>
      </c>
      <c r="BE227" s="399">
        <v>0</v>
      </c>
      <c r="BF227" s="399">
        <v>0</v>
      </c>
      <c r="BG227" s="399">
        <v>3179.5584215690519</v>
      </c>
      <c r="BH227" s="399">
        <v>0</v>
      </c>
      <c r="BI227" s="399">
        <v>310.97000000000003</v>
      </c>
      <c r="BJ227" s="399">
        <v>1441.48</v>
      </c>
      <c r="BK227" s="399">
        <v>1740.53</v>
      </c>
      <c r="BL227" s="399">
        <v>325</v>
      </c>
      <c r="BM227" s="399"/>
      <c r="BN227" s="399"/>
      <c r="BO227" s="399"/>
      <c r="BP227" s="399"/>
      <c r="BQ227" s="399"/>
      <c r="BR227" s="399">
        <v>7784.2574299999978</v>
      </c>
      <c r="BS227" s="399"/>
      <c r="BT227" s="399"/>
      <c r="BU227" s="399"/>
      <c r="BV227" s="399">
        <v>30346.526294602598</v>
      </c>
      <c r="BW227" s="399"/>
      <c r="BX227" s="399"/>
      <c r="BY227" s="399"/>
      <c r="BZ227" s="399"/>
      <c r="CA227" s="399"/>
      <c r="CB227" s="399"/>
      <c r="CC227" s="399"/>
      <c r="CD227" s="399"/>
      <c r="CE227" s="399"/>
      <c r="CF227" s="399"/>
      <c r="CG227" s="399"/>
      <c r="CH227" s="399"/>
      <c r="CI227" s="399">
        <v>57080.729999999996</v>
      </c>
      <c r="CJ227" s="399">
        <v>-17662.20898000001</v>
      </c>
      <c r="CK227" s="399"/>
      <c r="CL227" s="399"/>
      <c r="CM227" s="399"/>
      <c r="CN227" s="399"/>
      <c r="CO227" s="399">
        <v>-13922.884709999997</v>
      </c>
      <c r="CP227" s="399">
        <v>-6148.1121800000019</v>
      </c>
      <c r="CQ227" s="399">
        <v>30</v>
      </c>
      <c r="CR227" s="399">
        <v>-7015.7916193853889</v>
      </c>
      <c r="CS227" s="399">
        <v>0</v>
      </c>
      <c r="CT227" s="399">
        <v>0</v>
      </c>
      <c r="CU227" s="399">
        <v>0</v>
      </c>
      <c r="CV227" s="399">
        <v>0</v>
      </c>
      <c r="CW227" s="399">
        <v>0</v>
      </c>
      <c r="CX227" s="399">
        <v>0</v>
      </c>
      <c r="CY227" s="399">
        <v>0</v>
      </c>
      <c r="CZ227" s="399">
        <v>317.8503605247879</v>
      </c>
      <c r="DA227" s="399">
        <v>0</v>
      </c>
      <c r="DB227" s="399">
        <v>0</v>
      </c>
      <c r="DC227" s="399">
        <v>-6148.7542590758749</v>
      </c>
      <c r="DD227" s="399">
        <v>0</v>
      </c>
      <c r="DE227" s="399">
        <v>0</v>
      </c>
      <c r="DF227" s="399">
        <v>0</v>
      </c>
      <c r="DG227" s="399">
        <v>-719.63582678688863</v>
      </c>
      <c r="DH227" s="399">
        <v>0</v>
      </c>
      <c r="DI227" s="399">
        <v>-400.48374422377947</v>
      </c>
      <c r="DJ227" s="399"/>
      <c r="DK227" s="399">
        <v>0</v>
      </c>
      <c r="DL227" s="399">
        <v>0</v>
      </c>
      <c r="DM227" s="399">
        <v>0</v>
      </c>
      <c r="DN227" s="399">
        <v>0</v>
      </c>
      <c r="DO227" s="399">
        <v>-51.055606365788435</v>
      </c>
      <c r="DP227" s="399">
        <v>-13.712543457841207</v>
      </c>
      <c r="DQ227" s="399">
        <v>0</v>
      </c>
      <c r="DR227" s="399">
        <v>0</v>
      </c>
      <c r="DS227" s="399"/>
      <c r="DT227" s="399"/>
      <c r="DU227" s="399"/>
      <c r="DV227" s="399">
        <v>35778.180532232727</v>
      </c>
      <c r="DW227" s="399">
        <v>0</v>
      </c>
      <c r="DX227" s="399">
        <v>0</v>
      </c>
      <c r="DY227" s="399">
        <v>-13922.884709999998</v>
      </c>
      <c r="DZ227" s="399">
        <v>-6148.1121800000001</v>
      </c>
      <c r="EA227" s="399">
        <v>0</v>
      </c>
      <c r="EB227" s="399">
        <v>0</v>
      </c>
      <c r="EC227" s="399">
        <v>-13055.462297032165</v>
      </c>
      <c r="ED227" s="399">
        <v>0</v>
      </c>
      <c r="EE227" s="399">
        <v>0</v>
      </c>
      <c r="EF227" s="399">
        <v>0</v>
      </c>
      <c r="EG227" s="399">
        <v>0</v>
      </c>
      <c r="EH227" s="399">
        <v>0</v>
      </c>
      <c r="EI227" s="399">
        <v>0</v>
      </c>
      <c r="EJ227" s="399">
        <v>0</v>
      </c>
      <c r="EK227" s="399">
        <v>0</v>
      </c>
      <c r="EL227" s="399">
        <v>0</v>
      </c>
      <c r="EM227" s="399">
        <v>0</v>
      </c>
      <c r="EN227" s="399">
        <v>0</v>
      </c>
      <c r="EO227" s="399">
        <v>0</v>
      </c>
      <c r="EP227" s="399">
        <v>2721.9986057286178</v>
      </c>
      <c r="EQ227" s="399">
        <v>0</v>
      </c>
      <c r="ER227" s="399">
        <v>0</v>
      </c>
      <c r="ES227" s="399">
        <v>0</v>
      </c>
      <c r="ET227" s="399">
        <v>0</v>
      </c>
      <c r="EU227" s="399">
        <v>0</v>
      </c>
      <c r="EV227" s="399">
        <v>202</v>
      </c>
      <c r="EW227" s="399">
        <v>0</v>
      </c>
      <c r="EX227" s="399">
        <v>0</v>
      </c>
      <c r="EY227" s="399">
        <v>0</v>
      </c>
      <c r="EZ227" s="399"/>
      <c r="FA227" s="399">
        <v>0</v>
      </c>
      <c r="FB227" s="399">
        <v>-12.3890448282368</v>
      </c>
      <c r="FC227" s="399"/>
      <c r="FD227" s="399">
        <v>-17.698635468909799</v>
      </c>
      <c r="FE227" s="399"/>
      <c r="FF227" s="399">
        <v>0</v>
      </c>
      <c r="FG227" s="399">
        <v>0</v>
      </c>
      <c r="FH227" s="399">
        <v>0</v>
      </c>
      <c r="FI227" s="399">
        <v>0</v>
      </c>
    </row>
    <row r="228" spans="1:165">
      <c r="A228" s="399">
        <v>228</v>
      </c>
      <c r="B228" s="399" t="s">
        <v>2403</v>
      </c>
      <c r="C228" s="399" t="s">
        <v>2402</v>
      </c>
      <c r="D228" s="399" t="s">
        <v>2411</v>
      </c>
      <c r="E228" s="399" t="s">
        <v>894</v>
      </c>
      <c r="F228" s="399" t="s">
        <v>1239</v>
      </c>
      <c r="G228" s="399" t="s">
        <v>1239</v>
      </c>
      <c r="H228" s="399" t="s">
        <v>1239</v>
      </c>
      <c r="I228" s="399" t="s">
        <v>1239</v>
      </c>
      <c r="J228" s="399" t="s">
        <v>2400</v>
      </c>
      <c r="K228" s="788">
        <v>44713</v>
      </c>
      <c r="L228" s="399">
        <v>0</v>
      </c>
      <c r="M228" s="399">
        <v>0</v>
      </c>
      <c r="N228" s="399">
        <v>-0.58599999999999997</v>
      </c>
      <c r="O228" s="399">
        <v>-0.58599999999999997</v>
      </c>
      <c r="P228" s="399">
        <v>-0.58599999999999997</v>
      </c>
      <c r="Q228" s="399">
        <v>-0.58599999999999997</v>
      </c>
      <c r="R228" s="399"/>
      <c r="S228" s="399">
        <v>609.05999999999995</v>
      </c>
      <c r="T228" s="399">
        <v>286.42</v>
      </c>
      <c r="U228" s="399"/>
      <c r="V228" s="399">
        <v>-524.75127999999995</v>
      </c>
      <c r="W228" s="399">
        <v>-524.75127999999995</v>
      </c>
      <c r="X228" s="399">
        <v>-400.74781999999999</v>
      </c>
      <c r="Y228" s="399">
        <v>0</v>
      </c>
      <c r="Z228" s="399">
        <v>-35.664779797182675</v>
      </c>
      <c r="AA228" s="399">
        <v>0</v>
      </c>
      <c r="AB228" s="399">
        <v>0</v>
      </c>
      <c r="AC228" s="399">
        <v>0</v>
      </c>
      <c r="AD228" s="399">
        <v>-57.224159873724638</v>
      </c>
      <c r="AE228" s="399">
        <v>-221.04622918415981</v>
      </c>
      <c r="AF228" s="399">
        <v>-167.84408031289374</v>
      </c>
      <c r="AG228" s="399">
        <v>0</v>
      </c>
      <c r="AH228" s="399">
        <v>0</v>
      </c>
      <c r="AI228" s="399">
        <v>0</v>
      </c>
      <c r="AJ228" s="399">
        <v>0</v>
      </c>
      <c r="AK228" s="399">
        <v>0</v>
      </c>
      <c r="AL228" s="399">
        <v>-5.511850927503219</v>
      </c>
      <c r="AM228" s="399"/>
      <c r="AN228" s="399">
        <v>-1.0007928139068487</v>
      </c>
      <c r="AO228" s="399">
        <v>0</v>
      </c>
      <c r="AP228" s="399">
        <v>0</v>
      </c>
      <c r="AQ228" s="399">
        <v>0</v>
      </c>
      <c r="AR228" s="399">
        <v>0</v>
      </c>
      <c r="AS228" s="399">
        <v>0</v>
      </c>
      <c r="AT228" s="399">
        <v>0</v>
      </c>
      <c r="AU228" s="399">
        <v>0</v>
      </c>
      <c r="AV228" s="399">
        <v>0</v>
      </c>
      <c r="AW228" s="399">
        <v>0</v>
      </c>
      <c r="AX228" s="399">
        <v>0</v>
      </c>
      <c r="AY228" s="399">
        <v>0</v>
      </c>
      <c r="AZ228" s="399">
        <v>0</v>
      </c>
      <c r="BA228" s="399"/>
      <c r="BB228" s="399">
        <v>0</v>
      </c>
      <c r="BC228" s="399">
        <v>0</v>
      </c>
      <c r="BD228" s="399">
        <v>0</v>
      </c>
      <c r="BE228" s="399">
        <v>0</v>
      </c>
      <c r="BF228" s="399">
        <v>0</v>
      </c>
      <c r="BG228" s="399">
        <v>-19.644078852064485</v>
      </c>
      <c r="BH228" s="399">
        <v>0</v>
      </c>
      <c r="BI228" s="399">
        <v>-1.95</v>
      </c>
      <c r="BJ228" s="399">
        <v>-8.99</v>
      </c>
      <c r="BK228" s="399">
        <v>0</v>
      </c>
      <c r="BL228" s="399">
        <v>0</v>
      </c>
      <c r="BM228" s="399"/>
      <c r="BN228" s="399"/>
      <c r="BO228" s="399"/>
      <c r="BP228" s="399"/>
      <c r="BQ228" s="399"/>
      <c r="BR228" s="399">
        <v>-48.093019999999974</v>
      </c>
      <c r="BS228" s="399"/>
      <c r="BT228" s="399"/>
      <c r="BU228" s="399"/>
      <c r="BV228" s="399">
        <v>-187.48815916495823</v>
      </c>
      <c r="BW228" s="399"/>
      <c r="BX228" s="399"/>
      <c r="BY228" s="399"/>
      <c r="BZ228" s="399"/>
      <c r="CA228" s="399"/>
      <c r="CB228" s="399"/>
      <c r="CC228" s="399"/>
      <c r="CD228" s="399"/>
      <c r="CE228" s="399"/>
      <c r="CF228" s="399"/>
      <c r="CG228" s="399"/>
      <c r="CH228" s="399"/>
      <c r="CI228" s="399">
        <v>-355.06200000000001</v>
      </c>
      <c r="CJ228" s="399">
        <v>106.68772000000001</v>
      </c>
      <c r="CK228" s="399"/>
      <c r="CL228" s="399"/>
      <c r="CM228" s="399"/>
      <c r="CN228" s="399"/>
      <c r="CO228" s="399">
        <v>86.018939999999972</v>
      </c>
      <c r="CP228" s="399">
        <v>37.98452000000001</v>
      </c>
      <c r="CQ228" s="399">
        <v>30</v>
      </c>
      <c r="CR228" s="399">
        <v>43.345252864656857</v>
      </c>
      <c r="CS228" s="399">
        <v>0</v>
      </c>
      <c r="CT228" s="399">
        <v>0</v>
      </c>
      <c r="CU228" s="399">
        <v>0</v>
      </c>
      <c r="CV228" s="399">
        <v>0</v>
      </c>
      <c r="CW228" s="399">
        <v>0</v>
      </c>
      <c r="CX228" s="399">
        <v>0</v>
      </c>
      <c r="CY228" s="399">
        <v>0</v>
      </c>
      <c r="CZ228" s="399">
        <v>-1.9637561942405881</v>
      </c>
      <c r="DA228" s="399">
        <v>0</v>
      </c>
      <c r="DB228" s="399">
        <v>0</v>
      </c>
      <c r="DC228" s="399">
        <v>37.988486919403073</v>
      </c>
      <c r="DD228" s="399">
        <v>0</v>
      </c>
      <c r="DE228" s="399">
        <v>0</v>
      </c>
      <c r="DF228" s="399">
        <v>0</v>
      </c>
      <c r="DG228" s="399">
        <v>4.4460837172465375</v>
      </c>
      <c r="DH228" s="399">
        <v>0</v>
      </c>
      <c r="DI228" s="399">
        <v>2.4742851702720614</v>
      </c>
      <c r="DJ228" s="399"/>
      <c r="DK228" s="399">
        <v>0</v>
      </c>
      <c r="DL228" s="399">
        <v>0</v>
      </c>
      <c r="DM228" s="399">
        <v>0</v>
      </c>
      <c r="DN228" s="399">
        <v>0</v>
      </c>
      <c r="DO228" s="399">
        <v>0.31543385096682108</v>
      </c>
      <c r="DP228" s="399">
        <v>8.4719401008918727E-2</v>
      </c>
      <c r="DQ228" s="399">
        <v>0</v>
      </c>
      <c r="DR228" s="399">
        <v>0</v>
      </c>
      <c r="DS228" s="399"/>
      <c r="DT228" s="399"/>
      <c r="DU228" s="399"/>
      <c r="DV228" s="399">
        <v>-221.04622918415981</v>
      </c>
      <c r="DW228" s="399">
        <v>0</v>
      </c>
      <c r="DX228" s="399">
        <v>0</v>
      </c>
      <c r="DY228" s="399">
        <v>86.01893999999993</v>
      </c>
      <c r="DZ228" s="399">
        <v>37.984520000000003</v>
      </c>
      <c r="EA228" s="399">
        <v>0</v>
      </c>
      <c r="EB228" s="399">
        <v>0</v>
      </c>
      <c r="EC228" s="399">
        <v>80.659795106546682</v>
      </c>
      <c r="ED228" s="399">
        <v>0</v>
      </c>
      <c r="EE228" s="399">
        <v>0</v>
      </c>
      <c r="EF228" s="399">
        <v>0</v>
      </c>
      <c r="EG228" s="399">
        <v>0</v>
      </c>
      <c r="EH228" s="399">
        <v>0</v>
      </c>
      <c r="EI228" s="399">
        <v>0</v>
      </c>
      <c r="EJ228" s="399">
        <v>0</v>
      </c>
      <c r="EK228" s="399">
        <v>0</v>
      </c>
      <c r="EL228" s="399">
        <v>0</v>
      </c>
      <c r="EM228" s="399">
        <v>0</v>
      </c>
      <c r="EN228" s="399">
        <v>0</v>
      </c>
      <c r="EO228" s="399">
        <v>0</v>
      </c>
      <c r="EP228" s="399">
        <v>-16.817163944342795</v>
      </c>
      <c r="EQ228" s="399">
        <v>0</v>
      </c>
      <c r="ER228" s="399">
        <v>0</v>
      </c>
      <c r="ES228" s="399">
        <v>0</v>
      </c>
      <c r="ET228" s="399">
        <v>0</v>
      </c>
      <c r="EU228" s="399">
        <v>0</v>
      </c>
      <c r="EV228" s="399">
        <v>202</v>
      </c>
      <c r="EW228" s="399">
        <v>0</v>
      </c>
      <c r="EX228" s="399">
        <v>0</v>
      </c>
      <c r="EY228" s="399">
        <v>0</v>
      </c>
      <c r="EZ228" s="399"/>
      <c r="FA228" s="399">
        <v>0</v>
      </c>
      <c r="FB228" s="399">
        <v>-12.3890448282368</v>
      </c>
      <c r="FC228" s="399"/>
      <c r="FD228" s="399">
        <v>-17.698635468909799</v>
      </c>
      <c r="FE228" s="399"/>
      <c r="FF228" s="399">
        <v>0</v>
      </c>
      <c r="FG228" s="399">
        <v>0</v>
      </c>
      <c r="FH228" s="399">
        <v>0</v>
      </c>
      <c r="FI228" s="399">
        <v>0</v>
      </c>
    </row>
    <row r="229" spans="1:165">
      <c r="A229" s="399">
        <v>229</v>
      </c>
      <c r="B229" s="399" t="s">
        <v>2404</v>
      </c>
      <c r="C229" s="399" t="s">
        <v>2402</v>
      </c>
      <c r="D229" s="399" t="s">
        <v>2411</v>
      </c>
      <c r="E229" s="399" t="s">
        <v>894</v>
      </c>
      <c r="F229" s="399" t="s">
        <v>1239</v>
      </c>
      <c r="G229" s="399" t="s">
        <v>1239</v>
      </c>
      <c r="H229" s="399" t="s">
        <v>1239</v>
      </c>
      <c r="I229" s="399" t="s">
        <v>1239</v>
      </c>
      <c r="J229" s="399" t="s">
        <v>2400</v>
      </c>
      <c r="K229" s="788">
        <v>44713</v>
      </c>
      <c r="L229" s="399">
        <v>0</v>
      </c>
      <c r="M229" s="399">
        <v>0</v>
      </c>
      <c r="N229" s="399">
        <v>1.64</v>
      </c>
      <c r="O229" s="399">
        <v>1.64</v>
      </c>
      <c r="P229" s="399">
        <v>1.64</v>
      </c>
      <c r="Q229" s="399">
        <v>1.64</v>
      </c>
      <c r="R229" s="399"/>
      <c r="S229" s="399">
        <v>609.05999999999995</v>
      </c>
      <c r="T229" s="399">
        <v>286.42</v>
      </c>
      <c r="U229" s="399"/>
      <c r="V229" s="399">
        <v>1468.5871999999999</v>
      </c>
      <c r="W229" s="399">
        <v>1468.5871999999999</v>
      </c>
      <c r="X229" s="399">
        <v>1121.5467999999998</v>
      </c>
      <c r="Y229" s="399">
        <v>0</v>
      </c>
      <c r="Z229" s="399">
        <v>99.812694312934454</v>
      </c>
      <c r="AA229" s="399">
        <v>0</v>
      </c>
      <c r="AB229" s="399">
        <v>0</v>
      </c>
      <c r="AC229" s="399">
        <v>0</v>
      </c>
      <c r="AD229" s="399">
        <v>160.14952592646486</v>
      </c>
      <c r="AE229" s="399">
        <v>618.62767211949165</v>
      </c>
      <c r="AF229" s="399">
        <v>469.73428619990739</v>
      </c>
      <c r="AG229" s="399">
        <v>0</v>
      </c>
      <c r="AH229" s="399">
        <v>0</v>
      </c>
      <c r="AI229" s="399">
        <v>0</v>
      </c>
      <c r="AJ229" s="399">
        <v>0</v>
      </c>
      <c r="AK229" s="399">
        <v>0</v>
      </c>
      <c r="AL229" s="399">
        <v>15.425657885845185</v>
      </c>
      <c r="AM229" s="399"/>
      <c r="AN229" s="399">
        <v>2.8008536088860616</v>
      </c>
      <c r="AO229" s="399">
        <v>0</v>
      </c>
      <c r="AP229" s="399">
        <v>0</v>
      </c>
      <c r="AQ229" s="399">
        <v>0</v>
      </c>
      <c r="AR229" s="399">
        <v>0</v>
      </c>
      <c r="AS229" s="399">
        <v>0</v>
      </c>
      <c r="AT229" s="399">
        <v>0</v>
      </c>
      <c r="AU229" s="399">
        <v>0</v>
      </c>
      <c r="AV229" s="399">
        <v>0</v>
      </c>
      <c r="AW229" s="399">
        <v>0</v>
      </c>
      <c r="AX229" s="399">
        <v>0</v>
      </c>
      <c r="AY229" s="399">
        <v>0</v>
      </c>
      <c r="AZ229" s="399">
        <v>0</v>
      </c>
      <c r="BA229" s="399"/>
      <c r="BB229" s="399">
        <v>0</v>
      </c>
      <c r="BC229" s="399">
        <v>0</v>
      </c>
      <c r="BD229" s="399">
        <v>0</v>
      </c>
      <c r="BE229" s="399">
        <v>0</v>
      </c>
      <c r="BF229" s="399">
        <v>0</v>
      </c>
      <c r="BG229" s="399">
        <v>54.976602930692415</v>
      </c>
      <c r="BH229" s="399">
        <v>0</v>
      </c>
      <c r="BI229" s="399">
        <v>3.63</v>
      </c>
      <c r="BJ229" s="399">
        <v>16.809999999999999</v>
      </c>
      <c r="BK229" s="399">
        <v>0</v>
      </c>
      <c r="BL229" s="399">
        <v>5</v>
      </c>
      <c r="BM229" s="399"/>
      <c r="BN229" s="399"/>
      <c r="BO229" s="399"/>
      <c r="BP229" s="399"/>
      <c r="BQ229" s="399"/>
      <c r="BR229" s="399">
        <v>134.59479999999994</v>
      </c>
      <c r="BS229" s="399"/>
      <c r="BT229" s="399"/>
      <c r="BU229" s="399"/>
      <c r="BV229" s="399">
        <v>524.71088913059975</v>
      </c>
      <c r="BW229" s="399"/>
      <c r="BX229" s="399"/>
      <c r="BY229" s="399"/>
      <c r="BZ229" s="399"/>
      <c r="CA229" s="399"/>
      <c r="CB229" s="399"/>
      <c r="CC229" s="399"/>
      <c r="CD229" s="399"/>
      <c r="CE229" s="399"/>
      <c r="CF229" s="399"/>
      <c r="CG229" s="399"/>
      <c r="CH229" s="399"/>
      <c r="CI229" s="399">
        <v>986.95199999999988</v>
      </c>
      <c r="CJ229" s="399">
        <v>-305.4308000000002</v>
      </c>
      <c r="CK229" s="399"/>
      <c r="CL229" s="399"/>
      <c r="CM229" s="399"/>
      <c r="CN229" s="399"/>
      <c r="CO229" s="399">
        <v>-240.73559999999992</v>
      </c>
      <c r="CP229" s="399">
        <v>-106.30480000000003</v>
      </c>
      <c r="CQ229" s="399">
        <v>30</v>
      </c>
      <c r="CR229" s="399">
        <v>-121.30753361439804</v>
      </c>
      <c r="CS229" s="399">
        <v>0</v>
      </c>
      <c r="CT229" s="399">
        <v>0</v>
      </c>
      <c r="CU229" s="399">
        <v>0</v>
      </c>
      <c r="CV229" s="399">
        <v>0</v>
      </c>
      <c r="CW229" s="399">
        <v>0</v>
      </c>
      <c r="CX229" s="399">
        <v>0</v>
      </c>
      <c r="CY229" s="399">
        <v>0</v>
      </c>
      <c r="CZ229" s="399">
        <v>5.4958364480453383</v>
      </c>
      <c r="DA229" s="399">
        <v>0</v>
      </c>
      <c r="DB229" s="399">
        <v>0</v>
      </c>
      <c r="DC229" s="399">
        <v>-106.315901958739</v>
      </c>
      <c r="DD229" s="399">
        <v>0</v>
      </c>
      <c r="DE229" s="399">
        <v>0</v>
      </c>
      <c r="DF229" s="399">
        <v>0</v>
      </c>
      <c r="DG229" s="399">
        <v>-12.44296466942717</v>
      </c>
      <c r="DH229" s="399">
        <v>0</v>
      </c>
      <c r="DI229" s="399">
        <v>-6.9246206130480914</v>
      </c>
      <c r="DJ229" s="399"/>
      <c r="DK229" s="399">
        <v>0</v>
      </c>
      <c r="DL229" s="399">
        <v>0</v>
      </c>
      <c r="DM229" s="399">
        <v>0</v>
      </c>
      <c r="DN229" s="399">
        <v>0</v>
      </c>
      <c r="DO229" s="399">
        <v>-0.88278415628939655</v>
      </c>
      <c r="DP229" s="399">
        <v>-0.23709866493963627</v>
      </c>
      <c r="DQ229" s="399">
        <v>0</v>
      </c>
      <c r="DR229" s="399">
        <v>0</v>
      </c>
      <c r="DS229" s="399"/>
      <c r="DT229" s="399"/>
      <c r="DU229" s="399"/>
      <c r="DV229" s="399">
        <v>618.62767211949165</v>
      </c>
      <c r="DW229" s="399">
        <v>0</v>
      </c>
      <c r="DX229" s="399">
        <v>0</v>
      </c>
      <c r="DY229" s="399">
        <v>-240.73559999999998</v>
      </c>
      <c r="DZ229" s="399">
        <v>-106.3048</v>
      </c>
      <c r="EA229" s="399">
        <v>0</v>
      </c>
      <c r="EB229" s="399">
        <v>0</v>
      </c>
      <c r="EC229" s="399">
        <v>-225.73731053709309</v>
      </c>
      <c r="ED229" s="399">
        <v>0</v>
      </c>
      <c r="EE229" s="399">
        <v>0</v>
      </c>
      <c r="EF229" s="399">
        <v>0</v>
      </c>
      <c r="EG229" s="399">
        <v>0</v>
      </c>
      <c r="EH229" s="399">
        <v>0</v>
      </c>
      <c r="EI229" s="399">
        <v>0</v>
      </c>
      <c r="EJ229" s="399">
        <v>0</v>
      </c>
      <c r="EK229" s="399">
        <v>0</v>
      </c>
      <c r="EL229" s="399">
        <v>0</v>
      </c>
      <c r="EM229" s="399">
        <v>0</v>
      </c>
      <c r="EN229" s="399">
        <v>0</v>
      </c>
      <c r="EO229" s="399">
        <v>0</v>
      </c>
      <c r="EP229" s="399">
        <v>47.065100458570278</v>
      </c>
      <c r="EQ229" s="399">
        <v>0</v>
      </c>
      <c r="ER229" s="399">
        <v>0</v>
      </c>
      <c r="ES229" s="399">
        <v>0</v>
      </c>
      <c r="ET229" s="399">
        <v>0</v>
      </c>
      <c r="EU229" s="399">
        <v>0</v>
      </c>
      <c r="EV229" s="399">
        <v>202</v>
      </c>
      <c r="EW229" s="399">
        <v>0</v>
      </c>
      <c r="EX229" s="399">
        <v>0</v>
      </c>
      <c r="EY229" s="399">
        <v>0</v>
      </c>
      <c r="EZ229" s="399"/>
      <c r="FA229" s="399">
        <v>0</v>
      </c>
      <c r="FB229" s="399">
        <v>-12.3890448282368</v>
      </c>
      <c r="FC229" s="399"/>
      <c r="FD229" s="399">
        <v>-17.698635468909799</v>
      </c>
      <c r="FE229" s="399"/>
      <c r="FF229" s="399">
        <v>0</v>
      </c>
      <c r="FG229" s="399">
        <v>0</v>
      </c>
      <c r="FH229" s="399">
        <v>0</v>
      </c>
      <c r="FI229" s="399">
        <v>0</v>
      </c>
    </row>
    <row r="230" spans="1:165">
      <c r="A230" s="399">
        <v>222</v>
      </c>
      <c r="B230" s="399" t="s">
        <v>956</v>
      </c>
      <c r="C230" s="399" t="s">
        <v>2402</v>
      </c>
      <c r="D230" s="399" t="s">
        <v>1826</v>
      </c>
      <c r="E230" s="399" t="s">
        <v>918</v>
      </c>
      <c r="F230" s="399" t="s">
        <v>1239</v>
      </c>
      <c r="G230" s="399" t="s">
        <v>1239</v>
      </c>
      <c r="H230" s="399" t="s">
        <v>1239</v>
      </c>
      <c r="I230" s="399" t="s">
        <v>1239</v>
      </c>
      <c r="J230" s="399" t="s">
        <v>2400</v>
      </c>
      <c r="K230" s="788">
        <v>44713</v>
      </c>
      <c r="L230" s="399">
        <v>0</v>
      </c>
      <c r="M230" s="399">
        <v>0</v>
      </c>
      <c r="N230" s="399">
        <v>16.850000000000001</v>
      </c>
      <c r="O230" s="399">
        <v>16.850000000000001</v>
      </c>
      <c r="P230" s="399">
        <v>16.850000000000001</v>
      </c>
      <c r="Q230" s="399">
        <v>16.850000000000001</v>
      </c>
      <c r="R230" s="399"/>
      <c r="S230" s="399">
        <v>609.05999999999995</v>
      </c>
      <c r="T230" s="399">
        <v>286.42</v>
      </c>
      <c r="U230" s="399"/>
      <c r="V230" s="399">
        <v>15088.838</v>
      </c>
      <c r="W230" s="399">
        <v>15088.838</v>
      </c>
      <c r="X230" s="399">
        <v>11523.209500000001</v>
      </c>
      <c r="Y230" s="399">
        <v>0</v>
      </c>
      <c r="Z230" s="399">
        <v>1025.5145726664302</v>
      </c>
      <c r="AA230" s="399">
        <v>0</v>
      </c>
      <c r="AB230" s="399">
        <v>0</v>
      </c>
      <c r="AC230" s="399">
        <v>0</v>
      </c>
      <c r="AD230" s="399">
        <v>1645.4387267444715</v>
      </c>
      <c r="AE230" s="399">
        <v>6356.0221190325829</v>
      </c>
      <c r="AF230" s="399">
        <v>4826.2333673588055</v>
      </c>
      <c r="AG230" s="399">
        <v>0</v>
      </c>
      <c r="AH230" s="399">
        <v>0</v>
      </c>
      <c r="AI230" s="399">
        <v>0</v>
      </c>
      <c r="AJ230" s="399">
        <v>0</v>
      </c>
      <c r="AK230" s="399">
        <v>0</v>
      </c>
      <c r="AL230" s="399">
        <v>158.48922888810452</v>
      </c>
      <c r="AM230" s="399"/>
      <c r="AN230" s="399">
        <v>28.777062993737893</v>
      </c>
      <c r="AO230" s="399">
        <v>0</v>
      </c>
      <c r="AP230" s="399">
        <v>0</v>
      </c>
      <c r="AQ230" s="399">
        <v>0</v>
      </c>
      <c r="AR230" s="399">
        <v>0</v>
      </c>
      <c r="AS230" s="399">
        <v>0</v>
      </c>
      <c r="AT230" s="399">
        <v>0</v>
      </c>
      <c r="AU230" s="399">
        <v>0</v>
      </c>
      <c r="AV230" s="399">
        <v>0</v>
      </c>
      <c r="AW230" s="399">
        <v>0</v>
      </c>
      <c r="AX230" s="399">
        <v>0</v>
      </c>
      <c r="AY230" s="399">
        <v>0</v>
      </c>
      <c r="AZ230" s="399">
        <v>0</v>
      </c>
      <c r="BA230" s="399"/>
      <c r="BB230" s="399">
        <v>0</v>
      </c>
      <c r="BC230" s="399">
        <v>0</v>
      </c>
      <c r="BD230" s="399">
        <v>0</v>
      </c>
      <c r="BE230" s="399">
        <v>0</v>
      </c>
      <c r="BF230" s="399">
        <v>0</v>
      </c>
      <c r="BG230" s="399">
        <v>564.85107279400449</v>
      </c>
      <c r="BH230" s="399">
        <v>0</v>
      </c>
      <c r="BI230" s="399">
        <v>47.3</v>
      </c>
      <c r="BJ230" s="399">
        <v>219.03</v>
      </c>
      <c r="BK230" s="399">
        <v>2587.73</v>
      </c>
      <c r="BL230" s="399">
        <v>43</v>
      </c>
      <c r="BM230" s="399"/>
      <c r="BN230" s="399"/>
      <c r="BO230" s="399"/>
      <c r="BP230" s="399"/>
      <c r="BQ230" s="399"/>
      <c r="BR230" s="399"/>
      <c r="BS230" s="399"/>
      <c r="BT230" s="399"/>
      <c r="BU230" s="399"/>
      <c r="BV230" s="399">
        <v>5391.0844401528102</v>
      </c>
      <c r="BW230" s="399"/>
      <c r="BX230" s="399"/>
      <c r="BY230" s="399"/>
      <c r="BZ230" s="399"/>
      <c r="CA230" s="399"/>
      <c r="CB230" s="399"/>
      <c r="CC230" s="399"/>
      <c r="CD230" s="399"/>
      <c r="CE230" s="399"/>
      <c r="CF230" s="399"/>
      <c r="CG230" s="399"/>
      <c r="CH230" s="399"/>
      <c r="CI230" s="399">
        <v>11523.209500000001</v>
      </c>
      <c r="CJ230" s="399">
        <v>-3565.6584999999995</v>
      </c>
      <c r="CK230" s="399"/>
      <c r="CL230" s="399"/>
      <c r="CM230" s="399"/>
      <c r="CN230" s="399"/>
      <c r="CO230" s="399">
        <v>-2473.4114999999997</v>
      </c>
      <c r="CP230" s="399">
        <v>-1092.2170000000006</v>
      </c>
      <c r="CQ230" s="399">
        <v>30</v>
      </c>
      <c r="CR230" s="399">
        <v>-1246.3609398796398</v>
      </c>
      <c r="CS230" s="399">
        <v>0</v>
      </c>
      <c r="CT230" s="399">
        <v>0</v>
      </c>
      <c r="CU230" s="399">
        <v>0</v>
      </c>
      <c r="CV230" s="399">
        <v>0</v>
      </c>
      <c r="CW230" s="399">
        <v>0</v>
      </c>
      <c r="CX230" s="399">
        <v>0</v>
      </c>
      <c r="CY230" s="399">
        <v>0</v>
      </c>
      <c r="CZ230" s="399">
        <v>56.466368383880308</v>
      </c>
      <c r="DA230" s="399">
        <v>0</v>
      </c>
      <c r="DB230" s="399">
        <v>0</v>
      </c>
      <c r="DC230" s="399">
        <v>-1092.3310658565565</v>
      </c>
      <c r="DD230" s="399">
        <v>0</v>
      </c>
      <c r="DE230" s="399">
        <v>0</v>
      </c>
      <c r="DF230" s="399">
        <v>0</v>
      </c>
      <c r="DG230" s="399">
        <v>-127.84387480478529</v>
      </c>
      <c r="DH230" s="399">
        <v>0</v>
      </c>
      <c r="DI230" s="399">
        <v>-71.146254469426935</v>
      </c>
      <c r="DJ230" s="399"/>
      <c r="DK230" s="399">
        <v>0</v>
      </c>
      <c r="DL230" s="399">
        <v>0</v>
      </c>
      <c r="DM230" s="399">
        <v>0</v>
      </c>
      <c r="DN230" s="399">
        <v>0</v>
      </c>
      <c r="DO230" s="399">
        <v>-9.0700689228514193</v>
      </c>
      <c r="DP230" s="399">
        <v>-2.4360442098980926</v>
      </c>
      <c r="DQ230" s="399">
        <v>0</v>
      </c>
      <c r="DR230" s="399">
        <v>0</v>
      </c>
      <c r="DS230" s="399"/>
      <c r="DT230" s="399"/>
      <c r="DU230" s="399"/>
      <c r="DV230" s="399">
        <v>6356.0221190325829</v>
      </c>
      <c r="DW230" s="399">
        <v>0</v>
      </c>
      <c r="DX230" s="399">
        <v>0</v>
      </c>
      <c r="DY230" s="399">
        <v>-2473.4115000000002</v>
      </c>
      <c r="DZ230" s="399">
        <v>-1092.2170000000006</v>
      </c>
      <c r="EA230" s="399">
        <v>0</v>
      </c>
      <c r="EB230" s="399">
        <v>0</v>
      </c>
      <c r="EC230" s="399">
        <v>-2319.3132210670851</v>
      </c>
      <c r="ED230" s="399">
        <v>0</v>
      </c>
      <c r="EE230" s="399">
        <v>0</v>
      </c>
      <c r="EF230" s="399">
        <v>0</v>
      </c>
      <c r="EG230" s="399">
        <v>0</v>
      </c>
      <c r="EH230" s="399">
        <v>0</v>
      </c>
      <c r="EI230" s="399">
        <v>0</v>
      </c>
      <c r="EJ230" s="399">
        <v>0</v>
      </c>
      <c r="EK230" s="399">
        <v>0</v>
      </c>
      <c r="EL230" s="399">
        <v>0</v>
      </c>
      <c r="EM230" s="399">
        <v>0</v>
      </c>
      <c r="EN230" s="399">
        <v>0</v>
      </c>
      <c r="EO230" s="399">
        <v>0</v>
      </c>
      <c r="EP230" s="399">
        <v>483.56520897982273</v>
      </c>
      <c r="EQ230" s="399">
        <v>0</v>
      </c>
      <c r="ER230" s="399">
        <v>0</v>
      </c>
      <c r="ES230" s="399">
        <v>0</v>
      </c>
      <c r="ET230" s="399">
        <v>0</v>
      </c>
      <c r="EU230" s="399">
        <v>0</v>
      </c>
      <c r="EV230" s="399">
        <v>202</v>
      </c>
      <c r="EW230" s="399">
        <v>0</v>
      </c>
      <c r="EX230" s="399">
        <v>0</v>
      </c>
      <c r="EY230" s="399">
        <v>0</v>
      </c>
      <c r="EZ230" s="399"/>
      <c r="FA230" s="399">
        <v>0</v>
      </c>
      <c r="FB230" s="399">
        <v>-17.698635468909799</v>
      </c>
      <c r="FC230" s="399"/>
      <c r="FD230" s="399">
        <v>-17.698635468909799</v>
      </c>
      <c r="FE230" s="399"/>
      <c r="FF230" s="399">
        <v>0</v>
      </c>
      <c r="FG230" s="399">
        <v>0</v>
      </c>
      <c r="FH230" s="399">
        <v>0</v>
      </c>
      <c r="FI230" s="399">
        <v>0</v>
      </c>
    </row>
    <row r="231" spans="1:165">
      <c r="A231" s="399">
        <v>223</v>
      </c>
      <c r="B231" s="399" t="s">
        <v>2403</v>
      </c>
      <c r="C231" s="399" t="s">
        <v>2402</v>
      </c>
      <c r="D231" s="399" t="s">
        <v>1826</v>
      </c>
      <c r="E231" s="399" t="s">
        <v>918</v>
      </c>
      <c r="F231" s="399" t="s">
        <v>1239</v>
      </c>
      <c r="G231" s="399" t="s">
        <v>1239</v>
      </c>
      <c r="H231" s="399" t="s">
        <v>1239</v>
      </c>
      <c r="I231" s="399" t="s">
        <v>1239</v>
      </c>
      <c r="J231" s="399" t="s">
        <v>2400</v>
      </c>
      <c r="K231" s="788">
        <v>44713</v>
      </c>
      <c r="L231" s="399">
        <v>0</v>
      </c>
      <c r="M231" s="399">
        <v>0</v>
      </c>
      <c r="N231" s="399">
        <v>-0.26300000000000001</v>
      </c>
      <c r="O231" s="399">
        <v>-0.26300000000000001</v>
      </c>
      <c r="P231" s="399">
        <v>-0.26300000000000001</v>
      </c>
      <c r="Q231" s="399">
        <v>-0.26300000000000001</v>
      </c>
      <c r="R231" s="399"/>
      <c r="S231" s="399">
        <v>609.05999999999995</v>
      </c>
      <c r="T231" s="399">
        <v>286.42</v>
      </c>
      <c r="U231" s="399"/>
      <c r="V231" s="399">
        <v>-235.51123999999999</v>
      </c>
      <c r="W231" s="399">
        <v>-235.51123999999999</v>
      </c>
      <c r="X231" s="399">
        <v>-179.85781</v>
      </c>
      <c r="Y231" s="399">
        <v>0</v>
      </c>
      <c r="Z231" s="399">
        <v>-16.006547929452296</v>
      </c>
      <c r="AA231" s="399">
        <v>0</v>
      </c>
      <c r="AB231" s="399">
        <v>0</v>
      </c>
      <c r="AC231" s="399">
        <v>0</v>
      </c>
      <c r="AD231" s="399">
        <v>-25.682515438207478</v>
      </c>
      <c r="AE231" s="399">
        <v>-99.206754736235567</v>
      </c>
      <c r="AF231" s="399">
        <v>-75.329339799131489</v>
      </c>
      <c r="AG231" s="399">
        <v>0</v>
      </c>
      <c r="AH231" s="399">
        <v>0</v>
      </c>
      <c r="AI231" s="399">
        <v>0</v>
      </c>
      <c r="AJ231" s="399">
        <v>0</v>
      </c>
      <c r="AK231" s="399">
        <v>0</v>
      </c>
      <c r="AL231" s="399">
        <v>-2.4737487951081003</v>
      </c>
      <c r="AM231" s="399"/>
      <c r="AN231" s="399">
        <v>-0.44916127996160626</v>
      </c>
      <c r="AO231" s="399">
        <v>0</v>
      </c>
      <c r="AP231" s="399">
        <v>0</v>
      </c>
      <c r="AQ231" s="399">
        <v>0</v>
      </c>
      <c r="AR231" s="399">
        <v>0</v>
      </c>
      <c r="AS231" s="399">
        <v>0</v>
      </c>
      <c r="AT231" s="399">
        <v>0</v>
      </c>
      <c r="AU231" s="399">
        <v>0</v>
      </c>
      <c r="AV231" s="399">
        <v>0</v>
      </c>
      <c r="AW231" s="399">
        <v>0</v>
      </c>
      <c r="AX231" s="399">
        <v>0</v>
      </c>
      <c r="AY231" s="399">
        <v>0</v>
      </c>
      <c r="AZ231" s="399">
        <v>0</v>
      </c>
      <c r="BA231" s="399"/>
      <c r="BB231" s="399">
        <v>0</v>
      </c>
      <c r="BC231" s="399">
        <v>0</v>
      </c>
      <c r="BD231" s="399">
        <v>0</v>
      </c>
      <c r="BE231" s="399">
        <v>0</v>
      </c>
      <c r="BF231" s="399">
        <v>0</v>
      </c>
      <c r="BG231" s="399">
        <v>-8.8163698602268941</v>
      </c>
      <c r="BH231" s="399">
        <v>0</v>
      </c>
      <c r="BI231" s="399">
        <v>-1.21</v>
      </c>
      <c r="BJ231" s="399">
        <v>-5.6</v>
      </c>
      <c r="BK231" s="399">
        <v>-40.97</v>
      </c>
      <c r="BL231" s="399">
        <v>0</v>
      </c>
      <c r="BM231" s="399"/>
      <c r="BN231" s="399"/>
      <c r="BO231" s="399"/>
      <c r="BP231" s="399"/>
      <c r="BQ231" s="399"/>
      <c r="BR231" s="399"/>
      <c r="BS231" s="399"/>
      <c r="BT231" s="399"/>
      <c r="BU231" s="399"/>
      <c r="BV231" s="399">
        <v>-84.145709659358388</v>
      </c>
      <c r="BW231" s="399"/>
      <c r="BX231" s="399"/>
      <c r="BY231" s="399"/>
      <c r="BZ231" s="399"/>
      <c r="CA231" s="399"/>
      <c r="CB231" s="399"/>
      <c r="CC231" s="399"/>
      <c r="CD231" s="399"/>
      <c r="CE231" s="399"/>
      <c r="CF231" s="399"/>
      <c r="CG231" s="399"/>
      <c r="CH231" s="399"/>
      <c r="CI231" s="399">
        <v>-177.80619999999999</v>
      </c>
      <c r="CJ231" s="399">
        <v>57.675040000000024</v>
      </c>
      <c r="CK231" s="399"/>
      <c r="CL231" s="399"/>
      <c r="CM231" s="399"/>
      <c r="CN231" s="399"/>
      <c r="CO231" s="399">
        <v>38.605769999999993</v>
      </c>
      <c r="CP231" s="399">
        <v>17.047660000000008</v>
      </c>
      <c r="CQ231" s="399">
        <v>30</v>
      </c>
      <c r="CR231" s="399">
        <v>19.453586183284543</v>
      </c>
      <c r="CS231" s="399">
        <v>0</v>
      </c>
      <c r="CT231" s="399">
        <v>0</v>
      </c>
      <c r="CU231" s="399">
        <v>0</v>
      </c>
      <c r="CV231" s="399">
        <v>0</v>
      </c>
      <c r="CW231" s="399">
        <v>0</v>
      </c>
      <c r="CX231" s="399">
        <v>0</v>
      </c>
      <c r="CY231" s="399">
        <v>0</v>
      </c>
      <c r="CZ231" s="399">
        <v>-0.8813445035584877</v>
      </c>
      <c r="DA231" s="399">
        <v>0</v>
      </c>
      <c r="DB231" s="399">
        <v>0</v>
      </c>
      <c r="DC231" s="399">
        <v>17.049440375090455</v>
      </c>
      <c r="DD231" s="399">
        <v>0</v>
      </c>
      <c r="DE231" s="399">
        <v>0</v>
      </c>
      <c r="DF231" s="399">
        <v>0</v>
      </c>
      <c r="DG231" s="399">
        <v>1.9954266512556984</v>
      </c>
      <c r="DH231" s="399">
        <v>0</v>
      </c>
      <c r="DI231" s="399">
        <v>1.1104726958729572</v>
      </c>
      <c r="DJ231" s="399"/>
      <c r="DK231" s="399">
        <v>0</v>
      </c>
      <c r="DL231" s="399">
        <v>0</v>
      </c>
      <c r="DM231" s="399">
        <v>0</v>
      </c>
      <c r="DN231" s="399">
        <v>0</v>
      </c>
      <c r="DO231" s="399">
        <v>0.14156843481958026</v>
      </c>
      <c r="DP231" s="399">
        <v>3.8022529804344118E-2</v>
      </c>
      <c r="DQ231" s="399">
        <v>0</v>
      </c>
      <c r="DR231" s="399">
        <v>0</v>
      </c>
      <c r="DS231" s="399"/>
      <c r="DT231" s="399"/>
      <c r="DU231" s="399"/>
      <c r="DV231" s="399">
        <v>-99.206754736235567</v>
      </c>
      <c r="DW231" s="399">
        <v>0</v>
      </c>
      <c r="DX231" s="399">
        <v>0</v>
      </c>
      <c r="DY231" s="399">
        <v>38.605769999999978</v>
      </c>
      <c r="DZ231" s="399">
        <v>17.047660000000008</v>
      </c>
      <c r="EA231" s="399">
        <v>0</v>
      </c>
      <c r="EB231" s="399">
        <v>0</v>
      </c>
      <c r="EC231" s="399">
        <v>36.200556506863109</v>
      </c>
      <c r="ED231" s="399">
        <v>0</v>
      </c>
      <c r="EE231" s="399">
        <v>0</v>
      </c>
      <c r="EF231" s="399">
        <v>0</v>
      </c>
      <c r="EG231" s="399">
        <v>0</v>
      </c>
      <c r="EH231" s="399">
        <v>0</v>
      </c>
      <c r="EI231" s="399">
        <v>0</v>
      </c>
      <c r="EJ231" s="399">
        <v>0</v>
      </c>
      <c r="EK231" s="399">
        <v>0</v>
      </c>
      <c r="EL231" s="399">
        <v>0</v>
      </c>
      <c r="EM231" s="399">
        <v>0</v>
      </c>
      <c r="EN231" s="399">
        <v>0</v>
      </c>
      <c r="EO231" s="399">
        <v>0</v>
      </c>
      <c r="EP231" s="399">
        <v>-7.5476350125634051</v>
      </c>
      <c r="EQ231" s="399">
        <v>0</v>
      </c>
      <c r="ER231" s="399">
        <v>0</v>
      </c>
      <c r="ES231" s="399">
        <v>0</v>
      </c>
      <c r="ET231" s="399">
        <v>0</v>
      </c>
      <c r="EU231" s="399">
        <v>0</v>
      </c>
      <c r="EV231" s="399">
        <v>202</v>
      </c>
      <c r="EW231" s="399">
        <v>0</v>
      </c>
      <c r="EX231" s="399">
        <v>0</v>
      </c>
      <c r="EY231" s="399">
        <v>0</v>
      </c>
      <c r="EZ231" s="399"/>
      <c r="FA231" s="399">
        <v>0</v>
      </c>
      <c r="FB231" s="399">
        <v>-17.698635468909799</v>
      </c>
      <c r="FC231" s="399"/>
      <c r="FD231" s="399">
        <v>-17.698635468909799</v>
      </c>
      <c r="FE231" s="399"/>
      <c r="FF231" s="399">
        <v>0</v>
      </c>
      <c r="FG231" s="399">
        <v>0</v>
      </c>
      <c r="FH231" s="399">
        <v>0</v>
      </c>
      <c r="FI231" s="399">
        <v>0</v>
      </c>
    </row>
    <row r="232" spans="1:165">
      <c r="A232" s="399">
        <v>230</v>
      </c>
      <c r="B232" s="399" t="s">
        <v>956</v>
      </c>
      <c r="C232" s="399" t="s">
        <v>2402</v>
      </c>
      <c r="D232" s="399" t="s">
        <v>1826</v>
      </c>
      <c r="E232" s="399" t="s">
        <v>2412</v>
      </c>
      <c r="F232" s="399" t="s">
        <v>1239</v>
      </c>
      <c r="G232" s="399" t="s">
        <v>1239</v>
      </c>
      <c r="H232" s="399" t="s">
        <v>1239</v>
      </c>
      <c r="I232" s="399" t="s">
        <v>1239</v>
      </c>
      <c r="J232" s="399" t="s">
        <v>2400</v>
      </c>
      <c r="K232" s="788">
        <v>44713</v>
      </c>
      <c r="L232" s="399">
        <v>0</v>
      </c>
      <c r="M232" s="399">
        <v>0</v>
      </c>
      <c r="N232" s="399">
        <v>5.4660000000000002</v>
      </c>
      <c r="O232" s="399">
        <v>5.4660000000000002</v>
      </c>
      <c r="P232" s="399">
        <v>5.4660000000000002</v>
      </c>
      <c r="Q232" s="399">
        <v>5.4660000000000002</v>
      </c>
      <c r="R232" s="399"/>
      <c r="S232" s="399">
        <v>609.05999999999995</v>
      </c>
      <c r="T232" s="399">
        <v>286.42</v>
      </c>
      <c r="U232" s="399"/>
      <c r="V232" s="399">
        <v>4894.6936800000003</v>
      </c>
      <c r="W232" s="399">
        <v>4894.6936800000003</v>
      </c>
      <c r="X232" s="399">
        <v>3738.0334199999998</v>
      </c>
      <c r="Y232" s="399">
        <v>0</v>
      </c>
      <c r="Z232" s="399">
        <v>332.66840677713401</v>
      </c>
      <c r="AA232" s="399">
        <v>0</v>
      </c>
      <c r="AB232" s="399">
        <v>0</v>
      </c>
      <c r="AC232" s="399">
        <v>0</v>
      </c>
      <c r="AD232" s="399">
        <v>533.76665165491283</v>
      </c>
      <c r="AE232" s="399">
        <v>2061.8407657348425</v>
      </c>
      <c r="AF232" s="399">
        <v>1565.5900051028621</v>
      </c>
      <c r="AG232" s="399">
        <v>0</v>
      </c>
      <c r="AH232" s="399">
        <v>0</v>
      </c>
      <c r="AI232" s="399">
        <v>0</v>
      </c>
      <c r="AJ232" s="399">
        <v>0</v>
      </c>
      <c r="AK232" s="399">
        <v>0</v>
      </c>
      <c r="AL232" s="399">
        <v>51.412589026847435</v>
      </c>
      <c r="AM232" s="399"/>
      <c r="AN232" s="399">
        <v>9.3350401379092762</v>
      </c>
      <c r="AO232" s="399">
        <v>0</v>
      </c>
      <c r="AP232" s="399">
        <v>0</v>
      </c>
      <c r="AQ232" s="399">
        <v>0</v>
      </c>
      <c r="AR232" s="399">
        <v>0</v>
      </c>
      <c r="AS232" s="399">
        <v>0</v>
      </c>
      <c r="AT232" s="399">
        <v>0</v>
      </c>
      <c r="AU232" s="399">
        <v>0</v>
      </c>
      <c r="AV232" s="399">
        <v>0</v>
      </c>
      <c r="AW232" s="399">
        <v>0</v>
      </c>
      <c r="AX232" s="399">
        <v>0</v>
      </c>
      <c r="AY232" s="399">
        <v>0</v>
      </c>
      <c r="AZ232" s="399">
        <v>0</v>
      </c>
      <c r="BA232" s="399"/>
      <c r="BB232" s="399">
        <v>0</v>
      </c>
      <c r="BC232" s="399">
        <v>0</v>
      </c>
      <c r="BD232" s="399">
        <v>0</v>
      </c>
      <c r="BE232" s="399">
        <v>0</v>
      </c>
      <c r="BF232" s="399">
        <v>0</v>
      </c>
      <c r="BG232" s="399">
        <v>183.23299488973461</v>
      </c>
      <c r="BH232" s="399">
        <v>0</v>
      </c>
      <c r="BI232" s="399">
        <v>19.260000000000002</v>
      </c>
      <c r="BJ232" s="399">
        <v>89.08</v>
      </c>
      <c r="BK232" s="399">
        <v>386.05</v>
      </c>
      <c r="BL232" s="399">
        <v>10</v>
      </c>
      <c r="BM232" s="399"/>
      <c r="BN232" s="399"/>
      <c r="BO232" s="399"/>
      <c r="BP232" s="399"/>
      <c r="BQ232" s="399"/>
      <c r="BR232" s="399"/>
      <c r="BS232" s="399"/>
      <c r="BT232" s="399"/>
      <c r="BU232" s="399"/>
      <c r="BV232" s="399">
        <v>1748.8229999925966</v>
      </c>
      <c r="BW232" s="399"/>
      <c r="BX232" s="399"/>
      <c r="BY232" s="399"/>
      <c r="BZ232" s="399"/>
      <c r="CA232" s="399"/>
      <c r="CB232" s="399"/>
      <c r="CC232" s="399"/>
      <c r="CD232" s="399"/>
      <c r="CE232" s="399"/>
      <c r="CF232" s="399"/>
      <c r="CG232" s="399"/>
      <c r="CH232" s="399"/>
      <c r="CI232" s="399">
        <v>3740.7689</v>
      </c>
      <c r="CJ232" s="399">
        <v>-1153.9547800000009</v>
      </c>
      <c r="CK232" s="399"/>
      <c r="CL232" s="399"/>
      <c r="CM232" s="399"/>
      <c r="CN232" s="399"/>
      <c r="CO232" s="399">
        <v>-802.3541399999998</v>
      </c>
      <c r="CP232" s="399">
        <v>-354.30612000000013</v>
      </c>
      <c r="CQ232" s="399">
        <v>30</v>
      </c>
      <c r="CR232" s="399">
        <v>-404.30913337579204</v>
      </c>
      <c r="CS232" s="399">
        <v>0</v>
      </c>
      <c r="CT232" s="399">
        <v>0</v>
      </c>
      <c r="CU232" s="399">
        <v>0</v>
      </c>
      <c r="CV232" s="399">
        <v>0</v>
      </c>
      <c r="CW232" s="399">
        <v>0</v>
      </c>
      <c r="CX232" s="399">
        <v>0</v>
      </c>
      <c r="CY232" s="399">
        <v>0</v>
      </c>
      <c r="CZ232" s="399">
        <v>18.317220746960857</v>
      </c>
      <c r="DA232" s="399">
        <v>0</v>
      </c>
      <c r="DB232" s="399">
        <v>0</v>
      </c>
      <c r="DC232" s="399">
        <v>-354.34312201613852</v>
      </c>
      <c r="DD232" s="399">
        <v>0</v>
      </c>
      <c r="DE232" s="399">
        <v>0</v>
      </c>
      <c r="DF232" s="399">
        <v>0</v>
      </c>
      <c r="DG232" s="399">
        <v>-41.471490782371291</v>
      </c>
      <c r="DH232" s="399">
        <v>0</v>
      </c>
      <c r="DI232" s="399">
        <v>-23.079253823732245</v>
      </c>
      <c r="DJ232" s="399"/>
      <c r="DK232" s="399">
        <v>0</v>
      </c>
      <c r="DL232" s="399">
        <v>0</v>
      </c>
      <c r="DM232" s="399">
        <v>0</v>
      </c>
      <c r="DN232" s="399">
        <v>0</v>
      </c>
      <c r="DO232" s="399">
        <v>-2.9422549989499061</v>
      </c>
      <c r="DP232" s="399">
        <v>-0.79023250156100744</v>
      </c>
      <c r="DQ232" s="399">
        <v>0</v>
      </c>
      <c r="DR232" s="399">
        <v>0</v>
      </c>
      <c r="DS232" s="399"/>
      <c r="DT232" s="399"/>
      <c r="DU232" s="399"/>
      <c r="DV232" s="399">
        <v>2061.8407657348425</v>
      </c>
      <c r="DW232" s="399">
        <v>0</v>
      </c>
      <c r="DX232" s="399">
        <v>0</v>
      </c>
      <c r="DY232" s="399">
        <v>-802.35413999999992</v>
      </c>
      <c r="DZ232" s="399">
        <v>-354.30612000000019</v>
      </c>
      <c r="EA232" s="399">
        <v>0</v>
      </c>
      <c r="EB232" s="399">
        <v>0</v>
      </c>
      <c r="EC232" s="399">
        <v>-752.36593865594568</v>
      </c>
      <c r="ED232" s="399">
        <v>0</v>
      </c>
      <c r="EE232" s="399">
        <v>0</v>
      </c>
      <c r="EF232" s="399">
        <v>0</v>
      </c>
      <c r="EG232" s="399">
        <v>0</v>
      </c>
      <c r="EH232" s="399">
        <v>0</v>
      </c>
      <c r="EI232" s="399">
        <v>0</v>
      </c>
      <c r="EJ232" s="399">
        <v>0</v>
      </c>
      <c r="EK232" s="399">
        <v>0</v>
      </c>
      <c r="EL232" s="399">
        <v>0</v>
      </c>
      <c r="EM232" s="399">
        <v>0</v>
      </c>
      <c r="EN232" s="399">
        <v>0</v>
      </c>
      <c r="EO232" s="399">
        <v>0</v>
      </c>
      <c r="EP232" s="399">
        <v>156.86453604057633</v>
      </c>
      <c r="EQ232" s="399">
        <v>0</v>
      </c>
      <c r="ER232" s="399">
        <v>0</v>
      </c>
      <c r="ES232" s="399">
        <v>0</v>
      </c>
      <c r="ET232" s="399">
        <v>0</v>
      </c>
      <c r="EU232" s="399">
        <v>0</v>
      </c>
      <c r="EV232" s="399">
        <v>202</v>
      </c>
      <c r="EW232" s="399">
        <v>0</v>
      </c>
      <c r="EX232" s="399">
        <v>0</v>
      </c>
      <c r="EY232" s="399">
        <v>0</v>
      </c>
      <c r="EZ232" s="399"/>
      <c r="FA232" s="399">
        <v>0</v>
      </c>
      <c r="FB232" s="399">
        <v>-17.698635468909799</v>
      </c>
      <c r="FC232" s="399"/>
      <c r="FD232" s="399">
        <v>-17.698635468909799</v>
      </c>
      <c r="FE232" s="399"/>
      <c r="FF232" s="399">
        <v>0</v>
      </c>
      <c r="FG232" s="399">
        <v>0</v>
      </c>
      <c r="FH232" s="399">
        <v>0</v>
      </c>
      <c r="FI232" s="399">
        <v>0</v>
      </c>
    </row>
    <row r="233" spans="1:165">
      <c r="A233" s="399">
        <v>233</v>
      </c>
      <c r="B233" s="399" t="s">
        <v>956</v>
      </c>
      <c r="C233" s="399" t="s">
        <v>2399</v>
      </c>
      <c r="D233" s="399" t="s">
        <v>533</v>
      </c>
      <c r="E233" s="399" t="s">
        <v>921</v>
      </c>
      <c r="F233" s="399" t="s">
        <v>2401</v>
      </c>
      <c r="G233" s="399" t="s">
        <v>1239</v>
      </c>
      <c r="H233" s="399" t="s">
        <v>1239</v>
      </c>
      <c r="I233" s="399" t="s">
        <v>893</v>
      </c>
      <c r="J233" s="399" t="s">
        <v>2400</v>
      </c>
      <c r="K233" s="788">
        <v>44713</v>
      </c>
      <c r="L233" s="399">
        <v>0</v>
      </c>
      <c r="M233" s="399">
        <v>0</v>
      </c>
      <c r="N233" s="399">
        <v>20.959</v>
      </c>
      <c r="O233" s="399">
        <v>19.701460000000001</v>
      </c>
      <c r="P233" s="399">
        <v>20.959</v>
      </c>
      <c r="Q233" s="399">
        <v>19.701460000000001</v>
      </c>
      <c r="R233" s="399"/>
      <c r="S233" s="399">
        <v>3305.85</v>
      </c>
      <c r="T233" s="399">
        <v>286.42</v>
      </c>
      <c r="U233" s="399"/>
      <c r="V233" s="399">
        <v>75290.386929999993</v>
      </c>
      <c r="W233" s="399">
        <v>75290.386929999993</v>
      </c>
      <c r="X233" s="399">
        <v>54726.044900000001</v>
      </c>
      <c r="Y233" s="399">
        <v>0</v>
      </c>
      <c r="Z233" s="399">
        <v>1109.7668331043719</v>
      </c>
      <c r="AA233" s="399">
        <v>0</v>
      </c>
      <c r="AB233" s="399">
        <v>0</v>
      </c>
      <c r="AC233" s="399">
        <v>0</v>
      </c>
      <c r="AD233" s="399">
        <v>13664.955102805654</v>
      </c>
      <c r="AE233" s="399">
        <v>53516.473014543073</v>
      </c>
      <c r="AF233" s="399">
        <v>6003.1468929657676</v>
      </c>
      <c r="AG233" s="399">
        <v>0</v>
      </c>
      <c r="AH233" s="399">
        <v>0</v>
      </c>
      <c r="AI233" s="399">
        <v>0</v>
      </c>
      <c r="AJ233" s="399">
        <v>0</v>
      </c>
      <c r="AK233" s="399">
        <v>0</v>
      </c>
      <c r="AL233" s="399">
        <v>197.13802660331052</v>
      </c>
      <c r="AM233" s="399"/>
      <c r="AN233" s="399">
        <v>28.715662388760368</v>
      </c>
      <c r="AO233" s="399">
        <v>0</v>
      </c>
      <c r="AP233" s="399">
        <v>0</v>
      </c>
      <c r="AQ233" s="399">
        <v>0</v>
      </c>
      <c r="AR233" s="399">
        <v>0</v>
      </c>
      <c r="AS233" s="399">
        <v>0</v>
      </c>
      <c r="AT233" s="399">
        <v>0</v>
      </c>
      <c r="AU233" s="399">
        <v>0</v>
      </c>
      <c r="AV233" s="399">
        <v>0</v>
      </c>
      <c r="AW233" s="399">
        <v>0</v>
      </c>
      <c r="AX233" s="399">
        <v>0</v>
      </c>
      <c r="AY233" s="399">
        <v>0</v>
      </c>
      <c r="AZ233" s="399">
        <v>0</v>
      </c>
      <c r="BA233" s="399"/>
      <c r="BB233" s="399">
        <v>0</v>
      </c>
      <c r="BC233" s="399">
        <v>0</v>
      </c>
      <c r="BD233" s="399">
        <v>0</v>
      </c>
      <c r="BE233" s="399">
        <v>0</v>
      </c>
      <c r="BF233" s="399">
        <v>0</v>
      </c>
      <c r="BG233" s="399">
        <v>247.04992742223877</v>
      </c>
      <c r="BH233" s="399">
        <v>0</v>
      </c>
      <c r="BI233" s="399">
        <v>0</v>
      </c>
      <c r="BJ233" s="399">
        <v>0</v>
      </c>
      <c r="BK233" s="399">
        <v>0</v>
      </c>
      <c r="BL233" s="399">
        <v>0</v>
      </c>
      <c r="BM233" s="399"/>
      <c r="BN233" s="399"/>
      <c r="BO233" s="399"/>
      <c r="BP233" s="399"/>
      <c r="BQ233" s="399">
        <v>3283.5626939999966</v>
      </c>
      <c r="BR233" s="399"/>
      <c r="BS233" s="399"/>
      <c r="BT233" s="399"/>
      <c r="BU233" s="399"/>
      <c r="BV233" s="399">
        <v>6250.196820388006</v>
      </c>
      <c r="BW233" s="399"/>
      <c r="BX233" s="399"/>
      <c r="BY233" s="399"/>
      <c r="BZ233" s="399"/>
      <c r="CA233" s="399"/>
      <c r="CB233" s="399"/>
      <c r="CC233" s="399"/>
      <c r="CD233" s="399"/>
      <c r="CE233" s="399"/>
      <c r="CF233" s="399"/>
      <c r="CG233" s="399"/>
      <c r="CH233" s="399"/>
      <c r="CI233" s="399">
        <v>51438.67</v>
      </c>
      <c r="CJ233" s="399">
        <v>-19334.3237142</v>
      </c>
      <c r="CK233" s="399"/>
      <c r="CL233" s="399"/>
      <c r="CM233" s="399"/>
      <c r="CN233" s="399"/>
      <c r="CO233" s="399">
        <v>-19205.779649999997</v>
      </c>
      <c r="CP233" s="399">
        <v>-1358.5623800000005</v>
      </c>
      <c r="CQ233" s="399">
        <v>30</v>
      </c>
      <c r="CR233" s="399">
        <v>-1036.3846404658398</v>
      </c>
      <c r="CS233" s="399">
        <v>0</v>
      </c>
      <c r="CT233" s="399">
        <v>0</v>
      </c>
      <c r="CU233" s="399">
        <v>0</v>
      </c>
      <c r="CV233" s="399">
        <v>0</v>
      </c>
      <c r="CW233" s="399">
        <v>0</v>
      </c>
      <c r="CX233" s="399">
        <v>0</v>
      </c>
      <c r="CY233" s="399">
        <v>0</v>
      </c>
      <c r="CZ233" s="399">
        <v>468.93899860419697</v>
      </c>
      <c r="DA233" s="399">
        <v>0</v>
      </c>
      <c r="DB233" s="399">
        <v>0</v>
      </c>
      <c r="DC233" s="399">
        <v>-1358.7042616787867</v>
      </c>
      <c r="DD233" s="399">
        <v>0</v>
      </c>
      <c r="DE233" s="399">
        <v>0</v>
      </c>
      <c r="DF233" s="399">
        <v>0</v>
      </c>
      <c r="DG233" s="399">
        <v>-55.915304959363056</v>
      </c>
      <c r="DH233" s="399">
        <v>0</v>
      </c>
      <c r="DI233" s="399">
        <v>-76.991352062879287</v>
      </c>
      <c r="DJ233" s="399"/>
      <c r="DK233" s="399">
        <v>0</v>
      </c>
      <c r="DL233" s="399">
        <v>0</v>
      </c>
      <c r="DM233" s="399">
        <v>0</v>
      </c>
      <c r="DN233" s="399">
        <v>0</v>
      </c>
      <c r="DO233" s="399">
        <v>-11.281873860774056</v>
      </c>
      <c r="DP233" s="399">
        <v>-2.4308465082329818</v>
      </c>
      <c r="DQ233" s="399">
        <v>0</v>
      </c>
      <c r="DR233" s="399">
        <v>0</v>
      </c>
      <c r="DS233" s="399"/>
      <c r="DT233" s="399"/>
      <c r="DU233" s="399"/>
      <c r="DV233" s="399">
        <v>53516.473014543073</v>
      </c>
      <c r="DW233" s="399">
        <v>0</v>
      </c>
      <c r="DX233" s="399">
        <v>0</v>
      </c>
      <c r="DY233" s="399">
        <v>-19205.779649999989</v>
      </c>
      <c r="DZ233" s="399">
        <v>-1358.5623800000003</v>
      </c>
      <c r="EA233" s="399">
        <v>0</v>
      </c>
      <c r="EB233" s="399">
        <v>0</v>
      </c>
      <c r="EC233" s="399">
        <v>-19528.167316447645</v>
      </c>
      <c r="ED233" s="399">
        <v>0</v>
      </c>
      <c r="EE233" s="399">
        <v>0</v>
      </c>
      <c r="EF233" s="399">
        <v>0</v>
      </c>
      <c r="EG233" s="399">
        <v>0</v>
      </c>
      <c r="EH233" s="399">
        <v>0</v>
      </c>
      <c r="EI233" s="399">
        <v>0</v>
      </c>
      <c r="EJ233" s="399">
        <v>0</v>
      </c>
      <c r="EK233" s="399">
        <v>0</v>
      </c>
      <c r="EL233" s="399">
        <v>0</v>
      </c>
      <c r="EM233" s="399">
        <v>0</v>
      </c>
      <c r="EN233" s="399">
        <v>0</v>
      </c>
      <c r="EO233" s="399">
        <v>0</v>
      </c>
      <c r="EP233" s="399">
        <v>523.29303246629388</v>
      </c>
      <c r="EQ233" s="399">
        <v>0</v>
      </c>
      <c r="ER233" s="399">
        <v>0</v>
      </c>
      <c r="ES233" s="399">
        <v>0</v>
      </c>
      <c r="ET233" s="399">
        <v>0</v>
      </c>
      <c r="EU233" s="399">
        <v>0</v>
      </c>
      <c r="EV233" s="399">
        <v>202</v>
      </c>
      <c r="EW233" s="399">
        <v>0</v>
      </c>
      <c r="EX233" s="399">
        <v>0</v>
      </c>
      <c r="EY233" s="399">
        <v>0</v>
      </c>
      <c r="EZ233" s="399"/>
      <c r="FA233" s="399">
        <v>0</v>
      </c>
      <c r="FB233" s="399">
        <v>-17.698635468909799</v>
      </c>
      <c r="FC233" s="399"/>
      <c r="FD233" s="399">
        <v>-17.698635468909799</v>
      </c>
      <c r="FE233" s="399"/>
      <c r="FF233" s="399">
        <v>0</v>
      </c>
      <c r="FG233" s="399">
        <v>0</v>
      </c>
      <c r="FH233" s="399">
        <v>0</v>
      </c>
      <c r="FI233" s="399">
        <v>0</v>
      </c>
    </row>
    <row r="234" spans="1:165">
      <c r="A234" s="399">
        <v>234</v>
      </c>
      <c r="B234" s="399" t="s">
        <v>956</v>
      </c>
      <c r="C234" s="399" t="s">
        <v>2399</v>
      </c>
      <c r="D234" s="399" t="s">
        <v>533</v>
      </c>
      <c r="E234" s="399" t="s">
        <v>921</v>
      </c>
      <c r="F234" s="399" t="s">
        <v>2401</v>
      </c>
      <c r="G234" s="399" t="s">
        <v>1239</v>
      </c>
      <c r="H234" s="399" t="s">
        <v>1239</v>
      </c>
      <c r="I234" s="399" t="s">
        <v>2326</v>
      </c>
      <c r="J234" s="399" t="s">
        <v>2400</v>
      </c>
      <c r="K234" s="788">
        <v>44713</v>
      </c>
      <c r="L234" s="399">
        <v>0</v>
      </c>
      <c r="M234" s="399">
        <v>0</v>
      </c>
      <c r="N234" s="399">
        <v>198.251</v>
      </c>
      <c r="O234" s="399">
        <v>186.35594</v>
      </c>
      <c r="P234" s="399">
        <v>198.251</v>
      </c>
      <c r="Q234" s="399">
        <v>186.35594</v>
      </c>
      <c r="R234" s="399"/>
      <c r="S234" s="399">
        <v>100.48</v>
      </c>
      <c r="T234" s="399">
        <v>286.42</v>
      </c>
      <c r="U234" s="399"/>
      <c r="V234" s="399">
        <v>76703.311900000001</v>
      </c>
      <c r="W234" s="399">
        <v>76703.311900000001</v>
      </c>
      <c r="X234" s="399">
        <v>62464.925080000001</v>
      </c>
      <c r="Y234" s="399">
        <v>0</v>
      </c>
      <c r="Z234" s="399">
        <v>10497.27489048976</v>
      </c>
      <c r="AA234" s="399">
        <v>0</v>
      </c>
      <c r="AB234" s="399">
        <v>0</v>
      </c>
      <c r="AC234" s="399">
        <v>0</v>
      </c>
      <c r="AD234" s="399">
        <v>0</v>
      </c>
      <c r="AE234" s="399">
        <v>0</v>
      </c>
      <c r="AF234" s="399">
        <v>56783.714617937709</v>
      </c>
      <c r="AG234" s="399">
        <v>0</v>
      </c>
      <c r="AH234" s="399">
        <v>0</v>
      </c>
      <c r="AI234" s="399">
        <v>0</v>
      </c>
      <c r="AJ234" s="399">
        <v>0</v>
      </c>
      <c r="AK234" s="399">
        <v>0</v>
      </c>
      <c r="AL234" s="399">
        <v>1864.7268911748135</v>
      </c>
      <c r="AM234" s="399"/>
      <c r="AN234" s="399">
        <v>271.62120254946001</v>
      </c>
      <c r="AO234" s="399">
        <v>0</v>
      </c>
      <c r="AP234" s="399">
        <v>0</v>
      </c>
      <c r="AQ234" s="399">
        <v>0</v>
      </c>
      <c r="AR234" s="399">
        <v>0</v>
      </c>
      <c r="AS234" s="399">
        <v>0</v>
      </c>
      <c r="AT234" s="399">
        <v>0</v>
      </c>
      <c r="AU234" s="399">
        <v>0</v>
      </c>
      <c r="AV234" s="399">
        <v>0</v>
      </c>
      <c r="AW234" s="399">
        <v>0</v>
      </c>
      <c r="AX234" s="399">
        <v>0</v>
      </c>
      <c r="AY234" s="399">
        <v>0</v>
      </c>
      <c r="AZ234" s="399">
        <v>0</v>
      </c>
      <c r="BA234" s="399"/>
      <c r="BB234" s="399">
        <v>0</v>
      </c>
      <c r="BC234" s="399">
        <v>0</v>
      </c>
      <c r="BD234" s="399">
        <v>0</v>
      </c>
      <c r="BE234" s="399">
        <v>0</v>
      </c>
      <c r="BF234" s="399">
        <v>0</v>
      </c>
      <c r="BG234" s="399">
        <v>2336.8431299864624</v>
      </c>
      <c r="BH234" s="399">
        <v>0</v>
      </c>
      <c r="BI234" s="399">
        <v>0</v>
      </c>
      <c r="BJ234" s="399">
        <v>0</v>
      </c>
      <c r="BK234" s="399">
        <v>0</v>
      </c>
      <c r="BL234" s="399">
        <v>0</v>
      </c>
      <c r="BM234" s="399"/>
      <c r="BN234" s="399"/>
      <c r="BO234" s="399"/>
      <c r="BP234" s="399"/>
      <c r="BQ234" s="399">
        <v>3747.8955048000007</v>
      </c>
      <c r="BR234" s="399"/>
      <c r="BS234" s="399"/>
      <c r="BT234" s="399"/>
      <c r="BU234" s="399"/>
      <c r="BV234" s="399">
        <v>59120.557747924169</v>
      </c>
      <c r="BW234" s="399"/>
      <c r="BX234" s="399"/>
      <c r="BY234" s="399"/>
      <c r="BZ234" s="399"/>
      <c r="CA234" s="399"/>
      <c r="CB234" s="399"/>
      <c r="CC234" s="399"/>
      <c r="CD234" s="399"/>
      <c r="CE234" s="399"/>
      <c r="CF234" s="399"/>
      <c r="CG234" s="399"/>
      <c r="CH234" s="399"/>
      <c r="CI234" s="399">
        <v>58718.308800000006</v>
      </c>
      <c r="CJ234" s="399">
        <v>-13382.83438599998</v>
      </c>
      <c r="CK234" s="399"/>
      <c r="CL234" s="399"/>
      <c r="CM234" s="399"/>
      <c r="CN234" s="399"/>
      <c r="CO234" s="399">
        <v>-1387.7570000000001</v>
      </c>
      <c r="CP234" s="399">
        <v>-12850.629820000004</v>
      </c>
      <c r="CQ234" s="399">
        <v>30</v>
      </c>
      <c r="CR234" s="399">
        <v>-14238.843302126726</v>
      </c>
      <c r="CS234" s="399">
        <v>0</v>
      </c>
      <c r="CT234" s="399">
        <v>0</v>
      </c>
      <c r="CU234" s="399">
        <v>0</v>
      </c>
      <c r="CV234" s="399">
        <v>0</v>
      </c>
      <c r="CW234" s="399">
        <v>0</v>
      </c>
      <c r="CX234" s="399">
        <v>0</v>
      </c>
      <c r="CY234" s="399">
        <v>0</v>
      </c>
      <c r="CZ234" s="399">
        <v>0</v>
      </c>
      <c r="DA234" s="399">
        <v>0</v>
      </c>
      <c r="DB234" s="399">
        <v>0</v>
      </c>
      <c r="DC234" s="399">
        <v>-12851.971877574368</v>
      </c>
      <c r="DD234" s="399">
        <v>0</v>
      </c>
      <c r="DE234" s="399">
        <v>0</v>
      </c>
      <c r="DF234" s="399">
        <v>0</v>
      </c>
      <c r="DG234" s="399">
        <v>-528.90238673117483</v>
      </c>
      <c r="DH234" s="399">
        <v>0</v>
      </c>
      <c r="DI234" s="399">
        <v>-728.26053427252737</v>
      </c>
      <c r="DJ234" s="399"/>
      <c r="DK234" s="399">
        <v>0</v>
      </c>
      <c r="DL234" s="399">
        <v>0</v>
      </c>
      <c r="DM234" s="399">
        <v>0</v>
      </c>
      <c r="DN234" s="399">
        <v>0</v>
      </c>
      <c r="DO234" s="399">
        <v>-106.71514741983492</v>
      </c>
      <c r="DP234" s="399">
        <v>-22.9933561288085</v>
      </c>
      <c r="DQ234" s="399">
        <v>0</v>
      </c>
      <c r="DR234" s="399">
        <v>0</v>
      </c>
      <c r="DS234" s="399"/>
      <c r="DT234" s="399"/>
      <c r="DU234" s="399"/>
      <c r="DV234" s="399">
        <v>0</v>
      </c>
      <c r="DW234" s="399">
        <v>0</v>
      </c>
      <c r="DX234" s="399">
        <v>0</v>
      </c>
      <c r="DY234" s="399">
        <v>-1387.7569999999978</v>
      </c>
      <c r="DZ234" s="399">
        <v>-12850.629820000002</v>
      </c>
      <c r="EA234" s="399">
        <v>0</v>
      </c>
      <c r="EB234" s="399">
        <v>0</v>
      </c>
      <c r="EC234" s="399">
        <v>0</v>
      </c>
      <c r="ED234" s="399">
        <v>0</v>
      </c>
      <c r="EE234" s="399">
        <v>0</v>
      </c>
      <c r="EF234" s="399">
        <v>0</v>
      </c>
      <c r="EG234" s="399">
        <v>0</v>
      </c>
      <c r="EH234" s="399">
        <v>0</v>
      </c>
      <c r="EI234" s="399">
        <v>0</v>
      </c>
      <c r="EJ234" s="399">
        <v>0</v>
      </c>
      <c r="EK234" s="399">
        <v>0</v>
      </c>
      <c r="EL234" s="399">
        <v>0</v>
      </c>
      <c r="EM234" s="399">
        <v>0</v>
      </c>
      <c r="EN234" s="399">
        <v>0</v>
      </c>
      <c r="EO234" s="399">
        <v>0</v>
      </c>
      <c r="EP234" s="399">
        <v>4949.8242749880837</v>
      </c>
      <c r="EQ234" s="399">
        <v>0</v>
      </c>
      <c r="ER234" s="399">
        <v>0</v>
      </c>
      <c r="ES234" s="399">
        <v>0</v>
      </c>
      <c r="ET234" s="399">
        <v>0</v>
      </c>
      <c r="EU234" s="399">
        <v>0</v>
      </c>
      <c r="EV234" s="399">
        <v>202</v>
      </c>
      <c r="EW234" s="399">
        <v>0</v>
      </c>
      <c r="EX234" s="399">
        <v>0</v>
      </c>
      <c r="EY234" s="399">
        <v>0</v>
      </c>
      <c r="EZ234" s="399"/>
      <c r="FA234" s="399">
        <v>0</v>
      </c>
      <c r="FB234" s="399">
        <v>-17.698635468909799</v>
      </c>
      <c r="FC234" s="399"/>
      <c r="FD234" s="399">
        <v>-17.698635468909799</v>
      </c>
      <c r="FE234" s="399"/>
      <c r="FF234" s="399">
        <v>0</v>
      </c>
      <c r="FG234" s="399">
        <v>0</v>
      </c>
      <c r="FH234" s="399">
        <v>0</v>
      </c>
      <c r="FI234" s="399">
        <v>0</v>
      </c>
    </row>
    <row r="235" spans="1:165">
      <c r="A235" s="399">
        <v>235</v>
      </c>
      <c r="B235" s="399" t="s">
        <v>956</v>
      </c>
      <c r="C235" s="399" t="s">
        <v>2399</v>
      </c>
      <c r="D235" s="399" t="s">
        <v>533</v>
      </c>
      <c r="E235" s="399" t="s">
        <v>921</v>
      </c>
      <c r="F235" s="399" t="s">
        <v>2401</v>
      </c>
      <c r="G235" s="399" t="s">
        <v>1239</v>
      </c>
      <c r="H235" s="399" t="s">
        <v>1239</v>
      </c>
      <c r="I235" s="399" t="s">
        <v>1239</v>
      </c>
      <c r="J235" s="399" t="s">
        <v>2400</v>
      </c>
      <c r="K235" s="788">
        <v>44713</v>
      </c>
      <c r="L235" s="399">
        <v>556</v>
      </c>
      <c r="M235" s="399">
        <v>522.64</v>
      </c>
      <c r="N235" s="399">
        <v>0</v>
      </c>
      <c r="O235" s="399">
        <v>0</v>
      </c>
      <c r="P235" s="399">
        <v>0</v>
      </c>
      <c r="Q235" s="399">
        <v>0</v>
      </c>
      <c r="R235" s="399">
        <v>39.21</v>
      </c>
      <c r="S235" s="399"/>
      <c r="T235" s="399"/>
      <c r="U235" s="399">
        <v>21800.760000000002</v>
      </c>
      <c r="V235" s="399"/>
      <c r="W235" s="399">
        <v>21800.760000000002</v>
      </c>
      <c r="X235" s="399">
        <v>16591.04</v>
      </c>
      <c r="Y235" s="399">
        <v>0</v>
      </c>
      <c r="Z235" s="399">
        <v>0</v>
      </c>
      <c r="AA235" s="399">
        <v>0</v>
      </c>
      <c r="AB235" s="399">
        <v>0</v>
      </c>
      <c r="AC235" s="399">
        <v>0</v>
      </c>
      <c r="AD235" s="399">
        <v>6867.8398590748293</v>
      </c>
      <c r="AE235" s="399">
        <v>14935.267123703527</v>
      </c>
      <c r="AF235" s="399"/>
      <c r="AG235" s="399"/>
      <c r="AH235" s="399"/>
      <c r="AI235" s="399">
        <v>0</v>
      </c>
      <c r="AJ235" s="399">
        <v>0</v>
      </c>
      <c r="AK235" s="399">
        <v>0</v>
      </c>
      <c r="AL235" s="399">
        <v>0</v>
      </c>
      <c r="AM235" s="399"/>
      <c r="AN235" s="399">
        <v>0</v>
      </c>
      <c r="AO235" s="399">
        <v>0</v>
      </c>
      <c r="AP235" s="399">
        <v>0</v>
      </c>
      <c r="AQ235" s="399">
        <v>0</v>
      </c>
      <c r="AR235" s="399">
        <v>0</v>
      </c>
      <c r="AS235" s="399"/>
      <c r="AT235" s="399"/>
      <c r="AU235" s="399">
        <v>0</v>
      </c>
      <c r="AV235" s="399">
        <v>0</v>
      </c>
      <c r="AW235" s="399">
        <v>0</v>
      </c>
      <c r="AX235" s="399"/>
      <c r="AY235" s="399"/>
      <c r="AZ235" s="399">
        <v>0</v>
      </c>
      <c r="BA235" s="399"/>
      <c r="BB235" s="399">
        <v>0</v>
      </c>
      <c r="BC235" s="399">
        <v>0</v>
      </c>
      <c r="BD235" s="399">
        <v>0</v>
      </c>
      <c r="BE235" s="399">
        <v>0</v>
      </c>
      <c r="BF235" s="399"/>
      <c r="BG235" s="399">
        <v>0</v>
      </c>
      <c r="BH235" s="399">
        <v>0</v>
      </c>
      <c r="BI235" s="399">
        <v>434.96</v>
      </c>
      <c r="BJ235" s="399">
        <v>2007.67</v>
      </c>
      <c r="BK235" s="399">
        <v>28922.49</v>
      </c>
      <c r="BL235" s="399">
        <v>2</v>
      </c>
      <c r="BM235" s="399"/>
      <c r="BN235" s="399"/>
      <c r="BO235" s="399"/>
      <c r="BP235" s="399"/>
      <c r="BQ235" s="399">
        <v>995.46240000000046</v>
      </c>
      <c r="BR235" s="399"/>
      <c r="BS235" s="399"/>
      <c r="BT235" s="399"/>
      <c r="BU235" s="399"/>
      <c r="BV235" s="399">
        <v>0</v>
      </c>
      <c r="BW235" s="399"/>
      <c r="BX235" s="399"/>
      <c r="BY235" s="399"/>
      <c r="BZ235" s="399"/>
      <c r="CA235" s="399"/>
      <c r="CB235" s="399"/>
      <c r="CC235" s="399"/>
      <c r="CD235" s="399"/>
      <c r="CE235" s="399"/>
      <c r="CF235" s="399"/>
      <c r="CG235" s="399"/>
      <c r="CH235" s="399"/>
      <c r="CI235" s="399">
        <v>15595.577599999999</v>
      </c>
      <c r="CJ235" s="399">
        <v>-4897.1667999999972</v>
      </c>
      <c r="CK235" s="399"/>
      <c r="CL235" s="399"/>
      <c r="CM235" s="399"/>
      <c r="CN235" s="399"/>
      <c r="CO235" s="399">
        <v>-5209.72</v>
      </c>
      <c r="CP235" s="399">
        <v>0</v>
      </c>
      <c r="CQ235" s="399">
        <v>30</v>
      </c>
      <c r="CR235" s="399">
        <v>235.68302433918689</v>
      </c>
      <c r="CS235" s="399">
        <v>0</v>
      </c>
      <c r="CT235" s="399">
        <v>0</v>
      </c>
      <c r="CU235" s="399">
        <v>0</v>
      </c>
      <c r="CV235" s="399">
        <v>0</v>
      </c>
      <c r="CW235" s="399"/>
      <c r="CX235" s="399"/>
      <c r="CY235" s="399"/>
      <c r="CZ235" s="399">
        <v>235.68302433918689</v>
      </c>
      <c r="DA235" s="399">
        <v>0</v>
      </c>
      <c r="DB235" s="399">
        <v>0</v>
      </c>
      <c r="DC235" s="399"/>
      <c r="DD235" s="399"/>
      <c r="DE235" s="399">
        <v>0</v>
      </c>
      <c r="DF235" s="399">
        <v>0</v>
      </c>
      <c r="DG235" s="399">
        <v>0</v>
      </c>
      <c r="DH235" s="399">
        <v>0</v>
      </c>
      <c r="DI235" s="399">
        <v>0</v>
      </c>
      <c r="DJ235" s="399"/>
      <c r="DK235" s="399">
        <v>0</v>
      </c>
      <c r="DL235" s="399">
        <v>0</v>
      </c>
      <c r="DM235" s="399"/>
      <c r="DN235" s="399">
        <v>0</v>
      </c>
      <c r="DO235" s="399">
        <v>0</v>
      </c>
      <c r="DP235" s="399">
        <v>0</v>
      </c>
      <c r="DQ235" s="399">
        <v>0</v>
      </c>
      <c r="DR235" s="399">
        <v>0</v>
      </c>
      <c r="DS235" s="399"/>
      <c r="DT235" s="399"/>
      <c r="DU235" s="399">
        <v>14935.267123703527</v>
      </c>
      <c r="DV235" s="399"/>
      <c r="DW235" s="399">
        <v>0</v>
      </c>
      <c r="DX235" s="399">
        <v>0</v>
      </c>
      <c r="DY235" s="399">
        <v>-5209.7200000000012</v>
      </c>
      <c r="DZ235" s="399"/>
      <c r="EA235" s="399">
        <v>0</v>
      </c>
      <c r="EB235" s="399"/>
      <c r="EC235" s="399">
        <v>-5449.8807353814664</v>
      </c>
      <c r="ED235" s="399"/>
      <c r="EE235" s="399">
        <v>0</v>
      </c>
      <c r="EF235" s="399">
        <v>0</v>
      </c>
      <c r="EG235" s="399"/>
      <c r="EH235" s="399">
        <v>0</v>
      </c>
      <c r="EI235" s="399">
        <v>0</v>
      </c>
      <c r="EJ235" s="399">
        <v>0</v>
      </c>
      <c r="EK235" s="399">
        <v>0</v>
      </c>
      <c r="EL235" s="399">
        <v>0</v>
      </c>
      <c r="EM235" s="399"/>
      <c r="EN235" s="399"/>
      <c r="EO235" s="399">
        <v>0</v>
      </c>
      <c r="EP235" s="399">
        <v>0</v>
      </c>
      <c r="EQ235" s="399"/>
      <c r="ER235" s="399">
        <v>0</v>
      </c>
      <c r="ES235" s="399"/>
      <c r="ET235" s="399">
        <v>0</v>
      </c>
      <c r="EU235" s="399"/>
      <c r="EV235" s="399">
        <v>202</v>
      </c>
      <c r="EW235" s="399"/>
      <c r="EX235" s="399"/>
      <c r="EY235" s="399"/>
      <c r="EZ235" s="399"/>
      <c r="FA235" s="399">
        <v>0</v>
      </c>
      <c r="FB235" s="399">
        <v>-17.698635468909799</v>
      </c>
      <c r="FC235" s="399"/>
      <c r="FD235" s="399">
        <v>-17.698635468909799</v>
      </c>
      <c r="FE235" s="399"/>
      <c r="FF235" s="399">
        <v>0</v>
      </c>
      <c r="FG235" s="399">
        <v>0</v>
      </c>
      <c r="FH235" s="399">
        <v>0</v>
      </c>
      <c r="FI235" s="399">
        <v>0</v>
      </c>
    </row>
    <row r="236" spans="1:165">
      <c r="A236" s="399">
        <v>247</v>
      </c>
      <c r="B236" s="399" t="s">
        <v>956</v>
      </c>
      <c r="C236" s="399" t="s">
        <v>2399</v>
      </c>
      <c r="D236" s="399" t="s">
        <v>533</v>
      </c>
      <c r="E236" s="399" t="s">
        <v>918</v>
      </c>
      <c r="F236" s="399" t="s">
        <v>1239</v>
      </c>
      <c r="G236" s="399" t="s">
        <v>1239</v>
      </c>
      <c r="H236" s="399" t="s">
        <v>1239</v>
      </c>
      <c r="I236" s="399" t="s">
        <v>893</v>
      </c>
      <c r="J236" s="399" t="s">
        <v>2400</v>
      </c>
      <c r="K236" s="788">
        <v>44743</v>
      </c>
      <c r="L236" s="399">
        <v>0</v>
      </c>
      <c r="M236" s="399">
        <v>0</v>
      </c>
      <c r="N236" s="399">
        <v>1.492</v>
      </c>
      <c r="O236" s="399">
        <v>1.492</v>
      </c>
      <c r="P236" s="399">
        <v>1.492</v>
      </c>
      <c r="Q236" s="399">
        <v>1.492</v>
      </c>
      <c r="R236" s="399"/>
      <c r="S236" s="399">
        <v>3305.85</v>
      </c>
      <c r="T236" s="399">
        <v>286.42</v>
      </c>
      <c r="U236" s="399"/>
      <c r="V236" s="399">
        <v>5359.6668399999999</v>
      </c>
      <c r="W236" s="399">
        <v>5359.6668399999999</v>
      </c>
      <c r="X236" s="399">
        <v>3895.7611999999999</v>
      </c>
      <c r="Y236" s="399">
        <v>0</v>
      </c>
      <c r="Z236" s="399">
        <v>79.000530320708194</v>
      </c>
      <c r="AA236" s="399">
        <v>0</v>
      </c>
      <c r="AB236" s="399">
        <v>0</v>
      </c>
      <c r="AC236" s="399">
        <v>0</v>
      </c>
      <c r="AD236" s="399">
        <v>972.76172591182967</v>
      </c>
      <c r="AE236" s="399">
        <v>3809.6558870985386</v>
      </c>
      <c r="AF236" s="399">
        <v>427.34363110381821</v>
      </c>
      <c r="AG236" s="399">
        <v>0</v>
      </c>
      <c r="AH236" s="399">
        <v>0</v>
      </c>
      <c r="AI236" s="399">
        <v>0</v>
      </c>
      <c r="AJ236" s="399">
        <v>0</v>
      </c>
      <c r="AK236" s="399">
        <v>0</v>
      </c>
      <c r="AL236" s="399">
        <v>14.033586320537207</v>
      </c>
      <c r="AM236" s="399"/>
      <c r="AN236" s="399">
        <v>2.0441704415301527</v>
      </c>
      <c r="AO236" s="399">
        <v>0</v>
      </c>
      <c r="AP236" s="399">
        <v>0</v>
      </c>
      <c r="AQ236" s="399">
        <v>0</v>
      </c>
      <c r="AR236" s="399">
        <v>0</v>
      </c>
      <c r="AS236" s="399">
        <v>0</v>
      </c>
      <c r="AT236" s="399">
        <v>0</v>
      </c>
      <c r="AU236" s="399">
        <v>0</v>
      </c>
      <c r="AV236" s="399">
        <v>0</v>
      </c>
      <c r="AW236" s="399">
        <v>0</v>
      </c>
      <c r="AX236" s="399">
        <v>0</v>
      </c>
      <c r="AY236" s="399">
        <v>0</v>
      </c>
      <c r="AZ236" s="399">
        <v>0</v>
      </c>
      <c r="BA236" s="399"/>
      <c r="BB236" s="399">
        <v>0</v>
      </c>
      <c r="BC236" s="399">
        <v>0</v>
      </c>
      <c r="BD236" s="399">
        <v>0</v>
      </c>
      <c r="BE236" s="399">
        <v>0</v>
      </c>
      <c r="BF236" s="399">
        <v>0</v>
      </c>
      <c r="BG236" s="399">
        <v>17.586644959873098</v>
      </c>
      <c r="BH236" s="399">
        <v>0</v>
      </c>
      <c r="BI236" s="399">
        <v>0</v>
      </c>
      <c r="BJ236" s="399">
        <v>0</v>
      </c>
      <c r="BK236" s="399">
        <v>0</v>
      </c>
      <c r="BL236" s="399">
        <v>0</v>
      </c>
      <c r="BM236" s="399"/>
      <c r="BN236" s="399"/>
      <c r="BO236" s="399"/>
      <c r="BP236" s="399"/>
      <c r="BQ236" s="399"/>
      <c r="BR236" s="399"/>
      <c r="BS236" s="399"/>
      <c r="BT236" s="399"/>
      <c r="BU236" s="399"/>
      <c r="BV236" s="399">
        <v>444.93027606369128</v>
      </c>
      <c r="BW236" s="399"/>
      <c r="BX236" s="399"/>
      <c r="BY236" s="399"/>
      <c r="BZ236" s="399"/>
      <c r="CA236" s="399"/>
      <c r="CB236" s="399"/>
      <c r="CC236" s="399"/>
      <c r="CD236" s="399"/>
      <c r="CE236" s="399"/>
      <c r="CF236" s="399"/>
      <c r="CG236" s="399"/>
      <c r="CH236" s="399"/>
      <c r="CI236" s="399">
        <v>3890.5389999999998</v>
      </c>
      <c r="CJ236" s="399">
        <v>-1469.1578400000008</v>
      </c>
      <c r="CK236" s="399"/>
      <c r="CL236" s="399"/>
      <c r="CM236" s="399"/>
      <c r="CN236" s="399"/>
      <c r="CO236" s="399">
        <v>-1367.1941999999999</v>
      </c>
      <c r="CP236" s="399">
        <v>-96.711440000000039</v>
      </c>
      <c r="CQ236" s="399">
        <v>31</v>
      </c>
      <c r="CR236" s="399">
        <v>-73.776701349064297</v>
      </c>
      <c r="CS236" s="399">
        <v>0</v>
      </c>
      <c r="CT236" s="399">
        <v>0</v>
      </c>
      <c r="CU236" s="399">
        <v>0</v>
      </c>
      <c r="CV236" s="399">
        <v>0</v>
      </c>
      <c r="CW236" s="399">
        <v>0</v>
      </c>
      <c r="CX236" s="399">
        <v>0</v>
      </c>
      <c r="CY236" s="399">
        <v>0</v>
      </c>
      <c r="CZ236" s="399">
        <v>33.382174050167464</v>
      </c>
      <c r="DA236" s="399">
        <v>0</v>
      </c>
      <c r="DB236" s="399">
        <v>0</v>
      </c>
      <c r="DC236" s="399">
        <v>-96.721540074657696</v>
      </c>
      <c r="DD236" s="399">
        <v>0</v>
      </c>
      <c r="DE236" s="399">
        <v>0</v>
      </c>
      <c r="DF236" s="399">
        <v>0</v>
      </c>
      <c r="DG236" s="399">
        <v>-3.9804205830130108</v>
      </c>
      <c r="DH236" s="399">
        <v>0</v>
      </c>
      <c r="DI236" s="399">
        <v>-5.4807527686347584</v>
      </c>
      <c r="DJ236" s="399"/>
      <c r="DK236" s="399">
        <v>0</v>
      </c>
      <c r="DL236" s="399">
        <v>0</v>
      </c>
      <c r="DM236" s="399">
        <v>0</v>
      </c>
      <c r="DN236" s="399">
        <v>0</v>
      </c>
      <c r="DO236" s="399">
        <v>-0.8031182690145009</v>
      </c>
      <c r="DP236" s="399">
        <v>-0.17304370391161839</v>
      </c>
      <c r="DQ236" s="399">
        <v>0</v>
      </c>
      <c r="DR236" s="399">
        <v>0</v>
      </c>
      <c r="DS236" s="399"/>
      <c r="DT236" s="399"/>
      <c r="DU236" s="399"/>
      <c r="DV236" s="399">
        <v>3809.6558870985386</v>
      </c>
      <c r="DW236" s="399">
        <v>0</v>
      </c>
      <c r="DX236" s="399">
        <v>0</v>
      </c>
      <c r="DY236" s="399">
        <v>-1367.1941999999999</v>
      </c>
      <c r="DZ236" s="399">
        <v>-96.711439999999982</v>
      </c>
      <c r="EA236" s="399">
        <v>0</v>
      </c>
      <c r="EB236" s="399">
        <v>0</v>
      </c>
      <c r="EC236" s="399">
        <v>-1390.1438826346625</v>
      </c>
      <c r="ED236" s="399">
        <v>0</v>
      </c>
      <c r="EE236" s="399">
        <v>0</v>
      </c>
      <c r="EF236" s="399">
        <v>0</v>
      </c>
      <c r="EG236" s="399">
        <v>0</v>
      </c>
      <c r="EH236" s="399">
        <v>0</v>
      </c>
      <c r="EI236" s="399">
        <v>0</v>
      </c>
      <c r="EJ236" s="399">
        <v>0</v>
      </c>
      <c r="EK236" s="399">
        <v>0</v>
      </c>
      <c r="EL236" s="399">
        <v>0</v>
      </c>
      <c r="EM236" s="399">
        <v>0</v>
      </c>
      <c r="EN236" s="399">
        <v>0</v>
      </c>
      <c r="EO236" s="399">
        <v>0</v>
      </c>
      <c r="EP236" s="399">
        <v>37.251453048318645</v>
      </c>
      <c r="EQ236" s="399">
        <v>0</v>
      </c>
      <c r="ER236" s="399">
        <v>0</v>
      </c>
      <c r="ES236" s="399">
        <v>0</v>
      </c>
      <c r="ET236" s="399">
        <v>0</v>
      </c>
      <c r="EU236" s="399">
        <v>0</v>
      </c>
      <c r="EV236" s="399">
        <v>202</v>
      </c>
      <c r="EW236" s="399">
        <v>0</v>
      </c>
      <c r="EX236" s="399">
        <v>0</v>
      </c>
      <c r="EY236" s="399">
        <v>0</v>
      </c>
      <c r="EZ236" s="399"/>
      <c r="FA236" s="399">
        <v>0</v>
      </c>
      <c r="FB236" s="399">
        <v>-17.698635468909799</v>
      </c>
      <c r="FC236" s="399"/>
      <c r="FD236" s="399">
        <v>-17.698635468909799</v>
      </c>
      <c r="FE236" s="399"/>
      <c r="FF236" s="399">
        <v>0</v>
      </c>
      <c r="FG236" s="399">
        <v>0</v>
      </c>
      <c r="FH236" s="399">
        <v>0</v>
      </c>
      <c r="FI236" s="399">
        <v>0</v>
      </c>
    </row>
    <row r="237" spans="1:165">
      <c r="A237" s="399">
        <v>248</v>
      </c>
      <c r="B237" s="399" t="s">
        <v>956</v>
      </c>
      <c r="C237" s="399" t="s">
        <v>2399</v>
      </c>
      <c r="D237" s="399" t="s">
        <v>533</v>
      </c>
      <c r="E237" s="399" t="s">
        <v>918</v>
      </c>
      <c r="F237" s="399" t="s">
        <v>1239</v>
      </c>
      <c r="G237" s="399" t="s">
        <v>1239</v>
      </c>
      <c r="H237" s="399" t="s">
        <v>1239</v>
      </c>
      <c r="I237" s="399" t="s">
        <v>2326</v>
      </c>
      <c r="J237" s="399" t="s">
        <v>2400</v>
      </c>
      <c r="K237" s="788">
        <v>44743</v>
      </c>
      <c r="L237" s="399">
        <v>0</v>
      </c>
      <c r="M237" s="399">
        <v>0</v>
      </c>
      <c r="N237" s="399">
        <v>18.992000000000001</v>
      </c>
      <c r="O237" s="399">
        <v>18.992000000000001</v>
      </c>
      <c r="P237" s="399">
        <v>18.992000000000001</v>
      </c>
      <c r="Q237" s="399">
        <v>18.992000000000001</v>
      </c>
      <c r="R237" s="399"/>
      <c r="S237" s="399">
        <v>100.48</v>
      </c>
      <c r="T237" s="399">
        <v>286.42</v>
      </c>
      <c r="U237" s="399"/>
      <c r="V237" s="399">
        <v>7348.0048000000006</v>
      </c>
      <c r="W237" s="399">
        <v>7348.0048000000006</v>
      </c>
      <c r="X237" s="399">
        <v>5983.9993599999998</v>
      </c>
      <c r="Y237" s="399">
        <v>0</v>
      </c>
      <c r="Z237" s="399">
        <v>1005.6153296587736</v>
      </c>
      <c r="AA237" s="399">
        <v>0</v>
      </c>
      <c r="AB237" s="399">
        <v>0</v>
      </c>
      <c r="AC237" s="399">
        <v>0</v>
      </c>
      <c r="AD237" s="399">
        <v>0</v>
      </c>
      <c r="AE237" s="399">
        <v>0</v>
      </c>
      <c r="AF237" s="399">
        <v>5439.7521728711226</v>
      </c>
      <c r="AG237" s="399">
        <v>0</v>
      </c>
      <c r="AH237" s="399">
        <v>0</v>
      </c>
      <c r="AI237" s="399">
        <v>0</v>
      </c>
      <c r="AJ237" s="399">
        <v>0</v>
      </c>
      <c r="AK237" s="399">
        <v>0</v>
      </c>
      <c r="AL237" s="399">
        <v>178.6366430292511</v>
      </c>
      <c r="AM237" s="399"/>
      <c r="AN237" s="399">
        <v>26.020700419263179</v>
      </c>
      <c r="AO237" s="399">
        <v>0</v>
      </c>
      <c r="AP237" s="399">
        <v>0</v>
      </c>
      <c r="AQ237" s="399">
        <v>0</v>
      </c>
      <c r="AR237" s="399">
        <v>0</v>
      </c>
      <c r="AS237" s="399">
        <v>0</v>
      </c>
      <c r="AT237" s="399">
        <v>0</v>
      </c>
      <c r="AU237" s="399">
        <v>0</v>
      </c>
      <c r="AV237" s="399">
        <v>0</v>
      </c>
      <c r="AW237" s="399">
        <v>0</v>
      </c>
      <c r="AX237" s="399">
        <v>0</v>
      </c>
      <c r="AY237" s="399">
        <v>0</v>
      </c>
      <c r="AZ237" s="399">
        <v>0</v>
      </c>
      <c r="BA237" s="399"/>
      <c r="BB237" s="399">
        <v>0</v>
      </c>
      <c r="BC237" s="399">
        <v>0</v>
      </c>
      <c r="BD237" s="399">
        <v>0</v>
      </c>
      <c r="BE237" s="399">
        <v>0</v>
      </c>
      <c r="BF237" s="399">
        <v>0</v>
      </c>
      <c r="BG237" s="399">
        <v>223.86431707634711</v>
      </c>
      <c r="BH237" s="399">
        <v>0</v>
      </c>
      <c r="BI237" s="399">
        <v>0</v>
      </c>
      <c r="BJ237" s="399">
        <v>0</v>
      </c>
      <c r="BK237" s="399">
        <v>0</v>
      </c>
      <c r="BL237" s="399">
        <v>0</v>
      </c>
      <c r="BM237" s="399"/>
      <c r="BN237" s="399"/>
      <c r="BO237" s="399"/>
      <c r="BP237" s="399"/>
      <c r="BQ237" s="399"/>
      <c r="BR237" s="399"/>
      <c r="BS237" s="399"/>
      <c r="BT237" s="399"/>
      <c r="BU237" s="399"/>
      <c r="BV237" s="399">
        <v>5663.6164899474697</v>
      </c>
      <c r="BW237" s="399"/>
      <c r="BX237" s="399"/>
      <c r="BY237" s="399"/>
      <c r="BZ237" s="399"/>
      <c r="CA237" s="399"/>
      <c r="CB237" s="399"/>
      <c r="CC237" s="399"/>
      <c r="CD237" s="399"/>
      <c r="CE237" s="399"/>
      <c r="CF237" s="399"/>
      <c r="CG237" s="399"/>
      <c r="CH237" s="399"/>
      <c r="CI237" s="399">
        <v>5983.3691999999992</v>
      </c>
      <c r="CJ237" s="399">
        <v>-1364.6656000000012</v>
      </c>
      <c r="CK237" s="399"/>
      <c r="CL237" s="399"/>
      <c r="CM237" s="399"/>
      <c r="CN237" s="399"/>
      <c r="CO237" s="399">
        <v>-132.94400000000002</v>
      </c>
      <c r="CP237" s="399">
        <v>-1231.0614400000004</v>
      </c>
      <c r="CQ237" s="399">
        <v>31</v>
      </c>
      <c r="CR237" s="399">
        <v>-1364.0491699612639</v>
      </c>
      <c r="CS237" s="399">
        <v>0</v>
      </c>
      <c r="CT237" s="399">
        <v>0</v>
      </c>
      <c r="CU237" s="399">
        <v>0</v>
      </c>
      <c r="CV237" s="399">
        <v>0</v>
      </c>
      <c r="CW237" s="399">
        <v>0</v>
      </c>
      <c r="CX237" s="399">
        <v>0</v>
      </c>
      <c r="CY237" s="399">
        <v>0</v>
      </c>
      <c r="CZ237" s="399">
        <v>0</v>
      </c>
      <c r="DA237" s="399">
        <v>0</v>
      </c>
      <c r="DB237" s="399">
        <v>0</v>
      </c>
      <c r="DC237" s="399">
        <v>-1231.1900060977869</v>
      </c>
      <c r="DD237" s="399">
        <v>0</v>
      </c>
      <c r="DE237" s="399">
        <v>0</v>
      </c>
      <c r="DF237" s="399">
        <v>0</v>
      </c>
      <c r="DG237" s="399">
        <v>-50.667659324787593</v>
      </c>
      <c r="DH237" s="399">
        <v>0</v>
      </c>
      <c r="DI237" s="399">
        <v>-69.765721569645848</v>
      </c>
      <c r="DJ237" s="399"/>
      <c r="DK237" s="399">
        <v>0</v>
      </c>
      <c r="DL237" s="399">
        <v>0</v>
      </c>
      <c r="DM237" s="399">
        <v>0</v>
      </c>
      <c r="DN237" s="399">
        <v>0</v>
      </c>
      <c r="DO237" s="399">
        <v>-10.22307115624892</v>
      </c>
      <c r="DP237" s="399">
        <v>-2.20271181279454</v>
      </c>
      <c r="DQ237" s="399">
        <v>0</v>
      </c>
      <c r="DR237" s="399">
        <v>0</v>
      </c>
      <c r="DS237" s="399"/>
      <c r="DT237" s="399"/>
      <c r="DU237" s="399"/>
      <c r="DV237" s="399">
        <v>0</v>
      </c>
      <c r="DW237" s="399">
        <v>0</v>
      </c>
      <c r="DX237" s="399">
        <v>0</v>
      </c>
      <c r="DY237" s="399">
        <v>-132.94399999999996</v>
      </c>
      <c r="DZ237" s="399">
        <v>-1231.0614400000004</v>
      </c>
      <c r="EA237" s="399">
        <v>0</v>
      </c>
      <c r="EB237" s="399">
        <v>0</v>
      </c>
      <c r="EC237" s="399">
        <v>0</v>
      </c>
      <c r="ED237" s="399">
        <v>0</v>
      </c>
      <c r="EE237" s="399">
        <v>0</v>
      </c>
      <c r="EF237" s="399">
        <v>0</v>
      </c>
      <c r="EG237" s="399">
        <v>0</v>
      </c>
      <c r="EH237" s="399">
        <v>0</v>
      </c>
      <c r="EI237" s="399">
        <v>0</v>
      </c>
      <c r="EJ237" s="399">
        <v>0</v>
      </c>
      <c r="EK237" s="399">
        <v>0</v>
      </c>
      <c r="EL237" s="399">
        <v>0</v>
      </c>
      <c r="EM237" s="399">
        <v>0</v>
      </c>
      <c r="EN237" s="399">
        <v>0</v>
      </c>
      <c r="EO237" s="399">
        <v>0</v>
      </c>
      <c r="EP237" s="399">
        <v>474.1820350493752</v>
      </c>
      <c r="EQ237" s="399">
        <v>0</v>
      </c>
      <c r="ER237" s="399">
        <v>0</v>
      </c>
      <c r="ES237" s="399">
        <v>0</v>
      </c>
      <c r="ET237" s="399">
        <v>0</v>
      </c>
      <c r="EU237" s="399">
        <v>0</v>
      </c>
      <c r="EV237" s="399">
        <v>202</v>
      </c>
      <c r="EW237" s="399">
        <v>0</v>
      </c>
      <c r="EX237" s="399">
        <v>0</v>
      </c>
      <c r="EY237" s="399">
        <v>0</v>
      </c>
      <c r="EZ237" s="399"/>
      <c r="FA237" s="399">
        <v>0</v>
      </c>
      <c r="FB237" s="399">
        <v>-17.698635468909799</v>
      </c>
      <c r="FC237" s="399"/>
      <c r="FD237" s="399">
        <v>-17.698635468909799</v>
      </c>
      <c r="FE237" s="399"/>
      <c r="FF237" s="399">
        <v>0</v>
      </c>
      <c r="FG237" s="399">
        <v>0</v>
      </c>
      <c r="FH237" s="399">
        <v>0</v>
      </c>
      <c r="FI237" s="399">
        <v>0</v>
      </c>
    </row>
    <row r="238" spans="1:165">
      <c r="A238" s="399">
        <v>249</v>
      </c>
      <c r="B238" s="399" t="s">
        <v>956</v>
      </c>
      <c r="C238" s="399" t="s">
        <v>2399</v>
      </c>
      <c r="D238" s="399" t="s">
        <v>533</v>
      </c>
      <c r="E238" s="399" t="s">
        <v>918</v>
      </c>
      <c r="F238" s="399" t="s">
        <v>1239</v>
      </c>
      <c r="G238" s="399" t="s">
        <v>1239</v>
      </c>
      <c r="H238" s="399" t="s">
        <v>1239</v>
      </c>
      <c r="I238" s="399" t="s">
        <v>1239</v>
      </c>
      <c r="J238" s="399" t="s">
        <v>2400</v>
      </c>
      <c r="K238" s="788">
        <v>44743</v>
      </c>
      <c r="L238" s="399">
        <v>200</v>
      </c>
      <c r="M238" s="399">
        <v>200</v>
      </c>
      <c r="N238" s="399">
        <v>0</v>
      </c>
      <c r="O238" s="399">
        <v>0</v>
      </c>
      <c r="P238" s="399">
        <v>0</v>
      </c>
      <c r="Q238" s="399">
        <v>0</v>
      </c>
      <c r="R238" s="399">
        <v>39.21</v>
      </c>
      <c r="S238" s="399"/>
      <c r="T238" s="399"/>
      <c r="U238" s="399">
        <v>7842</v>
      </c>
      <c r="V238" s="399"/>
      <c r="W238" s="399">
        <v>7842</v>
      </c>
      <c r="X238" s="399">
        <v>5968</v>
      </c>
      <c r="Y238" s="399">
        <v>0</v>
      </c>
      <c r="Z238" s="399">
        <v>0</v>
      </c>
      <c r="AA238" s="399">
        <v>0</v>
      </c>
      <c r="AB238" s="399">
        <v>0</v>
      </c>
      <c r="AC238" s="399">
        <v>0</v>
      </c>
      <c r="AD238" s="399">
        <v>2470.4459924729599</v>
      </c>
      <c r="AE238" s="399">
        <v>5372.3982459365207</v>
      </c>
      <c r="AF238" s="399"/>
      <c r="AG238" s="399"/>
      <c r="AH238" s="399"/>
      <c r="AI238" s="399">
        <v>0</v>
      </c>
      <c r="AJ238" s="399">
        <v>0</v>
      </c>
      <c r="AK238" s="399">
        <v>0</v>
      </c>
      <c r="AL238" s="399">
        <v>0</v>
      </c>
      <c r="AM238" s="399"/>
      <c r="AN238" s="399">
        <v>0</v>
      </c>
      <c r="AO238" s="399">
        <v>0</v>
      </c>
      <c r="AP238" s="399">
        <v>0</v>
      </c>
      <c r="AQ238" s="399">
        <v>0</v>
      </c>
      <c r="AR238" s="399">
        <v>0</v>
      </c>
      <c r="AS238" s="399"/>
      <c r="AT238" s="399"/>
      <c r="AU238" s="399">
        <v>0</v>
      </c>
      <c r="AV238" s="399">
        <v>0</v>
      </c>
      <c r="AW238" s="399">
        <v>0</v>
      </c>
      <c r="AX238" s="399"/>
      <c r="AY238" s="399"/>
      <c r="AZ238" s="399">
        <v>0</v>
      </c>
      <c r="BA238" s="399"/>
      <c r="BB238" s="399">
        <v>0</v>
      </c>
      <c r="BC238" s="399">
        <v>0</v>
      </c>
      <c r="BD238" s="399">
        <v>0</v>
      </c>
      <c r="BE238" s="399">
        <v>0</v>
      </c>
      <c r="BF238" s="399"/>
      <c r="BG238" s="399">
        <v>0</v>
      </c>
      <c r="BH238" s="399">
        <v>0</v>
      </c>
      <c r="BI238" s="399">
        <v>106.91</v>
      </c>
      <c r="BJ238" s="399">
        <v>493.44</v>
      </c>
      <c r="BK238" s="399">
        <v>3189.05</v>
      </c>
      <c r="BL238" s="399">
        <v>1</v>
      </c>
      <c r="BM238" s="399"/>
      <c r="BN238" s="399"/>
      <c r="BO238" s="399"/>
      <c r="BP238" s="399"/>
      <c r="BQ238" s="399"/>
      <c r="BR238" s="399"/>
      <c r="BS238" s="399"/>
      <c r="BT238" s="399"/>
      <c r="BU238" s="399"/>
      <c r="BV238" s="399">
        <v>0</v>
      </c>
      <c r="BW238" s="399"/>
      <c r="BX238" s="399"/>
      <c r="BY238" s="399"/>
      <c r="BZ238" s="399"/>
      <c r="CA238" s="399"/>
      <c r="CB238" s="399"/>
      <c r="CC238" s="399"/>
      <c r="CD238" s="399"/>
      <c r="CE238" s="399"/>
      <c r="CF238" s="399"/>
      <c r="CG238" s="399"/>
      <c r="CH238" s="399"/>
      <c r="CI238" s="399">
        <v>5968</v>
      </c>
      <c r="CJ238" s="399">
        <v>-1874.0300000000007</v>
      </c>
      <c r="CK238" s="399"/>
      <c r="CL238" s="399"/>
      <c r="CM238" s="399"/>
      <c r="CN238" s="399"/>
      <c r="CO238" s="399">
        <v>-1874.0000000000002</v>
      </c>
      <c r="CP238" s="399">
        <v>0</v>
      </c>
      <c r="CQ238" s="399">
        <v>31</v>
      </c>
      <c r="CR238" s="399">
        <v>84.77806630906025</v>
      </c>
      <c r="CS238" s="399">
        <v>0</v>
      </c>
      <c r="CT238" s="399">
        <v>0</v>
      </c>
      <c r="CU238" s="399">
        <v>0</v>
      </c>
      <c r="CV238" s="399">
        <v>0</v>
      </c>
      <c r="CW238" s="399"/>
      <c r="CX238" s="399"/>
      <c r="CY238" s="399"/>
      <c r="CZ238" s="399">
        <v>84.77806630906025</v>
      </c>
      <c r="DA238" s="399">
        <v>0</v>
      </c>
      <c r="DB238" s="399">
        <v>0</v>
      </c>
      <c r="DC238" s="399"/>
      <c r="DD238" s="399"/>
      <c r="DE238" s="399">
        <v>0</v>
      </c>
      <c r="DF238" s="399">
        <v>0</v>
      </c>
      <c r="DG238" s="399">
        <v>0</v>
      </c>
      <c r="DH238" s="399">
        <v>0</v>
      </c>
      <c r="DI238" s="399">
        <v>0</v>
      </c>
      <c r="DJ238" s="399"/>
      <c r="DK238" s="399">
        <v>0</v>
      </c>
      <c r="DL238" s="399">
        <v>0</v>
      </c>
      <c r="DM238" s="399"/>
      <c r="DN238" s="399">
        <v>0</v>
      </c>
      <c r="DO238" s="399">
        <v>0</v>
      </c>
      <c r="DP238" s="399">
        <v>0</v>
      </c>
      <c r="DQ238" s="399">
        <v>0</v>
      </c>
      <c r="DR238" s="399">
        <v>0</v>
      </c>
      <c r="DS238" s="399"/>
      <c r="DT238" s="399"/>
      <c r="DU238" s="399">
        <v>5372.3982459365207</v>
      </c>
      <c r="DV238" s="399"/>
      <c r="DW238" s="399">
        <v>0</v>
      </c>
      <c r="DX238" s="399">
        <v>0</v>
      </c>
      <c r="DY238" s="399">
        <v>-1874</v>
      </c>
      <c r="DZ238" s="399"/>
      <c r="EA238" s="399">
        <v>0</v>
      </c>
      <c r="EB238" s="399"/>
      <c r="EC238" s="399">
        <v>-1960.3887537343408</v>
      </c>
      <c r="ED238" s="399"/>
      <c r="EE238" s="399">
        <v>0</v>
      </c>
      <c r="EF238" s="399">
        <v>0</v>
      </c>
      <c r="EG238" s="399"/>
      <c r="EH238" s="399">
        <v>0</v>
      </c>
      <c r="EI238" s="399">
        <v>0</v>
      </c>
      <c r="EJ238" s="399">
        <v>0</v>
      </c>
      <c r="EK238" s="399">
        <v>0</v>
      </c>
      <c r="EL238" s="399">
        <v>0</v>
      </c>
      <c r="EM238" s="399"/>
      <c r="EN238" s="399"/>
      <c r="EO238" s="399">
        <v>0</v>
      </c>
      <c r="EP238" s="399">
        <v>0</v>
      </c>
      <c r="EQ238" s="399"/>
      <c r="ER238" s="399">
        <v>0</v>
      </c>
      <c r="ES238" s="399"/>
      <c r="ET238" s="399">
        <v>0</v>
      </c>
      <c r="EU238" s="399"/>
      <c r="EV238" s="399">
        <v>202</v>
      </c>
      <c r="EW238" s="399"/>
      <c r="EX238" s="399"/>
      <c r="EY238" s="399"/>
      <c r="EZ238" s="399"/>
      <c r="FA238" s="399">
        <v>0</v>
      </c>
      <c r="FB238" s="399">
        <v>-17.698635468909799</v>
      </c>
      <c r="FC238" s="399"/>
      <c r="FD238" s="399">
        <v>-17.698635468909799</v>
      </c>
      <c r="FE238" s="399"/>
      <c r="FF238" s="399">
        <v>0</v>
      </c>
      <c r="FG238" s="399">
        <v>0</v>
      </c>
      <c r="FH238" s="399">
        <v>0</v>
      </c>
      <c r="FI238" s="399">
        <v>0</v>
      </c>
    </row>
    <row r="239" spans="1:165">
      <c r="A239" s="399">
        <v>236</v>
      </c>
      <c r="B239" s="399" t="s">
        <v>956</v>
      </c>
      <c r="C239" s="399" t="s">
        <v>2402</v>
      </c>
      <c r="D239" s="399" t="s">
        <v>1823</v>
      </c>
      <c r="E239" s="399" t="s">
        <v>889</v>
      </c>
      <c r="F239" s="399" t="s">
        <v>889</v>
      </c>
      <c r="G239" s="399" t="s">
        <v>1239</v>
      </c>
      <c r="H239" s="399" t="s">
        <v>1239</v>
      </c>
      <c r="I239" s="399" t="s">
        <v>1239</v>
      </c>
      <c r="J239" s="399" t="s">
        <v>2400</v>
      </c>
      <c r="K239" s="788">
        <v>44743</v>
      </c>
      <c r="L239" s="399">
        <v>0</v>
      </c>
      <c r="M239" s="399">
        <v>0</v>
      </c>
      <c r="N239" s="399">
        <v>391.23700000000002</v>
      </c>
      <c r="O239" s="399">
        <v>391.23700000000002</v>
      </c>
      <c r="P239" s="399">
        <v>391.23700000000002</v>
      </c>
      <c r="Q239" s="399">
        <v>391.23700000000002</v>
      </c>
      <c r="R239" s="399"/>
      <c r="S239" s="399">
        <v>609.05999999999995</v>
      </c>
      <c r="T239" s="399">
        <v>286.42</v>
      </c>
      <c r="U239" s="399"/>
      <c r="V239" s="399">
        <v>350344.90876000002</v>
      </c>
      <c r="W239" s="399">
        <v>350344.90876000002</v>
      </c>
      <c r="X239" s="399">
        <v>267555.24719000002</v>
      </c>
      <c r="Y239" s="399">
        <v>0</v>
      </c>
      <c r="Z239" s="399">
        <v>23811.231149335086</v>
      </c>
      <c r="AA239" s="399">
        <v>0</v>
      </c>
      <c r="AB239" s="399">
        <v>0</v>
      </c>
      <c r="AC239" s="399">
        <v>0</v>
      </c>
      <c r="AD239" s="399">
        <v>38205.134192007521</v>
      </c>
      <c r="AE239" s="399">
        <v>147579.28936403268</v>
      </c>
      <c r="AF239" s="399">
        <v>112059.41032316658</v>
      </c>
      <c r="AG239" s="399">
        <v>0</v>
      </c>
      <c r="AH239" s="399">
        <v>0</v>
      </c>
      <c r="AI239" s="399">
        <v>0</v>
      </c>
      <c r="AJ239" s="399">
        <v>0</v>
      </c>
      <c r="AK239" s="399">
        <v>0</v>
      </c>
      <c r="AL239" s="399">
        <v>3679.9317770026914</v>
      </c>
      <c r="AM239" s="399"/>
      <c r="AN239" s="399">
        <v>668.16924596326601</v>
      </c>
      <c r="AO239" s="399">
        <v>0</v>
      </c>
      <c r="AP239" s="399">
        <v>0</v>
      </c>
      <c r="AQ239" s="399">
        <v>0</v>
      </c>
      <c r="AR239" s="399">
        <v>0</v>
      </c>
      <c r="AS239" s="399">
        <v>0</v>
      </c>
      <c r="AT239" s="399">
        <v>0</v>
      </c>
      <c r="AU239" s="399">
        <v>0</v>
      </c>
      <c r="AV239" s="399">
        <v>0</v>
      </c>
      <c r="AW239" s="399">
        <v>0</v>
      </c>
      <c r="AX239" s="399">
        <v>0</v>
      </c>
      <c r="AY239" s="399">
        <v>0</v>
      </c>
      <c r="AZ239" s="399">
        <v>0</v>
      </c>
      <c r="BA239" s="399"/>
      <c r="BB239" s="399">
        <v>0</v>
      </c>
      <c r="BC239" s="399">
        <v>0</v>
      </c>
      <c r="BD239" s="399">
        <v>0</v>
      </c>
      <c r="BE239" s="399">
        <v>0</v>
      </c>
      <c r="BF239" s="399">
        <v>0</v>
      </c>
      <c r="BG239" s="399">
        <v>13115.17146389958</v>
      </c>
      <c r="BH239" s="399">
        <v>0</v>
      </c>
      <c r="BI239" s="399">
        <v>1361.18</v>
      </c>
      <c r="BJ239" s="399">
        <v>6329</v>
      </c>
      <c r="BK239" s="399">
        <v>37991.06</v>
      </c>
      <c r="BL239" s="399">
        <v>3186</v>
      </c>
      <c r="BM239" s="399"/>
      <c r="BN239" s="399"/>
      <c r="BO239" s="399"/>
      <c r="BP239" s="399"/>
      <c r="BQ239" s="399"/>
      <c r="BR239" s="399"/>
      <c r="BS239" s="399"/>
      <c r="BT239" s="399"/>
      <c r="BU239" s="399"/>
      <c r="BV239" s="399">
        <v>125174.58178706616</v>
      </c>
      <c r="BW239" s="399"/>
      <c r="BX239" s="399"/>
      <c r="BY239" s="399"/>
      <c r="BZ239" s="399"/>
      <c r="CA239" s="399"/>
      <c r="CB239" s="399"/>
      <c r="CC239" s="399"/>
      <c r="CD239" s="399"/>
      <c r="CE239" s="399"/>
      <c r="CF239" s="399"/>
      <c r="CG239" s="399"/>
      <c r="CH239" s="399"/>
      <c r="CI239" s="399">
        <v>267557.29879999999</v>
      </c>
      <c r="CJ239" s="399">
        <v>-82787.639960000059</v>
      </c>
      <c r="CK239" s="399"/>
      <c r="CL239" s="399"/>
      <c r="CM239" s="399"/>
      <c r="CN239" s="399"/>
      <c r="CO239" s="399">
        <v>-57429.679229999987</v>
      </c>
      <c r="CP239" s="399">
        <v>-25359.98234000001</v>
      </c>
      <c r="CQ239" s="399">
        <v>31</v>
      </c>
      <c r="CR239" s="399">
        <v>-28939.021663839172</v>
      </c>
      <c r="CS239" s="399">
        <v>0</v>
      </c>
      <c r="CT239" s="399">
        <v>0</v>
      </c>
      <c r="CU239" s="399">
        <v>0</v>
      </c>
      <c r="CV239" s="399">
        <v>0</v>
      </c>
      <c r="CW239" s="399">
        <v>0</v>
      </c>
      <c r="CX239" s="399">
        <v>0</v>
      </c>
      <c r="CY239" s="399">
        <v>0</v>
      </c>
      <c r="CZ239" s="399">
        <v>1311.0820514779989</v>
      </c>
      <c r="DA239" s="399">
        <v>0</v>
      </c>
      <c r="DB239" s="399">
        <v>0</v>
      </c>
      <c r="DC239" s="399">
        <v>-25362.630813799493</v>
      </c>
      <c r="DD239" s="399">
        <v>0</v>
      </c>
      <c r="DE239" s="399">
        <v>0</v>
      </c>
      <c r="DF239" s="399">
        <v>0</v>
      </c>
      <c r="DG239" s="399">
        <v>-2968.3830294955351</v>
      </c>
      <c r="DH239" s="399">
        <v>0</v>
      </c>
      <c r="DI239" s="399">
        <v>-1651.9315821872551</v>
      </c>
      <c r="DJ239" s="399"/>
      <c r="DK239" s="399">
        <v>0</v>
      </c>
      <c r="DL239" s="399">
        <v>0</v>
      </c>
      <c r="DM239" s="399">
        <v>0</v>
      </c>
      <c r="DN239" s="399">
        <v>0</v>
      </c>
      <c r="DO239" s="399">
        <v>-210.59623472816747</v>
      </c>
      <c r="DP239" s="399">
        <v>-56.562055106700313</v>
      </c>
      <c r="DQ239" s="399">
        <v>0</v>
      </c>
      <c r="DR239" s="399">
        <v>0</v>
      </c>
      <c r="DS239" s="399"/>
      <c r="DT239" s="399"/>
      <c r="DU239" s="399"/>
      <c r="DV239" s="399">
        <v>147579.28936403268</v>
      </c>
      <c r="DW239" s="399">
        <v>0</v>
      </c>
      <c r="DX239" s="399">
        <v>0</v>
      </c>
      <c r="DY239" s="399">
        <v>-57429.67922999998</v>
      </c>
      <c r="DZ239" s="399">
        <v>-25359.982340000017</v>
      </c>
      <c r="EA239" s="399">
        <v>0</v>
      </c>
      <c r="EB239" s="399">
        <v>0</v>
      </c>
      <c r="EC239" s="399">
        <v>-53851.700099146779</v>
      </c>
      <c r="ED239" s="399">
        <v>0</v>
      </c>
      <c r="EE239" s="399">
        <v>0</v>
      </c>
      <c r="EF239" s="399">
        <v>0</v>
      </c>
      <c r="EG239" s="399">
        <v>0</v>
      </c>
      <c r="EH239" s="399">
        <v>0</v>
      </c>
      <c r="EI239" s="399">
        <v>0</v>
      </c>
      <c r="EJ239" s="399">
        <v>0</v>
      </c>
      <c r="EK239" s="399">
        <v>0</v>
      </c>
      <c r="EL239" s="399">
        <v>0</v>
      </c>
      <c r="EM239" s="399">
        <v>0</v>
      </c>
      <c r="EN239" s="399">
        <v>0</v>
      </c>
      <c r="EO239" s="399">
        <v>0</v>
      </c>
      <c r="EP239" s="399">
        <v>11227.810187871746</v>
      </c>
      <c r="EQ239" s="399">
        <v>0</v>
      </c>
      <c r="ER239" s="399">
        <v>0</v>
      </c>
      <c r="ES239" s="399">
        <v>0</v>
      </c>
      <c r="ET239" s="399">
        <v>0</v>
      </c>
      <c r="EU239" s="399">
        <v>0</v>
      </c>
      <c r="EV239" s="399">
        <v>202</v>
      </c>
      <c r="EW239" s="399">
        <v>0</v>
      </c>
      <c r="EX239" s="399">
        <v>0</v>
      </c>
      <c r="EY239" s="399">
        <v>0</v>
      </c>
      <c r="EZ239" s="399"/>
      <c r="FA239" s="399">
        <v>0</v>
      </c>
      <c r="FB239" s="399">
        <v>-17.698635468909799</v>
      </c>
      <c r="FC239" s="399"/>
      <c r="FD239" s="399">
        <v>-17.698635468909799</v>
      </c>
      <c r="FE239" s="399"/>
      <c r="FF239" s="399">
        <v>0</v>
      </c>
      <c r="FG239" s="399">
        <v>0</v>
      </c>
      <c r="FH239" s="399">
        <v>0</v>
      </c>
      <c r="FI239" s="399">
        <v>0</v>
      </c>
    </row>
    <row r="240" spans="1:165">
      <c r="A240" s="399">
        <v>237</v>
      </c>
      <c r="B240" s="399" t="s">
        <v>2403</v>
      </c>
      <c r="C240" s="399" t="s">
        <v>2402</v>
      </c>
      <c r="D240" s="399" t="s">
        <v>1823</v>
      </c>
      <c r="E240" s="399" t="s">
        <v>889</v>
      </c>
      <c r="F240" s="399" t="s">
        <v>889</v>
      </c>
      <c r="G240" s="399" t="s">
        <v>1239</v>
      </c>
      <c r="H240" s="399" t="s">
        <v>1239</v>
      </c>
      <c r="I240" s="399" t="s">
        <v>1239</v>
      </c>
      <c r="J240" s="399" t="s">
        <v>2400</v>
      </c>
      <c r="K240" s="788">
        <v>44743</v>
      </c>
      <c r="L240" s="399">
        <v>0</v>
      </c>
      <c r="M240" s="399">
        <v>0</v>
      </c>
      <c r="N240" s="399">
        <v>-0.378</v>
      </c>
      <c r="O240" s="399">
        <v>-0.378</v>
      </c>
      <c r="P240" s="399">
        <v>-0.378</v>
      </c>
      <c r="Q240" s="399">
        <v>-0.378</v>
      </c>
      <c r="R240" s="399"/>
      <c r="S240" s="399">
        <v>609.05999999999995</v>
      </c>
      <c r="T240" s="399">
        <v>286.42</v>
      </c>
      <c r="U240" s="399"/>
      <c r="V240" s="399">
        <v>-338.49144000000001</v>
      </c>
      <c r="W240" s="399">
        <v>-338.49144000000001</v>
      </c>
      <c r="X240" s="399">
        <v>-258.50286</v>
      </c>
      <c r="Y240" s="399">
        <v>0</v>
      </c>
      <c r="Z240" s="399">
        <v>-23.005608811151966</v>
      </c>
      <c r="AA240" s="399">
        <v>0</v>
      </c>
      <c r="AB240" s="399">
        <v>0</v>
      </c>
      <c r="AC240" s="399">
        <v>0</v>
      </c>
      <c r="AD240" s="399">
        <v>-36.912512683051048</v>
      </c>
      <c r="AE240" s="399">
        <v>-142.58613418363893</v>
      </c>
      <c r="AF240" s="399">
        <v>-108.26802450217377</v>
      </c>
      <c r="AG240" s="399">
        <v>0</v>
      </c>
      <c r="AH240" s="399">
        <v>0</v>
      </c>
      <c r="AI240" s="399">
        <v>0</v>
      </c>
      <c r="AJ240" s="399">
        <v>0</v>
      </c>
      <c r="AK240" s="399">
        <v>0</v>
      </c>
      <c r="AL240" s="399">
        <v>-3.5554260249082197</v>
      </c>
      <c r="AM240" s="399"/>
      <c r="AN240" s="399">
        <v>-0.64556260009690936</v>
      </c>
      <c r="AO240" s="399">
        <v>0</v>
      </c>
      <c r="AP240" s="399">
        <v>0</v>
      </c>
      <c r="AQ240" s="399">
        <v>0</v>
      </c>
      <c r="AR240" s="399">
        <v>0</v>
      </c>
      <c r="AS240" s="399">
        <v>0</v>
      </c>
      <c r="AT240" s="399">
        <v>0</v>
      </c>
      <c r="AU240" s="399">
        <v>0</v>
      </c>
      <c r="AV240" s="399">
        <v>0</v>
      </c>
      <c r="AW240" s="399">
        <v>0</v>
      </c>
      <c r="AX240" s="399">
        <v>0</v>
      </c>
      <c r="AY240" s="399">
        <v>0</v>
      </c>
      <c r="AZ240" s="399">
        <v>0</v>
      </c>
      <c r="BA240" s="399"/>
      <c r="BB240" s="399">
        <v>0</v>
      </c>
      <c r="BC240" s="399">
        <v>0</v>
      </c>
      <c r="BD240" s="399">
        <v>0</v>
      </c>
      <c r="BE240" s="399">
        <v>0</v>
      </c>
      <c r="BF240" s="399">
        <v>0</v>
      </c>
      <c r="BG240" s="399">
        <v>-12.671436529147398</v>
      </c>
      <c r="BH240" s="399">
        <v>0</v>
      </c>
      <c r="BI240" s="399">
        <v>-1.0900000000000001</v>
      </c>
      <c r="BJ240" s="399">
        <v>-5.08</v>
      </c>
      <c r="BK240" s="399">
        <v>-92.35</v>
      </c>
      <c r="BL240" s="399">
        <v>0</v>
      </c>
      <c r="BM240" s="399"/>
      <c r="BN240" s="399"/>
      <c r="BO240" s="399"/>
      <c r="BP240" s="399"/>
      <c r="BQ240" s="399"/>
      <c r="BR240" s="399"/>
      <c r="BS240" s="399"/>
      <c r="BT240" s="399"/>
      <c r="BU240" s="399"/>
      <c r="BV240" s="399">
        <v>-120.93946103132117</v>
      </c>
      <c r="BW240" s="399"/>
      <c r="BX240" s="399"/>
      <c r="BY240" s="399"/>
      <c r="BZ240" s="399"/>
      <c r="CA240" s="399"/>
      <c r="CB240" s="399"/>
      <c r="CC240" s="399"/>
      <c r="CD240" s="399"/>
      <c r="CE240" s="399"/>
      <c r="CF240" s="399"/>
      <c r="CG240" s="399"/>
      <c r="CH240" s="399"/>
      <c r="CI240" s="399">
        <v>-259.87059999999997</v>
      </c>
      <c r="CJ240" s="399">
        <v>78.590840000000071</v>
      </c>
      <c r="CK240" s="399"/>
      <c r="CL240" s="399"/>
      <c r="CM240" s="399"/>
      <c r="CN240" s="399"/>
      <c r="CO240" s="399">
        <v>55.486619999999988</v>
      </c>
      <c r="CP240" s="399">
        <v>24.501960000000008</v>
      </c>
      <c r="CQ240" s="399">
        <v>31</v>
      </c>
      <c r="CR240" s="399">
        <v>27.95990713795274</v>
      </c>
      <c r="CS240" s="399">
        <v>0</v>
      </c>
      <c r="CT240" s="399">
        <v>0</v>
      </c>
      <c r="CU240" s="399">
        <v>0</v>
      </c>
      <c r="CV240" s="399">
        <v>0</v>
      </c>
      <c r="CW240" s="399">
        <v>0</v>
      </c>
      <c r="CX240" s="399">
        <v>0</v>
      </c>
      <c r="CY240" s="399">
        <v>0</v>
      </c>
      <c r="CZ240" s="399">
        <v>-1.266723278878743</v>
      </c>
      <c r="DA240" s="399">
        <v>0</v>
      </c>
      <c r="DB240" s="399">
        <v>0</v>
      </c>
      <c r="DC240" s="399">
        <v>24.504518866099588</v>
      </c>
      <c r="DD240" s="399">
        <v>0</v>
      </c>
      <c r="DE240" s="399">
        <v>0</v>
      </c>
      <c r="DF240" s="399">
        <v>0</v>
      </c>
      <c r="DG240" s="399">
        <v>2.8679516128313836</v>
      </c>
      <c r="DH240" s="399">
        <v>0</v>
      </c>
      <c r="DI240" s="399">
        <v>1.5960406047147409</v>
      </c>
      <c r="DJ240" s="399"/>
      <c r="DK240" s="399">
        <v>0</v>
      </c>
      <c r="DL240" s="399">
        <v>0</v>
      </c>
      <c r="DM240" s="399">
        <v>0</v>
      </c>
      <c r="DN240" s="399">
        <v>0</v>
      </c>
      <c r="DO240" s="399">
        <v>0.20347098236426309</v>
      </c>
      <c r="DP240" s="399">
        <v>5.4648350821452807E-2</v>
      </c>
      <c r="DQ240" s="399">
        <v>0</v>
      </c>
      <c r="DR240" s="399">
        <v>0</v>
      </c>
      <c r="DS240" s="399"/>
      <c r="DT240" s="399"/>
      <c r="DU240" s="399"/>
      <c r="DV240" s="399">
        <v>-142.58613418363893</v>
      </c>
      <c r="DW240" s="399">
        <v>0</v>
      </c>
      <c r="DX240" s="399">
        <v>0</v>
      </c>
      <c r="DY240" s="399">
        <v>55.486619999999988</v>
      </c>
      <c r="DZ240" s="399">
        <v>24.501960000000011</v>
      </c>
      <c r="EA240" s="399">
        <v>0</v>
      </c>
      <c r="EB240" s="399">
        <v>0</v>
      </c>
      <c r="EC240" s="399">
        <v>52.02969718476902</v>
      </c>
      <c r="ED240" s="399">
        <v>0</v>
      </c>
      <c r="EE240" s="399">
        <v>0</v>
      </c>
      <c r="EF240" s="399">
        <v>0</v>
      </c>
      <c r="EG240" s="399">
        <v>0</v>
      </c>
      <c r="EH240" s="399">
        <v>0</v>
      </c>
      <c r="EI240" s="399">
        <v>0</v>
      </c>
      <c r="EJ240" s="399">
        <v>0</v>
      </c>
      <c r="EK240" s="399">
        <v>0</v>
      </c>
      <c r="EL240" s="399">
        <v>0</v>
      </c>
      <c r="EM240" s="399">
        <v>0</v>
      </c>
      <c r="EN240" s="399">
        <v>0</v>
      </c>
      <c r="EO240" s="399">
        <v>0</v>
      </c>
      <c r="EP240" s="399">
        <v>-10.847931691060712</v>
      </c>
      <c r="EQ240" s="399">
        <v>0</v>
      </c>
      <c r="ER240" s="399">
        <v>0</v>
      </c>
      <c r="ES240" s="399">
        <v>0</v>
      </c>
      <c r="ET240" s="399">
        <v>0</v>
      </c>
      <c r="EU240" s="399">
        <v>0</v>
      </c>
      <c r="EV240" s="399">
        <v>202</v>
      </c>
      <c r="EW240" s="399">
        <v>0</v>
      </c>
      <c r="EX240" s="399">
        <v>0</v>
      </c>
      <c r="EY240" s="399">
        <v>0</v>
      </c>
      <c r="EZ240" s="399"/>
      <c r="FA240" s="399">
        <v>0</v>
      </c>
      <c r="FB240" s="399">
        <v>-17.698635468909799</v>
      </c>
      <c r="FC240" s="399"/>
      <c r="FD240" s="399">
        <v>-17.698635468909799</v>
      </c>
      <c r="FE240" s="399"/>
      <c r="FF240" s="399">
        <v>0</v>
      </c>
      <c r="FG240" s="399">
        <v>0</v>
      </c>
      <c r="FH240" s="399">
        <v>0</v>
      </c>
      <c r="FI240" s="399">
        <v>0</v>
      </c>
    </row>
    <row r="241" spans="1:165">
      <c r="A241" s="399">
        <v>238</v>
      </c>
      <c r="B241" s="399" t="s">
        <v>2404</v>
      </c>
      <c r="C241" s="399" t="s">
        <v>2402</v>
      </c>
      <c r="D241" s="399" t="s">
        <v>1823</v>
      </c>
      <c r="E241" s="399" t="s">
        <v>889</v>
      </c>
      <c r="F241" s="399" t="s">
        <v>889</v>
      </c>
      <c r="G241" s="399" t="s">
        <v>1239</v>
      </c>
      <c r="H241" s="399" t="s">
        <v>1239</v>
      </c>
      <c r="I241" s="399" t="s">
        <v>1239</v>
      </c>
      <c r="J241" s="399" t="s">
        <v>2400</v>
      </c>
      <c r="K241" s="788">
        <v>44743</v>
      </c>
      <c r="L241" s="399">
        <v>0</v>
      </c>
      <c r="M241" s="399">
        <v>0</v>
      </c>
      <c r="N241" s="399">
        <v>4.8810000000000002</v>
      </c>
      <c r="O241" s="399">
        <v>4.8810000000000002</v>
      </c>
      <c r="P241" s="399">
        <v>4.8810000000000002</v>
      </c>
      <c r="Q241" s="399">
        <v>4.8810000000000002</v>
      </c>
      <c r="R241" s="399"/>
      <c r="S241" s="399">
        <v>609.05999999999995</v>
      </c>
      <c r="T241" s="399">
        <v>286.42</v>
      </c>
      <c r="U241" s="399"/>
      <c r="V241" s="399">
        <v>4370.83788</v>
      </c>
      <c r="W241" s="399">
        <v>4370.83788</v>
      </c>
      <c r="X241" s="399">
        <v>3337.96947</v>
      </c>
      <c r="Y241" s="399">
        <v>0</v>
      </c>
      <c r="Z241" s="399">
        <v>297.06448837892265</v>
      </c>
      <c r="AA241" s="399">
        <v>0</v>
      </c>
      <c r="AB241" s="399">
        <v>0</v>
      </c>
      <c r="AC241" s="399">
        <v>0</v>
      </c>
      <c r="AD241" s="399">
        <v>476.64014393114331</v>
      </c>
      <c r="AE241" s="399">
        <v>1841.1717485458776</v>
      </c>
      <c r="AF241" s="399">
        <v>1398.0323481352123</v>
      </c>
      <c r="AG241" s="399">
        <v>0</v>
      </c>
      <c r="AH241" s="399">
        <v>0</v>
      </c>
      <c r="AI241" s="399">
        <v>0</v>
      </c>
      <c r="AJ241" s="399">
        <v>0</v>
      </c>
      <c r="AK241" s="399">
        <v>0</v>
      </c>
      <c r="AL241" s="399">
        <v>45.910143988298998</v>
      </c>
      <c r="AM241" s="399"/>
      <c r="AN241" s="399">
        <v>8.3359551615688208</v>
      </c>
      <c r="AO241" s="399">
        <v>0</v>
      </c>
      <c r="AP241" s="399">
        <v>0</v>
      </c>
      <c r="AQ241" s="399">
        <v>0</v>
      </c>
      <c r="AR241" s="399">
        <v>0</v>
      </c>
      <c r="AS241" s="399">
        <v>0</v>
      </c>
      <c r="AT241" s="399">
        <v>0</v>
      </c>
      <c r="AU241" s="399">
        <v>0</v>
      </c>
      <c r="AV241" s="399">
        <v>0</v>
      </c>
      <c r="AW241" s="399">
        <v>0</v>
      </c>
      <c r="AX241" s="399">
        <v>0</v>
      </c>
      <c r="AY241" s="399">
        <v>0</v>
      </c>
      <c r="AZ241" s="399">
        <v>0</v>
      </c>
      <c r="BA241" s="399"/>
      <c r="BB241" s="399">
        <v>0</v>
      </c>
      <c r="BC241" s="399">
        <v>0</v>
      </c>
      <c r="BD241" s="399">
        <v>0</v>
      </c>
      <c r="BE241" s="399">
        <v>0</v>
      </c>
      <c r="BF241" s="399">
        <v>0</v>
      </c>
      <c r="BG241" s="399">
        <v>163.6224383565303</v>
      </c>
      <c r="BH241" s="399">
        <v>0</v>
      </c>
      <c r="BI241" s="399">
        <v>14.5</v>
      </c>
      <c r="BJ241" s="399">
        <v>67.180000000000007</v>
      </c>
      <c r="BK241" s="399">
        <v>1364.91</v>
      </c>
      <c r="BL241" s="399">
        <v>39</v>
      </c>
      <c r="BM241" s="399"/>
      <c r="BN241" s="399"/>
      <c r="BO241" s="399"/>
      <c r="BP241" s="399"/>
      <c r="BQ241" s="399"/>
      <c r="BR241" s="399"/>
      <c r="BS241" s="399"/>
      <c r="BT241" s="399"/>
      <c r="BU241" s="399"/>
      <c r="BV241" s="399">
        <v>1561.6547864917425</v>
      </c>
      <c r="BW241" s="399"/>
      <c r="BX241" s="399"/>
      <c r="BY241" s="399"/>
      <c r="BZ241" s="399"/>
      <c r="CA241" s="399"/>
      <c r="CB241" s="399"/>
      <c r="CC241" s="399"/>
      <c r="CD241" s="399"/>
      <c r="CE241" s="399"/>
      <c r="CF241" s="399"/>
      <c r="CG241" s="399"/>
      <c r="CH241" s="399"/>
      <c r="CI241" s="399">
        <v>3337.2855999999997</v>
      </c>
      <c r="CJ241" s="399">
        <v>-1033.582280000001</v>
      </c>
      <c r="CK241" s="399"/>
      <c r="CL241" s="399"/>
      <c r="CM241" s="399"/>
      <c r="CN241" s="399"/>
      <c r="CO241" s="399">
        <v>-716.48198999999988</v>
      </c>
      <c r="CP241" s="399">
        <v>-316.3864200000001</v>
      </c>
      <c r="CQ241" s="399">
        <v>31</v>
      </c>
      <c r="CR241" s="399">
        <v>-361.03784851943647</v>
      </c>
      <c r="CS241" s="399">
        <v>0</v>
      </c>
      <c r="CT241" s="399">
        <v>0</v>
      </c>
      <c r="CU241" s="399">
        <v>0</v>
      </c>
      <c r="CV241" s="399">
        <v>0</v>
      </c>
      <c r="CW241" s="399">
        <v>0</v>
      </c>
      <c r="CX241" s="399">
        <v>0</v>
      </c>
      <c r="CY241" s="399">
        <v>0</v>
      </c>
      <c r="CZ241" s="399">
        <v>16.356815672505661</v>
      </c>
      <c r="DA241" s="399">
        <v>0</v>
      </c>
      <c r="DB241" s="399">
        <v>0</v>
      </c>
      <c r="DC241" s="399">
        <v>-316.41946186622249</v>
      </c>
      <c r="DD241" s="399">
        <v>0</v>
      </c>
      <c r="DE241" s="399">
        <v>0</v>
      </c>
      <c r="DF241" s="399">
        <v>0</v>
      </c>
      <c r="DG241" s="399">
        <v>-37.032994238703651</v>
      </c>
      <c r="DH241" s="399">
        <v>0</v>
      </c>
      <c r="DI241" s="399">
        <v>-20.60919098310228</v>
      </c>
      <c r="DJ241" s="399"/>
      <c r="DK241" s="399">
        <v>0</v>
      </c>
      <c r="DL241" s="399">
        <v>0</v>
      </c>
      <c r="DM241" s="399">
        <v>0</v>
      </c>
      <c r="DN241" s="399">
        <v>0</v>
      </c>
      <c r="DO241" s="399">
        <v>-2.6273594310052104</v>
      </c>
      <c r="DP241" s="399">
        <v>-0.70565767290875847</v>
      </c>
      <c r="DQ241" s="399">
        <v>0</v>
      </c>
      <c r="DR241" s="399">
        <v>0</v>
      </c>
      <c r="DS241" s="399"/>
      <c r="DT241" s="399"/>
      <c r="DU241" s="399"/>
      <c r="DV241" s="399">
        <v>1841.1717485458776</v>
      </c>
      <c r="DW241" s="399">
        <v>0</v>
      </c>
      <c r="DX241" s="399">
        <v>0</v>
      </c>
      <c r="DY241" s="399">
        <v>-716.48199000000022</v>
      </c>
      <c r="DZ241" s="399">
        <v>-316.38642000000027</v>
      </c>
      <c r="EA241" s="399">
        <v>0</v>
      </c>
      <c r="EB241" s="399">
        <v>0</v>
      </c>
      <c r="EC241" s="399">
        <v>-671.84378825094609</v>
      </c>
      <c r="ED241" s="399">
        <v>0</v>
      </c>
      <c r="EE241" s="399">
        <v>0</v>
      </c>
      <c r="EF241" s="399">
        <v>0</v>
      </c>
      <c r="EG241" s="399">
        <v>0</v>
      </c>
      <c r="EH241" s="399">
        <v>0</v>
      </c>
      <c r="EI241" s="399">
        <v>0</v>
      </c>
      <c r="EJ241" s="399">
        <v>0</v>
      </c>
      <c r="EK241" s="399">
        <v>0</v>
      </c>
      <c r="EL241" s="399">
        <v>0</v>
      </c>
      <c r="EM241" s="399">
        <v>0</v>
      </c>
      <c r="EN241" s="399">
        <v>0</v>
      </c>
      <c r="EO241" s="399">
        <v>0</v>
      </c>
      <c r="EP241" s="399">
        <v>140.07607032822045</v>
      </c>
      <c r="EQ241" s="399">
        <v>0</v>
      </c>
      <c r="ER241" s="399">
        <v>0</v>
      </c>
      <c r="ES241" s="399">
        <v>0</v>
      </c>
      <c r="ET241" s="399">
        <v>0</v>
      </c>
      <c r="EU241" s="399">
        <v>0</v>
      </c>
      <c r="EV241" s="399">
        <v>202</v>
      </c>
      <c r="EW241" s="399">
        <v>0</v>
      </c>
      <c r="EX241" s="399">
        <v>0</v>
      </c>
      <c r="EY241" s="399">
        <v>0</v>
      </c>
      <c r="EZ241" s="399"/>
      <c r="FA241" s="399">
        <v>0</v>
      </c>
      <c r="FB241" s="399">
        <v>-17.698635468909799</v>
      </c>
      <c r="FC241" s="399"/>
      <c r="FD241" s="399">
        <v>-17.698635468909799</v>
      </c>
      <c r="FE241" s="399"/>
      <c r="FF241" s="399">
        <v>0</v>
      </c>
      <c r="FG241" s="399">
        <v>0</v>
      </c>
      <c r="FH241" s="399">
        <v>0</v>
      </c>
      <c r="FI241" s="399">
        <v>0</v>
      </c>
    </row>
    <row r="242" spans="1:165">
      <c r="A242" s="399">
        <v>239</v>
      </c>
      <c r="B242" s="399" t="s">
        <v>956</v>
      </c>
      <c r="C242" s="399" t="s">
        <v>2402</v>
      </c>
      <c r="D242" s="399" t="s">
        <v>1823</v>
      </c>
      <c r="E242" s="399" t="s">
        <v>889</v>
      </c>
      <c r="F242" s="399" t="s">
        <v>2405</v>
      </c>
      <c r="G242" s="399" t="s">
        <v>1239</v>
      </c>
      <c r="H242" s="399" t="s">
        <v>1239</v>
      </c>
      <c r="I242" s="399" t="s">
        <v>1239</v>
      </c>
      <c r="J242" s="399" t="s">
        <v>2400</v>
      </c>
      <c r="K242" s="788">
        <v>44743</v>
      </c>
      <c r="L242" s="399">
        <v>0</v>
      </c>
      <c r="M242" s="399">
        <v>0</v>
      </c>
      <c r="N242" s="399">
        <v>7.4160000000000004</v>
      </c>
      <c r="O242" s="399">
        <v>7.4160000000000004</v>
      </c>
      <c r="P242" s="399">
        <v>7.4160000000000004</v>
      </c>
      <c r="Q242" s="399">
        <v>7.4160000000000004</v>
      </c>
      <c r="R242" s="399"/>
      <c r="S242" s="399">
        <v>510.09</v>
      </c>
      <c r="T242" s="399">
        <v>286.42</v>
      </c>
      <c r="U242" s="399"/>
      <c r="V242" s="399">
        <v>5906.9181600000002</v>
      </c>
      <c r="W242" s="399">
        <v>5906.9181600000002</v>
      </c>
      <c r="X242" s="399">
        <v>4372.9927200000002</v>
      </c>
      <c r="Y242" s="399">
        <v>0</v>
      </c>
      <c r="Z242" s="399">
        <v>0</v>
      </c>
      <c r="AA242" s="399">
        <v>0</v>
      </c>
      <c r="AB242" s="399">
        <v>0</v>
      </c>
      <c r="AC242" s="399">
        <v>0</v>
      </c>
      <c r="AD242" s="399">
        <v>724.18834406747771</v>
      </c>
      <c r="AE242" s="399">
        <v>2797.4041563647261</v>
      </c>
      <c r="AF242" s="399">
        <v>2124.115528328362</v>
      </c>
      <c r="AG242" s="399">
        <v>0</v>
      </c>
      <c r="AH242" s="399">
        <v>0</v>
      </c>
      <c r="AI242" s="399">
        <v>0</v>
      </c>
      <c r="AJ242" s="399">
        <v>0</v>
      </c>
      <c r="AK242" s="399">
        <v>0</v>
      </c>
      <c r="AL242" s="399">
        <v>0</v>
      </c>
      <c r="AM242" s="399"/>
      <c r="AN242" s="399">
        <v>12.665323392377459</v>
      </c>
      <c r="AO242" s="399">
        <v>0</v>
      </c>
      <c r="AP242" s="399">
        <v>0</v>
      </c>
      <c r="AQ242" s="399">
        <v>0</v>
      </c>
      <c r="AR242" s="399">
        <v>0</v>
      </c>
      <c r="AS242" s="399">
        <v>0</v>
      </c>
      <c r="AT242" s="399">
        <v>0</v>
      </c>
      <c r="AU242" s="399">
        <v>0</v>
      </c>
      <c r="AV242" s="399">
        <v>0</v>
      </c>
      <c r="AW242" s="399">
        <v>0</v>
      </c>
      <c r="AX242" s="399">
        <v>0</v>
      </c>
      <c r="AY242" s="399">
        <v>0</v>
      </c>
      <c r="AZ242" s="399">
        <v>0</v>
      </c>
      <c r="BA242" s="399"/>
      <c r="BB242" s="399">
        <v>0</v>
      </c>
      <c r="BC242" s="399">
        <v>0</v>
      </c>
      <c r="BD242" s="399">
        <v>0</v>
      </c>
      <c r="BE242" s="399">
        <v>0</v>
      </c>
      <c r="BF242" s="399">
        <v>0</v>
      </c>
      <c r="BG242" s="399">
        <v>248.60151666708231</v>
      </c>
      <c r="BH242" s="399">
        <v>0</v>
      </c>
      <c r="BI242" s="399">
        <v>30.32</v>
      </c>
      <c r="BJ242" s="399">
        <v>138.93</v>
      </c>
      <c r="BK242" s="399">
        <v>439.16</v>
      </c>
      <c r="BL242" s="399">
        <v>11</v>
      </c>
      <c r="BM242" s="399"/>
      <c r="BN242" s="399"/>
      <c r="BO242" s="399"/>
      <c r="BP242" s="399"/>
      <c r="BQ242" s="399"/>
      <c r="BR242" s="399"/>
      <c r="BS242" s="399"/>
      <c r="BT242" s="399">
        <v>2842.4786400000003</v>
      </c>
      <c r="BU242" s="399"/>
      <c r="BV242" s="399">
        <v>2372.7170449954442</v>
      </c>
      <c r="BW242" s="399"/>
      <c r="BX242" s="399"/>
      <c r="BY242" s="399"/>
      <c r="BZ242" s="399"/>
      <c r="CA242" s="399"/>
      <c r="CB242" s="399"/>
      <c r="CC242" s="399"/>
      <c r="CD242" s="399"/>
      <c r="CE242" s="399"/>
      <c r="CF242" s="399"/>
      <c r="CG242" s="399"/>
      <c r="CH242" s="399"/>
      <c r="CI242" s="399">
        <v>1531.3396</v>
      </c>
      <c r="CJ242" s="399">
        <v>-536.12288000000012</v>
      </c>
      <c r="CK242" s="399"/>
      <c r="CL242" s="399"/>
      <c r="CM242" s="399"/>
      <c r="CN242" s="399"/>
      <c r="CO242" s="399">
        <v>-1053.2203199999999</v>
      </c>
      <c r="CP242" s="399">
        <v>-480.70512000000019</v>
      </c>
      <c r="CQ242" s="399">
        <v>31</v>
      </c>
      <c r="CR242" s="399">
        <v>-513.24204604571241</v>
      </c>
      <c r="CS242" s="399">
        <v>0</v>
      </c>
      <c r="CT242" s="399">
        <v>0</v>
      </c>
      <c r="CU242" s="399">
        <v>0</v>
      </c>
      <c r="CV242" s="399">
        <v>0</v>
      </c>
      <c r="CW242" s="399">
        <v>0</v>
      </c>
      <c r="CX242" s="399">
        <v>0</v>
      </c>
      <c r="CY242" s="399">
        <v>0</v>
      </c>
      <c r="CZ242" s="399">
        <v>24.851904328478213</v>
      </c>
      <c r="DA242" s="399">
        <v>0</v>
      </c>
      <c r="DB242" s="399">
        <v>0</v>
      </c>
      <c r="DC242" s="399">
        <v>-480.75532251585878</v>
      </c>
      <c r="DD242" s="399">
        <v>0</v>
      </c>
      <c r="DE242" s="399">
        <v>0</v>
      </c>
      <c r="DF242" s="399">
        <v>0</v>
      </c>
      <c r="DG242" s="399">
        <v>-56.266479261263328</v>
      </c>
      <c r="DH242" s="399">
        <v>0</v>
      </c>
      <c r="DI242" s="399">
        <v>0</v>
      </c>
      <c r="DJ242" s="399"/>
      <c r="DK242" s="399">
        <v>0</v>
      </c>
      <c r="DL242" s="399">
        <v>0</v>
      </c>
      <c r="DM242" s="399">
        <v>0</v>
      </c>
      <c r="DN242" s="399">
        <v>0</v>
      </c>
      <c r="DO242" s="399">
        <v>0</v>
      </c>
      <c r="DP242" s="399">
        <v>-1.0721485970685016</v>
      </c>
      <c r="DQ242" s="399">
        <v>0</v>
      </c>
      <c r="DR242" s="399">
        <v>0</v>
      </c>
      <c r="DS242" s="399"/>
      <c r="DT242" s="399"/>
      <c r="DU242" s="399"/>
      <c r="DV242" s="399">
        <v>2797.4041563647261</v>
      </c>
      <c r="DW242" s="399">
        <v>0</v>
      </c>
      <c r="DX242" s="399">
        <v>0</v>
      </c>
      <c r="DY242" s="399">
        <v>-1053.2203199999999</v>
      </c>
      <c r="DZ242" s="399">
        <v>-480.70512000000008</v>
      </c>
      <c r="EA242" s="399">
        <v>0</v>
      </c>
      <c r="EB242" s="399">
        <v>0</v>
      </c>
      <c r="EC242" s="399">
        <v>-1020.7731066726114</v>
      </c>
      <c r="ED242" s="399">
        <v>0</v>
      </c>
      <c r="EE242" s="399">
        <v>0</v>
      </c>
      <c r="EF242" s="399">
        <v>0</v>
      </c>
      <c r="EG242" s="399">
        <v>0</v>
      </c>
      <c r="EH242" s="399">
        <v>0</v>
      </c>
      <c r="EI242" s="399">
        <v>0</v>
      </c>
      <c r="EJ242" s="399">
        <v>0</v>
      </c>
      <c r="EK242" s="399">
        <v>0</v>
      </c>
      <c r="EL242" s="399">
        <v>0</v>
      </c>
      <c r="EM242" s="399">
        <v>0</v>
      </c>
      <c r="EN242" s="399">
        <v>0</v>
      </c>
      <c r="EO242" s="399">
        <v>0</v>
      </c>
      <c r="EP242" s="399">
        <v>0</v>
      </c>
      <c r="EQ242" s="399">
        <v>0</v>
      </c>
      <c r="ER242" s="399">
        <v>0</v>
      </c>
      <c r="ES242" s="399">
        <v>0</v>
      </c>
      <c r="ET242" s="399">
        <v>0</v>
      </c>
      <c r="EU242" s="399">
        <v>0</v>
      </c>
      <c r="EV242" s="399">
        <v>202</v>
      </c>
      <c r="EW242" s="399">
        <v>0</v>
      </c>
      <c r="EX242" s="399">
        <v>0</v>
      </c>
      <c r="EY242" s="399">
        <v>0</v>
      </c>
      <c r="EZ242" s="399"/>
      <c r="FA242" s="399">
        <v>0</v>
      </c>
      <c r="FB242" s="399">
        <v>-17.698635468909799</v>
      </c>
      <c r="FC242" s="399"/>
      <c r="FD242" s="399">
        <v>-17.698635468909799</v>
      </c>
      <c r="FE242" s="399"/>
      <c r="FF242" s="399">
        <v>0</v>
      </c>
      <c r="FG242" s="399">
        <v>0</v>
      </c>
      <c r="FH242" s="399">
        <v>0</v>
      </c>
      <c r="FI242" s="399">
        <v>0</v>
      </c>
    </row>
    <row r="243" spans="1:165">
      <c r="A243" s="399">
        <v>240</v>
      </c>
      <c r="B243" s="399" t="s">
        <v>956</v>
      </c>
      <c r="C243" s="399" t="s">
        <v>2402</v>
      </c>
      <c r="D243" s="399" t="s">
        <v>1823</v>
      </c>
      <c r="E243" s="399" t="s">
        <v>889</v>
      </c>
      <c r="F243" s="399" t="s">
        <v>2406</v>
      </c>
      <c r="G243" s="399" t="s">
        <v>1239</v>
      </c>
      <c r="H243" s="399" t="s">
        <v>1239</v>
      </c>
      <c r="I243" s="399" t="s">
        <v>1239</v>
      </c>
      <c r="J243" s="399" t="s">
        <v>2400</v>
      </c>
      <c r="K243" s="788">
        <v>44743</v>
      </c>
      <c r="L243" s="399">
        <v>0</v>
      </c>
      <c r="M243" s="399">
        <v>0</v>
      </c>
      <c r="N243" s="399">
        <v>12.66</v>
      </c>
      <c r="O243" s="399">
        <v>12.66</v>
      </c>
      <c r="P243" s="399">
        <v>12.66</v>
      </c>
      <c r="Q243" s="399">
        <v>12.66</v>
      </c>
      <c r="R243" s="399"/>
      <c r="S243" s="399">
        <v>510.09</v>
      </c>
      <c r="T243" s="399">
        <v>286.42</v>
      </c>
      <c r="U243" s="399"/>
      <c r="V243" s="399">
        <v>10083.8166</v>
      </c>
      <c r="W243" s="399">
        <v>10083.8166</v>
      </c>
      <c r="X243" s="399">
        <v>7465.2222000000002</v>
      </c>
      <c r="Y243" s="399">
        <v>0</v>
      </c>
      <c r="Z243" s="399">
        <v>0</v>
      </c>
      <c r="AA243" s="399">
        <v>0</v>
      </c>
      <c r="AB243" s="399">
        <v>0</v>
      </c>
      <c r="AC243" s="399">
        <v>0</v>
      </c>
      <c r="AD243" s="399">
        <v>1236.2762184323446</v>
      </c>
      <c r="AE243" s="399">
        <v>4775.5038591663197</v>
      </c>
      <c r="AF243" s="399">
        <v>3626.1195507870902</v>
      </c>
      <c r="AG243" s="399">
        <v>0</v>
      </c>
      <c r="AH243" s="399">
        <v>0</v>
      </c>
      <c r="AI243" s="399">
        <v>0</v>
      </c>
      <c r="AJ243" s="399">
        <v>0</v>
      </c>
      <c r="AK243" s="399">
        <v>0</v>
      </c>
      <c r="AL243" s="399">
        <v>0</v>
      </c>
      <c r="AM243" s="399"/>
      <c r="AN243" s="399">
        <v>21.621223590547281</v>
      </c>
      <c r="AO243" s="399">
        <v>0</v>
      </c>
      <c r="AP243" s="399">
        <v>0</v>
      </c>
      <c r="AQ243" s="399">
        <v>0</v>
      </c>
      <c r="AR243" s="399">
        <v>0</v>
      </c>
      <c r="AS243" s="399">
        <v>0</v>
      </c>
      <c r="AT243" s="399">
        <v>0</v>
      </c>
      <c r="AU243" s="399">
        <v>0</v>
      </c>
      <c r="AV243" s="399">
        <v>0</v>
      </c>
      <c r="AW243" s="399">
        <v>0</v>
      </c>
      <c r="AX243" s="399">
        <v>0</v>
      </c>
      <c r="AY243" s="399">
        <v>0</v>
      </c>
      <c r="AZ243" s="399">
        <v>0</v>
      </c>
      <c r="BA243" s="399"/>
      <c r="BB243" s="399">
        <v>0</v>
      </c>
      <c r="BC243" s="399">
        <v>0</v>
      </c>
      <c r="BD243" s="399">
        <v>0</v>
      </c>
      <c r="BE243" s="399">
        <v>0</v>
      </c>
      <c r="BF243" s="399">
        <v>0</v>
      </c>
      <c r="BG243" s="399">
        <v>424.39255676985732</v>
      </c>
      <c r="BH243" s="399">
        <v>0</v>
      </c>
      <c r="BI243" s="399">
        <v>51.03</v>
      </c>
      <c r="BJ243" s="399">
        <v>239.41</v>
      </c>
      <c r="BK243" s="399">
        <v>1021.21</v>
      </c>
      <c r="BL243" s="399">
        <v>115</v>
      </c>
      <c r="BM243" s="399"/>
      <c r="BN243" s="399"/>
      <c r="BO243" s="399"/>
      <c r="BP243" s="399"/>
      <c r="BQ243" s="399"/>
      <c r="BR243" s="399"/>
      <c r="BS243" s="399"/>
      <c r="BT243" s="399">
        <v>2986.1142</v>
      </c>
      <c r="BU243" s="399"/>
      <c r="BV243" s="399">
        <v>4050.5121075569477</v>
      </c>
      <c r="BW243" s="399"/>
      <c r="BX243" s="399"/>
      <c r="BY243" s="399"/>
      <c r="BZ243" s="399"/>
      <c r="CA243" s="399"/>
      <c r="CB243" s="399"/>
      <c r="CC243" s="399"/>
      <c r="CD243" s="399"/>
      <c r="CE243" s="399"/>
      <c r="CF243" s="399"/>
      <c r="CG243" s="399"/>
      <c r="CH243" s="399"/>
      <c r="CI243" s="399">
        <v>4479.1080000000002</v>
      </c>
      <c r="CJ243" s="399">
        <v>-1571.2626</v>
      </c>
      <c r="CK243" s="399"/>
      <c r="CL243" s="399"/>
      <c r="CM243" s="399"/>
      <c r="CN243" s="399"/>
      <c r="CO243" s="399">
        <v>-1797.9731999999997</v>
      </c>
      <c r="CP243" s="399">
        <v>-820.62120000000027</v>
      </c>
      <c r="CQ243" s="399">
        <v>31</v>
      </c>
      <c r="CR243" s="399">
        <v>-876.16562876735679</v>
      </c>
      <c r="CS243" s="399">
        <v>0</v>
      </c>
      <c r="CT243" s="399">
        <v>0</v>
      </c>
      <c r="CU243" s="399">
        <v>0</v>
      </c>
      <c r="CV243" s="399">
        <v>0</v>
      </c>
      <c r="CW243" s="399">
        <v>0</v>
      </c>
      <c r="CX243" s="399">
        <v>0</v>
      </c>
      <c r="CY243" s="399">
        <v>0</v>
      </c>
      <c r="CZ243" s="399">
        <v>42.425176483081714</v>
      </c>
      <c r="DA243" s="399">
        <v>0</v>
      </c>
      <c r="DB243" s="399">
        <v>0</v>
      </c>
      <c r="DC243" s="399">
        <v>-820.70690170587568</v>
      </c>
      <c r="DD243" s="399">
        <v>0</v>
      </c>
      <c r="DE243" s="399">
        <v>0</v>
      </c>
      <c r="DF243" s="399">
        <v>0</v>
      </c>
      <c r="DG243" s="399">
        <v>-96.053617509114588</v>
      </c>
      <c r="DH243" s="399">
        <v>0</v>
      </c>
      <c r="DI243" s="399">
        <v>0</v>
      </c>
      <c r="DJ243" s="399"/>
      <c r="DK243" s="399">
        <v>0</v>
      </c>
      <c r="DL243" s="399">
        <v>0</v>
      </c>
      <c r="DM243" s="399">
        <v>0</v>
      </c>
      <c r="DN243" s="399">
        <v>0</v>
      </c>
      <c r="DO243" s="399">
        <v>0</v>
      </c>
      <c r="DP243" s="399">
        <v>-1.8302860354486548</v>
      </c>
      <c r="DQ243" s="399">
        <v>0</v>
      </c>
      <c r="DR243" s="399">
        <v>0</v>
      </c>
      <c r="DS243" s="399"/>
      <c r="DT243" s="399"/>
      <c r="DU243" s="399"/>
      <c r="DV243" s="399">
        <v>4775.5038591663197</v>
      </c>
      <c r="DW243" s="399">
        <v>0</v>
      </c>
      <c r="DX243" s="399">
        <v>0</v>
      </c>
      <c r="DY243" s="399">
        <v>-1797.9731999999995</v>
      </c>
      <c r="DZ243" s="399">
        <v>-820.62120000000004</v>
      </c>
      <c r="EA243" s="399">
        <v>0</v>
      </c>
      <c r="EB243" s="399">
        <v>0</v>
      </c>
      <c r="EC243" s="399">
        <v>-1742.5819215851211</v>
      </c>
      <c r="ED243" s="399">
        <v>0</v>
      </c>
      <c r="EE243" s="399">
        <v>0</v>
      </c>
      <c r="EF243" s="399">
        <v>0</v>
      </c>
      <c r="EG243" s="399">
        <v>0</v>
      </c>
      <c r="EH243" s="399">
        <v>0</v>
      </c>
      <c r="EI243" s="399">
        <v>0</v>
      </c>
      <c r="EJ243" s="399">
        <v>0</v>
      </c>
      <c r="EK243" s="399">
        <v>0</v>
      </c>
      <c r="EL243" s="399">
        <v>0</v>
      </c>
      <c r="EM243" s="399">
        <v>0</v>
      </c>
      <c r="EN243" s="399">
        <v>0</v>
      </c>
      <c r="EO243" s="399">
        <v>0</v>
      </c>
      <c r="EP243" s="399">
        <v>0</v>
      </c>
      <c r="EQ243" s="399">
        <v>0</v>
      </c>
      <c r="ER243" s="399">
        <v>0</v>
      </c>
      <c r="ES243" s="399">
        <v>0</v>
      </c>
      <c r="ET243" s="399">
        <v>0</v>
      </c>
      <c r="EU243" s="399">
        <v>0</v>
      </c>
      <c r="EV243" s="399">
        <v>202</v>
      </c>
      <c r="EW243" s="399">
        <v>0</v>
      </c>
      <c r="EX243" s="399">
        <v>0</v>
      </c>
      <c r="EY243" s="399">
        <v>0</v>
      </c>
      <c r="EZ243" s="399"/>
      <c r="FA243" s="399">
        <v>0</v>
      </c>
      <c r="FB243" s="399">
        <v>-17.698635468909799</v>
      </c>
      <c r="FC243" s="399"/>
      <c r="FD243" s="399">
        <v>-17.698635468909799</v>
      </c>
      <c r="FE243" s="399"/>
      <c r="FF243" s="399">
        <v>0</v>
      </c>
      <c r="FG243" s="399">
        <v>0</v>
      </c>
      <c r="FH243" s="399">
        <v>0</v>
      </c>
      <c r="FI243" s="399">
        <v>0</v>
      </c>
    </row>
    <row r="244" spans="1:165">
      <c r="A244" s="399">
        <v>241</v>
      </c>
      <c r="B244" s="399" t="s">
        <v>956</v>
      </c>
      <c r="C244" s="399" t="s">
        <v>2402</v>
      </c>
      <c r="D244" s="399" t="s">
        <v>1823</v>
      </c>
      <c r="E244" s="399" t="s">
        <v>889</v>
      </c>
      <c r="F244" s="399" t="s">
        <v>2407</v>
      </c>
      <c r="G244" s="399" t="s">
        <v>1239</v>
      </c>
      <c r="H244" s="399" t="s">
        <v>1239</v>
      </c>
      <c r="I244" s="399" t="s">
        <v>1239</v>
      </c>
      <c r="J244" s="399" t="s">
        <v>2400</v>
      </c>
      <c r="K244" s="788">
        <v>44743</v>
      </c>
      <c r="L244" s="399">
        <v>0</v>
      </c>
      <c r="M244" s="399">
        <v>0</v>
      </c>
      <c r="N244" s="399">
        <v>7.3650000000000002</v>
      </c>
      <c r="O244" s="399">
        <v>7.3650000000000002</v>
      </c>
      <c r="P244" s="399">
        <v>7.3650000000000002</v>
      </c>
      <c r="Q244" s="399">
        <v>7.3650000000000002</v>
      </c>
      <c r="R244" s="399"/>
      <c r="S244" s="399">
        <v>510.09</v>
      </c>
      <c r="T244" s="399">
        <v>286.42</v>
      </c>
      <c r="U244" s="399"/>
      <c r="V244" s="399">
        <v>5866.2961500000001</v>
      </c>
      <c r="W244" s="399">
        <v>5866.2961500000001</v>
      </c>
      <c r="X244" s="399">
        <v>4342.9195500000005</v>
      </c>
      <c r="Y244" s="399">
        <v>0</v>
      </c>
      <c r="Z244" s="399">
        <v>0</v>
      </c>
      <c r="AA244" s="399">
        <v>0</v>
      </c>
      <c r="AB244" s="399">
        <v>0</v>
      </c>
      <c r="AC244" s="399">
        <v>0</v>
      </c>
      <c r="AD244" s="399">
        <v>719.20808441976453</v>
      </c>
      <c r="AE244" s="399">
        <v>2778.1663446097905</v>
      </c>
      <c r="AF244" s="399">
        <v>2109.5079377209258</v>
      </c>
      <c r="AG244" s="399">
        <v>0</v>
      </c>
      <c r="AH244" s="399">
        <v>0</v>
      </c>
      <c r="AI244" s="399">
        <v>0</v>
      </c>
      <c r="AJ244" s="399">
        <v>0</v>
      </c>
      <c r="AK244" s="399">
        <v>0</v>
      </c>
      <c r="AL244" s="399">
        <v>0</v>
      </c>
      <c r="AM244" s="399"/>
      <c r="AN244" s="399">
        <v>12.578223676491369</v>
      </c>
      <c r="AO244" s="399">
        <v>0</v>
      </c>
      <c r="AP244" s="399">
        <v>0</v>
      </c>
      <c r="AQ244" s="399">
        <v>0</v>
      </c>
      <c r="AR244" s="399">
        <v>0</v>
      </c>
      <c r="AS244" s="399">
        <v>0</v>
      </c>
      <c r="AT244" s="399">
        <v>0</v>
      </c>
      <c r="AU244" s="399">
        <v>0</v>
      </c>
      <c r="AV244" s="399">
        <v>0</v>
      </c>
      <c r="AW244" s="399">
        <v>0</v>
      </c>
      <c r="AX244" s="399">
        <v>0</v>
      </c>
      <c r="AY244" s="399">
        <v>0</v>
      </c>
      <c r="AZ244" s="399">
        <v>0</v>
      </c>
      <c r="BA244" s="399"/>
      <c r="BB244" s="399">
        <v>0</v>
      </c>
      <c r="BC244" s="399">
        <v>0</v>
      </c>
      <c r="BD244" s="399">
        <v>0</v>
      </c>
      <c r="BE244" s="399">
        <v>0</v>
      </c>
      <c r="BF244" s="399">
        <v>0</v>
      </c>
      <c r="BG244" s="399">
        <v>246.89187840521319</v>
      </c>
      <c r="BH244" s="399">
        <v>0</v>
      </c>
      <c r="BI244" s="399">
        <v>30.19</v>
      </c>
      <c r="BJ244" s="399">
        <v>140.97</v>
      </c>
      <c r="BK244" s="399">
        <v>900.39</v>
      </c>
      <c r="BL244" s="399">
        <v>111</v>
      </c>
      <c r="BM244" s="399"/>
      <c r="BN244" s="399"/>
      <c r="BO244" s="399"/>
      <c r="BP244" s="399"/>
      <c r="BQ244" s="399"/>
      <c r="BR244" s="399"/>
      <c r="BS244" s="399"/>
      <c r="BT244" s="399">
        <v>434.31405000000001</v>
      </c>
      <c r="BU244" s="399"/>
      <c r="BV244" s="399">
        <v>2356.3998161261388</v>
      </c>
      <c r="BW244" s="399"/>
      <c r="BX244" s="399"/>
      <c r="BY244" s="399"/>
      <c r="BZ244" s="399"/>
      <c r="CA244" s="399"/>
      <c r="CB244" s="399"/>
      <c r="CC244" s="399"/>
      <c r="CD244" s="399"/>
      <c r="CE244" s="399"/>
      <c r="CF244" s="399"/>
      <c r="CG244" s="399"/>
      <c r="CH244" s="399"/>
      <c r="CI244" s="399">
        <v>3911.259</v>
      </c>
      <c r="CJ244" s="399">
        <v>-1368.4449000000004</v>
      </c>
      <c r="CK244" s="399"/>
      <c r="CL244" s="399"/>
      <c r="CM244" s="399"/>
      <c r="CN244" s="399"/>
      <c r="CO244" s="399">
        <v>-1045.9772999999998</v>
      </c>
      <c r="CP244" s="399">
        <v>-477.39930000000015</v>
      </c>
      <c r="CQ244" s="399">
        <v>31</v>
      </c>
      <c r="CR244" s="399">
        <v>-509.71246886821336</v>
      </c>
      <c r="CS244" s="399">
        <v>0</v>
      </c>
      <c r="CT244" s="399">
        <v>0</v>
      </c>
      <c r="CU244" s="399">
        <v>0</v>
      </c>
      <c r="CV244" s="399">
        <v>0</v>
      </c>
      <c r="CW244" s="399">
        <v>0</v>
      </c>
      <c r="CX244" s="399">
        <v>0</v>
      </c>
      <c r="CY244" s="399">
        <v>0</v>
      </c>
      <c r="CZ244" s="399">
        <v>24.680997219423034</v>
      </c>
      <c r="DA244" s="399">
        <v>0</v>
      </c>
      <c r="DB244" s="399">
        <v>0</v>
      </c>
      <c r="DC244" s="399">
        <v>-477.4491572720201</v>
      </c>
      <c r="DD244" s="399">
        <v>0</v>
      </c>
      <c r="DE244" s="399">
        <v>0</v>
      </c>
      <c r="DF244" s="399">
        <v>0</v>
      </c>
      <c r="DG244" s="399">
        <v>-55.879533408738439</v>
      </c>
      <c r="DH244" s="399">
        <v>0</v>
      </c>
      <c r="DI244" s="399">
        <v>0</v>
      </c>
      <c r="DJ244" s="399"/>
      <c r="DK244" s="399">
        <v>0</v>
      </c>
      <c r="DL244" s="399">
        <v>0</v>
      </c>
      <c r="DM244" s="399">
        <v>0</v>
      </c>
      <c r="DN244" s="399">
        <v>0</v>
      </c>
      <c r="DO244" s="399">
        <v>0</v>
      </c>
      <c r="DP244" s="399">
        <v>-1.0647754068783062</v>
      </c>
      <c r="DQ244" s="399">
        <v>0</v>
      </c>
      <c r="DR244" s="399">
        <v>0</v>
      </c>
      <c r="DS244" s="399"/>
      <c r="DT244" s="399"/>
      <c r="DU244" s="399"/>
      <c r="DV244" s="399">
        <v>2778.1663446097905</v>
      </c>
      <c r="DW244" s="399">
        <v>0</v>
      </c>
      <c r="DX244" s="399">
        <v>0</v>
      </c>
      <c r="DY244" s="399">
        <v>-1045.9772999999996</v>
      </c>
      <c r="DZ244" s="399">
        <v>-477.39930000000027</v>
      </c>
      <c r="EA244" s="399">
        <v>0</v>
      </c>
      <c r="EB244" s="399">
        <v>0</v>
      </c>
      <c r="EC244" s="399">
        <v>-1013.7532268937139</v>
      </c>
      <c r="ED244" s="399">
        <v>0</v>
      </c>
      <c r="EE244" s="399">
        <v>0</v>
      </c>
      <c r="EF244" s="399">
        <v>0</v>
      </c>
      <c r="EG244" s="399">
        <v>0</v>
      </c>
      <c r="EH244" s="399">
        <v>0</v>
      </c>
      <c r="EI244" s="399">
        <v>0</v>
      </c>
      <c r="EJ244" s="399">
        <v>0</v>
      </c>
      <c r="EK244" s="399">
        <v>0</v>
      </c>
      <c r="EL244" s="399">
        <v>0</v>
      </c>
      <c r="EM244" s="399">
        <v>0</v>
      </c>
      <c r="EN244" s="399">
        <v>0</v>
      </c>
      <c r="EO244" s="399">
        <v>0</v>
      </c>
      <c r="EP244" s="399">
        <v>0</v>
      </c>
      <c r="EQ244" s="399">
        <v>0</v>
      </c>
      <c r="ER244" s="399">
        <v>0</v>
      </c>
      <c r="ES244" s="399">
        <v>0</v>
      </c>
      <c r="ET244" s="399">
        <v>0</v>
      </c>
      <c r="EU244" s="399">
        <v>0</v>
      </c>
      <c r="EV244" s="399">
        <v>202</v>
      </c>
      <c r="EW244" s="399">
        <v>0</v>
      </c>
      <c r="EX244" s="399">
        <v>0</v>
      </c>
      <c r="EY244" s="399">
        <v>0</v>
      </c>
      <c r="EZ244" s="399"/>
      <c r="FA244" s="399">
        <v>0</v>
      </c>
      <c r="FB244" s="399">
        <v>-17.698635468909799</v>
      </c>
      <c r="FC244" s="399"/>
      <c r="FD244" s="399">
        <v>-17.698635468909799</v>
      </c>
      <c r="FE244" s="399"/>
      <c r="FF244" s="399">
        <v>0</v>
      </c>
      <c r="FG244" s="399">
        <v>0</v>
      </c>
      <c r="FH244" s="399">
        <v>0</v>
      </c>
      <c r="FI244" s="399">
        <v>0</v>
      </c>
    </row>
    <row r="245" spans="1:165">
      <c r="A245" s="399">
        <v>242</v>
      </c>
      <c r="B245" s="399" t="s">
        <v>956</v>
      </c>
      <c r="C245" s="399" t="s">
        <v>2402</v>
      </c>
      <c r="D245" s="399" t="s">
        <v>1823</v>
      </c>
      <c r="E245" s="399" t="s">
        <v>889</v>
      </c>
      <c r="F245" s="399" t="s">
        <v>2408</v>
      </c>
      <c r="G245" s="399" t="s">
        <v>1239</v>
      </c>
      <c r="H245" s="399" t="s">
        <v>1239</v>
      </c>
      <c r="I245" s="399" t="s">
        <v>1239</v>
      </c>
      <c r="J245" s="399" t="s">
        <v>2400</v>
      </c>
      <c r="K245" s="788">
        <v>44743</v>
      </c>
      <c r="L245" s="399">
        <v>0</v>
      </c>
      <c r="M245" s="399">
        <v>0</v>
      </c>
      <c r="N245" s="399">
        <v>1.2589999999999999</v>
      </c>
      <c r="O245" s="399">
        <v>1.2589999999999999</v>
      </c>
      <c r="P245" s="399">
        <v>1.2589999999999999</v>
      </c>
      <c r="Q245" s="399">
        <v>1.2589999999999999</v>
      </c>
      <c r="R245" s="399"/>
      <c r="S245" s="399">
        <v>510.09</v>
      </c>
      <c r="T245" s="399">
        <v>286.42</v>
      </c>
      <c r="U245" s="399"/>
      <c r="V245" s="399">
        <v>1002.8060899999998</v>
      </c>
      <c r="W245" s="399">
        <v>1002.8060899999998</v>
      </c>
      <c r="X245" s="399">
        <v>742.39452999999992</v>
      </c>
      <c r="Y245" s="399">
        <v>0</v>
      </c>
      <c r="Z245" s="399">
        <v>0</v>
      </c>
      <c r="AA245" s="399">
        <v>0</v>
      </c>
      <c r="AB245" s="399">
        <v>0</v>
      </c>
      <c r="AC245" s="399">
        <v>0</v>
      </c>
      <c r="AD245" s="399">
        <v>122.94405679354833</v>
      </c>
      <c r="AE245" s="399">
        <v>474.90990195026825</v>
      </c>
      <c r="AF245" s="399">
        <v>360.60699166200203</v>
      </c>
      <c r="AG245" s="399">
        <v>0</v>
      </c>
      <c r="AH245" s="399">
        <v>0</v>
      </c>
      <c r="AI245" s="399">
        <v>0</v>
      </c>
      <c r="AJ245" s="399">
        <v>0</v>
      </c>
      <c r="AK245" s="399">
        <v>0</v>
      </c>
      <c r="AL245" s="399">
        <v>0</v>
      </c>
      <c r="AM245" s="399"/>
      <c r="AN245" s="399">
        <v>2.1501674960899702</v>
      </c>
      <c r="AO245" s="399">
        <v>0</v>
      </c>
      <c r="AP245" s="399">
        <v>0</v>
      </c>
      <c r="AQ245" s="399">
        <v>0</v>
      </c>
      <c r="AR245" s="399">
        <v>0</v>
      </c>
      <c r="AS245" s="399">
        <v>0</v>
      </c>
      <c r="AT245" s="399">
        <v>0</v>
      </c>
      <c r="AU245" s="399">
        <v>0</v>
      </c>
      <c r="AV245" s="399">
        <v>0</v>
      </c>
      <c r="AW245" s="399">
        <v>0</v>
      </c>
      <c r="AX245" s="399">
        <v>0</v>
      </c>
      <c r="AY245" s="399">
        <v>0</v>
      </c>
      <c r="AZ245" s="399">
        <v>0</v>
      </c>
      <c r="BA245" s="399"/>
      <c r="BB245" s="399">
        <v>0</v>
      </c>
      <c r="BC245" s="399">
        <v>0</v>
      </c>
      <c r="BD245" s="399">
        <v>0</v>
      </c>
      <c r="BE245" s="399">
        <v>0</v>
      </c>
      <c r="BF245" s="399">
        <v>0</v>
      </c>
      <c r="BG245" s="399">
        <v>42.204599444964479</v>
      </c>
      <c r="BH245" s="399">
        <v>0</v>
      </c>
      <c r="BI245" s="399">
        <v>5.05</v>
      </c>
      <c r="BJ245" s="399">
        <v>23.51</v>
      </c>
      <c r="BK245" s="399">
        <v>195.2</v>
      </c>
      <c r="BL245" s="399">
        <v>16</v>
      </c>
      <c r="BM245" s="399"/>
      <c r="BN245" s="399"/>
      <c r="BO245" s="399"/>
      <c r="BP245" s="399"/>
      <c r="BQ245" s="399"/>
      <c r="BR245" s="399"/>
      <c r="BS245" s="399"/>
      <c r="BT245" s="399"/>
      <c r="BU245" s="399"/>
      <c r="BV245" s="399">
        <v>402.81159110696649</v>
      </c>
      <c r="BW245" s="399"/>
      <c r="BX245" s="399"/>
      <c r="BY245" s="399"/>
      <c r="BZ245" s="399"/>
      <c r="CA245" s="399"/>
      <c r="CB245" s="399"/>
      <c r="CC245" s="399"/>
      <c r="CD245" s="399"/>
      <c r="CE245" s="399"/>
      <c r="CF245" s="399"/>
      <c r="CG245" s="399"/>
      <c r="CH245" s="399"/>
      <c r="CI245" s="399">
        <v>742.98419999999999</v>
      </c>
      <c r="CJ245" s="399">
        <v>-259.8518899999998</v>
      </c>
      <c r="CK245" s="399"/>
      <c r="CL245" s="399"/>
      <c r="CM245" s="399"/>
      <c r="CN245" s="399"/>
      <c r="CO245" s="399">
        <v>-178.80317999999997</v>
      </c>
      <c r="CP245" s="399">
        <v>-81.608380000000025</v>
      </c>
      <c r="CQ245" s="399">
        <v>31</v>
      </c>
      <c r="CR245" s="399">
        <v>-87.132111107274909</v>
      </c>
      <c r="CS245" s="399">
        <v>0</v>
      </c>
      <c r="CT245" s="399">
        <v>0</v>
      </c>
      <c r="CU245" s="399">
        <v>0</v>
      </c>
      <c r="CV245" s="399">
        <v>0</v>
      </c>
      <c r="CW245" s="399">
        <v>0</v>
      </c>
      <c r="CX245" s="399">
        <v>0</v>
      </c>
      <c r="CY245" s="399">
        <v>0</v>
      </c>
      <c r="CZ245" s="399">
        <v>4.2190598098104033</v>
      </c>
      <c r="DA245" s="399">
        <v>0</v>
      </c>
      <c r="DB245" s="399">
        <v>0</v>
      </c>
      <c r="DC245" s="399">
        <v>-81.616902784178251</v>
      </c>
      <c r="DD245" s="399">
        <v>0</v>
      </c>
      <c r="DE245" s="399">
        <v>0</v>
      </c>
      <c r="DF245" s="399">
        <v>0</v>
      </c>
      <c r="DG245" s="399">
        <v>-9.5522515358590283</v>
      </c>
      <c r="DH245" s="399">
        <v>0</v>
      </c>
      <c r="DI245" s="399">
        <v>0</v>
      </c>
      <c r="DJ245" s="399"/>
      <c r="DK245" s="399">
        <v>0</v>
      </c>
      <c r="DL245" s="399">
        <v>0</v>
      </c>
      <c r="DM245" s="399">
        <v>0</v>
      </c>
      <c r="DN245" s="399">
        <v>0</v>
      </c>
      <c r="DO245" s="399">
        <v>0</v>
      </c>
      <c r="DP245" s="399">
        <v>-0.18201659704817175</v>
      </c>
      <c r="DQ245" s="399">
        <v>0</v>
      </c>
      <c r="DR245" s="399">
        <v>0</v>
      </c>
      <c r="DS245" s="399"/>
      <c r="DT245" s="399"/>
      <c r="DU245" s="399"/>
      <c r="DV245" s="399">
        <v>474.90990195026825</v>
      </c>
      <c r="DW245" s="399">
        <v>0</v>
      </c>
      <c r="DX245" s="399">
        <v>0</v>
      </c>
      <c r="DY245" s="399">
        <v>-178.80317999999994</v>
      </c>
      <c r="DZ245" s="399">
        <v>-81.608380000000011</v>
      </c>
      <c r="EA245" s="399">
        <v>0</v>
      </c>
      <c r="EB245" s="399">
        <v>0</v>
      </c>
      <c r="EC245" s="399">
        <v>-173.29467924768301</v>
      </c>
      <c r="ED245" s="399">
        <v>0</v>
      </c>
      <c r="EE245" s="399">
        <v>0</v>
      </c>
      <c r="EF245" s="399">
        <v>0</v>
      </c>
      <c r="EG245" s="399">
        <v>0</v>
      </c>
      <c r="EH245" s="399">
        <v>0</v>
      </c>
      <c r="EI245" s="399">
        <v>0</v>
      </c>
      <c r="EJ245" s="399">
        <v>0</v>
      </c>
      <c r="EK245" s="399">
        <v>0</v>
      </c>
      <c r="EL245" s="399">
        <v>0</v>
      </c>
      <c r="EM245" s="399">
        <v>0</v>
      </c>
      <c r="EN245" s="399">
        <v>0</v>
      </c>
      <c r="EO245" s="399">
        <v>0</v>
      </c>
      <c r="EP245" s="399">
        <v>0</v>
      </c>
      <c r="EQ245" s="399">
        <v>0</v>
      </c>
      <c r="ER245" s="399">
        <v>0</v>
      </c>
      <c r="ES245" s="399">
        <v>0</v>
      </c>
      <c r="ET245" s="399">
        <v>0</v>
      </c>
      <c r="EU245" s="399">
        <v>0</v>
      </c>
      <c r="EV245" s="399">
        <v>202</v>
      </c>
      <c r="EW245" s="399">
        <v>0</v>
      </c>
      <c r="EX245" s="399">
        <v>0</v>
      </c>
      <c r="EY245" s="399">
        <v>0</v>
      </c>
      <c r="EZ245" s="399"/>
      <c r="FA245" s="399">
        <v>0</v>
      </c>
      <c r="FB245" s="399">
        <v>-17.698635468909799</v>
      </c>
      <c r="FC245" s="399"/>
      <c r="FD245" s="399">
        <v>-17.698635468909799</v>
      </c>
      <c r="FE245" s="399"/>
      <c r="FF245" s="399">
        <v>0</v>
      </c>
      <c r="FG245" s="399">
        <v>0</v>
      </c>
      <c r="FH245" s="399">
        <v>0</v>
      </c>
      <c r="FI245" s="399">
        <v>0</v>
      </c>
    </row>
    <row r="246" spans="1:165">
      <c r="A246" s="399">
        <v>243</v>
      </c>
      <c r="B246" s="399" t="s">
        <v>956</v>
      </c>
      <c r="C246" s="399" t="s">
        <v>2409</v>
      </c>
      <c r="D246" s="399" t="s">
        <v>1823</v>
      </c>
      <c r="E246" s="399" t="s">
        <v>889</v>
      </c>
      <c r="F246" s="399" t="s">
        <v>889</v>
      </c>
      <c r="G246" s="399" t="s">
        <v>1239</v>
      </c>
      <c r="H246" s="399" t="s">
        <v>1239</v>
      </c>
      <c r="I246" s="399" t="s">
        <v>2326</v>
      </c>
      <c r="J246" s="399" t="s">
        <v>2400</v>
      </c>
      <c r="K246" s="788">
        <v>44743</v>
      </c>
      <c r="L246" s="399">
        <v>0</v>
      </c>
      <c r="M246" s="399">
        <v>0</v>
      </c>
      <c r="N246" s="399">
        <v>4.1000000000000002E-2</v>
      </c>
      <c r="O246" s="399">
        <v>4.1000000000000002E-2</v>
      </c>
      <c r="P246" s="399">
        <v>4.1000000000000002E-2</v>
      </c>
      <c r="Q246" s="399">
        <v>4.1000000000000002E-2</v>
      </c>
      <c r="R246" s="399"/>
      <c r="S246" s="399">
        <v>409.62</v>
      </c>
      <c r="T246" s="399">
        <v>286.42</v>
      </c>
      <c r="U246" s="399"/>
      <c r="V246" s="399">
        <v>28.537640000000003</v>
      </c>
      <c r="W246" s="399">
        <v>28.537640000000003</v>
      </c>
      <c r="X246" s="399">
        <v>22.174440000000001</v>
      </c>
      <c r="Y246" s="399">
        <v>0</v>
      </c>
      <c r="Z246" s="399">
        <v>2.4953173578233616</v>
      </c>
      <c r="AA246" s="399">
        <v>0</v>
      </c>
      <c r="AB246" s="399">
        <v>0</v>
      </c>
      <c r="AC246" s="399">
        <v>0</v>
      </c>
      <c r="AD246" s="399">
        <v>2.3223717295907802</v>
      </c>
      <c r="AE246" s="399">
        <v>8.9700977504434345</v>
      </c>
      <c r="AF246" s="399">
        <v>11.743357154997685</v>
      </c>
      <c r="AG246" s="399">
        <v>0</v>
      </c>
      <c r="AH246" s="399">
        <v>0</v>
      </c>
      <c r="AI246" s="399">
        <v>0</v>
      </c>
      <c r="AJ246" s="399">
        <v>0</v>
      </c>
      <c r="AK246" s="399">
        <v>0</v>
      </c>
      <c r="AL246" s="399">
        <v>0.38564144714612969</v>
      </c>
      <c r="AM246" s="399"/>
      <c r="AN246" s="399">
        <v>7.0021340222151549E-2</v>
      </c>
      <c r="AO246" s="399">
        <v>0</v>
      </c>
      <c r="AP246" s="399">
        <v>0</v>
      </c>
      <c r="AQ246" s="399">
        <v>0</v>
      </c>
      <c r="AR246" s="399">
        <v>0</v>
      </c>
      <c r="AS246" s="399">
        <v>0</v>
      </c>
      <c r="AT246" s="399">
        <v>0</v>
      </c>
      <c r="AU246" s="399">
        <v>0</v>
      </c>
      <c r="AV246" s="399">
        <v>0</v>
      </c>
      <c r="AW246" s="399">
        <v>0</v>
      </c>
      <c r="AX246" s="399">
        <v>0</v>
      </c>
      <c r="AY246" s="399">
        <v>0</v>
      </c>
      <c r="AZ246" s="399">
        <v>0</v>
      </c>
      <c r="BA246" s="399"/>
      <c r="BB246" s="399">
        <v>0</v>
      </c>
      <c r="BC246" s="399">
        <v>0</v>
      </c>
      <c r="BD246" s="399">
        <v>0</v>
      </c>
      <c r="BE246" s="399">
        <v>0</v>
      </c>
      <c r="BF246" s="399">
        <v>0</v>
      </c>
      <c r="BG246" s="399">
        <v>1.3744150732673104</v>
      </c>
      <c r="BH246" s="399">
        <v>0</v>
      </c>
      <c r="BI246" s="399">
        <v>0</v>
      </c>
      <c r="BJ246" s="399">
        <v>0</v>
      </c>
      <c r="BK246" s="399">
        <v>0</v>
      </c>
      <c r="BL246" s="399">
        <v>0</v>
      </c>
      <c r="BM246" s="399"/>
      <c r="BN246" s="399"/>
      <c r="BO246" s="399"/>
      <c r="BP246" s="399"/>
      <c r="BQ246" s="399"/>
      <c r="BR246" s="399"/>
      <c r="BS246" s="399"/>
      <c r="BT246" s="399"/>
      <c r="BU246" s="399"/>
      <c r="BV246" s="399">
        <v>13.117772228264997</v>
      </c>
      <c r="BW246" s="399"/>
      <c r="BX246" s="399"/>
      <c r="BY246" s="399"/>
      <c r="BZ246" s="399"/>
      <c r="CA246" s="399"/>
      <c r="CB246" s="399"/>
      <c r="CC246" s="399"/>
      <c r="CD246" s="399"/>
      <c r="CE246" s="399"/>
      <c r="CF246" s="399"/>
      <c r="CG246" s="399"/>
      <c r="CH246" s="399"/>
      <c r="CI246" s="399">
        <v>21.633600000000001</v>
      </c>
      <c r="CJ246" s="399">
        <v>-6.9340400000000066</v>
      </c>
      <c r="CK246" s="399"/>
      <c r="CL246" s="399"/>
      <c r="CM246" s="399"/>
      <c r="CN246" s="399"/>
      <c r="CO246" s="399">
        <v>-3.7055799999999999</v>
      </c>
      <c r="CP246" s="399">
        <v>-2.657620000000001</v>
      </c>
      <c r="CQ246" s="399">
        <v>31</v>
      </c>
      <c r="CR246" s="399">
        <v>-3.0903876360166009</v>
      </c>
      <c r="CS246" s="399">
        <v>0</v>
      </c>
      <c r="CT246" s="399">
        <v>0</v>
      </c>
      <c r="CU246" s="399">
        <v>0</v>
      </c>
      <c r="CV246" s="399">
        <v>0</v>
      </c>
      <c r="CW246" s="399">
        <v>0</v>
      </c>
      <c r="CX246" s="399">
        <v>0</v>
      </c>
      <c r="CY246" s="399">
        <v>0</v>
      </c>
      <c r="CZ246" s="399">
        <v>7.9696615544484928E-2</v>
      </c>
      <c r="DA246" s="399">
        <v>0</v>
      </c>
      <c r="DB246" s="399">
        <v>0</v>
      </c>
      <c r="DC246" s="399">
        <v>-2.6578975489684744</v>
      </c>
      <c r="DD246" s="399">
        <v>0</v>
      </c>
      <c r="DE246" s="399">
        <v>0</v>
      </c>
      <c r="DF246" s="399">
        <v>0</v>
      </c>
      <c r="DG246" s="399">
        <v>-0.3110741167356792</v>
      </c>
      <c r="DH246" s="399">
        <v>0</v>
      </c>
      <c r="DI246" s="399">
        <v>-0.17311551532620228</v>
      </c>
      <c r="DJ246" s="399"/>
      <c r="DK246" s="399">
        <v>0</v>
      </c>
      <c r="DL246" s="399">
        <v>0</v>
      </c>
      <c r="DM246" s="399">
        <v>0</v>
      </c>
      <c r="DN246" s="399">
        <v>0</v>
      </c>
      <c r="DO246" s="399">
        <v>-2.2069603907234947E-2</v>
      </c>
      <c r="DP246" s="399">
        <v>-5.9274666234909179E-3</v>
      </c>
      <c r="DQ246" s="399">
        <v>0</v>
      </c>
      <c r="DR246" s="399">
        <v>0</v>
      </c>
      <c r="DS246" s="399"/>
      <c r="DT246" s="399"/>
      <c r="DU246" s="399"/>
      <c r="DV246" s="399">
        <v>8.9700977504434345</v>
      </c>
      <c r="DW246" s="399">
        <v>0</v>
      </c>
      <c r="DX246" s="399">
        <v>0</v>
      </c>
      <c r="DY246" s="399">
        <v>-3.7055800000000012</v>
      </c>
      <c r="DZ246" s="399">
        <v>-2.6576200000000014</v>
      </c>
      <c r="EA246" s="399">
        <v>0</v>
      </c>
      <c r="EB246" s="399">
        <v>0</v>
      </c>
      <c r="EC246" s="399">
        <v>-3.2731897273564199</v>
      </c>
      <c r="ED246" s="399">
        <v>0</v>
      </c>
      <c r="EE246" s="399">
        <v>0</v>
      </c>
      <c r="EF246" s="399">
        <v>0</v>
      </c>
      <c r="EG246" s="399">
        <v>0</v>
      </c>
      <c r="EH246" s="399">
        <v>0</v>
      </c>
      <c r="EI246" s="399">
        <v>0</v>
      </c>
      <c r="EJ246" s="399">
        <v>0</v>
      </c>
      <c r="EK246" s="399">
        <v>0</v>
      </c>
      <c r="EL246" s="399">
        <v>0</v>
      </c>
      <c r="EM246" s="399">
        <v>0</v>
      </c>
      <c r="EN246" s="399">
        <v>0</v>
      </c>
      <c r="EO246" s="399">
        <v>0</v>
      </c>
      <c r="EP246" s="399">
        <v>1.176627511464257</v>
      </c>
      <c r="EQ246" s="399">
        <v>0</v>
      </c>
      <c r="ER246" s="399">
        <v>0</v>
      </c>
      <c r="ES246" s="399">
        <v>0</v>
      </c>
      <c r="ET246" s="399">
        <v>0</v>
      </c>
      <c r="EU246" s="399">
        <v>0</v>
      </c>
      <c r="EV246" s="399">
        <v>202</v>
      </c>
      <c r="EW246" s="399">
        <v>0</v>
      </c>
      <c r="EX246" s="399">
        <v>0</v>
      </c>
      <c r="EY246" s="399">
        <v>0</v>
      </c>
      <c r="EZ246" s="399"/>
      <c r="FA246" s="399">
        <v>0</v>
      </c>
      <c r="FB246" s="399">
        <v>-17.698635468909799</v>
      </c>
      <c r="FC246" s="399"/>
      <c r="FD246" s="399">
        <v>-17.698635468909799</v>
      </c>
      <c r="FE246" s="399"/>
      <c r="FF246" s="399">
        <v>0</v>
      </c>
      <c r="FG246" s="399">
        <v>0</v>
      </c>
      <c r="FH246" s="399">
        <v>0</v>
      </c>
      <c r="FI246" s="399">
        <v>0</v>
      </c>
    </row>
    <row r="247" spans="1:165">
      <c r="A247" s="399">
        <v>244</v>
      </c>
      <c r="B247" s="399" t="s">
        <v>956</v>
      </c>
      <c r="C247" s="399" t="s">
        <v>2409</v>
      </c>
      <c r="D247" s="399" t="s">
        <v>1823</v>
      </c>
      <c r="E247" s="399" t="s">
        <v>889</v>
      </c>
      <c r="F247" s="399" t="s">
        <v>889</v>
      </c>
      <c r="G247" s="399" t="s">
        <v>1239</v>
      </c>
      <c r="H247" s="399" t="s">
        <v>1239</v>
      </c>
      <c r="I247" s="399" t="s">
        <v>1239</v>
      </c>
      <c r="J247" s="399" t="s">
        <v>2400</v>
      </c>
      <c r="K247" s="788">
        <v>44743</v>
      </c>
      <c r="L247" s="399">
        <v>0</v>
      </c>
      <c r="M247" s="399">
        <v>0</v>
      </c>
      <c r="N247" s="399">
        <v>0</v>
      </c>
      <c r="O247" s="399">
        <v>0</v>
      </c>
      <c r="P247" s="399">
        <v>0</v>
      </c>
      <c r="Q247" s="399">
        <v>0</v>
      </c>
      <c r="R247" s="399"/>
      <c r="S247" s="399"/>
      <c r="T247" s="399"/>
      <c r="U247" s="399"/>
      <c r="V247" s="399"/>
      <c r="W247" s="399"/>
      <c r="X247" s="399"/>
      <c r="Y247" s="399"/>
      <c r="Z247" s="399"/>
      <c r="AA247" s="399">
        <v>0</v>
      </c>
      <c r="AB247" s="399"/>
      <c r="AC247" s="399"/>
      <c r="AD247" s="399"/>
      <c r="AE247" s="399"/>
      <c r="AF247" s="399"/>
      <c r="AG247" s="399"/>
      <c r="AH247" s="399"/>
      <c r="AI247" s="399"/>
      <c r="AJ247" s="399"/>
      <c r="AK247" s="399"/>
      <c r="AL247" s="399"/>
      <c r="AM247" s="399"/>
      <c r="AN247" s="399"/>
      <c r="AO247" s="399"/>
      <c r="AP247" s="399"/>
      <c r="AQ247" s="399"/>
      <c r="AR247" s="399"/>
      <c r="AS247" s="399"/>
      <c r="AT247" s="399"/>
      <c r="AU247" s="399"/>
      <c r="AV247" s="399"/>
      <c r="AW247" s="399"/>
      <c r="AX247" s="399"/>
      <c r="AY247" s="399"/>
      <c r="AZ247" s="399">
        <v>0</v>
      </c>
      <c r="BA247" s="399"/>
      <c r="BB247" s="399"/>
      <c r="BC247" s="399"/>
      <c r="BD247" s="399"/>
      <c r="BE247" s="399"/>
      <c r="BF247" s="399"/>
      <c r="BG247" s="399"/>
      <c r="BH247" s="399"/>
      <c r="BI247" s="399">
        <v>0.23</v>
      </c>
      <c r="BJ247" s="399">
        <v>1.07</v>
      </c>
      <c r="BK247" s="399">
        <v>0</v>
      </c>
      <c r="BL247" s="399">
        <v>1</v>
      </c>
      <c r="BM247" s="399"/>
      <c r="BN247" s="399"/>
      <c r="BO247" s="399"/>
      <c r="BP247" s="399"/>
      <c r="BQ247" s="399"/>
      <c r="BR247" s="399"/>
      <c r="BS247" s="399"/>
      <c r="BT247" s="399"/>
      <c r="BU247" s="399"/>
      <c r="BV247" s="399"/>
      <c r="BW247" s="399"/>
      <c r="BX247" s="399"/>
      <c r="BY247" s="399"/>
      <c r="BZ247" s="399"/>
      <c r="CA247" s="399"/>
      <c r="CB247" s="399"/>
      <c r="CC247" s="399"/>
      <c r="CD247" s="399"/>
      <c r="CE247" s="399"/>
      <c r="CF247" s="399"/>
      <c r="CG247" s="399"/>
      <c r="CH247" s="399"/>
      <c r="CI247" s="399"/>
      <c r="CJ247" s="399">
        <v>-0.03</v>
      </c>
      <c r="CK247" s="399"/>
      <c r="CL247" s="399"/>
      <c r="CM247" s="399"/>
      <c r="CN247" s="399"/>
      <c r="CO247" s="399">
        <v>0</v>
      </c>
      <c r="CP247" s="399">
        <v>0</v>
      </c>
      <c r="CQ247" s="399">
        <v>31</v>
      </c>
      <c r="CR247" s="399"/>
      <c r="CS247" s="399"/>
      <c r="CT247" s="399"/>
      <c r="CU247" s="399"/>
      <c r="CV247" s="399"/>
      <c r="CW247" s="399"/>
      <c r="CX247" s="399"/>
      <c r="CY247" s="399"/>
      <c r="CZ247" s="399"/>
      <c r="DA247" s="399"/>
      <c r="DB247" s="399"/>
      <c r="DC247" s="399"/>
      <c r="DD247" s="399"/>
      <c r="DE247" s="399"/>
      <c r="DF247" s="399"/>
      <c r="DG247" s="399"/>
      <c r="DH247" s="399"/>
      <c r="DI247" s="399"/>
      <c r="DJ247" s="399"/>
      <c r="DK247" s="399">
        <v>0</v>
      </c>
      <c r="DL247" s="399"/>
      <c r="DM247" s="399"/>
      <c r="DN247" s="399"/>
      <c r="DO247" s="399"/>
      <c r="DP247" s="399"/>
      <c r="DQ247" s="399"/>
      <c r="DR247" s="399"/>
      <c r="DS247" s="399"/>
      <c r="DT247" s="399"/>
      <c r="DU247" s="399"/>
      <c r="DV247" s="399"/>
      <c r="DW247" s="399"/>
      <c r="DX247" s="399"/>
      <c r="DY247" s="399"/>
      <c r="DZ247" s="399"/>
      <c r="EA247" s="399"/>
      <c r="EB247" s="399"/>
      <c r="EC247" s="399"/>
      <c r="ED247" s="399"/>
      <c r="EE247" s="399"/>
      <c r="EF247" s="399"/>
      <c r="EG247" s="399"/>
      <c r="EH247" s="399"/>
      <c r="EI247" s="399"/>
      <c r="EJ247" s="399"/>
      <c r="EK247" s="399"/>
      <c r="EL247" s="399"/>
      <c r="EM247" s="399"/>
      <c r="EN247" s="399"/>
      <c r="EO247" s="399"/>
      <c r="EP247" s="399"/>
      <c r="EQ247" s="399"/>
      <c r="ER247" s="399"/>
      <c r="ES247" s="399"/>
      <c r="ET247" s="399"/>
      <c r="EU247" s="399"/>
      <c r="EV247" s="399">
        <v>202</v>
      </c>
      <c r="EW247" s="399"/>
      <c r="EX247" s="399"/>
      <c r="EY247" s="399"/>
      <c r="EZ247" s="399"/>
      <c r="FA247" s="399">
        <v>0</v>
      </c>
      <c r="FB247" s="399">
        <v>-17.698635468909799</v>
      </c>
      <c r="FC247" s="399"/>
      <c r="FD247" s="399">
        <v>-17.698635468909799</v>
      </c>
      <c r="FE247" s="399"/>
      <c r="FF247" s="399">
        <v>0</v>
      </c>
      <c r="FG247" s="399">
        <v>0</v>
      </c>
      <c r="FH247" s="399">
        <v>0</v>
      </c>
      <c r="FI247" s="399">
        <v>0</v>
      </c>
    </row>
    <row r="248" spans="1:165">
      <c r="A248" s="399">
        <v>245</v>
      </c>
      <c r="B248" s="399" t="s">
        <v>956</v>
      </c>
      <c r="C248" s="399" t="s">
        <v>2409</v>
      </c>
      <c r="D248" s="399" t="s">
        <v>1823</v>
      </c>
      <c r="E248" s="399" t="s">
        <v>889</v>
      </c>
      <c r="F248" s="399" t="s">
        <v>889</v>
      </c>
      <c r="G248" s="399" t="s">
        <v>1239</v>
      </c>
      <c r="H248" s="399" t="s">
        <v>1239</v>
      </c>
      <c r="I248" s="399" t="s">
        <v>2410</v>
      </c>
      <c r="J248" s="399" t="s">
        <v>2400</v>
      </c>
      <c r="K248" s="788">
        <v>44743</v>
      </c>
      <c r="L248" s="399">
        <v>0</v>
      </c>
      <c r="M248" s="399">
        <v>0</v>
      </c>
      <c r="N248" s="399">
        <v>1.2999999999999999E-2</v>
      </c>
      <c r="O248" s="399">
        <v>1.2999999999999999E-2</v>
      </c>
      <c r="P248" s="399">
        <v>1.2999999999999999E-2</v>
      </c>
      <c r="Q248" s="399">
        <v>1.2999999999999999E-2</v>
      </c>
      <c r="R248" s="399"/>
      <c r="S248" s="399">
        <v>960.47</v>
      </c>
      <c r="T248" s="399">
        <v>286.42</v>
      </c>
      <c r="U248" s="399"/>
      <c r="V248" s="399">
        <v>16.209569999999999</v>
      </c>
      <c r="W248" s="399">
        <v>16.209569999999999</v>
      </c>
      <c r="X248" s="399">
        <v>12.166829999999997</v>
      </c>
      <c r="Y248" s="399">
        <v>0</v>
      </c>
      <c r="Z248" s="399">
        <v>0.79119818662691943</v>
      </c>
      <c r="AA248" s="399">
        <v>0</v>
      </c>
      <c r="AB248" s="399">
        <v>0</v>
      </c>
      <c r="AC248" s="399">
        <v>0</v>
      </c>
      <c r="AD248" s="399">
        <v>2.209016041922534</v>
      </c>
      <c r="AE248" s="399">
        <v>8.5325363526465399</v>
      </c>
      <c r="AF248" s="399">
        <v>3.7235034881699973</v>
      </c>
      <c r="AG248" s="399">
        <v>0</v>
      </c>
      <c r="AH248" s="399">
        <v>0</v>
      </c>
      <c r="AI248" s="399">
        <v>0</v>
      </c>
      <c r="AJ248" s="399">
        <v>0</v>
      </c>
      <c r="AK248" s="399">
        <v>0</v>
      </c>
      <c r="AL248" s="399">
        <v>0.12227655641218745</v>
      </c>
      <c r="AM248" s="399"/>
      <c r="AN248" s="399">
        <v>2.220188836312122E-2</v>
      </c>
      <c r="AO248" s="399">
        <v>0</v>
      </c>
      <c r="AP248" s="399">
        <v>0</v>
      </c>
      <c r="AQ248" s="399">
        <v>0</v>
      </c>
      <c r="AR248" s="399">
        <v>0</v>
      </c>
      <c r="AS248" s="399">
        <v>0</v>
      </c>
      <c r="AT248" s="399">
        <v>0</v>
      </c>
      <c r="AU248" s="399">
        <v>0</v>
      </c>
      <c r="AV248" s="399">
        <v>0</v>
      </c>
      <c r="AW248" s="399">
        <v>0</v>
      </c>
      <c r="AX248" s="399">
        <v>0</v>
      </c>
      <c r="AY248" s="399">
        <v>0</v>
      </c>
      <c r="AZ248" s="399">
        <v>0</v>
      </c>
      <c r="BA248" s="399"/>
      <c r="BB248" s="399">
        <v>0</v>
      </c>
      <c r="BC248" s="399">
        <v>0</v>
      </c>
      <c r="BD248" s="399">
        <v>0</v>
      </c>
      <c r="BE248" s="399">
        <v>0</v>
      </c>
      <c r="BF248" s="399">
        <v>0</v>
      </c>
      <c r="BG248" s="399">
        <v>0.4357901451823179</v>
      </c>
      <c r="BH248" s="399">
        <v>0</v>
      </c>
      <c r="BI248" s="399">
        <v>0</v>
      </c>
      <c r="BJ248" s="399">
        <v>0</v>
      </c>
      <c r="BK248" s="399">
        <v>0</v>
      </c>
      <c r="BL248" s="399">
        <v>0</v>
      </c>
      <c r="BM248" s="399"/>
      <c r="BN248" s="399"/>
      <c r="BO248" s="399"/>
      <c r="BP248" s="399"/>
      <c r="BQ248" s="399"/>
      <c r="BR248" s="399"/>
      <c r="BS248" s="399"/>
      <c r="BT248" s="399"/>
      <c r="BU248" s="399"/>
      <c r="BV248" s="399">
        <v>4.1592936333523154</v>
      </c>
      <c r="BW248" s="399"/>
      <c r="BX248" s="399"/>
      <c r="BY248" s="399"/>
      <c r="BZ248" s="399"/>
      <c r="CA248" s="399"/>
      <c r="CB248" s="399"/>
      <c r="CC248" s="399"/>
      <c r="CD248" s="399"/>
      <c r="CE248" s="399"/>
      <c r="CF248" s="399"/>
      <c r="CG248" s="399"/>
      <c r="CH248" s="399"/>
      <c r="CI248" s="399">
        <v>9.3590999999999998</v>
      </c>
      <c r="CJ248" s="399">
        <v>-6.8804700000000008</v>
      </c>
      <c r="CK248" s="399"/>
      <c r="CL248" s="399"/>
      <c r="CM248" s="399"/>
      <c r="CN248" s="399"/>
      <c r="CO248" s="399">
        <v>-3.2000800000000007</v>
      </c>
      <c r="CP248" s="399">
        <v>-0.84266000000000019</v>
      </c>
      <c r="CQ248" s="399">
        <v>31</v>
      </c>
      <c r="CR248" s="399">
        <v>-0.92934206621926307</v>
      </c>
      <c r="CS248" s="399">
        <v>0</v>
      </c>
      <c r="CT248" s="399">
        <v>0</v>
      </c>
      <c r="CU248" s="399">
        <v>0</v>
      </c>
      <c r="CV248" s="399">
        <v>0</v>
      </c>
      <c r="CW248" s="399">
        <v>0</v>
      </c>
      <c r="CX248" s="399">
        <v>0</v>
      </c>
      <c r="CY248" s="399">
        <v>0</v>
      </c>
      <c r="CZ248" s="399">
        <v>7.5806598909859968E-2</v>
      </c>
      <c r="DA248" s="399">
        <v>0</v>
      </c>
      <c r="DB248" s="399">
        <v>0</v>
      </c>
      <c r="DC248" s="399">
        <v>-0.84274800333146738</v>
      </c>
      <c r="DD248" s="399">
        <v>0</v>
      </c>
      <c r="DE248" s="399">
        <v>0</v>
      </c>
      <c r="DF248" s="399">
        <v>0</v>
      </c>
      <c r="DG248" s="399">
        <v>-9.8633256525947011E-2</v>
      </c>
      <c r="DH248" s="399">
        <v>0</v>
      </c>
      <c r="DI248" s="399">
        <v>-5.4890285347332424E-2</v>
      </c>
      <c r="DJ248" s="399"/>
      <c r="DK248" s="399">
        <v>0</v>
      </c>
      <c r="DL248" s="399">
        <v>0</v>
      </c>
      <c r="DM248" s="399">
        <v>0</v>
      </c>
      <c r="DN248" s="399">
        <v>0</v>
      </c>
      <c r="DO248" s="399">
        <v>-6.997679287659847E-3</v>
      </c>
      <c r="DP248" s="399">
        <v>-1.8794406367166304E-3</v>
      </c>
      <c r="DQ248" s="399">
        <v>0</v>
      </c>
      <c r="DR248" s="399">
        <v>0</v>
      </c>
      <c r="DS248" s="399"/>
      <c r="DT248" s="399"/>
      <c r="DU248" s="399"/>
      <c r="DV248" s="399">
        <v>8.5325363526465399</v>
      </c>
      <c r="DW248" s="399">
        <v>0</v>
      </c>
      <c r="DX248" s="399">
        <v>0</v>
      </c>
      <c r="DY248" s="399">
        <v>-3.2000800000000016</v>
      </c>
      <c r="DZ248" s="399">
        <v>-0.84266000000000041</v>
      </c>
      <c r="EA248" s="399">
        <v>0</v>
      </c>
      <c r="EB248" s="399">
        <v>0</v>
      </c>
      <c r="EC248" s="399">
        <v>-3.1135235216803769</v>
      </c>
      <c r="ED248" s="399">
        <v>0</v>
      </c>
      <c r="EE248" s="399">
        <v>0</v>
      </c>
      <c r="EF248" s="399">
        <v>0</v>
      </c>
      <c r="EG248" s="399">
        <v>0</v>
      </c>
      <c r="EH248" s="399">
        <v>0</v>
      </c>
      <c r="EI248" s="399">
        <v>0</v>
      </c>
      <c r="EJ248" s="399">
        <v>0</v>
      </c>
      <c r="EK248" s="399">
        <v>0</v>
      </c>
      <c r="EL248" s="399">
        <v>0</v>
      </c>
      <c r="EM248" s="399">
        <v>0</v>
      </c>
      <c r="EN248" s="399">
        <v>0</v>
      </c>
      <c r="EO248" s="399">
        <v>0</v>
      </c>
      <c r="EP248" s="399">
        <v>0.37307701583013025</v>
      </c>
      <c r="EQ248" s="399">
        <v>0</v>
      </c>
      <c r="ER248" s="399">
        <v>0</v>
      </c>
      <c r="ES248" s="399">
        <v>0</v>
      </c>
      <c r="ET248" s="399">
        <v>0</v>
      </c>
      <c r="EU248" s="399">
        <v>0</v>
      </c>
      <c r="EV248" s="399">
        <v>202</v>
      </c>
      <c r="EW248" s="399">
        <v>0</v>
      </c>
      <c r="EX248" s="399">
        <v>0</v>
      </c>
      <c r="EY248" s="399">
        <v>0</v>
      </c>
      <c r="EZ248" s="399"/>
      <c r="FA248" s="399">
        <v>0</v>
      </c>
      <c r="FB248" s="399">
        <v>-17.698635468909799</v>
      </c>
      <c r="FC248" s="399"/>
      <c r="FD248" s="399">
        <v>-17.698635468909799</v>
      </c>
      <c r="FE248" s="399"/>
      <c r="FF248" s="399">
        <v>0</v>
      </c>
      <c r="FG248" s="399">
        <v>0</v>
      </c>
      <c r="FH248" s="399">
        <v>0</v>
      </c>
      <c r="FI248" s="399">
        <v>0</v>
      </c>
    </row>
    <row r="249" spans="1:165">
      <c r="A249" s="399">
        <v>250</v>
      </c>
      <c r="B249" s="399" t="s">
        <v>956</v>
      </c>
      <c r="C249" s="399" t="s">
        <v>2402</v>
      </c>
      <c r="D249" s="399" t="s">
        <v>2411</v>
      </c>
      <c r="E249" s="399" t="s">
        <v>894</v>
      </c>
      <c r="F249" s="399" t="s">
        <v>1239</v>
      </c>
      <c r="G249" s="399" t="s">
        <v>1239</v>
      </c>
      <c r="H249" s="399" t="s">
        <v>1239</v>
      </c>
      <c r="I249" s="399" t="s">
        <v>1239</v>
      </c>
      <c r="J249" s="399" t="s">
        <v>2400</v>
      </c>
      <c r="K249" s="788">
        <v>44743</v>
      </c>
      <c r="L249" s="399">
        <v>0</v>
      </c>
      <c r="M249" s="399">
        <v>0</v>
      </c>
      <c r="N249" s="399">
        <v>99.789000000000001</v>
      </c>
      <c r="O249" s="399">
        <v>99.789000000000001</v>
      </c>
      <c r="P249" s="399">
        <v>99.789000000000001</v>
      </c>
      <c r="Q249" s="399">
        <v>99.789000000000001</v>
      </c>
      <c r="R249" s="399"/>
      <c r="S249" s="399">
        <v>609.05999999999995</v>
      </c>
      <c r="T249" s="399">
        <v>286.42</v>
      </c>
      <c r="U249" s="399"/>
      <c r="V249" s="399">
        <v>89359.053719999996</v>
      </c>
      <c r="W249" s="399">
        <v>89359.053719999996</v>
      </c>
      <c r="X249" s="399">
        <v>68242.703429999994</v>
      </c>
      <c r="Y249" s="399">
        <v>0</v>
      </c>
      <c r="Z249" s="399">
        <v>6073.2981419472053</v>
      </c>
      <c r="AA249" s="399">
        <v>0</v>
      </c>
      <c r="AB249" s="399">
        <v>0</v>
      </c>
      <c r="AC249" s="399">
        <v>0</v>
      </c>
      <c r="AD249" s="399">
        <v>9744.6103918756107</v>
      </c>
      <c r="AE249" s="399">
        <v>37641.607788495094</v>
      </c>
      <c r="AF249" s="399">
        <v>28581.899198538147</v>
      </c>
      <c r="AG249" s="399">
        <v>0</v>
      </c>
      <c r="AH249" s="399">
        <v>0</v>
      </c>
      <c r="AI249" s="399">
        <v>0</v>
      </c>
      <c r="AJ249" s="399">
        <v>0</v>
      </c>
      <c r="AK249" s="399">
        <v>0</v>
      </c>
      <c r="AL249" s="399">
        <v>938.60425290890566</v>
      </c>
      <c r="AM249" s="399"/>
      <c r="AN249" s="399">
        <v>170.42340291288488</v>
      </c>
      <c r="AO249" s="399">
        <v>0</v>
      </c>
      <c r="AP249" s="399">
        <v>0</v>
      </c>
      <c r="AQ249" s="399">
        <v>0</v>
      </c>
      <c r="AR249" s="399">
        <v>0</v>
      </c>
      <c r="AS249" s="399">
        <v>0</v>
      </c>
      <c r="AT249" s="399">
        <v>0</v>
      </c>
      <c r="AU249" s="399">
        <v>0</v>
      </c>
      <c r="AV249" s="399">
        <v>0</v>
      </c>
      <c r="AW249" s="399">
        <v>0</v>
      </c>
      <c r="AX249" s="399">
        <v>0</v>
      </c>
      <c r="AY249" s="399">
        <v>0</v>
      </c>
      <c r="AZ249" s="399">
        <v>0</v>
      </c>
      <c r="BA249" s="399"/>
      <c r="BB249" s="399">
        <v>0</v>
      </c>
      <c r="BC249" s="399">
        <v>0</v>
      </c>
      <c r="BD249" s="399">
        <v>0</v>
      </c>
      <c r="BE249" s="399">
        <v>0</v>
      </c>
      <c r="BF249" s="399">
        <v>0</v>
      </c>
      <c r="BG249" s="399">
        <v>3345.1586767383328</v>
      </c>
      <c r="BH249" s="399">
        <v>0</v>
      </c>
      <c r="BI249" s="399">
        <v>334.19</v>
      </c>
      <c r="BJ249" s="399">
        <v>1547.48</v>
      </c>
      <c r="BK249" s="399">
        <v>2635.83</v>
      </c>
      <c r="BL249" s="399">
        <v>321</v>
      </c>
      <c r="BM249" s="399"/>
      <c r="BN249" s="399"/>
      <c r="BO249" s="399"/>
      <c r="BP249" s="399"/>
      <c r="BQ249" s="399"/>
      <c r="BR249" s="399">
        <v>8189.6832299999969</v>
      </c>
      <c r="BS249" s="399"/>
      <c r="BT249" s="399"/>
      <c r="BU249" s="399"/>
      <c r="BV249" s="399">
        <v>31927.057875276481</v>
      </c>
      <c r="BW249" s="399"/>
      <c r="BX249" s="399"/>
      <c r="BY249" s="399"/>
      <c r="BZ249" s="399"/>
      <c r="CA249" s="399"/>
      <c r="CB249" s="399"/>
      <c r="CC249" s="399"/>
      <c r="CD249" s="399"/>
      <c r="CE249" s="399"/>
      <c r="CF249" s="399"/>
      <c r="CG249" s="399"/>
      <c r="CH249" s="399"/>
      <c r="CI249" s="399">
        <v>60053.622000000003</v>
      </c>
      <c r="CJ249" s="399">
        <v>-18582.135779999997</v>
      </c>
      <c r="CK249" s="399"/>
      <c r="CL249" s="399"/>
      <c r="CM249" s="399"/>
      <c r="CN249" s="399"/>
      <c r="CO249" s="399">
        <v>-14648.027309999996</v>
      </c>
      <c r="CP249" s="399">
        <v>-6468.3229800000026</v>
      </c>
      <c r="CQ249" s="399">
        <v>31</v>
      </c>
      <c r="CR249" s="399">
        <v>-7381.1935803946035</v>
      </c>
      <c r="CS249" s="399">
        <v>0</v>
      </c>
      <c r="CT249" s="399">
        <v>0</v>
      </c>
      <c r="CU249" s="399">
        <v>0</v>
      </c>
      <c r="CV249" s="399">
        <v>0</v>
      </c>
      <c r="CW249" s="399">
        <v>0</v>
      </c>
      <c r="CX249" s="399">
        <v>0</v>
      </c>
      <c r="CY249" s="399">
        <v>0</v>
      </c>
      <c r="CZ249" s="399">
        <v>334.40489226463251</v>
      </c>
      <c r="DA249" s="399">
        <v>0</v>
      </c>
      <c r="DB249" s="399">
        <v>0</v>
      </c>
      <c r="DC249" s="399">
        <v>-6468.9985003418333</v>
      </c>
      <c r="DD249" s="399">
        <v>0</v>
      </c>
      <c r="DE249" s="399">
        <v>0</v>
      </c>
      <c r="DF249" s="399">
        <v>0</v>
      </c>
      <c r="DG249" s="399">
        <v>-757.11646426674861</v>
      </c>
      <c r="DH249" s="399">
        <v>0</v>
      </c>
      <c r="DI249" s="399">
        <v>-421.34205265576566</v>
      </c>
      <c r="DJ249" s="399"/>
      <c r="DK249" s="399">
        <v>0</v>
      </c>
      <c r="DL249" s="399">
        <v>0</v>
      </c>
      <c r="DM249" s="399">
        <v>0</v>
      </c>
      <c r="DN249" s="399">
        <v>0</v>
      </c>
      <c r="DO249" s="399">
        <v>-53.714724495099063</v>
      </c>
      <c r="DP249" s="399">
        <v>-14.426730899793512</v>
      </c>
      <c r="DQ249" s="399">
        <v>0</v>
      </c>
      <c r="DR249" s="399">
        <v>0</v>
      </c>
      <c r="DS249" s="399"/>
      <c r="DT249" s="399"/>
      <c r="DU249" s="399"/>
      <c r="DV249" s="399">
        <v>37641.607788495094</v>
      </c>
      <c r="DW249" s="399">
        <v>0</v>
      </c>
      <c r="DX249" s="399">
        <v>0</v>
      </c>
      <c r="DY249" s="399">
        <v>-14648.027309999998</v>
      </c>
      <c r="DZ249" s="399">
        <v>-6468.3229800000045</v>
      </c>
      <c r="EA249" s="399">
        <v>0</v>
      </c>
      <c r="EB249" s="399">
        <v>0</v>
      </c>
      <c r="EC249" s="399">
        <v>-13735.42712267438</v>
      </c>
      <c r="ED249" s="399">
        <v>0</v>
      </c>
      <c r="EE249" s="399">
        <v>0</v>
      </c>
      <c r="EF249" s="399">
        <v>0</v>
      </c>
      <c r="EG249" s="399">
        <v>0</v>
      </c>
      <c r="EH249" s="399">
        <v>0</v>
      </c>
      <c r="EI249" s="399">
        <v>0</v>
      </c>
      <c r="EJ249" s="399">
        <v>0</v>
      </c>
      <c r="EK249" s="399">
        <v>0</v>
      </c>
      <c r="EL249" s="399">
        <v>0</v>
      </c>
      <c r="EM249" s="399">
        <v>0</v>
      </c>
      <c r="EN249" s="399">
        <v>0</v>
      </c>
      <c r="EO249" s="399">
        <v>0</v>
      </c>
      <c r="EP249" s="399">
        <v>2863.7678717440672</v>
      </c>
      <c r="EQ249" s="399">
        <v>0</v>
      </c>
      <c r="ER249" s="399">
        <v>0</v>
      </c>
      <c r="ES249" s="399">
        <v>0</v>
      </c>
      <c r="ET249" s="399">
        <v>0</v>
      </c>
      <c r="EU249" s="399">
        <v>0</v>
      </c>
      <c r="EV249" s="399">
        <v>202</v>
      </c>
      <c r="EW249" s="399">
        <v>0</v>
      </c>
      <c r="EX249" s="399">
        <v>0</v>
      </c>
      <c r="EY249" s="399">
        <v>0</v>
      </c>
      <c r="EZ249" s="399"/>
      <c r="FA249" s="399">
        <v>0</v>
      </c>
      <c r="FB249" s="399">
        <v>-12.3890448282368</v>
      </c>
      <c r="FC249" s="399"/>
      <c r="FD249" s="399">
        <v>-17.698635468909799</v>
      </c>
      <c r="FE249" s="399"/>
      <c r="FF249" s="399">
        <v>0</v>
      </c>
      <c r="FG249" s="399">
        <v>0</v>
      </c>
      <c r="FH249" s="399">
        <v>0</v>
      </c>
      <c r="FI249" s="399">
        <v>0</v>
      </c>
    </row>
    <row r="250" spans="1:165">
      <c r="A250" s="399">
        <v>251</v>
      </c>
      <c r="B250" s="399" t="s">
        <v>2404</v>
      </c>
      <c r="C250" s="399" t="s">
        <v>2402</v>
      </c>
      <c r="D250" s="399" t="s">
        <v>2411</v>
      </c>
      <c r="E250" s="399" t="s">
        <v>894</v>
      </c>
      <c r="F250" s="399" t="s">
        <v>1239</v>
      </c>
      <c r="G250" s="399" t="s">
        <v>1239</v>
      </c>
      <c r="H250" s="399" t="s">
        <v>1239</v>
      </c>
      <c r="I250" s="399" t="s">
        <v>1239</v>
      </c>
      <c r="J250" s="399" t="s">
        <v>2400</v>
      </c>
      <c r="K250" s="788">
        <v>44743</v>
      </c>
      <c r="L250" s="399">
        <v>0</v>
      </c>
      <c r="M250" s="399">
        <v>0</v>
      </c>
      <c r="N250" s="399">
        <v>1.3460000000000001</v>
      </c>
      <c r="O250" s="399">
        <v>1.3460000000000001</v>
      </c>
      <c r="P250" s="399">
        <v>1.3460000000000001</v>
      </c>
      <c r="Q250" s="399">
        <v>1.3460000000000001</v>
      </c>
      <c r="R250" s="399"/>
      <c r="S250" s="399">
        <v>609.05999999999995</v>
      </c>
      <c r="T250" s="399">
        <v>286.42</v>
      </c>
      <c r="U250" s="399"/>
      <c r="V250" s="399">
        <v>1205.3160800000001</v>
      </c>
      <c r="W250" s="399">
        <v>1205.3160800000001</v>
      </c>
      <c r="X250" s="399">
        <v>920.48901999999998</v>
      </c>
      <c r="Y250" s="399">
        <v>0</v>
      </c>
      <c r="Z250" s="399">
        <v>81.919443015371826</v>
      </c>
      <c r="AA250" s="399">
        <v>0</v>
      </c>
      <c r="AB250" s="399">
        <v>0</v>
      </c>
      <c r="AC250" s="399">
        <v>0</v>
      </c>
      <c r="AD250" s="399">
        <v>131.43979383964739</v>
      </c>
      <c r="AE250" s="399">
        <v>507.72734553221699</v>
      </c>
      <c r="AF250" s="399">
        <v>385.5258226982167</v>
      </c>
      <c r="AG250" s="399">
        <v>0</v>
      </c>
      <c r="AH250" s="399">
        <v>0</v>
      </c>
      <c r="AI250" s="399">
        <v>0</v>
      </c>
      <c r="AJ250" s="399">
        <v>0</v>
      </c>
      <c r="AK250" s="399">
        <v>0</v>
      </c>
      <c r="AL250" s="399">
        <v>12.660326533138795</v>
      </c>
      <c r="AM250" s="399"/>
      <c r="AN250" s="399">
        <v>2.2987493643662433</v>
      </c>
      <c r="AO250" s="399">
        <v>0</v>
      </c>
      <c r="AP250" s="399">
        <v>0</v>
      </c>
      <c r="AQ250" s="399">
        <v>0</v>
      </c>
      <c r="AR250" s="399">
        <v>0</v>
      </c>
      <c r="AS250" s="399">
        <v>0</v>
      </c>
      <c r="AT250" s="399">
        <v>0</v>
      </c>
      <c r="AU250" s="399">
        <v>0</v>
      </c>
      <c r="AV250" s="399">
        <v>0</v>
      </c>
      <c r="AW250" s="399">
        <v>0</v>
      </c>
      <c r="AX250" s="399">
        <v>0</v>
      </c>
      <c r="AY250" s="399">
        <v>0</v>
      </c>
      <c r="AZ250" s="399">
        <v>0</v>
      </c>
      <c r="BA250" s="399"/>
      <c r="BB250" s="399">
        <v>0</v>
      </c>
      <c r="BC250" s="399">
        <v>0</v>
      </c>
      <c r="BD250" s="399">
        <v>0</v>
      </c>
      <c r="BE250" s="399">
        <v>0</v>
      </c>
      <c r="BF250" s="399">
        <v>0</v>
      </c>
      <c r="BG250" s="399">
        <v>45.121041185799996</v>
      </c>
      <c r="BH250" s="399">
        <v>0</v>
      </c>
      <c r="BI250" s="399">
        <v>3.48</v>
      </c>
      <c r="BJ250" s="399">
        <v>16.100000000000001</v>
      </c>
      <c r="BK250" s="399">
        <v>0</v>
      </c>
      <c r="BL250" s="399">
        <v>6</v>
      </c>
      <c r="BM250" s="399"/>
      <c r="BN250" s="399"/>
      <c r="BO250" s="399"/>
      <c r="BP250" s="399"/>
      <c r="BQ250" s="399"/>
      <c r="BR250" s="399">
        <v>110.46621999999996</v>
      </c>
      <c r="BS250" s="399"/>
      <c r="BT250" s="399"/>
      <c r="BU250" s="399"/>
      <c r="BV250" s="399">
        <v>430.64686388401668</v>
      </c>
      <c r="BW250" s="399"/>
      <c r="BX250" s="399"/>
      <c r="BY250" s="399"/>
      <c r="BZ250" s="399"/>
      <c r="CA250" s="399"/>
      <c r="CB250" s="399"/>
      <c r="CC250" s="399"/>
      <c r="CD250" s="399"/>
      <c r="CE250" s="399"/>
      <c r="CF250" s="399"/>
      <c r="CG250" s="399"/>
      <c r="CH250" s="399"/>
      <c r="CI250" s="399">
        <v>812.43000000000006</v>
      </c>
      <c r="CJ250" s="399">
        <v>-248.27492000000007</v>
      </c>
      <c r="CK250" s="399"/>
      <c r="CL250" s="399"/>
      <c r="CM250" s="399"/>
      <c r="CN250" s="399"/>
      <c r="CO250" s="399">
        <v>-197.57933999999997</v>
      </c>
      <c r="CP250" s="399">
        <v>-87.247720000000029</v>
      </c>
      <c r="CQ250" s="399">
        <v>31</v>
      </c>
      <c r="CR250" s="399">
        <v>-99.560939173768134</v>
      </c>
      <c r="CS250" s="399">
        <v>0</v>
      </c>
      <c r="CT250" s="399">
        <v>0</v>
      </c>
      <c r="CU250" s="399">
        <v>0</v>
      </c>
      <c r="CV250" s="399">
        <v>0</v>
      </c>
      <c r="CW250" s="399">
        <v>0</v>
      </c>
      <c r="CX250" s="399">
        <v>0</v>
      </c>
      <c r="CY250" s="399">
        <v>0</v>
      </c>
      <c r="CZ250" s="399">
        <v>4.5106072311396304</v>
      </c>
      <c r="DA250" s="399">
        <v>0</v>
      </c>
      <c r="DB250" s="399">
        <v>0</v>
      </c>
      <c r="DC250" s="399">
        <v>-87.256831729550413</v>
      </c>
      <c r="DD250" s="399">
        <v>0</v>
      </c>
      <c r="DE250" s="399">
        <v>0</v>
      </c>
      <c r="DF250" s="399">
        <v>0</v>
      </c>
      <c r="DG250" s="399">
        <v>-10.212335637224975</v>
      </c>
      <c r="DH250" s="399">
        <v>0</v>
      </c>
      <c r="DI250" s="399">
        <v>-5.68325569826996</v>
      </c>
      <c r="DJ250" s="399"/>
      <c r="DK250" s="399">
        <v>0</v>
      </c>
      <c r="DL250" s="399">
        <v>0</v>
      </c>
      <c r="DM250" s="399">
        <v>0</v>
      </c>
      <c r="DN250" s="399">
        <v>0</v>
      </c>
      <c r="DO250" s="399">
        <v>-0.72452894778385968</v>
      </c>
      <c r="DP250" s="399">
        <v>-0.19459439207850648</v>
      </c>
      <c r="DQ250" s="399">
        <v>0</v>
      </c>
      <c r="DR250" s="399">
        <v>0</v>
      </c>
      <c r="DS250" s="399"/>
      <c r="DT250" s="399"/>
      <c r="DU250" s="399"/>
      <c r="DV250" s="399">
        <v>507.72734553221699</v>
      </c>
      <c r="DW250" s="399">
        <v>0</v>
      </c>
      <c r="DX250" s="399">
        <v>0</v>
      </c>
      <c r="DY250" s="399">
        <v>-197.57934</v>
      </c>
      <c r="DZ250" s="399">
        <v>-87.247720000000072</v>
      </c>
      <c r="EA250" s="399">
        <v>0</v>
      </c>
      <c r="EB250" s="399">
        <v>0</v>
      </c>
      <c r="EC250" s="399">
        <v>-185.26976828227276</v>
      </c>
      <c r="ED250" s="399">
        <v>0</v>
      </c>
      <c r="EE250" s="399">
        <v>0</v>
      </c>
      <c r="EF250" s="399">
        <v>0</v>
      </c>
      <c r="EG250" s="399">
        <v>0</v>
      </c>
      <c r="EH250" s="399">
        <v>0</v>
      </c>
      <c r="EI250" s="399">
        <v>0</v>
      </c>
      <c r="EJ250" s="399">
        <v>0</v>
      </c>
      <c r="EK250" s="399">
        <v>0</v>
      </c>
      <c r="EL250" s="399">
        <v>0</v>
      </c>
      <c r="EM250" s="399">
        <v>0</v>
      </c>
      <c r="EN250" s="399">
        <v>0</v>
      </c>
      <c r="EO250" s="399">
        <v>0</v>
      </c>
      <c r="EP250" s="399">
        <v>38.627820254411951</v>
      </c>
      <c r="EQ250" s="399">
        <v>0</v>
      </c>
      <c r="ER250" s="399">
        <v>0</v>
      </c>
      <c r="ES250" s="399">
        <v>0</v>
      </c>
      <c r="ET250" s="399">
        <v>0</v>
      </c>
      <c r="EU250" s="399">
        <v>0</v>
      </c>
      <c r="EV250" s="399">
        <v>202</v>
      </c>
      <c r="EW250" s="399">
        <v>0</v>
      </c>
      <c r="EX250" s="399">
        <v>0</v>
      </c>
      <c r="EY250" s="399">
        <v>0</v>
      </c>
      <c r="EZ250" s="399"/>
      <c r="FA250" s="399">
        <v>0</v>
      </c>
      <c r="FB250" s="399">
        <v>-12.3890448282368</v>
      </c>
      <c r="FC250" s="399"/>
      <c r="FD250" s="399">
        <v>-17.698635468909799</v>
      </c>
      <c r="FE250" s="399"/>
      <c r="FF250" s="399">
        <v>0</v>
      </c>
      <c r="FG250" s="399">
        <v>0</v>
      </c>
      <c r="FH250" s="399">
        <v>0</v>
      </c>
      <c r="FI250" s="399">
        <v>0</v>
      </c>
    </row>
    <row r="251" spans="1:165">
      <c r="A251" s="399">
        <v>232</v>
      </c>
      <c r="B251" s="399" t="s">
        <v>956</v>
      </c>
      <c r="C251" s="399" t="s">
        <v>2402</v>
      </c>
      <c r="D251" s="399" t="s">
        <v>1826</v>
      </c>
      <c r="E251" s="399" t="s">
        <v>921</v>
      </c>
      <c r="F251" s="399" t="s">
        <v>2401</v>
      </c>
      <c r="G251" s="399" t="s">
        <v>1239</v>
      </c>
      <c r="H251" s="399" t="s">
        <v>1239</v>
      </c>
      <c r="I251" s="399" t="s">
        <v>1239</v>
      </c>
      <c r="J251" s="399" t="s">
        <v>2400</v>
      </c>
      <c r="K251" s="788">
        <v>44713</v>
      </c>
      <c r="L251" s="399">
        <v>0</v>
      </c>
      <c r="M251" s="399">
        <v>0</v>
      </c>
      <c r="N251" s="399">
        <v>20.911000000000001</v>
      </c>
      <c r="O251" s="399">
        <v>19.65634</v>
      </c>
      <c r="P251" s="399">
        <v>20.911000000000001</v>
      </c>
      <c r="Q251" s="399">
        <v>19.65634</v>
      </c>
      <c r="R251" s="399"/>
      <c r="S251" s="399">
        <v>609.05999999999995</v>
      </c>
      <c r="T251" s="399">
        <v>286.42</v>
      </c>
      <c r="U251" s="399"/>
      <c r="V251" s="399">
        <v>18725.382280000002</v>
      </c>
      <c r="W251" s="399">
        <v>18725.382280000002</v>
      </c>
      <c r="X251" s="399">
        <v>14300.405570000001</v>
      </c>
      <c r="Y251" s="399">
        <v>0</v>
      </c>
      <c r="Z251" s="399">
        <v>1272.6727138888857</v>
      </c>
      <c r="AA251" s="399">
        <v>0</v>
      </c>
      <c r="AB251" s="399">
        <v>0</v>
      </c>
      <c r="AC251" s="399">
        <v>0</v>
      </c>
      <c r="AD251" s="399">
        <v>2042.0041077123824</v>
      </c>
      <c r="AE251" s="399">
        <v>7887.8800315187145</v>
      </c>
      <c r="AF251" s="399">
        <v>5989.3985723940632</v>
      </c>
      <c r="AG251" s="399">
        <v>0</v>
      </c>
      <c r="AH251" s="399">
        <v>0</v>
      </c>
      <c r="AI251" s="399">
        <v>0</v>
      </c>
      <c r="AJ251" s="399">
        <v>0</v>
      </c>
      <c r="AK251" s="399">
        <v>0</v>
      </c>
      <c r="AL251" s="399">
        <v>196.68654393348092</v>
      </c>
      <c r="AM251" s="399"/>
      <c r="AN251" s="399">
        <v>35.712591350863683</v>
      </c>
      <c r="AO251" s="399">
        <v>0</v>
      </c>
      <c r="AP251" s="399">
        <v>0</v>
      </c>
      <c r="AQ251" s="399">
        <v>0</v>
      </c>
      <c r="AR251" s="399">
        <v>0</v>
      </c>
      <c r="AS251" s="399">
        <v>0</v>
      </c>
      <c r="AT251" s="399">
        <v>0</v>
      </c>
      <c r="AU251" s="399">
        <v>0</v>
      </c>
      <c r="AV251" s="399">
        <v>0</v>
      </c>
      <c r="AW251" s="399">
        <v>0</v>
      </c>
      <c r="AX251" s="399">
        <v>0</v>
      </c>
      <c r="AY251" s="399">
        <v>0</v>
      </c>
      <c r="AZ251" s="399">
        <v>0</v>
      </c>
      <c r="BA251" s="399"/>
      <c r="BB251" s="399">
        <v>0</v>
      </c>
      <c r="BC251" s="399">
        <v>0</v>
      </c>
      <c r="BD251" s="399">
        <v>0</v>
      </c>
      <c r="BE251" s="399">
        <v>0</v>
      </c>
      <c r="BF251" s="399">
        <v>0</v>
      </c>
      <c r="BG251" s="399">
        <v>700.98520968518858</v>
      </c>
      <c r="BH251" s="399">
        <v>0</v>
      </c>
      <c r="BI251" s="399">
        <v>46.47</v>
      </c>
      <c r="BJ251" s="399">
        <v>214.59</v>
      </c>
      <c r="BK251" s="399">
        <v>3196.39</v>
      </c>
      <c r="BL251" s="399">
        <v>6</v>
      </c>
      <c r="BM251" s="399"/>
      <c r="BN251" s="399"/>
      <c r="BO251" s="399"/>
      <c r="BP251" s="399"/>
      <c r="BQ251" s="399">
        <v>858.02433420000079</v>
      </c>
      <c r="BR251" s="399"/>
      <c r="BS251" s="399"/>
      <c r="BT251" s="399"/>
      <c r="BU251" s="399"/>
      <c r="BV251" s="399">
        <v>6690.3837820792514</v>
      </c>
      <c r="BW251" s="399"/>
      <c r="BX251" s="399"/>
      <c r="BY251" s="399"/>
      <c r="BZ251" s="399"/>
      <c r="CA251" s="399"/>
      <c r="CB251" s="399"/>
      <c r="CC251" s="399"/>
      <c r="CD251" s="399"/>
      <c r="CE251" s="399"/>
      <c r="CF251" s="399"/>
      <c r="CG251" s="399"/>
      <c r="CH251" s="399"/>
      <c r="CI251" s="399">
        <v>13444.8842</v>
      </c>
      <c r="CJ251" s="399">
        <v>-4157.0051431999964</v>
      </c>
      <c r="CK251" s="399"/>
      <c r="CL251" s="399"/>
      <c r="CM251" s="399"/>
      <c r="CN251" s="399"/>
      <c r="CO251" s="399">
        <v>-3069.5256899999995</v>
      </c>
      <c r="CP251" s="399">
        <v>-1355.4510200000007</v>
      </c>
      <c r="CQ251" s="399">
        <v>30</v>
      </c>
      <c r="CR251" s="399">
        <v>-1546.7450215918761</v>
      </c>
      <c r="CS251" s="399">
        <v>0</v>
      </c>
      <c r="CT251" s="399">
        <v>0</v>
      </c>
      <c r="CU251" s="399">
        <v>0</v>
      </c>
      <c r="CV251" s="399">
        <v>0</v>
      </c>
      <c r="CW251" s="399">
        <v>0</v>
      </c>
      <c r="CX251" s="399">
        <v>0</v>
      </c>
      <c r="CY251" s="399">
        <v>0</v>
      </c>
      <c r="CZ251" s="399">
        <v>70.075265832363129</v>
      </c>
      <c r="DA251" s="399">
        <v>0</v>
      </c>
      <c r="DB251" s="399">
        <v>0</v>
      </c>
      <c r="DC251" s="399">
        <v>-1355.5925767434092</v>
      </c>
      <c r="DD251" s="399">
        <v>0</v>
      </c>
      <c r="DE251" s="399">
        <v>0</v>
      </c>
      <c r="DF251" s="399">
        <v>0</v>
      </c>
      <c r="DG251" s="399">
        <v>-158.65538670877538</v>
      </c>
      <c r="DH251" s="399">
        <v>0</v>
      </c>
      <c r="DI251" s="399">
        <v>-88.29313514600517</v>
      </c>
      <c r="DJ251" s="399"/>
      <c r="DK251" s="399">
        <v>0</v>
      </c>
      <c r="DL251" s="399">
        <v>0</v>
      </c>
      <c r="DM251" s="399">
        <v>0</v>
      </c>
      <c r="DN251" s="399">
        <v>0</v>
      </c>
      <c r="DO251" s="399">
        <v>-11.256036275711921</v>
      </c>
      <c r="DP251" s="399">
        <v>-3.0231525503370307</v>
      </c>
      <c r="DQ251" s="399">
        <v>0</v>
      </c>
      <c r="DR251" s="399">
        <v>0</v>
      </c>
      <c r="DS251" s="399"/>
      <c r="DT251" s="399"/>
      <c r="DU251" s="399"/>
      <c r="DV251" s="399">
        <v>7887.8800315187145</v>
      </c>
      <c r="DW251" s="399">
        <v>0</v>
      </c>
      <c r="DX251" s="399">
        <v>0</v>
      </c>
      <c r="DY251" s="399">
        <v>-3069.5256899999986</v>
      </c>
      <c r="DZ251" s="399">
        <v>-1355.4510200000013</v>
      </c>
      <c r="EA251" s="399">
        <v>0</v>
      </c>
      <c r="EB251" s="399">
        <v>0</v>
      </c>
      <c r="EC251" s="399">
        <v>-2878.288354049485</v>
      </c>
      <c r="ED251" s="399">
        <v>0</v>
      </c>
      <c r="EE251" s="399">
        <v>0</v>
      </c>
      <c r="EF251" s="399">
        <v>0</v>
      </c>
      <c r="EG251" s="399">
        <v>0</v>
      </c>
      <c r="EH251" s="399">
        <v>0</v>
      </c>
      <c r="EI251" s="399">
        <v>0</v>
      </c>
      <c r="EJ251" s="399">
        <v>0</v>
      </c>
      <c r="EK251" s="399">
        <v>0</v>
      </c>
      <c r="EL251" s="399">
        <v>0</v>
      </c>
      <c r="EM251" s="399">
        <v>0</v>
      </c>
      <c r="EN251" s="399">
        <v>0</v>
      </c>
      <c r="EO251" s="399">
        <v>0</v>
      </c>
      <c r="EP251" s="399">
        <v>600.10872907875807</v>
      </c>
      <c r="EQ251" s="399">
        <v>0</v>
      </c>
      <c r="ER251" s="399">
        <v>0</v>
      </c>
      <c r="ES251" s="399">
        <v>0</v>
      </c>
      <c r="ET251" s="399">
        <v>0</v>
      </c>
      <c r="EU251" s="399">
        <v>0</v>
      </c>
      <c r="EV251" s="399">
        <v>202</v>
      </c>
      <c r="EW251" s="399">
        <v>0</v>
      </c>
      <c r="EX251" s="399">
        <v>0</v>
      </c>
      <c r="EY251" s="399">
        <v>0</v>
      </c>
      <c r="EZ251" s="399"/>
      <c r="FA251" s="399">
        <v>0</v>
      </c>
      <c r="FB251" s="399">
        <v>-17.698635468909799</v>
      </c>
      <c r="FC251" s="399"/>
      <c r="FD251" s="399">
        <v>-17.698635468909799</v>
      </c>
      <c r="FE251" s="399"/>
      <c r="FF251" s="399">
        <v>0</v>
      </c>
      <c r="FG251" s="399">
        <v>0</v>
      </c>
      <c r="FH251" s="399">
        <v>0</v>
      </c>
      <c r="FI251" s="399">
        <v>0</v>
      </c>
    </row>
    <row r="252" spans="1:165">
      <c r="A252" s="399">
        <v>246</v>
      </c>
      <c r="B252" s="399" t="s">
        <v>956</v>
      </c>
      <c r="C252" s="399" t="s">
        <v>2402</v>
      </c>
      <c r="D252" s="399" t="s">
        <v>1826</v>
      </c>
      <c r="E252" s="399" t="s">
        <v>918</v>
      </c>
      <c r="F252" s="399" t="s">
        <v>1239</v>
      </c>
      <c r="G252" s="399" t="s">
        <v>1239</v>
      </c>
      <c r="H252" s="399" t="s">
        <v>1239</v>
      </c>
      <c r="I252" s="399" t="s">
        <v>1239</v>
      </c>
      <c r="J252" s="399" t="s">
        <v>2400</v>
      </c>
      <c r="K252" s="788">
        <v>44743</v>
      </c>
      <c r="L252" s="399">
        <v>0</v>
      </c>
      <c r="M252" s="399">
        <v>0</v>
      </c>
      <c r="N252" s="399">
        <v>16.61</v>
      </c>
      <c r="O252" s="399">
        <v>16.61</v>
      </c>
      <c r="P252" s="399">
        <v>16.61</v>
      </c>
      <c r="Q252" s="399">
        <v>16.61</v>
      </c>
      <c r="R252" s="399"/>
      <c r="S252" s="399">
        <v>609.05999999999995</v>
      </c>
      <c r="T252" s="399">
        <v>286.42</v>
      </c>
      <c r="U252" s="399"/>
      <c r="V252" s="399">
        <v>14873.922799999998</v>
      </c>
      <c r="W252" s="399">
        <v>14873.922799999998</v>
      </c>
      <c r="X252" s="399">
        <v>11359.080699999999</v>
      </c>
      <c r="Y252" s="399">
        <v>0</v>
      </c>
      <c r="Z252" s="399">
        <v>1010.9078369133179</v>
      </c>
      <c r="AA252" s="399">
        <v>0</v>
      </c>
      <c r="AB252" s="399">
        <v>0</v>
      </c>
      <c r="AC252" s="399">
        <v>0</v>
      </c>
      <c r="AD252" s="399">
        <v>1622.0022107552325</v>
      </c>
      <c r="AE252" s="399">
        <v>6265.4912401858273</v>
      </c>
      <c r="AF252" s="399">
        <v>4757.4917645002815</v>
      </c>
      <c r="AG252" s="399">
        <v>0</v>
      </c>
      <c r="AH252" s="399">
        <v>0</v>
      </c>
      <c r="AI252" s="399">
        <v>0</v>
      </c>
      <c r="AJ252" s="399">
        <v>0</v>
      </c>
      <c r="AK252" s="399">
        <v>0</v>
      </c>
      <c r="AL252" s="399">
        <v>156.23181553895643</v>
      </c>
      <c r="AM252" s="399"/>
      <c r="AN252" s="399">
        <v>28.367181977803344</v>
      </c>
      <c r="AO252" s="399">
        <v>0</v>
      </c>
      <c r="AP252" s="399">
        <v>0</v>
      </c>
      <c r="AQ252" s="399">
        <v>0</v>
      </c>
      <c r="AR252" s="399">
        <v>0</v>
      </c>
      <c r="AS252" s="399">
        <v>0</v>
      </c>
      <c r="AT252" s="399">
        <v>0</v>
      </c>
      <c r="AU252" s="399">
        <v>0</v>
      </c>
      <c r="AV252" s="399">
        <v>0</v>
      </c>
      <c r="AW252" s="399">
        <v>0</v>
      </c>
      <c r="AX252" s="399">
        <v>0</v>
      </c>
      <c r="AY252" s="399">
        <v>0</v>
      </c>
      <c r="AZ252" s="399">
        <v>0</v>
      </c>
      <c r="BA252" s="399"/>
      <c r="BB252" s="399">
        <v>0</v>
      </c>
      <c r="BC252" s="399">
        <v>0</v>
      </c>
      <c r="BD252" s="399">
        <v>0</v>
      </c>
      <c r="BE252" s="399">
        <v>0</v>
      </c>
      <c r="BF252" s="399">
        <v>0</v>
      </c>
      <c r="BG252" s="399">
        <v>556.80571626756159</v>
      </c>
      <c r="BH252" s="399">
        <v>0</v>
      </c>
      <c r="BI252" s="399">
        <v>48.85</v>
      </c>
      <c r="BJ252" s="399">
        <v>226.32</v>
      </c>
      <c r="BK252" s="399">
        <v>2553.63</v>
      </c>
      <c r="BL252" s="399">
        <v>44</v>
      </c>
      <c r="BM252" s="399"/>
      <c r="BN252" s="399"/>
      <c r="BO252" s="399"/>
      <c r="BP252" s="399"/>
      <c r="BQ252" s="399"/>
      <c r="BR252" s="399"/>
      <c r="BS252" s="399"/>
      <c r="BT252" s="399"/>
      <c r="BU252" s="399"/>
      <c r="BV252" s="399">
        <v>5314.2974807678429</v>
      </c>
      <c r="BW252" s="399"/>
      <c r="BX252" s="399"/>
      <c r="BY252" s="399"/>
      <c r="BZ252" s="399"/>
      <c r="CA252" s="399"/>
      <c r="CB252" s="399"/>
      <c r="CC252" s="399"/>
      <c r="CD252" s="399"/>
      <c r="CE252" s="399"/>
      <c r="CF252" s="399"/>
      <c r="CG252" s="399"/>
      <c r="CH252" s="399"/>
      <c r="CI252" s="399">
        <v>11359.080699999999</v>
      </c>
      <c r="CJ252" s="399">
        <v>-3514.8721000000005</v>
      </c>
      <c r="CK252" s="399"/>
      <c r="CL252" s="399"/>
      <c r="CM252" s="399"/>
      <c r="CN252" s="399"/>
      <c r="CO252" s="399">
        <v>-2438.1818999999991</v>
      </c>
      <c r="CP252" s="399">
        <v>-1076.6602000000003</v>
      </c>
      <c r="CQ252" s="399">
        <v>31</v>
      </c>
      <c r="CR252" s="399">
        <v>-1228.6086178872865</v>
      </c>
      <c r="CS252" s="399">
        <v>0</v>
      </c>
      <c r="CT252" s="399">
        <v>0</v>
      </c>
      <c r="CU252" s="399">
        <v>0</v>
      </c>
      <c r="CV252" s="399">
        <v>0</v>
      </c>
      <c r="CW252" s="399">
        <v>0</v>
      </c>
      <c r="CX252" s="399">
        <v>0</v>
      </c>
      <c r="CY252" s="399">
        <v>0</v>
      </c>
      <c r="CZ252" s="399">
        <v>55.662099635386085</v>
      </c>
      <c r="DA252" s="399">
        <v>0</v>
      </c>
      <c r="DB252" s="399">
        <v>0</v>
      </c>
      <c r="DC252" s="399">
        <v>-1076.7726411796675</v>
      </c>
      <c r="DD252" s="399">
        <v>0</v>
      </c>
      <c r="DE252" s="399">
        <v>0</v>
      </c>
      <c r="DF252" s="399">
        <v>0</v>
      </c>
      <c r="DG252" s="399">
        <v>-126.02295314584467</v>
      </c>
      <c r="DH252" s="399">
        <v>0</v>
      </c>
      <c r="DI252" s="399">
        <v>-70.132895355322489</v>
      </c>
      <c r="DJ252" s="399"/>
      <c r="DK252" s="399">
        <v>0</v>
      </c>
      <c r="DL252" s="399">
        <v>0</v>
      </c>
      <c r="DM252" s="399">
        <v>0</v>
      </c>
      <c r="DN252" s="399">
        <v>0</v>
      </c>
      <c r="DO252" s="399">
        <v>-8.9408809975407735</v>
      </c>
      <c r="DP252" s="399">
        <v>-2.4013468442971728</v>
      </c>
      <c r="DQ252" s="399">
        <v>0</v>
      </c>
      <c r="DR252" s="399">
        <v>0</v>
      </c>
      <c r="DS252" s="399"/>
      <c r="DT252" s="399"/>
      <c r="DU252" s="399"/>
      <c r="DV252" s="399">
        <v>6265.4912401858273</v>
      </c>
      <c r="DW252" s="399">
        <v>0</v>
      </c>
      <c r="DX252" s="399">
        <v>0</v>
      </c>
      <c r="DY252" s="399">
        <v>-2438.1818999999987</v>
      </c>
      <c r="DZ252" s="399">
        <v>-1076.6602000000003</v>
      </c>
      <c r="EA252" s="399">
        <v>0</v>
      </c>
      <c r="EB252" s="399">
        <v>0</v>
      </c>
      <c r="EC252" s="399">
        <v>-2286.2784926958029</v>
      </c>
      <c r="ED252" s="399">
        <v>0</v>
      </c>
      <c r="EE252" s="399">
        <v>0</v>
      </c>
      <c r="EF252" s="399">
        <v>0</v>
      </c>
      <c r="EG252" s="399">
        <v>0</v>
      </c>
      <c r="EH252" s="399">
        <v>0</v>
      </c>
      <c r="EI252" s="399">
        <v>0</v>
      </c>
      <c r="EJ252" s="399">
        <v>0</v>
      </c>
      <c r="EK252" s="399">
        <v>0</v>
      </c>
      <c r="EL252" s="399">
        <v>0</v>
      </c>
      <c r="EM252" s="399">
        <v>0</v>
      </c>
      <c r="EN252" s="399">
        <v>0</v>
      </c>
      <c r="EO252" s="399">
        <v>0</v>
      </c>
      <c r="EP252" s="399">
        <v>476.67763330295872</v>
      </c>
      <c r="EQ252" s="399">
        <v>0</v>
      </c>
      <c r="ER252" s="399">
        <v>0</v>
      </c>
      <c r="ES252" s="399">
        <v>0</v>
      </c>
      <c r="ET252" s="399">
        <v>0</v>
      </c>
      <c r="EU252" s="399">
        <v>0</v>
      </c>
      <c r="EV252" s="399">
        <v>202</v>
      </c>
      <c r="EW252" s="399">
        <v>0</v>
      </c>
      <c r="EX252" s="399">
        <v>0</v>
      </c>
      <c r="EY252" s="399">
        <v>0</v>
      </c>
      <c r="EZ252" s="399"/>
      <c r="FA252" s="399">
        <v>0</v>
      </c>
      <c r="FB252" s="399">
        <v>-17.698635468909799</v>
      </c>
      <c r="FC252" s="399"/>
      <c r="FD252" s="399">
        <v>-17.698635468909799</v>
      </c>
      <c r="FE252" s="399"/>
      <c r="FF252" s="399">
        <v>0</v>
      </c>
      <c r="FG252" s="399">
        <v>0</v>
      </c>
      <c r="FH252" s="399">
        <v>0</v>
      </c>
      <c r="FI252" s="399">
        <v>0</v>
      </c>
    </row>
    <row r="253" spans="1:165">
      <c r="A253" s="399">
        <v>252</v>
      </c>
      <c r="B253" s="399" t="s">
        <v>956</v>
      </c>
      <c r="C253" s="399" t="s">
        <v>2402</v>
      </c>
      <c r="D253" s="399" t="s">
        <v>1826</v>
      </c>
      <c r="E253" s="399" t="s">
        <v>2412</v>
      </c>
      <c r="F253" s="399" t="s">
        <v>1239</v>
      </c>
      <c r="G253" s="399" t="s">
        <v>1239</v>
      </c>
      <c r="H253" s="399" t="s">
        <v>1239</v>
      </c>
      <c r="I253" s="399" t="s">
        <v>1239</v>
      </c>
      <c r="J253" s="399" t="s">
        <v>2400</v>
      </c>
      <c r="K253" s="788">
        <v>44743</v>
      </c>
      <c r="L253" s="399">
        <v>0</v>
      </c>
      <c r="M253" s="399">
        <v>0</v>
      </c>
      <c r="N253" s="399">
        <v>5.9020000000000001</v>
      </c>
      <c r="O253" s="399">
        <v>5.9020000000000001</v>
      </c>
      <c r="P253" s="399">
        <v>5.9020000000000001</v>
      </c>
      <c r="Q253" s="399">
        <v>5.9020000000000001</v>
      </c>
      <c r="R253" s="399"/>
      <c r="S253" s="399">
        <v>609.05999999999995</v>
      </c>
      <c r="T253" s="399">
        <v>286.42</v>
      </c>
      <c r="U253" s="399"/>
      <c r="V253" s="399">
        <v>5285.1229599999997</v>
      </c>
      <c r="W253" s="399">
        <v>5285.1229599999997</v>
      </c>
      <c r="X253" s="399">
        <v>4036.2007400000002</v>
      </c>
      <c r="Y253" s="399">
        <v>0</v>
      </c>
      <c r="Z253" s="399">
        <v>359.20397672862146</v>
      </c>
      <c r="AA253" s="399">
        <v>0</v>
      </c>
      <c r="AB253" s="399">
        <v>0</v>
      </c>
      <c r="AC253" s="399">
        <v>0</v>
      </c>
      <c r="AD253" s="399">
        <v>576.34298903536319</v>
      </c>
      <c r="AE253" s="399">
        <v>2226.3051956397803</v>
      </c>
      <c r="AF253" s="399">
        <v>1690.4705836291789</v>
      </c>
      <c r="AG253" s="399">
        <v>0</v>
      </c>
      <c r="AH253" s="399">
        <v>0</v>
      </c>
      <c r="AI253" s="399">
        <v>0</v>
      </c>
      <c r="AJ253" s="399">
        <v>0</v>
      </c>
      <c r="AK253" s="399">
        <v>0</v>
      </c>
      <c r="AL253" s="399">
        <v>55.513556611133104</v>
      </c>
      <c r="AM253" s="399"/>
      <c r="AN253" s="399">
        <v>10.079657316857034</v>
      </c>
      <c r="AO253" s="399">
        <v>0</v>
      </c>
      <c r="AP253" s="399">
        <v>0</v>
      </c>
      <c r="AQ253" s="399">
        <v>0</v>
      </c>
      <c r="AR253" s="399">
        <v>0</v>
      </c>
      <c r="AS253" s="399">
        <v>0</v>
      </c>
      <c r="AT253" s="399">
        <v>0</v>
      </c>
      <c r="AU253" s="399">
        <v>0</v>
      </c>
      <c r="AV253" s="399">
        <v>0</v>
      </c>
      <c r="AW253" s="399">
        <v>0</v>
      </c>
      <c r="AX253" s="399">
        <v>0</v>
      </c>
      <c r="AY253" s="399">
        <v>0</v>
      </c>
      <c r="AZ253" s="399">
        <v>0</v>
      </c>
      <c r="BA253" s="399"/>
      <c r="BB253" s="399">
        <v>0</v>
      </c>
      <c r="BC253" s="399">
        <v>0</v>
      </c>
      <c r="BD253" s="399">
        <v>0</v>
      </c>
      <c r="BE253" s="399">
        <v>0</v>
      </c>
      <c r="BF253" s="399">
        <v>0</v>
      </c>
      <c r="BG253" s="399">
        <v>197.84872591277235</v>
      </c>
      <c r="BH253" s="399">
        <v>0</v>
      </c>
      <c r="BI253" s="399">
        <v>21.19</v>
      </c>
      <c r="BJ253" s="399">
        <v>97.99</v>
      </c>
      <c r="BK253" s="399">
        <v>424.13</v>
      </c>
      <c r="BL253" s="399">
        <v>10</v>
      </c>
      <c r="BM253" s="399"/>
      <c r="BN253" s="399"/>
      <c r="BO253" s="399"/>
      <c r="BP253" s="399"/>
      <c r="BQ253" s="399"/>
      <c r="BR253" s="399"/>
      <c r="BS253" s="399"/>
      <c r="BT253" s="399"/>
      <c r="BU253" s="399"/>
      <c r="BV253" s="399">
        <v>1888.3193095419513</v>
      </c>
      <c r="BW253" s="399"/>
      <c r="BX253" s="399"/>
      <c r="BY253" s="399"/>
      <c r="BZ253" s="399"/>
      <c r="CA253" s="399"/>
      <c r="CB253" s="399"/>
      <c r="CC253" s="399"/>
      <c r="CD253" s="399"/>
      <c r="CE253" s="399"/>
      <c r="CF253" s="399"/>
      <c r="CG253" s="399"/>
      <c r="CH253" s="399"/>
      <c r="CI253" s="399">
        <v>4034.8330000000001</v>
      </c>
      <c r="CJ253" s="399">
        <v>-1250.3199600000003</v>
      </c>
      <c r="CK253" s="399"/>
      <c r="CL253" s="399"/>
      <c r="CM253" s="399"/>
      <c r="CN253" s="399"/>
      <c r="CO253" s="399">
        <v>-866.35457999999983</v>
      </c>
      <c r="CP253" s="399">
        <v>-382.56764000000015</v>
      </c>
      <c r="CQ253" s="399">
        <v>31</v>
      </c>
      <c r="CR253" s="399">
        <v>-436.55918499522886</v>
      </c>
      <c r="CS253" s="399">
        <v>0</v>
      </c>
      <c r="CT253" s="399">
        <v>0</v>
      </c>
      <c r="CU253" s="399">
        <v>0</v>
      </c>
      <c r="CV253" s="399">
        <v>0</v>
      </c>
      <c r="CW253" s="399">
        <v>0</v>
      </c>
      <c r="CX253" s="399">
        <v>0</v>
      </c>
      <c r="CY253" s="399">
        <v>0</v>
      </c>
      <c r="CZ253" s="399">
        <v>19.778308973392427</v>
      </c>
      <c r="DA253" s="399">
        <v>0</v>
      </c>
      <c r="DB253" s="399">
        <v>0</v>
      </c>
      <c r="DC253" s="399">
        <v>-382.60759351248612</v>
      </c>
      <c r="DD253" s="399">
        <v>0</v>
      </c>
      <c r="DE253" s="399">
        <v>0</v>
      </c>
      <c r="DF253" s="399">
        <v>0</v>
      </c>
      <c r="DG253" s="399">
        <v>-44.779498462779969</v>
      </c>
      <c r="DH253" s="399">
        <v>0</v>
      </c>
      <c r="DI253" s="399">
        <v>-24.920189547688949</v>
      </c>
      <c r="DJ253" s="399"/>
      <c r="DK253" s="399">
        <v>0</v>
      </c>
      <c r="DL253" s="399">
        <v>0</v>
      </c>
      <c r="DM253" s="399">
        <v>0</v>
      </c>
      <c r="DN253" s="399">
        <v>0</v>
      </c>
      <c r="DO253" s="399">
        <v>-3.1769463965975717</v>
      </c>
      <c r="DP253" s="399">
        <v>-0.85326604906934911</v>
      </c>
      <c r="DQ253" s="399">
        <v>0</v>
      </c>
      <c r="DR253" s="399">
        <v>0</v>
      </c>
      <c r="DS253" s="399"/>
      <c r="DT253" s="399"/>
      <c r="DU253" s="399"/>
      <c r="DV253" s="399">
        <v>2226.3051956397803</v>
      </c>
      <c r="DW253" s="399">
        <v>0</v>
      </c>
      <c r="DX253" s="399">
        <v>0</v>
      </c>
      <c r="DY253" s="399">
        <v>-866.35457999999971</v>
      </c>
      <c r="DZ253" s="399">
        <v>-382.56764000000021</v>
      </c>
      <c r="EA253" s="399">
        <v>0</v>
      </c>
      <c r="EB253" s="399">
        <v>0</v>
      </c>
      <c r="EC253" s="399">
        <v>-812.37902853044102</v>
      </c>
      <c r="ED253" s="399">
        <v>0</v>
      </c>
      <c r="EE253" s="399">
        <v>0</v>
      </c>
      <c r="EF253" s="399">
        <v>0</v>
      </c>
      <c r="EG253" s="399">
        <v>0</v>
      </c>
      <c r="EH253" s="399">
        <v>0</v>
      </c>
      <c r="EI253" s="399">
        <v>0</v>
      </c>
      <c r="EJ253" s="399">
        <v>0</v>
      </c>
      <c r="EK253" s="399">
        <v>0</v>
      </c>
      <c r="EL253" s="399">
        <v>0</v>
      </c>
      <c r="EM253" s="399">
        <v>0</v>
      </c>
      <c r="EN253" s="399">
        <v>0</v>
      </c>
      <c r="EO253" s="399">
        <v>0</v>
      </c>
      <c r="EP253" s="399">
        <v>169.37696518687915</v>
      </c>
      <c r="EQ253" s="399">
        <v>0</v>
      </c>
      <c r="ER253" s="399">
        <v>0</v>
      </c>
      <c r="ES253" s="399">
        <v>0</v>
      </c>
      <c r="ET253" s="399">
        <v>0</v>
      </c>
      <c r="EU253" s="399">
        <v>0</v>
      </c>
      <c r="EV253" s="399">
        <v>202</v>
      </c>
      <c r="EW253" s="399">
        <v>0</v>
      </c>
      <c r="EX253" s="399">
        <v>0</v>
      </c>
      <c r="EY253" s="399">
        <v>0</v>
      </c>
      <c r="EZ253" s="399"/>
      <c r="FA253" s="399">
        <v>0</v>
      </c>
      <c r="FB253" s="399">
        <v>-17.698635468909799</v>
      </c>
      <c r="FC253" s="399"/>
      <c r="FD253" s="399">
        <v>-17.698635468909799</v>
      </c>
      <c r="FE253" s="399"/>
      <c r="FF253" s="399">
        <v>0</v>
      </c>
      <c r="FG253" s="399">
        <v>0</v>
      </c>
      <c r="FH253" s="399">
        <v>0</v>
      </c>
      <c r="FI253" s="399">
        <v>0</v>
      </c>
    </row>
    <row r="254" spans="1:165">
      <c r="A254" s="399">
        <v>231</v>
      </c>
      <c r="B254" s="399" t="s">
        <v>956</v>
      </c>
      <c r="C254" s="399" t="s">
        <v>2402</v>
      </c>
      <c r="D254" s="399" t="s">
        <v>2413</v>
      </c>
      <c r="E254" s="399" t="s">
        <v>2414</v>
      </c>
      <c r="F254" s="399" t="s">
        <v>2415</v>
      </c>
      <c r="G254" s="399" t="s">
        <v>1239</v>
      </c>
      <c r="H254" s="399" t="s">
        <v>1239</v>
      </c>
      <c r="I254" s="399" t="s">
        <v>1239</v>
      </c>
      <c r="J254" s="399" t="s">
        <v>2400</v>
      </c>
      <c r="K254" s="788">
        <v>44713</v>
      </c>
      <c r="L254" s="399">
        <v>0</v>
      </c>
      <c r="M254" s="399">
        <v>0</v>
      </c>
      <c r="N254" s="399">
        <v>45.448</v>
      </c>
      <c r="O254" s="399">
        <v>45.448</v>
      </c>
      <c r="P254" s="399">
        <v>45.448</v>
      </c>
      <c r="Q254" s="399">
        <v>45.448</v>
      </c>
      <c r="R254" s="399"/>
      <c r="S254" s="399">
        <v>334.98</v>
      </c>
      <c r="T254" s="399">
        <v>157.53</v>
      </c>
      <c r="U254" s="399"/>
      <c r="V254" s="399">
        <v>22383.59448</v>
      </c>
      <c r="W254" s="399">
        <v>22383.59448</v>
      </c>
      <c r="X254" s="399">
        <v>17094.356240000001</v>
      </c>
      <c r="Y254" s="399">
        <v>0</v>
      </c>
      <c r="Z254" s="399">
        <v>1521.3158732462396</v>
      </c>
      <c r="AA254" s="399">
        <v>0</v>
      </c>
      <c r="AB254" s="399">
        <v>0</v>
      </c>
      <c r="AC254" s="399">
        <v>0</v>
      </c>
      <c r="AD254" s="399">
        <v>2440.9522011391978</v>
      </c>
      <c r="AE254" s="399">
        <v>9428.9419166876178</v>
      </c>
      <c r="AF254" s="399">
        <v>7159.5525070532585</v>
      </c>
      <c r="AG254" s="399">
        <v>0</v>
      </c>
      <c r="AH254" s="399">
        <v>0</v>
      </c>
      <c r="AI254" s="399">
        <v>0</v>
      </c>
      <c r="AJ254" s="399">
        <v>0</v>
      </c>
      <c r="AK254" s="399">
        <v>0</v>
      </c>
      <c r="AL254" s="399">
        <v>235.11336266935413</v>
      </c>
      <c r="AM254" s="399"/>
      <c r="AN254" s="399">
        <v>42.689790944609484</v>
      </c>
      <c r="AO254" s="399">
        <v>0</v>
      </c>
      <c r="AP254" s="399">
        <v>0</v>
      </c>
      <c r="AQ254" s="399">
        <v>0</v>
      </c>
      <c r="AR254" s="399">
        <v>0</v>
      </c>
      <c r="AS254" s="399">
        <v>0</v>
      </c>
      <c r="AT254" s="399">
        <v>0</v>
      </c>
      <c r="AU254" s="399">
        <v>0</v>
      </c>
      <c r="AV254" s="399">
        <v>0</v>
      </c>
      <c r="AW254" s="399">
        <v>0</v>
      </c>
      <c r="AX254" s="399">
        <v>0</v>
      </c>
      <c r="AY254" s="399">
        <v>0</v>
      </c>
      <c r="AZ254" s="399">
        <v>0</v>
      </c>
      <c r="BA254" s="399"/>
      <c r="BB254" s="399">
        <v>0</v>
      </c>
      <c r="BC254" s="399">
        <v>0</v>
      </c>
      <c r="BD254" s="399">
        <v>0</v>
      </c>
      <c r="BE254" s="399">
        <v>0</v>
      </c>
      <c r="BF254" s="399">
        <v>0</v>
      </c>
      <c r="BG254" s="399">
        <v>837.93729115656242</v>
      </c>
      <c r="BH254" s="399">
        <v>0</v>
      </c>
      <c r="BI254" s="399">
        <v>55.56</v>
      </c>
      <c r="BJ254" s="399">
        <v>256.54000000000002</v>
      </c>
      <c r="BK254" s="399">
        <v>3820.91</v>
      </c>
      <c r="BL254" s="399">
        <v>3</v>
      </c>
      <c r="BM254" s="399"/>
      <c r="BN254" s="399"/>
      <c r="BO254" s="399"/>
      <c r="BP254" s="399"/>
      <c r="BQ254" s="399"/>
      <c r="BR254" s="399"/>
      <c r="BS254" s="399"/>
      <c r="BT254" s="399"/>
      <c r="BU254" s="399"/>
      <c r="BV254" s="399">
        <v>7997.4897982098209</v>
      </c>
      <c r="BW254" s="399"/>
      <c r="BX254" s="399"/>
      <c r="BY254" s="399"/>
      <c r="BZ254" s="399"/>
      <c r="CA254" s="399"/>
      <c r="CB254" s="399"/>
      <c r="CC254" s="399"/>
      <c r="CD254" s="399"/>
      <c r="CE254" s="399"/>
      <c r="CF254" s="399"/>
      <c r="CG254" s="399"/>
      <c r="CH254" s="399"/>
      <c r="CI254" s="399">
        <v>17095.108500000002</v>
      </c>
      <c r="CJ254" s="399">
        <v>-5288.5159800000001</v>
      </c>
      <c r="CK254" s="399"/>
      <c r="CL254" s="399"/>
      <c r="CM254" s="399"/>
      <c r="CN254" s="399"/>
      <c r="CO254" s="399">
        <v>-3669.0170400000006</v>
      </c>
      <c r="CP254" s="399">
        <v>-1620.2212000000002</v>
      </c>
      <c r="CQ254" s="399">
        <v>30</v>
      </c>
      <c r="CR254" s="399">
        <v>-1848.9339227066921</v>
      </c>
      <c r="CS254" s="399">
        <v>0</v>
      </c>
      <c r="CT254" s="399">
        <v>0</v>
      </c>
      <c r="CU254" s="399">
        <v>0</v>
      </c>
      <c r="CV254" s="399">
        <v>0</v>
      </c>
      <c r="CW254" s="399">
        <v>0</v>
      </c>
      <c r="CX254" s="399">
        <v>0</v>
      </c>
      <c r="CY254" s="399">
        <v>0</v>
      </c>
      <c r="CZ254" s="399">
        <v>83.765930603599827</v>
      </c>
      <c r="DA254" s="399">
        <v>0</v>
      </c>
      <c r="DB254" s="399">
        <v>0</v>
      </c>
      <c r="DC254" s="399">
        <v>-1620.4358608057555</v>
      </c>
      <c r="DD254" s="399">
        <v>0</v>
      </c>
      <c r="DE254" s="399">
        <v>0</v>
      </c>
      <c r="DF254" s="399">
        <v>0</v>
      </c>
      <c r="DG254" s="399">
        <v>-189.65202564809317</v>
      </c>
      <c r="DH254" s="399">
        <v>0</v>
      </c>
      <c r="DI254" s="399">
        <v>-105.543040665852</v>
      </c>
      <c r="DJ254" s="399"/>
      <c r="DK254" s="399">
        <v>0</v>
      </c>
      <c r="DL254" s="399">
        <v>0</v>
      </c>
      <c r="DM254" s="399">
        <v>0</v>
      </c>
      <c r="DN254" s="399">
        <v>0</v>
      </c>
      <c r="DO254" s="399">
        <v>-13.455137734312615</v>
      </c>
      <c r="DP254" s="399">
        <v>-3.6137884562786269</v>
      </c>
      <c r="DQ254" s="399">
        <v>0</v>
      </c>
      <c r="DR254" s="399">
        <v>0</v>
      </c>
      <c r="DS254" s="399"/>
      <c r="DT254" s="399"/>
      <c r="DU254" s="399"/>
      <c r="DV254" s="399">
        <v>9428.9419166876178</v>
      </c>
      <c r="DW254" s="399">
        <v>0</v>
      </c>
      <c r="DX254" s="399">
        <v>0</v>
      </c>
      <c r="DY254" s="399">
        <v>-3669.0170400000006</v>
      </c>
      <c r="DZ254" s="399">
        <v>-1620.2212000000009</v>
      </c>
      <c r="EA254" s="399">
        <v>0</v>
      </c>
      <c r="EB254" s="399">
        <v>0</v>
      </c>
      <c r="EC254" s="399">
        <v>-3440.6220177496589</v>
      </c>
      <c r="ED254" s="399">
        <v>0</v>
      </c>
      <c r="EE254" s="399">
        <v>0</v>
      </c>
      <c r="EF254" s="399">
        <v>0</v>
      </c>
      <c r="EG254" s="399">
        <v>0</v>
      </c>
      <c r="EH254" s="399">
        <v>0</v>
      </c>
      <c r="EI254" s="399">
        <v>0</v>
      </c>
      <c r="EJ254" s="399">
        <v>0</v>
      </c>
      <c r="EK254" s="399">
        <v>0</v>
      </c>
      <c r="EL254" s="399">
        <v>0</v>
      </c>
      <c r="EM254" s="399">
        <v>0</v>
      </c>
      <c r="EN254" s="399">
        <v>0</v>
      </c>
      <c r="EO254" s="399">
        <v>0</v>
      </c>
      <c r="EP254" s="399">
        <v>717.35248603817433</v>
      </c>
      <c r="EQ254" s="399">
        <v>0</v>
      </c>
      <c r="ER254" s="399">
        <v>0</v>
      </c>
      <c r="ES254" s="399">
        <v>0</v>
      </c>
      <c r="ET254" s="399">
        <v>0</v>
      </c>
      <c r="EU254" s="399">
        <v>0</v>
      </c>
      <c r="EV254" s="399">
        <v>202</v>
      </c>
      <c r="EW254" s="399">
        <v>0</v>
      </c>
      <c r="EX254" s="399">
        <v>0</v>
      </c>
      <c r="EY254" s="399">
        <v>0</v>
      </c>
      <c r="EZ254" s="399"/>
      <c r="FA254" s="399">
        <v>0</v>
      </c>
      <c r="FB254" s="399">
        <v>-9.7342495079003708</v>
      </c>
      <c r="FC254" s="399"/>
      <c r="FD254" s="399">
        <v>-9.7342495079003708</v>
      </c>
      <c r="FE254" s="399"/>
      <c r="FF254" s="399">
        <v>0</v>
      </c>
      <c r="FG254" s="399">
        <v>0</v>
      </c>
      <c r="FH254" s="399">
        <v>0</v>
      </c>
      <c r="FI254" s="399">
        <v>0</v>
      </c>
    </row>
    <row r="255" spans="1:165">
      <c r="A255" s="399">
        <v>253</v>
      </c>
      <c r="B255" s="399" t="s">
        <v>956</v>
      </c>
      <c r="C255" s="399" t="s">
        <v>2402</v>
      </c>
      <c r="D255" s="399" t="s">
        <v>2413</v>
      </c>
      <c r="E255" s="399" t="s">
        <v>2414</v>
      </c>
      <c r="F255" s="399" t="s">
        <v>2415</v>
      </c>
      <c r="G255" s="399" t="s">
        <v>1239</v>
      </c>
      <c r="H255" s="399" t="s">
        <v>1239</v>
      </c>
      <c r="I255" s="399" t="s">
        <v>1239</v>
      </c>
      <c r="J255" s="399" t="s">
        <v>2400</v>
      </c>
      <c r="K255" s="788">
        <v>44743</v>
      </c>
      <c r="L255" s="399">
        <v>0</v>
      </c>
      <c r="M255" s="399">
        <v>0</v>
      </c>
      <c r="N255" s="399">
        <v>46.963999999999999</v>
      </c>
      <c r="O255" s="399">
        <v>46.963999999999999</v>
      </c>
      <c r="P255" s="399">
        <v>46.963999999999999</v>
      </c>
      <c r="Q255" s="399">
        <v>46.963999999999999</v>
      </c>
      <c r="R255" s="399"/>
      <c r="S255" s="399">
        <v>334.98</v>
      </c>
      <c r="T255" s="399">
        <v>157.53</v>
      </c>
      <c r="U255" s="399"/>
      <c r="V255" s="399">
        <v>23130.23964</v>
      </c>
      <c r="W255" s="399">
        <v>23130.23964</v>
      </c>
      <c r="X255" s="399">
        <v>17664.569319999999</v>
      </c>
      <c r="Y255" s="399">
        <v>0</v>
      </c>
      <c r="Z255" s="399">
        <v>1572.0621077085107</v>
      </c>
      <c r="AA255" s="399">
        <v>0</v>
      </c>
      <c r="AB255" s="399">
        <v>0</v>
      </c>
      <c r="AC255" s="399">
        <v>0</v>
      </c>
      <c r="AD255" s="399">
        <v>2522.3745637718112</v>
      </c>
      <c r="AE255" s="399">
        <v>9743.4612782810527</v>
      </c>
      <c r="AF255" s="399">
        <v>7398.3722923175765</v>
      </c>
      <c r="AG255" s="399">
        <v>0</v>
      </c>
      <c r="AH255" s="399">
        <v>0</v>
      </c>
      <c r="AI255" s="399">
        <v>0</v>
      </c>
      <c r="AJ255" s="399">
        <v>0</v>
      </c>
      <c r="AK255" s="399">
        <v>0</v>
      </c>
      <c r="AL255" s="399">
        <v>242.95599287985272</v>
      </c>
      <c r="AM255" s="399"/>
      <c r="AN255" s="399">
        <v>44.113785907468746</v>
      </c>
      <c r="AO255" s="399">
        <v>0</v>
      </c>
      <c r="AP255" s="399">
        <v>0</v>
      </c>
      <c r="AQ255" s="399">
        <v>0</v>
      </c>
      <c r="AR255" s="399">
        <v>0</v>
      </c>
      <c r="AS255" s="399">
        <v>0</v>
      </c>
      <c r="AT255" s="399">
        <v>0</v>
      </c>
      <c r="AU255" s="399">
        <v>0</v>
      </c>
      <c r="AV255" s="399">
        <v>0</v>
      </c>
      <c r="AW255" s="399">
        <v>0</v>
      </c>
      <c r="AX255" s="399">
        <v>0</v>
      </c>
      <c r="AY255" s="399">
        <v>0</v>
      </c>
      <c r="AZ255" s="399">
        <v>0</v>
      </c>
      <c r="BA255" s="399"/>
      <c r="BB255" s="399">
        <v>0</v>
      </c>
      <c r="BC255" s="399">
        <v>0</v>
      </c>
      <c r="BD255" s="399">
        <v>0</v>
      </c>
      <c r="BE255" s="399">
        <v>0</v>
      </c>
      <c r="BF255" s="399">
        <v>0</v>
      </c>
      <c r="BG255" s="399">
        <v>865.88820062217917</v>
      </c>
      <c r="BH255" s="399">
        <v>0</v>
      </c>
      <c r="BI255" s="399">
        <v>62.2</v>
      </c>
      <c r="BJ255" s="399">
        <v>287.2</v>
      </c>
      <c r="BK255" s="399">
        <v>3954.27</v>
      </c>
      <c r="BL255" s="399">
        <v>3</v>
      </c>
      <c r="BM255" s="399"/>
      <c r="BN255" s="399"/>
      <c r="BO255" s="399"/>
      <c r="BP255" s="399"/>
      <c r="BQ255" s="399"/>
      <c r="BR255" s="399"/>
      <c r="BS255" s="399"/>
      <c r="BT255" s="399"/>
      <c r="BU255" s="399"/>
      <c r="BV255" s="399">
        <v>8264.2604929397548</v>
      </c>
      <c r="BW255" s="399"/>
      <c r="BX255" s="399"/>
      <c r="BY255" s="399"/>
      <c r="BZ255" s="399"/>
      <c r="CA255" s="399"/>
      <c r="CB255" s="399"/>
      <c r="CC255" s="399"/>
      <c r="CD255" s="399"/>
      <c r="CE255" s="399"/>
      <c r="CF255" s="399"/>
      <c r="CG255" s="399"/>
      <c r="CH255" s="399"/>
      <c r="CI255" s="399">
        <v>17663.0648</v>
      </c>
      <c r="CJ255" s="399">
        <v>-5467.2048399999985</v>
      </c>
      <c r="CK255" s="399"/>
      <c r="CL255" s="399"/>
      <c r="CM255" s="399"/>
      <c r="CN255" s="399"/>
      <c r="CO255" s="399">
        <v>-3791.4037200000007</v>
      </c>
      <c r="CP255" s="399">
        <v>-1674.2666000000002</v>
      </c>
      <c r="CQ255" s="399">
        <v>31</v>
      </c>
      <c r="CR255" s="399">
        <v>-1910.6084480284517</v>
      </c>
      <c r="CS255" s="399">
        <v>0</v>
      </c>
      <c r="CT255" s="399">
        <v>0</v>
      </c>
      <c r="CU255" s="399">
        <v>0</v>
      </c>
      <c r="CV255" s="399">
        <v>0</v>
      </c>
      <c r="CW255" s="399">
        <v>0</v>
      </c>
      <c r="CX255" s="399">
        <v>0</v>
      </c>
      <c r="CY255" s="399">
        <v>0</v>
      </c>
      <c r="CZ255" s="399">
        <v>86.560094280660905</v>
      </c>
      <c r="DA255" s="399">
        <v>0</v>
      </c>
      <c r="DB255" s="399">
        <v>0</v>
      </c>
      <c r="DC255" s="399">
        <v>-1674.4884212040461</v>
      </c>
      <c r="DD255" s="399">
        <v>0</v>
      </c>
      <c r="DE255" s="399">
        <v>0</v>
      </c>
      <c r="DF255" s="399">
        <v>0</v>
      </c>
      <c r="DG255" s="399">
        <v>-195.97821097819588</v>
      </c>
      <c r="DH255" s="399">
        <v>0</v>
      </c>
      <c r="DI255" s="399">
        <v>-109.06361912143711</v>
      </c>
      <c r="DJ255" s="399"/>
      <c r="DK255" s="399">
        <v>0</v>
      </c>
      <c r="DL255" s="399">
        <v>0</v>
      </c>
      <c r="DM255" s="399">
        <v>0</v>
      </c>
      <c r="DN255" s="399">
        <v>0</v>
      </c>
      <c r="DO255" s="399">
        <v>-13.903958118162649</v>
      </c>
      <c r="DP255" s="399">
        <v>-3.7343328872704902</v>
      </c>
      <c r="DQ255" s="399">
        <v>0</v>
      </c>
      <c r="DR255" s="399">
        <v>0</v>
      </c>
      <c r="DS255" s="399"/>
      <c r="DT255" s="399"/>
      <c r="DU255" s="399"/>
      <c r="DV255" s="399">
        <v>9743.4612782810527</v>
      </c>
      <c r="DW255" s="399">
        <v>0</v>
      </c>
      <c r="DX255" s="399">
        <v>0</v>
      </c>
      <c r="DY255" s="399">
        <v>-3791.4037200000002</v>
      </c>
      <c r="DZ255" s="399">
        <v>-1674.2665999999999</v>
      </c>
      <c r="EA255" s="399">
        <v>0</v>
      </c>
      <c r="EB255" s="399">
        <v>0</v>
      </c>
      <c r="EC255" s="399">
        <v>-3555.3901698995551</v>
      </c>
      <c r="ED255" s="399">
        <v>0</v>
      </c>
      <c r="EE255" s="399">
        <v>0</v>
      </c>
      <c r="EF255" s="399">
        <v>0</v>
      </c>
      <c r="EG255" s="399">
        <v>0</v>
      </c>
      <c r="EH255" s="399">
        <v>0</v>
      </c>
      <c r="EI255" s="399">
        <v>0</v>
      </c>
      <c r="EJ255" s="399">
        <v>0</v>
      </c>
      <c r="EK255" s="399">
        <v>0</v>
      </c>
      <c r="EL255" s="399">
        <v>0</v>
      </c>
      <c r="EM255" s="399">
        <v>0</v>
      </c>
      <c r="EN255" s="399">
        <v>0</v>
      </c>
      <c r="EO255" s="399">
        <v>0</v>
      </c>
      <c r="EP255" s="399">
        <v>741.28107186887905</v>
      </c>
      <c r="EQ255" s="399">
        <v>0</v>
      </c>
      <c r="ER255" s="399">
        <v>0</v>
      </c>
      <c r="ES255" s="399">
        <v>0</v>
      </c>
      <c r="ET255" s="399">
        <v>0</v>
      </c>
      <c r="EU255" s="399">
        <v>0</v>
      </c>
      <c r="EV255" s="399">
        <v>202</v>
      </c>
      <c r="EW255" s="399">
        <v>0</v>
      </c>
      <c r="EX255" s="399">
        <v>0</v>
      </c>
      <c r="EY255" s="399">
        <v>0</v>
      </c>
      <c r="EZ255" s="399"/>
      <c r="FA255" s="399">
        <v>0</v>
      </c>
      <c r="FB255" s="399">
        <v>-9.7342495079003708</v>
      </c>
      <c r="FC255" s="399"/>
      <c r="FD255" s="399">
        <v>-9.7342495079003708</v>
      </c>
      <c r="FE255" s="399"/>
      <c r="FF255" s="399">
        <v>0</v>
      </c>
      <c r="FG255" s="399">
        <v>0</v>
      </c>
      <c r="FH255" s="399">
        <v>0</v>
      </c>
      <c r="FI255" s="399">
        <v>0</v>
      </c>
    </row>
    <row r="256" spans="1:165">
      <c r="A256" s="399">
        <v>255</v>
      </c>
      <c r="B256" s="399" t="s">
        <v>956</v>
      </c>
      <c r="C256" s="399" t="s">
        <v>2399</v>
      </c>
      <c r="D256" s="399" t="s">
        <v>533</v>
      </c>
      <c r="E256" s="399" t="s">
        <v>921</v>
      </c>
      <c r="F256" s="399" t="s">
        <v>2401</v>
      </c>
      <c r="G256" s="399" t="s">
        <v>1239</v>
      </c>
      <c r="H256" s="399" t="s">
        <v>1239</v>
      </c>
      <c r="I256" s="399" t="s">
        <v>893</v>
      </c>
      <c r="J256" s="399" t="s">
        <v>2400</v>
      </c>
      <c r="K256" s="788">
        <v>44743</v>
      </c>
      <c r="L256" s="399">
        <v>0</v>
      </c>
      <c r="M256" s="399">
        <v>0</v>
      </c>
      <c r="N256" s="399">
        <v>20.106999999999999</v>
      </c>
      <c r="O256" s="399">
        <v>18.900580000000001</v>
      </c>
      <c r="P256" s="399">
        <v>20.106999999999999</v>
      </c>
      <c r="Q256" s="399">
        <v>18.900580000000001</v>
      </c>
      <c r="R256" s="399"/>
      <c r="S256" s="399">
        <v>3305.85</v>
      </c>
      <c r="T256" s="399">
        <v>286.42</v>
      </c>
      <c r="U256" s="399"/>
      <c r="V256" s="399">
        <v>72229.772889999993</v>
      </c>
      <c r="W256" s="399">
        <v>72229.772889999993</v>
      </c>
      <c r="X256" s="399">
        <v>52501.387699999999</v>
      </c>
      <c r="Y256" s="399">
        <v>0</v>
      </c>
      <c r="Z256" s="399">
        <v>1064.6539297308846</v>
      </c>
      <c r="AA256" s="399">
        <v>0</v>
      </c>
      <c r="AB256" s="399">
        <v>0</v>
      </c>
      <c r="AC256" s="399">
        <v>0</v>
      </c>
      <c r="AD256" s="399">
        <v>13109.463822325173</v>
      </c>
      <c r="AE256" s="399">
        <v>51340.985872580641</v>
      </c>
      <c r="AF256" s="399">
        <v>5759.1142028180111</v>
      </c>
      <c r="AG256" s="399">
        <v>0</v>
      </c>
      <c r="AH256" s="399">
        <v>0</v>
      </c>
      <c r="AI256" s="399">
        <v>0</v>
      </c>
      <c r="AJ256" s="399">
        <v>0</v>
      </c>
      <c r="AK256" s="399">
        <v>0</v>
      </c>
      <c r="AL256" s="399">
        <v>189.12420921383486</v>
      </c>
      <c r="AM256" s="399"/>
      <c r="AN256" s="399">
        <v>27.548347900701597</v>
      </c>
      <c r="AO256" s="399">
        <v>0</v>
      </c>
      <c r="AP256" s="399">
        <v>0</v>
      </c>
      <c r="AQ256" s="399">
        <v>0</v>
      </c>
      <c r="AR256" s="399">
        <v>0</v>
      </c>
      <c r="AS256" s="399">
        <v>0</v>
      </c>
      <c r="AT256" s="399">
        <v>0</v>
      </c>
      <c r="AU256" s="399">
        <v>0</v>
      </c>
      <c r="AV256" s="399">
        <v>0</v>
      </c>
      <c r="AW256" s="399">
        <v>0</v>
      </c>
      <c r="AX256" s="399">
        <v>0</v>
      </c>
      <c r="AY256" s="399">
        <v>0</v>
      </c>
      <c r="AZ256" s="399">
        <v>0</v>
      </c>
      <c r="BA256" s="399"/>
      <c r="BB256" s="399">
        <v>0</v>
      </c>
      <c r="BC256" s="399">
        <v>0</v>
      </c>
      <c r="BD256" s="399">
        <v>0</v>
      </c>
      <c r="BE256" s="399">
        <v>0</v>
      </c>
      <c r="BF256" s="399">
        <v>0</v>
      </c>
      <c r="BG256" s="399">
        <v>237.00715161405387</v>
      </c>
      <c r="BH256" s="399">
        <v>0</v>
      </c>
      <c r="BI256" s="399">
        <v>0</v>
      </c>
      <c r="BJ256" s="399">
        <v>0</v>
      </c>
      <c r="BK256" s="399">
        <v>0</v>
      </c>
      <c r="BL256" s="399">
        <v>0</v>
      </c>
      <c r="BM256" s="399"/>
      <c r="BN256" s="399"/>
      <c r="BO256" s="399"/>
      <c r="BP256" s="399"/>
      <c r="BQ256" s="399">
        <v>3150.0832619999946</v>
      </c>
      <c r="BR256" s="399"/>
      <c r="BS256" s="399"/>
      <c r="BT256" s="399"/>
      <c r="BU256" s="399"/>
      <c r="BV256" s="399">
        <v>5996.1213544320653</v>
      </c>
      <c r="BW256" s="399"/>
      <c r="BX256" s="399"/>
      <c r="BY256" s="399"/>
      <c r="BZ256" s="399"/>
      <c r="CA256" s="399"/>
      <c r="CB256" s="399"/>
      <c r="CC256" s="399"/>
      <c r="CD256" s="399"/>
      <c r="CE256" s="399"/>
      <c r="CF256" s="399"/>
      <c r="CG256" s="399"/>
      <c r="CH256" s="399"/>
      <c r="CI256" s="399">
        <v>49349.789999999994</v>
      </c>
      <c r="CJ256" s="399">
        <v>-18546.226516600014</v>
      </c>
      <c r="CK256" s="399"/>
      <c r="CL256" s="399"/>
      <c r="CM256" s="399"/>
      <c r="CN256" s="399"/>
      <c r="CO256" s="399">
        <v>-18425.049449999999</v>
      </c>
      <c r="CP256" s="399">
        <v>-1303.3357400000004</v>
      </c>
      <c r="CQ256" s="399">
        <v>31</v>
      </c>
      <c r="CR256" s="399">
        <v>-994.25478151852076</v>
      </c>
      <c r="CS256" s="399">
        <v>0</v>
      </c>
      <c r="CT256" s="399">
        <v>0</v>
      </c>
      <c r="CU256" s="399">
        <v>0</v>
      </c>
      <c r="CV256" s="399">
        <v>0</v>
      </c>
      <c r="CW256" s="399">
        <v>0</v>
      </c>
      <c r="CX256" s="399">
        <v>0</v>
      </c>
      <c r="CY256" s="399">
        <v>0</v>
      </c>
      <c r="CZ256" s="399">
        <v>449.87625578198276</v>
      </c>
      <c r="DA256" s="399">
        <v>0</v>
      </c>
      <c r="DB256" s="399">
        <v>0</v>
      </c>
      <c r="DC256" s="399">
        <v>-1303.4718540758322</v>
      </c>
      <c r="DD256" s="399">
        <v>0</v>
      </c>
      <c r="DE256" s="399">
        <v>0</v>
      </c>
      <c r="DF256" s="399">
        <v>0</v>
      </c>
      <c r="DG256" s="399">
        <v>-53.642303393192094</v>
      </c>
      <c r="DH256" s="399">
        <v>0</v>
      </c>
      <c r="DI256" s="399">
        <v>-73.861592438967364</v>
      </c>
      <c r="DJ256" s="399"/>
      <c r="DK256" s="399">
        <v>0</v>
      </c>
      <c r="DL256" s="399">
        <v>0</v>
      </c>
      <c r="DM256" s="399">
        <v>0</v>
      </c>
      <c r="DN256" s="399">
        <v>0</v>
      </c>
      <c r="DO256" s="399">
        <v>-10.823256725921283</v>
      </c>
      <c r="DP256" s="399">
        <v>-2.332030666589084</v>
      </c>
      <c r="DQ256" s="399">
        <v>0</v>
      </c>
      <c r="DR256" s="399">
        <v>0</v>
      </c>
      <c r="DS256" s="399"/>
      <c r="DT256" s="399"/>
      <c r="DU256" s="399"/>
      <c r="DV256" s="399">
        <v>51340.985872580641</v>
      </c>
      <c r="DW256" s="399">
        <v>0</v>
      </c>
      <c r="DX256" s="399">
        <v>0</v>
      </c>
      <c r="DY256" s="399">
        <v>-18425.049449999991</v>
      </c>
      <c r="DZ256" s="399">
        <v>-1303.3357400000004</v>
      </c>
      <c r="EA256" s="399">
        <v>0</v>
      </c>
      <c r="EB256" s="399">
        <v>0</v>
      </c>
      <c r="EC256" s="399">
        <v>-18734.331801699173</v>
      </c>
      <c r="ED256" s="399">
        <v>0</v>
      </c>
      <c r="EE256" s="399">
        <v>0</v>
      </c>
      <c r="EF256" s="399">
        <v>0</v>
      </c>
      <c r="EG256" s="399">
        <v>0</v>
      </c>
      <c r="EH256" s="399">
        <v>0</v>
      </c>
      <c r="EI256" s="399">
        <v>0</v>
      </c>
      <c r="EJ256" s="399">
        <v>0</v>
      </c>
      <c r="EK256" s="399">
        <v>0</v>
      </c>
      <c r="EL256" s="399">
        <v>0</v>
      </c>
      <c r="EM256" s="399">
        <v>0</v>
      </c>
      <c r="EN256" s="399">
        <v>0</v>
      </c>
      <c r="EO256" s="399">
        <v>0</v>
      </c>
      <c r="EP256" s="399">
        <v>502.02075498829964</v>
      </c>
      <c r="EQ256" s="399">
        <v>0</v>
      </c>
      <c r="ER256" s="399">
        <v>0</v>
      </c>
      <c r="ES256" s="399">
        <v>0</v>
      </c>
      <c r="ET256" s="399">
        <v>0</v>
      </c>
      <c r="EU256" s="399">
        <v>0</v>
      </c>
      <c r="EV256" s="399">
        <v>202</v>
      </c>
      <c r="EW256" s="399">
        <v>0</v>
      </c>
      <c r="EX256" s="399">
        <v>0</v>
      </c>
      <c r="EY256" s="399">
        <v>0</v>
      </c>
      <c r="EZ256" s="399"/>
      <c r="FA256" s="399">
        <v>0</v>
      </c>
      <c r="FB256" s="399">
        <v>-17.698635468909799</v>
      </c>
      <c r="FC256" s="399"/>
      <c r="FD256" s="399">
        <v>-17.698635468909799</v>
      </c>
      <c r="FE256" s="399"/>
      <c r="FF256" s="399">
        <v>0</v>
      </c>
      <c r="FG256" s="399">
        <v>0</v>
      </c>
      <c r="FH256" s="399">
        <v>0</v>
      </c>
      <c r="FI256" s="399">
        <v>0</v>
      </c>
    </row>
    <row r="257" spans="1:165">
      <c r="A257" s="399">
        <v>256</v>
      </c>
      <c r="B257" s="399" t="s">
        <v>956</v>
      </c>
      <c r="C257" s="399" t="s">
        <v>2399</v>
      </c>
      <c r="D257" s="399" t="s">
        <v>533</v>
      </c>
      <c r="E257" s="399" t="s">
        <v>921</v>
      </c>
      <c r="F257" s="399" t="s">
        <v>2401</v>
      </c>
      <c r="G257" s="399" t="s">
        <v>1239</v>
      </c>
      <c r="H257" s="399" t="s">
        <v>1239</v>
      </c>
      <c r="I257" s="399" t="s">
        <v>2326</v>
      </c>
      <c r="J257" s="399" t="s">
        <v>2400</v>
      </c>
      <c r="K257" s="788">
        <v>44743</v>
      </c>
      <c r="L257" s="399">
        <v>0</v>
      </c>
      <c r="M257" s="399">
        <v>0</v>
      </c>
      <c r="N257" s="399">
        <v>215.82400000000001</v>
      </c>
      <c r="O257" s="399">
        <v>202.87456</v>
      </c>
      <c r="P257" s="399">
        <v>215.82400000000001</v>
      </c>
      <c r="Q257" s="399">
        <v>202.87456</v>
      </c>
      <c r="R257" s="399"/>
      <c r="S257" s="399">
        <v>100.48</v>
      </c>
      <c r="T257" s="399">
        <v>286.42</v>
      </c>
      <c r="U257" s="399"/>
      <c r="V257" s="399">
        <v>83502.305600000007</v>
      </c>
      <c r="W257" s="399">
        <v>83502.305600000007</v>
      </c>
      <c r="X257" s="399">
        <v>68001.825920000003</v>
      </c>
      <c r="Y257" s="399">
        <v>0</v>
      </c>
      <c r="Z257" s="399">
        <v>11427.754997276492</v>
      </c>
      <c r="AA257" s="399">
        <v>0</v>
      </c>
      <c r="AB257" s="399">
        <v>0</v>
      </c>
      <c r="AC257" s="399">
        <v>0</v>
      </c>
      <c r="AD257" s="399">
        <v>0</v>
      </c>
      <c r="AE257" s="399">
        <v>0</v>
      </c>
      <c r="AF257" s="399">
        <v>61817.03206390782</v>
      </c>
      <c r="AG257" s="399">
        <v>0</v>
      </c>
      <c r="AH257" s="399">
        <v>0</v>
      </c>
      <c r="AI257" s="399">
        <v>0</v>
      </c>
      <c r="AJ257" s="399">
        <v>0</v>
      </c>
      <c r="AK257" s="399">
        <v>0</v>
      </c>
      <c r="AL257" s="399">
        <v>2030.0165777772268</v>
      </c>
      <c r="AM257" s="399"/>
      <c r="AN257" s="399">
        <v>295.69774890938589</v>
      </c>
      <c r="AO257" s="399">
        <v>0</v>
      </c>
      <c r="AP257" s="399">
        <v>0</v>
      </c>
      <c r="AQ257" s="399">
        <v>0</v>
      </c>
      <c r="AR257" s="399">
        <v>0</v>
      </c>
      <c r="AS257" s="399">
        <v>0</v>
      </c>
      <c r="AT257" s="399">
        <v>0</v>
      </c>
      <c r="AU257" s="399">
        <v>0</v>
      </c>
      <c r="AV257" s="399">
        <v>0</v>
      </c>
      <c r="AW257" s="399">
        <v>0</v>
      </c>
      <c r="AX257" s="399">
        <v>0</v>
      </c>
      <c r="AY257" s="399">
        <v>0</v>
      </c>
      <c r="AZ257" s="399">
        <v>0</v>
      </c>
      <c r="BA257" s="399"/>
      <c r="BB257" s="399">
        <v>0</v>
      </c>
      <c r="BC257" s="399">
        <v>0</v>
      </c>
      <c r="BD257" s="399">
        <v>0</v>
      </c>
      <c r="BE257" s="399">
        <v>0</v>
      </c>
      <c r="BF257" s="399">
        <v>0</v>
      </c>
      <c r="BG257" s="399">
        <v>2543.9812746780508</v>
      </c>
      <c r="BH257" s="399">
        <v>0</v>
      </c>
      <c r="BI257" s="399">
        <v>0</v>
      </c>
      <c r="BJ257" s="399">
        <v>0</v>
      </c>
      <c r="BK257" s="399">
        <v>0</v>
      </c>
      <c r="BL257" s="399">
        <v>0</v>
      </c>
      <c r="BM257" s="399"/>
      <c r="BN257" s="399"/>
      <c r="BO257" s="399"/>
      <c r="BP257" s="399"/>
      <c r="BQ257" s="399">
        <v>4080.1095552000033</v>
      </c>
      <c r="BR257" s="399"/>
      <c r="BS257" s="399"/>
      <c r="BT257" s="399"/>
      <c r="BU257" s="399"/>
      <c r="BV257" s="399">
        <v>64361.013338585872</v>
      </c>
      <c r="BW257" s="399"/>
      <c r="BX257" s="399"/>
      <c r="BY257" s="399"/>
      <c r="BZ257" s="399"/>
      <c r="CA257" s="399"/>
      <c r="CB257" s="399"/>
      <c r="CC257" s="399"/>
      <c r="CD257" s="399"/>
      <c r="CE257" s="399"/>
      <c r="CF257" s="399"/>
      <c r="CG257" s="399"/>
      <c r="CH257" s="399"/>
      <c r="CI257" s="399">
        <v>63920.279599999994</v>
      </c>
      <c r="CJ257" s="399">
        <v>-14571.917664000008</v>
      </c>
      <c r="CK257" s="399"/>
      <c r="CL257" s="399"/>
      <c r="CM257" s="399"/>
      <c r="CN257" s="399"/>
      <c r="CO257" s="399">
        <v>-1510.768</v>
      </c>
      <c r="CP257" s="399">
        <v>-13989.711680000006</v>
      </c>
      <c r="CQ257" s="399">
        <v>31</v>
      </c>
      <c r="CR257" s="399">
        <v>-15500.976624774616</v>
      </c>
      <c r="CS257" s="399">
        <v>0</v>
      </c>
      <c r="CT257" s="399">
        <v>0</v>
      </c>
      <c r="CU257" s="399">
        <v>0</v>
      </c>
      <c r="CV257" s="399">
        <v>0</v>
      </c>
      <c r="CW257" s="399">
        <v>0</v>
      </c>
      <c r="CX257" s="399">
        <v>0</v>
      </c>
      <c r="CY257" s="399">
        <v>0</v>
      </c>
      <c r="CZ257" s="399">
        <v>0</v>
      </c>
      <c r="DA257" s="399">
        <v>0</v>
      </c>
      <c r="DB257" s="399">
        <v>0</v>
      </c>
      <c r="DC257" s="399">
        <v>-13991.172697770053</v>
      </c>
      <c r="DD257" s="399">
        <v>0</v>
      </c>
      <c r="DE257" s="399">
        <v>0</v>
      </c>
      <c r="DF257" s="399">
        <v>0</v>
      </c>
      <c r="DG257" s="399">
        <v>-575.78437795455784</v>
      </c>
      <c r="DH257" s="399">
        <v>0</v>
      </c>
      <c r="DI257" s="399">
        <v>-792.81366322910799</v>
      </c>
      <c r="DJ257" s="399"/>
      <c r="DK257" s="399">
        <v>0</v>
      </c>
      <c r="DL257" s="399">
        <v>0</v>
      </c>
      <c r="DM257" s="399">
        <v>0</v>
      </c>
      <c r="DN257" s="399">
        <v>0</v>
      </c>
      <c r="DO257" s="399">
        <v>-116.17439496768475</v>
      </c>
      <c r="DP257" s="399">
        <v>-25.031490853231332</v>
      </c>
      <c r="DQ257" s="399">
        <v>0</v>
      </c>
      <c r="DR257" s="399">
        <v>0</v>
      </c>
      <c r="DS257" s="399"/>
      <c r="DT257" s="399"/>
      <c r="DU257" s="399"/>
      <c r="DV257" s="399">
        <v>0</v>
      </c>
      <c r="DW257" s="399">
        <v>0</v>
      </c>
      <c r="DX257" s="399">
        <v>0</v>
      </c>
      <c r="DY257" s="399">
        <v>-1510.768</v>
      </c>
      <c r="DZ257" s="399">
        <v>-13989.711680000008</v>
      </c>
      <c r="EA257" s="399">
        <v>0</v>
      </c>
      <c r="EB257" s="399">
        <v>0</v>
      </c>
      <c r="EC257" s="399">
        <v>0</v>
      </c>
      <c r="ED257" s="399">
        <v>0</v>
      </c>
      <c r="EE257" s="399">
        <v>0</v>
      </c>
      <c r="EF257" s="399">
        <v>0</v>
      </c>
      <c r="EG257" s="399">
        <v>0</v>
      </c>
      <c r="EH257" s="399">
        <v>0</v>
      </c>
      <c r="EI257" s="399">
        <v>0</v>
      </c>
      <c r="EJ257" s="399">
        <v>0</v>
      </c>
      <c r="EK257" s="399">
        <v>0</v>
      </c>
      <c r="EL257" s="399">
        <v>0</v>
      </c>
      <c r="EM257" s="399">
        <v>0</v>
      </c>
      <c r="EN257" s="399">
        <v>0</v>
      </c>
      <c r="EO257" s="399">
        <v>0</v>
      </c>
      <c r="EP257" s="399">
        <v>5388.5774817026304</v>
      </c>
      <c r="EQ257" s="399">
        <v>0</v>
      </c>
      <c r="ER257" s="399">
        <v>0</v>
      </c>
      <c r="ES257" s="399">
        <v>0</v>
      </c>
      <c r="ET257" s="399">
        <v>0</v>
      </c>
      <c r="EU257" s="399">
        <v>0</v>
      </c>
      <c r="EV257" s="399">
        <v>202</v>
      </c>
      <c r="EW257" s="399">
        <v>0</v>
      </c>
      <c r="EX257" s="399">
        <v>0</v>
      </c>
      <c r="EY257" s="399">
        <v>0</v>
      </c>
      <c r="EZ257" s="399"/>
      <c r="FA257" s="399">
        <v>0</v>
      </c>
      <c r="FB257" s="399">
        <v>-17.698635468909799</v>
      </c>
      <c r="FC257" s="399"/>
      <c r="FD257" s="399">
        <v>-17.698635468909799</v>
      </c>
      <c r="FE257" s="399"/>
      <c r="FF257" s="399">
        <v>0</v>
      </c>
      <c r="FG257" s="399">
        <v>0</v>
      </c>
      <c r="FH257" s="399">
        <v>0</v>
      </c>
      <c r="FI257" s="399">
        <v>0</v>
      </c>
    </row>
    <row r="258" spans="1:165">
      <c r="A258" s="399">
        <v>257</v>
      </c>
      <c r="B258" s="399" t="s">
        <v>956</v>
      </c>
      <c r="C258" s="399" t="s">
        <v>2399</v>
      </c>
      <c r="D258" s="399" t="s">
        <v>533</v>
      </c>
      <c r="E258" s="399" t="s">
        <v>921</v>
      </c>
      <c r="F258" s="399" t="s">
        <v>2401</v>
      </c>
      <c r="G258" s="399" t="s">
        <v>1239</v>
      </c>
      <c r="H258" s="399" t="s">
        <v>1239</v>
      </c>
      <c r="I258" s="399" t="s">
        <v>1239</v>
      </c>
      <c r="J258" s="399" t="s">
        <v>2400</v>
      </c>
      <c r="K258" s="788">
        <v>44743</v>
      </c>
      <c r="L258" s="399">
        <v>557</v>
      </c>
      <c r="M258" s="399">
        <v>523.58000000000004</v>
      </c>
      <c r="N258" s="399">
        <v>0</v>
      </c>
      <c r="O258" s="399">
        <v>0</v>
      </c>
      <c r="P258" s="399">
        <v>0</v>
      </c>
      <c r="Q258" s="399">
        <v>0</v>
      </c>
      <c r="R258" s="399">
        <v>39.21</v>
      </c>
      <c r="S258" s="399"/>
      <c r="T258" s="399"/>
      <c r="U258" s="399">
        <v>21839.97</v>
      </c>
      <c r="V258" s="399"/>
      <c r="W258" s="399">
        <v>21839.97</v>
      </c>
      <c r="X258" s="399">
        <v>16620.88</v>
      </c>
      <c r="Y258" s="399">
        <v>0</v>
      </c>
      <c r="Z258" s="399">
        <v>0</v>
      </c>
      <c r="AA258" s="399">
        <v>0</v>
      </c>
      <c r="AB258" s="399">
        <v>0</v>
      </c>
      <c r="AC258" s="399">
        <v>0</v>
      </c>
      <c r="AD258" s="399">
        <v>6880.1920890371939</v>
      </c>
      <c r="AE258" s="399">
        <v>14962.129114933208</v>
      </c>
      <c r="AF258" s="399"/>
      <c r="AG258" s="399"/>
      <c r="AH258" s="399"/>
      <c r="AI258" s="399">
        <v>0</v>
      </c>
      <c r="AJ258" s="399">
        <v>0</v>
      </c>
      <c r="AK258" s="399">
        <v>0</v>
      </c>
      <c r="AL258" s="399">
        <v>0</v>
      </c>
      <c r="AM258" s="399"/>
      <c r="AN258" s="399">
        <v>0</v>
      </c>
      <c r="AO258" s="399">
        <v>0</v>
      </c>
      <c r="AP258" s="399">
        <v>0</v>
      </c>
      <c r="AQ258" s="399">
        <v>0</v>
      </c>
      <c r="AR258" s="399">
        <v>0</v>
      </c>
      <c r="AS258" s="399"/>
      <c r="AT258" s="399"/>
      <c r="AU258" s="399">
        <v>0</v>
      </c>
      <c r="AV258" s="399">
        <v>0</v>
      </c>
      <c r="AW258" s="399">
        <v>0</v>
      </c>
      <c r="AX258" s="399"/>
      <c r="AY258" s="399"/>
      <c r="AZ258" s="399">
        <v>0</v>
      </c>
      <c r="BA258" s="399"/>
      <c r="BB258" s="399">
        <v>0</v>
      </c>
      <c r="BC258" s="399">
        <v>0</v>
      </c>
      <c r="BD258" s="399">
        <v>0</v>
      </c>
      <c r="BE258" s="399">
        <v>0</v>
      </c>
      <c r="BF258" s="399"/>
      <c r="BG258" s="399">
        <v>0</v>
      </c>
      <c r="BH258" s="399">
        <v>0</v>
      </c>
      <c r="BI258" s="399">
        <v>482.99</v>
      </c>
      <c r="BJ258" s="399">
        <v>2229.41</v>
      </c>
      <c r="BK258" s="399">
        <v>29767.31</v>
      </c>
      <c r="BL258" s="399">
        <v>2</v>
      </c>
      <c r="BM258" s="399"/>
      <c r="BN258" s="399"/>
      <c r="BO258" s="399"/>
      <c r="BP258" s="399"/>
      <c r="BQ258" s="399">
        <v>997.25279999999873</v>
      </c>
      <c r="BR258" s="399"/>
      <c r="BS258" s="399"/>
      <c r="BT258" s="399"/>
      <c r="BU258" s="399"/>
      <c r="BV258" s="399">
        <v>0</v>
      </c>
      <c r="BW258" s="399"/>
      <c r="BX258" s="399"/>
      <c r="BY258" s="399"/>
      <c r="BZ258" s="399"/>
      <c r="CA258" s="399"/>
      <c r="CB258" s="399"/>
      <c r="CC258" s="399"/>
      <c r="CD258" s="399"/>
      <c r="CE258" s="399"/>
      <c r="CF258" s="399"/>
      <c r="CG258" s="399"/>
      <c r="CH258" s="399"/>
      <c r="CI258" s="399">
        <v>15623.627200000001</v>
      </c>
      <c r="CJ258" s="399">
        <v>-4905.9745999999959</v>
      </c>
      <c r="CK258" s="399"/>
      <c r="CL258" s="399"/>
      <c r="CM258" s="399"/>
      <c r="CN258" s="399"/>
      <c r="CO258" s="399">
        <v>-5219.09</v>
      </c>
      <c r="CP258" s="399">
        <v>0</v>
      </c>
      <c r="CQ258" s="399">
        <v>31</v>
      </c>
      <c r="CR258" s="399">
        <v>236.10691467073229</v>
      </c>
      <c r="CS258" s="399">
        <v>0</v>
      </c>
      <c r="CT258" s="399">
        <v>0</v>
      </c>
      <c r="CU258" s="399">
        <v>0</v>
      </c>
      <c r="CV258" s="399">
        <v>0</v>
      </c>
      <c r="CW258" s="399"/>
      <c r="CX258" s="399"/>
      <c r="CY258" s="399"/>
      <c r="CZ258" s="399">
        <v>236.10691467073229</v>
      </c>
      <c r="DA258" s="399">
        <v>0</v>
      </c>
      <c r="DB258" s="399">
        <v>0</v>
      </c>
      <c r="DC258" s="399"/>
      <c r="DD258" s="399"/>
      <c r="DE258" s="399">
        <v>0</v>
      </c>
      <c r="DF258" s="399">
        <v>0</v>
      </c>
      <c r="DG258" s="399">
        <v>0</v>
      </c>
      <c r="DH258" s="399">
        <v>0</v>
      </c>
      <c r="DI258" s="399">
        <v>0</v>
      </c>
      <c r="DJ258" s="399"/>
      <c r="DK258" s="399">
        <v>0</v>
      </c>
      <c r="DL258" s="399">
        <v>0</v>
      </c>
      <c r="DM258" s="399"/>
      <c r="DN258" s="399">
        <v>0</v>
      </c>
      <c r="DO258" s="399">
        <v>0</v>
      </c>
      <c r="DP258" s="399">
        <v>0</v>
      </c>
      <c r="DQ258" s="399">
        <v>0</v>
      </c>
      <c r="DR258" s="399">
        <v>0</v>
      </c>
      <c r="DS258" s="399"/>
      <c r="DT258" s="399"/>
      <c r="DU258" s="399">
        <v>14962.129114933208</v>
      </c>
      <c r="DV258" s="399"/>
      <c r="DW258" s="399">
        <v>0</v>
      </c>
      <c r="DX258" s="399">
        <v>0</v>
      </c>
      <c r="DY258" s="399">
        <v>-5219.09</v>
      </c>
      <c r="DZ258" s="399"/>
      <c r="EA258" s="399">
        <v>0</v>
      </c>
      <c r="EB258" s="399"/>
      <c r="EC258" s="399">
        <v>-5459.6826791501371</v>
      </c>
      <c r="ED258" s="399"/>
      <c r="EE258" s="399">
        <v>0</v>
      </c>
      <c r="EF258" s="399">
        <v>0</v>
      </c>
      <c r="EG258" s="399"/>
      <c r="EH258" s="399">
        <v>0</v>
      </c>
      <c r="EI258" s="399">
        <v>0</v>
      </c>
      <c r="EJ258" s="399">
        <v>0</v>
      </c>
      <c r="EK258" s="399">
        <v>0</v>
      </c>
      <c r="EL258" s="399">
        <v>0</v>
      </c>
      <c r="EM258" s="399"/>
      <c r="EN258" s="399"/>
      <c r="EO258" s="399">
        <v>0</v>
      </c>
      <c r="EP258" s="399">
        <v>0</v>
      </c>
      <c r="EQ258" s="399"/>
      <c r="ER258" s="399">
        <v>0</v>
      </c>
      <c r="ES258" s="399"/>
      <c r="ET258" s="399">
        <v>0</v>
      </c>
      <c r="EU258" s="399"/>
      <c r="EV258" s="399">
        <v>202</v>
      </c>
      <c r="EW258" s="399"/>
      <c r="EX258" s="399"/>
      <c r="EY258" s="399"/>
      <c r="EZ258" s="399"/>
      <c r="FA258" s="399">
        <v>0</v>
      </c>
      <c r="FB258" s="399">
        <v>-17.698635468909799</v>
      </c>
      <c r="FC258" s="399"/>
      <c r="FD258" s="399">
        <v>-17.698635468909799</v>
      </c>
      <c r="FE258" s="399"/>
      <c r="FF258" s="399">
        <v>0</v>
      </c>
      <c r="FG258" s="399">
        <v>0</v>
      </c>
      <c r="FH258" s="399">
        <v>0</v>
      </c>
      <c r="FI258" s="399">
        <v>0</v>
      </c>
    </row>
    <row r="259" spans="1:165">
      <c r="A259" s="399">
        <v>270</v>
      </c>
      <c r="B259" s="399" t="s">
        <v>956</v>
      </c>
      <c r="C259" s="399" t="s">
        <v>2399</v>
      </c>
      <c r="D259" s="399" t="s">
        <v>533</v>
      </c>
      <c r="E259" s="399" t="s">
        <v>918</v>
      </c>
      <c r="F259" s="399" t="s">
        <v>1239</v>
      </c>
      <c r="G259" s="399" t="s">
        <v>1239</v>
      </c>
      <c r="H259" s="399" t="s">
        <v>1239</v>
      </c>
      <c r="I259" s="399" t="s">
        <v>893</v>
      </c>
      <c r="J259" s="399" t="s">
        <v>2400</v>
      </c>
      <c r="K259" s="788">
        <v>44774</v>
      </c>
      <c r="L259" s="399">
        <v>0</v>
      </c>
      <c r="M259" s="399">
        <v>0</v>
      </c>
      <c r="N259" s="399">
        <v>1.9319999999999999</v>
      </c>
      <c r="O259" s="399">
        <v>1.9319999999999999</v>
      </c>
      <c r="P259" s="399">
        <v>1.9319999999999999</v>
      </c>
      <c r="Q259" s="399">
        <v>1.9319999999999999</v>
      </c>
      <c r="R259" s="399"/>
      <c r="S259" s="399">
        <v>3305.85</v>
      </c>
      <c r="T259" s="399">
        <v>286.42</v>
      </c>
      <c r="U259" s="399"/>
      <c r="V259" s="399">
        <v>6940.2656399999996</v>
      </c>
      <c r="W259" s="399">
        <v>6940.2656399999996</v>
      </c>
      <c r="X259" s="399">
        <v>5044.6451999999999</v>
      </c>
      <c r="Y259" s="399">
        <v>0</v>
      </c>
      <c r="Z259" s="399">
        <v>102.29827384692241</v>
      </c>
      <c r="AA259" s="399">
        <v>0</v>
      </c>
      <c r="AB259" s="399">
        <v>0</v>
      </c>
      <c r="AC259" s="399">
        <v>0</v>
      </c>
      <c r="AD259" s="399">
        <v>1259.6351571458813</v>
      </c>
      <c r="AE259" s="399">
        <v>4933.1468993796088</v>
      </c>
      <c r="AF259" s="399">
        <v>553.36990301111041</v>
      </c>
      <c r="AG259" s="399">
        <v>0</v>
      </c>
      <c r="AH259" s="399">
        <v>0</v>
      </c>
      <c r="AI259" s="399">
        <v>0</v>
      </c>
      <c r="AJ259" s="399">
        <v>0</v>
      </c>
      <c r="AK259" s="399">
        <v>0</v>
      </c>
      <c r="AL259" s="399">
        <v>18.172177460642011</v>
      </c>
      <c r="AM259" s="399"/>
      <c r="AN259" s="399">
        <v>2.647008909541726</v>
      </c>
      <c r="AO259" s="399">
        <v>0</v>
      </c>
      <c r="AP259" s="399">
        <v>0</v>
      </c>
      <c r="AQ259" s="399">
        <v>0</v>
      </c>
      <c r="AR259" s="399">
        <v>0</v>
      </c>
      <c r="AS259" s="399">
        <v>0</v>
      </c>
      <c r="AT259" s="399">
        <v>0</v>
      </c>
      <c r="AU259" s="399">
        <v>0</v>
      </c>
      <c r="AV259" s="399">
        <v>0</v>
      </c>
      <c r="AW259" s="399">
        <v>0</v>
      </c>
      <c r="AX259" s="399">
        <v>0</v>
      </c>
      <c r="AY259" s="399">
        <v>0</v>
      </c>
      <c r="AZ259" s="399">
        <v>0</v>
      </c>
      <c r="BA259" s="399"/>
      <c r="BB259" s="399">
        <v>0</v>
      </c>
      <c r="BC259" s="399">
        <v>0</v>
      </c>
      <c r="BD259" s="399">
        <v>0</v>
      </c>
      <c r="BE259" s="399">
        <v>0</v>
      </c>
      <c r="BF259" s="399">
        <v>0</v>
      </c>
      <c r="BG259" s="399">
        <v>22.773055001658729</v>
      </c>
      <c r="BH259" s="399">
        <v>0</v>
      </c>
      <c r="BI259" s="399">
        <v>0</v>
      </c>
      <c r="BJ259" s="399">
        <v>0</v>
      </c>
      <c r="BK259" s="399">
        <v>0</v>
      </c>
      <c r="BL259" s="399">
        <v>0</v>
      </c>
      <c r="BM259" s="399"/>
      <c r="BN259" s="399"/>
      <c r="BO259" s="399"/>
      <c r="BP259" s="399"/>
      <c r="BQ259" s="399"/>
      <c r="BR259" s="399"/>
      <c r="BS259" s="399"/>
      <c r="BT259" s="399"/>
      <c r="BU259" s="399"/>
      <c r="BV259" s="399">
        <v>576.1429580127691</v>
      </c>
      <c r="BW259" s="399"/>
      <c r="BX259" s="399"/>
      <c r="BY259" s="399"/>
      <c r="BZ259" s="399"/>
      <c r="CA259" s="399"/>
      <c r="CB259" s="399"/>
      <c r="CC259" s="399"/>
      <c r="CD259" s="399"/>
      <c r="CE259" s="399"/>
      <c r="CF259" s="399"/>
      <c r="CG259" s="399"/>
      <c r="CH259" s="399"/>
      <c r="CI259" s="399">
        <v>5039.4229999999998</v>
      </c>
      <c r="CJ259" s="399">
        <v>-1900.8726400000005</v>
      </c>
      <c r="CK259" s="399"/>
      <c r="CL259" s="399"/>
      <c r="CM259" s="399"/>
      <c r="CN259" s="399"/>
      <c r="CO259" s="399">
        <v>-1770.3881999999999</v>
      </c>
      <c r="CP259" s="399">
        <v>-125.23224000000003</v>
      </c>
      <c r="CQ259" s="399">
        <v>31</v>
      </c>
      <c r="CR259" s="399">
        <v>-95.533905500262335</v>
      </c>
      <c r="CS259" s="399">
        <v>0</v>
      </c>
      <c r="CT259" s="399">
        <v>0</v>
      </c>
      <c r="CU259" s="399">
        <v>0</v>
      </c>
      <c r="CV259" s="399">
        <v>0</v>
      </c>
      <c r="CW259" s="399">
        <v>0</v>
      </c>
      <c r="CX259" s="399">
        <v>0</v>
      </c>
      <c r="CY259" s="399">
        <v>0</v>
      </c>
      <c r="CZ259" s="399">
        <v>43.226783019385721</v>
      </c>
      <c r="DA259" s="399">
        <v>0</v>
      </c>
      <c r="DB259" s="399">
        <v>0</v>
      </c>
      <c r="DC259" s="399">
        <v>-125.24531864895346</v>
      </c>
      <c r="DD259" s="399">
        <v>0</v>
      </c>
      <c r="DE259" s="399">
        <v>0</v>
      </c>
      <c r="DF259" s="399">
        <v>0</v>
      </c>
      <c r="DG259" s="399">
        <v>-5.154271157091916</v>
      </c>
      <c r="DH259" s="399">
        <v>0</v>
      </c>
      <c r="DI259" s="399">
        <v>-7.0970605556316144</v>
      </c>
      <c r="DJ259" s="399"/>
      <c r="DK259" s="399">
        <v>0</v>
      </c>
      <c r="DL259" s="399">
        <v>0</v>
      </c>
      <c r="DM259" s="399">
        <v>0</v>
      </c>
      <c r="DN259" s="399">
        <v>0</v>
      </c>
      <c r="DO259" s="399">
        <v>-1.039962798750679</v>
      </c>
      <c r="DP259" s="399">
        <v>-0.22407535922067501</v>
      </c>
      <c r="DQ259" s="399">
        <v>0</v>
      </c>
      <c r="DR259" s="399">
        <v>0</v>
      </c>
      <c r="DS259" s="399"/>
      <c r="DT259" s="399"/>
      <c r="DU259" s="399"/>
      <c r="DV259" s="399">
        <v>4933.1468993796088</v>
      </c>
      <c r="DW259" s="399">
        <v>0</v>
      </c>
      <c r="DX259" s="399">
        <v>0</v>
      </c>
      <c r="DY259" s="399">
        <v>-1770.3881999999994</v>
      </c>
      <c r="DZ259" s="399">
        <v>-125.23223999999999</v>
      </c>
      <c r="EA259" s="399">
        <v>0</v>
      </c>
      <c r="EB259" s="399">
        <v>0</v>
      </c>
      <c r="EC259" s="399">
        <v>-1800.1058855564129</v>
      </c>
      <c r="ED259" s="399">
        <v>0</v>
      </c>
      <c r="EE259" s="399">
        <v>0</v>
      </c>
      <c r="EF259" s="399">
        <v>0</v>
      </c>
      <c r="EG259" s="399">
        <v>0</v>
      </c>
      <c r="EH259" s="399">
        <v>0</v>
      </c>
      <c r="EI259" s="399">
        <v>0</v>
      </c>
      <c r="EJ259" s="399">
        <v>0</v>
      </c>
      <c r="EK259" s="399">
        <v>0</v>
      </c>
      <c r="EL259" s="399">
        <v>0</v>
      </c>
      <c r="EM259" s="399">
        <v>0</v>
      </c>
      <c r="EN259" s="399">
        <v>0</v>
      </c>
      <c r="EO259" s="399">
        <v>0</v>
      </c>
      <c r="EP259" s="399">
        <v>48.237136252916642</v>
      </c>
      <c r="EQ259" s="399">
        <v>0</v>
      </c>
      <c r="ER259" s="399">
        <v>0</v>
      </c>
      <c r="ES259" s="399">
        <v>0</v>
      </c>
      <c r="ET259" s="399">
        <v>0</v>
      </c>
      <c r="EU259" s="399">
        <v>0</v>
      </c>
      <c r="EV259" s="399">
        <v>202</v>
      </c>
      <c r="EW259" s="399">
        <v>0</v>
      </c>
      <c r="EX259" s="399">
        <v>0</v>
      </c>
      <c r="EY259" s="399">
        <v>0</v>
      </c>
      <c r="EZ259" s="399"/>
      <c r="FA259" s="399">
        <v>0</v>
      </c>
      <c r="FB259" s="399">
        <v>-17.698635468909799</v>
      </c>
      <c r="FC259" s="399"/>
      <c r="FD259" s="399">
        <v>-17.698635468909799</v>
      </c>
      <c r="FE259" s="399"/>
      <c r="FF259" s="399">
        <v>0</v>
      </c>
      <c r="FG259" s="399">
        <v>0</v>
      </c>
      <c r="FH259" s="399">
        <v>0</v>
      </c>
      <c r="FI259" s="399">
        <v>0</v>
      </c>
    </row>
    <row r="260" spans="1:165">
      <c r="A260" s="399">
        <v>271</v>
      </c>
      <c r="B260" s="399" t="s">
        <v>956</v>
      </c>
      <c r="C260" s="399" t="s">
        <v>2399</v>
      </c>
      <c r="D260" s="399" t="s">
        <v>533</v>
      </c>
      <c r="E260" s="399" t="s">
        <v>918</v>
      </c>
      <c r="F260" s="399" t="s">
        <v>1239</v>
      </c>
      <c r="G260" s="399" t="s">
        <v>1239</v>
      </c>
      <c r="H260" s="399" t="s">
        <v>1239</v>
      </c>
      <c r="I260" s="399" t="s">
        <v>2326</v>
      </c>
      <c r="J260" s="399" t="s">
        <v>2400</v>
      </c>
      <c r="K260" s="788">
        <v>44774</v>
      </c>
      <c r="L260" s="399">
        <v>0</v>
      </c>
      <c r="M260" s="399">
        <v>0</v>
      </c>
      <c r="N260" s="399">
        <v>23.460999999999999</v>
      </c>
      <c r="O260" s="399">
        <v>23.460999999999999</v>
      </c>
      <c r="P260" s="399">
        <v>23.460999999999999</v>
      </c>
      <c r="Q260" s="399">
        <v>23.460999999999999</v>
      </c>
      <c r="R260" s="399"/>
      <c r="S260" s="399">
        <v>100.48</v>
      </c>
      <c r="T260" s="399">
        <v>286.42</v>
      </c>
      <c r="U260" s="399"/>
      <c r="V260" s="399">
        <v>9077.0609000000004</v>
      </c>
      <c r="W260" s="399">
        <v>9077.0609000000004</v>
      </c>
      <c r="X260" s="399">
        <v>7392.0918799999999</v>
      </c>
      <c r="Y260" s="399">
        <v>0</v>
      </c>
      <c r="Z260" s="399">
        <v>1242.2462747011627</v>
      </c>
      <c r="AA260" s="399">
        <v>0</v>
      </c>
      <c r="AB260" s="399">
        <v>0</v>
      </c>
      <c r="AC260" s="399">
        <v>0</v>
      </c>
      <c r="AD260" s="399">
        <v>0</v>
      </c>
      <c r="AE260" s="399">
        <v>0</v>
      </c>
      <c r="AF260" s="399">
        <v>6719.7781027658702</v>
      </c>
      <c r="AG260" s="399">
        <v>0</v>
      </c>
      <c r="AH260" s="399">
        <v>0</v>
      </c>
      <c r="AI260" s="399">
        <v>0</v>
      </c>
      <c r="AJ260" s="399">
        <v>0</v>
      </c>
      <c r="AK260" s="399">
        <v>0</v>
      </c>
      <c r="AL260" s="399">
        <v>220.67156076817921</v>
      </c>
      <c r="AM260" s="399"/>
      <c r="AN260" s="399">
        <v>32.143621131862538</v>
      </c>
      <c r="AO260" s="399">
        <v>0</v>
      </c>
      <c r="AP260" s="399">
        <v>0</v>
      </c>
      <c r="AQ260" s="399">
        <v>0</v>
      </c>
      <c r="AR260" s="399">
        <v>0</v>
      </c>
      <c r="AS260" s="399">
        <v>0</v>
      </c>
      <c r="AT260" s="399">
        <v>0</v>
      </c>
      <c r="AU260" s="399">
        <v>0</v>
      </c>
      <c r="AV260" s="399">
        <v>0</v>
      </c>
      <c r="AW260" s="399">
        <v>0</v>
      </c>
      <c r="AX260" s="399">
        <v>0</v>
      </c>
      <c r="AY260" s="399">
        <v>0</v>
      </c>
      <c r="AZ260" s="399">
        <v>0</v>
      </c>
      <c r="BA260" s="399"/>
      <c r="BB260" s="399">
        <v>0</v>
      </c>
      <c r="BC260" s="399">
        <v>0</v>
      </c>
      <c r="BD260" s="399">
        <v>0</v>
      </c>
      <c r="BE260" s="399">
        <v>0</v>
      </c>
      <c r="BF260" s="399">
        <v>0</v>
      </c>
      <c r="BG260" s="399">
        <v>276.54174088711977</v>
      </c>
      <c r="BH260" s="399">
        <v>0</v>
      </c>
      <c r="BI260" s="399">
        <v>0</v>
      </c>
      <c r="BJ260" s="399">
        <v>0</v>
      </c>
      <c r="BK260" s="399">
        <v>0</v>
      </c>
      <c r="BL260" s="399">
        <v>0</v>
      </c>
      <c r="BM260" s="399"/>
      <c r="BN260" s="399"/>
      <c r="BO260" s="399"/>
      <c r="BP260" s="399"/>
      <c r="BQ260" s="399"/>
      <c r="BR260" s="399"/>
      <c r="BS260" s="399"/>
      <c r="BT260" s="399"/>
      <c r="BU260" s="399"/>
      <c r="BV260" s="399">
        <v>6996.3198436529901</v>
      </c>
      <c r="BW260" s="399"/>
      <c r="BX260" s="399"/>
      <c r="BY260" s="399"/>
      <c r="BZ260" s="399"/>
      <c r="CA260" s="399"/>
      <c r="CB260" s="399"/>
      <c r="CC260" s="399"/>
      <c r="CD260" s="399"/>
      <c r="CE260" s="399"/>
      <c r="CF260" s="399"/>
      <c r="CG260" s="399"/>
      <c r="CH260" s="399"/>
      <c r="CI260" s="399">
        <v>7391.7767999999996</v>
      </c>
      <c r="CJ260" s="399">
        <v>-1685.3141000000014</v>
      </c>
      <c r="CK260" s="399"/>
      <c r="CL260" s="399"/>
      <c r="CM260" s="399"/>
      <c r="CN260" s="399"/>
      <c r="CO260" s="399">
        <v>-164.22699999999998</v>
      </c>
      <c r="CP260" s="399">
        <v>-1520.7420200000004</v>
      </c>
      <c r="CQ260" s="399">
        <v>31</v>
      </c>
      <c r="CR260" s="399">
        <v>-1685.0230400411347</v>
      </c>
      <c r="CS260" s="399">
        <v>0</v>
      </c>
      <c r="CT260" s="399">
        <v>0</v>
      </c>
      <c r="CU260" s="399">
        <v>0</v>
      </c>
      <c r="CV260" s="399">
        <v>0</v>
      </c>
      <c r="CW260" s="399">
        <v>0</v>
      </c>
      <c r="CX260" s="399">
        <v>0</v>
      </c>
      <c r="CY260" s="399">
        <v>0</v>
      </c>
      <c r="CZ260" s="399">
        <v>0</v>
      </c>
      <c r="DA260" s="399">
        <v>0</v>
      </c>
      <c r="DB260" s="399">
        <v>0</v>
      </c>
      <c r="DC260" s="399">
        <v>-1520.9008389353512</v>
      </c>
      <c r="DD260" s="399">
        <v>0</v>
      </c>
      <c r="DE260" s="399">
        <v>0</v>
      </c>
      <c r="DF260" s="399">
        <v>0</v>
      </c>
      <c r="DG260" s="399">
        <v>-62.590246178329892</v>
      </c>
      <c r="DH260" s="399">
        <v>0</v>
      </c>
      <c r="DI260" s="399">
        <v>-86.182265888029633</v>
      </c>
      <c r="DJ260" s="399"/>
      <c r="DK260" s="399">
        <v>0</v>
      </c>
      <c r="DL260" s="399">
        <v>0</v>
      </c>
      <c r="DM260" s="399">
        <v>0</v>
      </c>
      <c r="DN260" s="399">
        <v>0</v>
      </c>
      <c r="DO260" s="399">
        <v>-12.628657982137526</v>
      </c>
      <c r="DP260" s="399">
        <v>-2.7210310572858418</v>
      </c>
      <c r="DQ260" s="399">
        <v>0</v>
      </c>
      <c r="DR260" s="399">
        <v>0</v>
      </c>
      <c r="DS260" s="399"/>
      <c r="DT260" s="399"/>
      <c r="DU260" s="399"/>
      <c r="DV260" s="399">
        <v>0</v>
      </c>
      <c r="DW260" s="399">
        <v>0</v>
      </c>
      <c r="DX260" s="399">
        <v>0</v>
      </c>
      <c r="DY260" s="399">
        <v>-164.22700000000032</v>
      </c>
      <c r="DZ260" s="399">
        <v>-1520.7420200000006</v>
      </c>
      <c r="EA260" s="399">
        <v>0</v>
      </c>
      <c r="EB260" s="399">
        <v>0</v>
      </c>
      <c r="EC260" s="399">
        <v>0</v>
      </c>
      <c r="ED260" s="399">
        <v>0</v>
      </c>
      <c r="EE260" s="399">
        <v>0</v>
      </c>
      <c r="EF260" s="399">
        <v>0</v>
      </c>
      <c r="EG260" s="399">
        <v>0</v>
      </c>
      <c r="EH260" s="399">
        <v>0</v>
      </c>
      <c r="EI260" s="399">
        <v>0</v>
      </c>
      <c r="EJ260" s="399">
        <v>0</v>
      </c>
      <c r="EK260" s="399">
        <v>0</v>
      </c>
      <c r="EL260" s="399">
        <v>0</v>
      </c>
      <c r="EM260" s="399">
        <v>0</v>
      </c>
      <c r="EN260" s="399">
        <v>0</v>
      </c>
      <c r="EO260" s="399">
        <v>0</v>
      </c>
      <c r="EP260" s="399">
        <v>585.76162196153064</v>
      </c>
      <c r="EQ260" s="399">
        <v>0</v>
      </c>
      <c r="ER260" s="399">
        <v>0</v>
      </c>
      <c r="ES260" s="399">
        <v>0</v>
      </c>
      <c r="ET260" s="399">
        <v>0</v>
      </c>
      <c r="EU260" s="399">
        <v>0</v>
      </c>
      <c r="EV260" s="399">
        <v>202</v>
      </c>
      <c r="EW260" s="399">
        <v>0</v>
      </c>
      <c r="EX260" s="399">
        <v>0</v>
      </c>
      <c r="EY260" s="399">
        <v>0</v>
      </c>
      <c r="EZ260" s="399"/>
      <c r="FA260" s="399">
        <v>0</v>
      </c>
      <c r="FB260" s="399">
        <v>-17.698635468909799</v>
      </c>
      <c r="FC260" s="399"/>
      <c r="FD260" s="399">
        <v>-17.698635468909799</v>
      </c>
      <c r="FE260" s="399"/>
      <c r="FF260" s="399">
        <v>0</v>
      </c>
      <c r="FG260" s="399">
        <v>0</v>
      </c>
      <c r="FH260" s="399">
        <v>0</v>
      </c>
      <c r="FI260" s="399">
        <v>0</v>
      </c>
    </row>
    <row r="261" spans="1:165">
      <c r="A261" s="399">
        <v>272</v>
      </c>
      <c r="B261" s="399" t="s">
        <v>956</v>
      </c>
      <c r="C261" s="399" t="s">
        <v>2399</v>
      </c>
      <c r="D261" s="399" t="s">
        <v>533</v>
      </c>
      <c r="E261" s="399" t="s">
        <v>918</v>
      </c>
      <c r="F261" s="399" t="s">
        <v>1239</v>
      </c>
      <c r="G261" s="399" t="s">
        <v>1239</v>
      </c>
      <c r="H261" s="399" t="s">
        <v>1239</v>
      </c>
      <c r="I261" s="399" t="s">
        <v>1239</v>
      </c>
      <c r="J261" s="399" t="s">
        <v>2400</v>
      </c>
      <c r="K261" s="788">
        <v>44774</v>
      </c>
      <c r="L261" s="399">
        <v>200</v>
      </c>
      <c r="M261" s="399">
        <v>200</v>
      </c>
      <c r="N261" s="399">
        <v>0</v>
      </c>
      <c r="O261" s="399">
        <v>0</v>
      </c>
      <c r="P261" s="399">
        <v>0</v>
      </c>
      <c r="Q261" s="399">
        <v>0</v>
      </c>
      <c r="R261" s="399">
        <v>39.21</v>
      </c>
      <c r="S261" s="399"/>
      <c r="T261" s="399"/>
      <c r="U261" s="399">
        <v>7842</v>
      </c>
      <c r="V261" s="399"/>
      <c r="W261" s="399">
        <v>7842</v>
      </c>
      <c r="X261" s="399">
        <v>5968</v>
      </c>
      <c r="Y261" s="399">
        <v>0</v>
      </c>
      <c r="Z261" s="399">
        <v>0</v>
      </c>
      <c r="AA261" s="399">
        <v>0</v>
      </c>
      <c r="AB261" s="399">
        <v>0</v>
      </c>
      <c r="AC261" s="399">
        <v>0</v>
      </c>
      <c r="AD261" s="399">
        <v>2470.4459924729599</v>
      </c>
      <c r="AE261" s="399">
        <v>5372.3982459365207</v>
      </c>
      <c r="AF261" s="399"/>
      <c r="AG261" s="399"/>
      <c r="AH261" s="399"/>
      <c r="AI261" s="399">
        <v>0</v>
      </c>
      <c r="AJ261" s="399">
        <v>0</v>
      </c>
      <c r="AK261" s="399">
        <v>0</v>
      </c>
      <c r="AL261" s="399">
        <v>0</v>
      </c>
      <c r="AM261" s="399"/>
      <c r="AN261" s="399">
        <v>0</v>
      </c>
      <c r="AO261" s="399">
        <v>0</v>
      </c>
      <c r="AP261" s="399">
        <v>0</v>
      </c>
      <c r="AQ261" s="399">
        <v>0</v>
      </c>
      <c r="AR261" s="399">
        <v>0</v>
      </c>
      <c r="AS261" s="399"/>
      <c r="AT261" s="399"/>
      <c r="AU261" s="399">
        <v>0</v>
      </c>
      <c r="AV261" s="399">
        <v>0</v>
      </c>
      <c r="AW261" s="399">
        <v>0</v>
      </c>
      <c r="AX261" s="399"/>
      <c r="AY261" s="399"/>
      <c r="AZ261" s="399">
        <v>0</v>
      </c>
      <c r="BA261" s="399"/>
      <c r="BB261" s="399">
        <v>0</v>
      </c>
      <c r="BC261" s="399">
        <v>0</v>
      </c>
      <c r="BD261" s="399">
        <v>0</v>
      </c>
      <c r="BE261" s="399">
        <v>0</v>
      </c>
      <c r="BF261" s="399"/>
      <c r="BG261" s="399">
        <v>0</v>
      </c>
      <c r="BH261" s="399">
        <v>0</v>
      </c>
      <c r="BI261" s="399">
        <v>124.16</v>
      </c>
      <c r="BJ261" s="399">
        <v>573.05999999999995</v>
      </c>
      <c r="BK261" s="399">
        <v>3798.8</v>
      </c>
      <c r="BL261" s="399">
        <v>1</v>
      </c>
      <c r="BM261" s="399"/>
      <c r="BN261" s="399"/>
      <c r="BO261" s="399"/>
      <c r="BP261" s="399"/>
      <c r="BQ261" s="399"/>
      <c r="BR261" s="399"/>
      <c r="BS261" s="399"/>
      <c r="BT261" s="399"/>
      <c r="BU261" s="399"/>
      <c r="BV261" s="399">
        <v>0</v>
      </c>
      <c r="BW261" s="399"/>
      <c r="BX261" s="399"/>
      <c r="BY261" s="399"/>
      <c r="BZ261" s="399"/>
      <c r="CA261" s="399"/>
      <c r="CB261" s="399"/>
      <c r="CC261" s="399"/>
      <c r="CD261" s="399"/>
      <c r="CE261" s="399"/>
      <c r="CF261" s="399"/>
      <c r="CG261" s="399"/>
      <c r="CH261" s="399"/>
      <c r="CI261" s="399">
        <v>5968</v>
      </c>
      <c r="CJ261" s="399">
        <v>-1874.0300000000007</v>
      </c>
      <c r="CK261" s="399"/>
      <c r="CL261" s="399"/>
      <c r="CM261" s="399"/>
      <c r="CN261" s="399"/>
      <c r="CO261" s="399">
        <v>-1874.0000000000002</v>
      </c>
      <c r="CP261" s="399">
        <v>0</v>
      </c>
      <c r="CQ261" s="399">
        <v>31</v>
      </c>
      <c r="CR261" s="399">
        <v>84.77806630906025</v>
      </c>
      <c r="CS261" s="399">
        <v>0</v>
      </c>
      <c r="CT261" s="399">
        <v>0</v>
      </c>
      <c r="CU261" s="399">
        <v>0</v>
      </c>
      <c r="CV261" s="399">
        <v>0</v>
      </c>
      <c r="CW261" s="399"/>
      <c r="CX261" s="399"/>
      <c r="CY261" s="399"/>
      <c r="CZ261" s="399">
        <v>84.77806630906025</v>
      </c>
      <c r="DA261" s="399">
        <v>0</v>
      </c>
      <c r="DB261" s="399">
        <v>0</v>
      </c>
      <c r="DC261" s="399"/>
      <c r="DD261" s="399"/>
      <c r="DE261" s="399">
        <v>0</v>
      </c>
      <c r="DF261" s="399">
        <v>0</v>
      </c>
      <c r="DG261" s="399">
        <v>0</v>
      </c>
      <c r="DH261" s="399">
        <v>0</v>
      </c>
      <c r="DI261" s="399">
        <v>0</v>
      </c>
      <c r="DJ261" s="399"/>
      <c r="DK261" s="399">
        <v>0</v>
      </c>
      <c r="DL261" s="399">
        <v>0</v>
      </c>
      <c r="DM261" s="399"/>
      <c r="DN261" s="399">
        <v>0</v>
      </c>
      <c r="DO261" s="399">
        <v>0</v>
      </c>
      <c r="DP261" s="399">
        <v>0</v>
      </c>
      <c r="DQ261" s="399">
        <v>0</v>
      </c>
      <c r="DR261" s="399">
        <v>0</v>
      </c>
      <c r="DS261" s="399"/>
      <c r="DT261" s="399"/>
      <c r="DU261" s="399">
        <v>5372.3982459365207</v>
      </c>
      <c r="DV261" s="399"/>
      <c r="DW261" s="399">
        <v>0</v>
      </c>
      <c r="DX261" s="399">
        <v>0</v>
      </c>
      <c r="DY261" s="399">
        <v>-1874</v>
      </c>
      <c r="DZ261" s="399"/>
      <c r="EA261" s="399">
        <v>0</v>
      </c>
      <c r="EB261" s="399"/>
      <c r="EC261" s="399">
        <v>-1960.3887537343408</v>
      </c>
      <c r="ED261" s="399"/>
      <c r="EE261" s="399">
        <v>0</v>
      </c>
      <c r="EF261" s="399">
        <v>0</v>
      </c>
      <c r="EG261" s="399"/>
      <c r="EH261" s="399">
        <v>0</v>
      </c>
      <c r="EI261" s="399">
        <v>0</v>
      </c>
      <c r="EJ261" s="399">
        <v>0</v>
      </c>
      <c r="EK261" s="399">
        <v>0</v>
      </c>
      <c r="EL261" s="399">
        <v>0</v>
      </c>
      <c r="EM261" s="399"/>
      <c r="EN261" s="399"/>
      <c r="EO261" s="399">
        <v>0</v>
      </c>
      <c r="EP261" s="399">
        <v>0</v>
      </c>
      <c r="EQ261" s="399"/>
      <c r="ER261" s="399">
        <v>0</v>
      </c>
      <c r="ES261" s="399"/>
      <c r="ET261" s="399">
        <v>0</v>
      </c>
      <c r="EU261" s="399"/>
      <c r="EV261" s="399">
        <v>202</v>
      </c>
      <c r="EW261" s="399"/>
      <c r="EX261" s="399"/>
      <c r="EY261" s="399"/>
      <c r="EZ261" s="399"/>
      <c r="FA261" s="399">
        <v>0</v>
      </c>
      <c r="FB261" s="399">
        <v>-17.698635468909799</v>
      </c>
      <c r="FC261" s="399"/>
      <c r="FD261" s="399">
        <v>-17.698635468909799</v>
      </c>
      <c r="FE261" s="399"/>
      <c r="FF261" s="399">
        <v>0</v>
      </c>
      <c r="FG261" s="399">
        <v>0</v>
      </c>
      <c r="FH261" s="399">
        <v>0</v>
      </c>
      <c r="FI261" s="399">
        <v>0</v>
      </c>
    </row>
    <row r="262" spans="1:165">
      <c r="A262" s="399">
        <v>258</v>
      </c>
      <c r="B262" s="399" t="s">
        <v>956</v>
      </c>
      <c r="C262" s="399" t="s">
        <v>2402</v>
      </c>
      <c r="D262" s="399" t="s">
        <v>1823</v>
      </c>
      <c r="E262" s="399" t="s">
        <v>889</v>
      </c>
      <c r="F262" s="399" t="s">
        <v>889</v>
      </c>
      <c r="G262" s="399" t="s">
        <v>1239</v>
      </c>
      <c r="H262" s="399" t="s">
        <v>1239</v>
      </c>
      <c r="I262" s="399" t="s">
        <v>1239</v>
      </c>
      <c r="J262" s="399" t="s">
        <v>2400</v>
      </c>
      <c r="K262" s="788">
        <v>44774</v>
      </c>
      <c r="L262" s="399">
        <v>0</v>
      </c>
      <c r="M262" s="399">
        <v>0</v>
      </c>
      <c r="N262" s="399">
        <v>403.43799999999999</v>
      </c>
      <c r="O262" s="399">
        <v>403.43799999999999</v>
      </c>
      <c r="P262" s="399">
        <v>403.43799999999999</v>
      </c>
      <c r="Q262" s="399">
        <v>403.43799999999999</v>
      </c>
      <c r="R262" s="399"/>
      <c r="S262" s="399">
        <v>609.05999999999995</v>
      </c>
      <c r="T262" s="399">
        <v>286.42</v>
      </c>
      <c r="U262" s="399"/>
      <c r="V262" s="399">
        <v>361270.66024</v>
      </c>
      <c r="W262" s="399">
        <v>361270.66024</v>
      </c>
      <c r="X262" s="399">
        <v>275899.14506000001</v>
      </c>
      <c r="Y262" s="399">
        <v>0</v>
      </c>
      <c r="Z262" s="399">
        <v>24553.801078183933</v>
      </c>
      <c r="AA262" s="399">
        <v>0</v>
      </c>
      <c r="AB262" s="399">
        <v>0</v>
      </c>
      <c r="AC262" s="399">
        <v>0</v>
      </c>
      <c r="AD262" s="399">
        <v>39396.588073610445</v>
      </c>
      <c r="AE262" s="399">
        <v>152181.65291740457</v>
      </c>
      <c r="AF262" s="399">
        <v>115554.06155848673</v>
      </c>
      <c r="AG262" s="399">
        <v>0</v>
      </c>
      <c r="AH262" s="399">
        <v>0</v>
      </c>
      <c r="AI262" s="399">
        <v>0</v>
      </c>
      <c r="AJ262" s="399">
        <v>0</v>
      </c>
      <c r="AK262" s="399">
        <v>0</v>
      </c>
      <c r="AL262" s="399">
        <v>3794.6930281400064</v>
      </c>
      <c r="AM262" s="399"/>
      <c r="AN262" s="399">
        <v>689.00657211083831</v>
      </c>
      <c r="AO262" s="399">
        <v>0</v>
      </c>
      <c r="AP262" s="399">
        <v>0</v>
      </c>
      <c r="AQ262" s="399">
        <v>0</v>
      </c>
      <c r="AR262" s="399">
        <v>0</v>
      </c>
      <c r="AS262" s="399">
        <v>0</v>
      </c>
      <c r="AT262" s="399">
        <v>0</v>
      </c>
      <c r="AU262" s="399">
        <v>0</v>
      </c>
      <c r="AV262" s="399">
        <v>0</v>
      </c>
      <c r="AW262" s="399">
        <v>0</v>
      </c>
      <c r="AX262" s="399">
        <v>0</v>
      </c>
      <c r="AY262" s="399">
        <v>0</v>
      </c>
      <c r="AZ262" s="399">
        <v>0</v>
      </c>
      <c r="BA262" s="399"/>
      <c r="BB262" s="399">
        <v>0</v>
      </c>
      <c r="BC262" s="399">
        <v>0</v>
      </c>
      <c r="BD262" s="399">
        <v>0</v>
      </c>
      <c r="BE262" s="399">
        <v>0</v>
      </c>
      <c r="BF262" s="399">
        <v>0</v>
      </c>
      <c r="BG262" s="399">
        <v>13524.177276312614</v>
      </c>
      <c r="BH262" s="399">
        <v>0</v>
      </c>
      <c r="BI262" s="399">
        <v>1415.94</v>
      </c>
      <c r="BJ262" s="399">
        <v>6582.44</v>
      </c>
      <c r="BK262" s="399">
        <v>38582.089999999997</v>
      </c>
      <c r="BL262" s="399">
        <v>3283</v>
      </c>
      <c r="BM262" s="399"/>
      <c r="BN262" s="399"/>
      <c r="BO262" s="399"/>
      <c r="BP262" s="399"/>
      <c r="BQ262" s="399"/>
      <c r="BR262" s="399"/>
      <c r="BS262" s="399"/>
      <c r="BT262" s="399"/>
      <c r="BU262" s="399"/>
      <c r="BV262" s="399">
        <v>129078.23883479935</v>
      </c>
      <c r="BW262" s="399"/>
      <c r="BX262" s="399"/>
      <c r="BY262" s="399"/>
      <c r="BZ262" s="399"/>
      <c r="CA262" s="399"/>
      <c r="CB262" s="399"/>
      <c r="CC262" s="399"/>
      <c r="CD262" s="399"/>
      <c r="CE262" s="399"/>
      <c r="CF262" s="399"/>
      <c r="CG262" s="399"/>
      <c r="CH262" s="399"/>
      <c r="CI262" s="399">
        <v>275900.51280000003</v>
      </c>
      <c r="CJ262" s="399">
        <v>-85370.177439999999</v>
      </c>
      <c r="CK262" s="399"/>
      <c r="CL262" s="399"/>
      <c r="CM262" s="399"/>
      <c r="CN262" s="399"/>
      <c r="CO262" s="399">
        <v>-59220.664019999982</v>
      </c>
      <c r="CP262" s="399">
        <v>-26150.851160000009</v>
      </c>
      <c r="CQ262" s="399">
        <v>31</v>
      </c>
      <c r="CR262" s="399">
        <v>-29841.505333125271</v>
      </c>
      <c r="CS262" s="399">
        <v>0</v>
      </c>
      <c r="CT262" s="399">
        <v>0</v>
      </c>
      <c r="CU262" s="399">
        <v>0</v>
      </c>
      <c r="CV262" s="399">
        <v>0</v>
      </c>
      <c r="CW262" s="399">
        <v>0</v>
      </c>
      <c r="CX262" s="399">
        <v>0</v>
      </c>
      <c r="CY262" s="399">
        <v>0</v>
      </c>
      <c r="CZ262" s="399">
        <v>1351.9690639795808</v>
      </c>
      <c r="DA262" s="399">
        <v>0</v>
      </c>
      <c r="DB262" s="399">
        <v>0</v>
      </c>
      <c r="DC262" s="399">
        <v>-26153.582228310814</v>
      </c>
      <c r="DD262" s="399">
        <v>0</v>
      </c>
      <c r="DE262" s="399">
        <v>0</v>
      </c>
      <c r="DF262" s="399">
        <v>0</v>
      </c>
      <c r="DG262" s="399">
        <v>-3060.9541343319252</v>
      </c>
      <c r="DH262" s="399">
        <v>0</v>
      </c>
      <c r="DI262" s="399">
        <v>-1703.4482261505473</v>
      </c>
      <c r="DJ262" s="399"/>
      <c r="DK262" s="399">
        <v>0</v>
      </c>
      <c r="DL262" s="399">
        <v>0</v>
      </c>
      <c r="DM262" s="399">
        <v>0</v>
      </c>
      <c r="DN262" s="399">
        <v>0</v>
      </c>
      <c r="DO262" s="399">
        <v>-217.16382588114766</v>
      </c>
      <c r="DP262" s="399">
        <v>-58.325982430437193</v>
      </c>
      <c r="DQ262" s="399">
        <v>0</v>
      </c>
      <c r="DR262" s="399">
        <v>0</v>
      </c>
      <c r="DS262" s="399"/>
      <c r="DT262" s="399"/>
      <c r="DU262" s="399"/>
      <c r="DV262" s="399">
        <v>152181.65291740457</v>
      </c>
      <c r="DW262" s="399">
        <v>0</v>
      </c>
      <c r="DX262" s="399">
        <v>0</v>
      </c>
      <c r="DY262" s="399">
        <v>-59220.664019999997</v>
      </c>
      <c r="DZ262" s="399">
        <v>-26150.851160000006</v>
      </c>
      <c r="EA262" s="399">
        <v>0</v>
      </c>
      <c r="EB262" s="399">
        <v>0</v>
      </c>
      <c r="EC262" s="399">
        <v>-55531.103102721827</v>
      </c>
      <c r="ED262" s="399">
        <v>0</v>
      </c>
      <c r="EE262" s="399">
        <v>0</v>
      </c>
      <c r="EF262" s="399">
        <v>0</v>
      </c>
      <c r="EG262" s="399">
        <v>0</v>
      </c>
      <c r="EH262" s="399">
        <v>0</v>
      </c>
      <c r="EI262" s="399">
        <v>0</v>
      </c>
      <c r="EJ262" s="399">
        <v>0</v>
      </c>
      <c r="EK262" s="399">
        <v>0</v>
      </c>
      <c r="EL262" s="399">
        <v>0</v>
      </c>
      <c r="EM262" s="399">
        <v>0</v>
      </c>
      <c r="EN262" s="399">
        <v>0</v>
      </c>
      <c r="EO262" s="399">
        <v>0</v>
      </c>
      <c r="EP262" s="399">
        <v>11577.957316344315</v>
      </c>
      <c r="EQ262" s="399">
        <v>0</v>
      </c>
      <c r="ER262" s="399">
        <v>0</v>
      </c>
      <c r="ES262" s="399">
        <v>0</v>
      </c>
      <c r="ET262" s="399">
        <v>0</v>
      </c>
      <c r="EU262" s="399">
        <v>0</v>
      </c>
      <c r="EV262" s="399">
        <v>202</v>
      </c>
      <c r="EW262" s="399">
        <v>0</v>
      </c>
      <c r="EX262" s="399">
        <v>0</v>
      </c>
      <c r="EY262" s="399">
        <v>0</v>
      </c>
      <c r="EZ262" s="399"/>
      <c r="FA262" s="399">
        <v>0</v>
      </c>
      <c r="FB262" s="399">
        <v>-17.698635468909799</v>
      </c>
      <c r="FC262" s="399"/>
      <c r="FD262" s="399">
        <v>-17.698635468909799</v>
      </c>
      <c r="FE262" s="399"/>
      <c r="FF262" s="399">
        <v>0</v>
      </c>
      <c r="FG262" s="399">
        <v>0</v>
      </c>
      <c r="FH262" s="399">
        <v>0</v>
      </c>
      <c r="FI262" s="399">
        <v>0</v>
      </c>
    </row>
    <row r="263" spans="1:165">
      <c r="A263" s="399">
        <v>259</v>
      </c>
      <c r="B263" s="399" t="s">
        <v>2403</v>
      </c>
      <c r="C263" s="399" t="s">
        <v>2402</v>
      </c>
      <c r="D263" s="399" t="s">
        <v>1823</v>
      </c>
      <c r="E263" s="399" t="s">
        <v>889</v>
      </c>
      <c r="F263" s="399" t="s">
        <v>889</v>
      </c>
      <c r="G263" s="399" t="s">
        <v>1239</v>
      </c>
      <c r="H263" s="399" t="s">
        <v>1239</v>
      </c>
      <c r="I263" s="399" t="s">
        <v>1239</v>
      </c>
      <c r="J263" s="399" t="s">
        <v>2400</v>
      </c>
      <c r="K263" s="788">
        <v>44774</v>
      </c>
      <c r="L263" s="399">
        <v>0</v>
      </c>
      <c r="M263" s="399">
        <v>0</v>
      </c>
      <c r="N263" s="399">
        <v>-0.83899999999999997</v>
      </c>
      <c r="O263" s="399">
        <v>-0.83899999999999997</v>
      </c>
      <c r="P263" s="399">
        <v>-0.83899999999999997</v>
      </c>
      <c r="Q263" s="399">
        <v>-0.83899999999999997</v>
      </c>
      <c r="R263" s="399"/>
      <c r="S263" s="399">
        <v>609.05999999999995</v>
      </c>
      <c r="T263" s="399">
        <v>286.42</v>
      </c>
      <c r="U263" s="399"/>
      <c r="V263" s="399">
        <v>-751.3077199999999</v>
      </c>
      <c r="W263" s="399">
        <v>-751.3077199999999</v>
      </c>
      <c r="X263" s="399">
        <v>-573.76693</v>
      </c>
      <c r="Y263" s="399">
        <v>0</v>
      </c>
      <c r="Z263" s="399">
        <v>-51.062713736921957</v>
      </c>
      <c r="AA263" s="399">
        <v>0</v>
      </c>
      <c r="AB263" s="399">
        <v>0</v>
      </c>
      <c r="AC263" s="399">
        <v>0</v>
      </c>
      <c r="AD263" s="399">
        <v>-81.930153812380496</v>
      </c>
      <c r="AE263" s="399">
        <v>-316.48086396844724</v>
      </c>
      <c r="AF263" s="399">
        <v>-240.30918665958677</v>
      </c>
      <c r="AG263" s="399">
        <v>0</v>
      </c>
      <c r="AH263" s="399">
        <v>0</v>
      </c>
      <c r="AI263" s="399">
        <v>0</v>
      </c>
      <c r="AJ263" s="399">
        <v>0</v>
      </c>
      <c r="AK263" s="399">
        <v>0</v>
      </c>
      <c r="AL263" s="399">
        <v>-7.8915408330634822</v>
      </c>
      <c r="AM263" s="399"/>
      <c r="AN263" s="399">
        <v>-1.4328757182045155</v>
      </c>
      <c r="AO263" s="399">
        <v>0</v>
      </c>
      <c r="AP263" s="399">
        <v>0</v>
      </c>
      <c r="AQ263" s="399">
        <v>0</v>
      </c>
      <c r="AR263" s="399">
        <v>0</v>
      </c>
      <c r="AS263" s="399">
        <v>0</v>
      </c>
      <c r="AT263" s="399">
        <v>0</v>
      </c>
      <c r="AU263" s="399">
        <v>0</v>
      </c>
      <c r="AV263" s="399">
        <v>0</v>
      </c>
      <c r="AW263" s="399">
        <v>0</v>
      </c>
      <c r="AX263" s="399">
        <v>0</v>
      </c>
      <c r="AY263" s="399">
        <v>0</v>
      </c>
      <c r="AZ263" s="399">
        <v>0</v>
      </c>
      <c r="BA263" s="399"/>
      <c r="BB263" s="399">
        <v>0</v>
      </c>
      <c r="BC263" s="399">
        <v>0</v>
      </c>
      <c r="BD263" s="399">
        <v>0</v>
      </c>
      <c r="BE263" s="399">
        <v>0</v>
      </c>
      <c r="BF263" s="399">
        <v>0</v>
      </c>
      <c r="BG263" s="399">
        <v>-28.125225523689593</v>
      </c>
      <c r="BH263" s="399">
        <v>0</v>
      </c>
      <c r="BI263" s="399">
        <v>-5.57</v>
      </c>
      <c r="BJ263" s="399">
        <v>-25.64</v>
      </c>
      <c r="BK263" s="399">
        <v>-295.39999999999998</v>
      </c>
      <c r="BL263" s="399">
        <v>0</v>
      </c>
      <c r="BM263" s="399"/>
      <c r="BN263" s="399"/>
      <c r="BO263" s="399"/>
      <c r="BP263" s="399"/>
      <c r="BQ263" s="399"/>
      <c r="BR263" s="399"/>
      <c r="BS263" s="399"/>
      <c r="BT263" s="399"/>
      <c r="BU263" s="399"/>
      <c r="BV263" s="399">
        <v>-268.43441218327638</v>
      </c>
      <c r="BW263" s="399"/>
      <c r="BX263" s="399"/>
      <c r="BY263" s="399"/>
      <c r="BZ263" s="399"/>
      <c r="CA263" s="399"/>
      <c r="CB263" s="399"/>
      <c r="CC263" s="399"/>
      <c r="CD263" s="399"/>
      <c r="CE263" s="399"/>
      <c r="CF263" s="399"/>
      <c r="CG263" s="399"/>
      <c r="CH263" s="399"/>
      <c r="CI263" s="399">
        <v>-574.45079999999996</v>
      </c>
      <c r="CJ263" s="399">
        <v>176.82691999999997</v>
      </c>
      <c r="CK263" s="399"/>
      <c r="CL263" s="399"/>
      <c r="CM263" s="399"/>
      <c r="CN263" s="399"/>
      <c r="CO263" s="399">
        <v>123.15680999999996</v>
      </c>
      <c r="CP263" s="399">
        <v>54.383980000000015</v>
      </c>
      <c r="CQ263" s="399">
        <v>31</v>
      </c>
      <c r="CR263" s="399">
        <v>62.059158964926723</v>
      </c>
      <c r="CS263" s="399">
        <v>0</v>
      </c>
      <c r="CT263" s="399">
        <v>0</v>
      </c>
      <c r="CU263" s="399">
        <v>0</v>
      </c>
      <c r="CV263" s="399">
        <v>0</v>
      </c>
      <c r="CW263" s="399">
        <v>0</v>
      </c>
      <c r="CX263" s="399">
        <v>0</v>
      </c>
      <c r="CY263" s="399">
        <v>0</v>
      </c>
      <c r="CZ263" s="399">
        <v>-2.8115894999451427</v>
      </c>
      <c r="DA263" s="399">
        <v>0</v>
      </c>
      <c r="DB263" s="399">
        <v>0</v>
      </c>
      <c r="DC263" s="399">
        <v>54.389659599623172</v>
      </c>
      <c r="DD263" s="399">
        <v>0</v>
      </c>
      <c r="DE263" s="399">
        <v>0</v>
      </c>
      <c r="DF263" s="399">
        <v>0</v>
      </c>
      <c r="DG263" s="399">
        <v>6.3656386327130434</v>
      </c>
      <c r="DH263" s="399">
        <v>0</v>
      </c>
      <c r="DI263" s="399">
        <v>3.5425345697239976</v>
      </c>
      <c r="DJ263" s="399"/>
      <c r="DK263" s="399">
        <v>0</v>
      </c>
      <c r="DL263" s="399">
        <v>0</v>
      </c>
      <c r="DM263" s="399">
        <v>0</v>
      </c>
      <c r="DN263" s="399">
        <v>0</v>
      </c>
      <c r="DO263" s="399">
        <v>0.45161945556512428</v>
      </c>
      <c r="DP263" s="399">
        <v>0.12129620724655776</v>
      </c>
      <c r="DQ263" s="399">
        <v>0</v>
      </c>
      <c r="DR263" s="399">
        <v>0</v>
      </c>
      <c r="DS263" s="399"/>
      <c r="DT263" s="399"/>
      <c r="DU263" s="399"/>
      <c r="DV263" s="399">
        <v>-316.48086396844724</v>
      </c>
      <c r="DW263" s="399">
        <v>0</v>
      </c>
      <c r="DX263" s="399">
        <v>0</v>
      </c>
      <c r="DY263" s="399">
        <v>123.15680999999995</v>
      </c>
      <c r="DZ263" s="399">
        <v>54.383980000000008</v>
      </c>
      <c r="EA263" s="399">
        <v>0</v>
      </c>
      <c r="EB263" s="399">
        <v>0</v>
      </c>
      <c r="EC263" s="399">
        <v>115.48390459793967</v>
      </c>
      <c r="ED263" s="399">
        <v>0</v>
      </c>
      <c r="EE263" s="399">
        <v>0</v>
      </c>
      <c r="EF263" s="399">
        <v>0</v>
      </c>
      <c r="EG263" s="399">
        <v>0</v>
      </c>
      <c r="EH263" s="399">
        <v>0</v>
      </c>
      <c r="EI263" s="399">
        <v>0</v>
      </c>
      <c r="EJ263" s="399">
        <v>0</v>
      </c>
      <c r="EK263" s="399">
        <v>0</v>
      </c>
      <c r="EL263" s="399">
        <v>0</v>
      </c>
      <c r="EM263" s="399">
        <v>0</v>
      </c>
      <c r="EN263" s="399">
        <v>0</v>
      </c>
      <c r="EO263" s="399">
        <v>0</v>
      </c>
      <c r="EP263" s="399">
        <v>-24.077816637036868</v>
      </c>
      <c r="EQ263" s="399">
        <v>0</v>
      </c>
      <c r="ER263" s="399">
        <v>0</v>
      </c>
      <c r="ES263" s="399">
        <v>0</v>
      </c>
      <c r="ET263" s="399">
        <v>0</v>
      </c>
      <c r="EU263" s="399">
        <v>0</v>
      </c>
      <c r="EV263" s="399">
        <v>202</v>
      </c>
      <c r="EW263" s="399">
        <v>0</v>
      </c>
      <c r="EX263" s="399">
        <v>0</v>
      </c>
      <c r="EY263" s="399">
        <v>0</v>
      </c>
      <c r="EZ263" s="399"/>
      <c r="FA263" s="399">
        <v>0</v>
      </c>
      <c r="FB263" s="399">
        <v>-17.698635468909799</v>
      </c>
      <c r="FC263" s="399"/>
      <c r="FD263" s="399">
        <v>-17.698635468909799</v>
      </c>
      <c r="FE263" s="399"/>
      <c r="FF263" s="399">
        <v>0</v>
      </c>
      <c r="FG263" s="399">
        <v>0</v>
      </c>
      <c r="FH263" s="399">
        <v>0</v>
      </c>
      <c r="FI263" s="399">
        <v>0</v>
      </c>
    </row>
    <row r="264" spans="1:165">
      <c r="A264" s="399">
        <v>260</v>
      </c>
      <c r="B264" s="399" t="s">
        <v>2404</v>
      </c>
      <c r="C264" s="399" t="s">
        <v>2402</v>
      </c>
      <c r="D264" s="399" t="s">
        <v>1823</v>
      </c>
      <c r="E264" s="399" t="s">
        <v>889</v>
      </c>
      <c r="F264" s="399" t="s">
        <v>889</v>
      </c>
      <c r="G264" s="399" t="s">
        <v>1239</v>
      </c>
      <c r="H264" s="399" t="s">
        <v>1239</v>
      </c>
      <c r="I264" s="399" t="s">
        <v>1239</v>
      </c>
      <c r="J264" s="399" t="s">
        <v>2400</v>
      </c>
      <c r="K264" s="788">
        <v>44774</v>
      </c>
      <c r="L264" s="399">
        <v>0</v>
      </c>
      <c r="M264" s="399">
        <v>0</v>
      </c>
      <c r="N264" s="399">
        <v>4.7830000000000004</v>
      </c>
      <c r="O264" s="399">
        <v>4.7830000000000004</v>
      </c>
      <c r="P264" s="399">
        <v>4.7830000000000004</v>
      </c>
      <c r="Q264" s="399">
        <v>4.7830000000000004</v>
      </c>
      <c r="R264" s="399"/>
      <c r="S264" s="399">
        <v>609.05999999999995</v>
      </c>
      <c r="T264" s="399">
        <v>286.42</v>
      </c>
      <c r="U264" s="399"/>
      <c r="V264" s="399">
        <v>4283.0808400000005</v>
      </c>
      <c r="W264" s="399">
        <v>4283.0808400000005</v>
      </c>
      <c r="X264" s="399">
        <v>3270.95021</v>
      </c>
      <c r="Y264" s="399">
        <v>0</v>
      </c>
      <c r="Z264" s="399">
        <v>291.10007127973506</v>
      </c>
      <c r="AA264" s="399">
        <v>0</v>
      </c>
      <c r="AB264" s="399">
        <v>0</v>
      </c>
      <c r="AC264" s="399">
        <v>0</v>
      </c>
      <c r="AD264" s="399">
        <v>467.0702332355375</v>
      </c>
      <c r="AE264" s="399">
        <v>1804.204973016786</v>
      </c>
      <c r="AF264" s="399">
        <v>1369.9628603013155</v>
      </c>
      <c r="AG264" s="399">
        <v>0</v>
      </c>
      <c r="AH264" s="399">
        <v>0</v>
      </c>
      <c r="AI264" s="399">
        <v>0</v>
      </c>
      <c r="AJ264" s="399">
        <v>0</v>
      </c>
      <c r="AK264" s="399">
        <v>0</v>
      </c>
      <c r="AL264" s="399">
        <v>44.988366870730204</v>
      </c>
      <c r="AM264" s="399"/>
      <c r="AN264" s="399">
        <v>8.1685870800622151</v>
      </c>
      <c r="AO264" s="399">
        <v>0</v>
      </c>
      <c r="AP264" s="399">
        <v>0</v>
      </c>
      <c r="AQ264" s="399">
        <v>0</v>
      </c>
      <c r="AR264" s="399">
        <v>0</v>
      </c>
      <c r="AS264" s="399">
        <v>0</v>
      </c>
      <c r="AT264" s="399">
        <v>0</v>
      </c>
      <c r="AU264" s="399">
        <v>0</v>
      </c>
      <c r="AV264" s="399">
        <v>0</v>
      </c>
      <c r="AW264" s="399">
        <v>0</v>
      </c>
      <c r="AX264" s="399">
        <v>0</v>
      </c>
      <c r="AY264" s="399">
        <v>0</v>
      </c>
      <c r="AZ264" s="399">
        <v>0</v>
      </c>
      <c r="BA264" s="399"/>
      <c r="BB264" s="399">
        <v>0</v>
      </c>
      <c r="BC264" s="399">
        <v>0</v>
      </c>
      <c r="BD264" s="399">
        <v>0</v>
      </c>
      <c r="BE264" s="399">
        <v>0</v>
      </c>
      <c r="BF264" s="399">
        <v>0</v>
      </c>
      <c r="BG264" s="399">
        <v>160.33725110823283</v>
      </c>
      <c r="BH264" s="399">
        <v>0</v>
      </c>
      <c r="BI264" s="399">
        <v>14.67</v>
      </c>
      <c r="BJ264" s="399">
        <v>68.02</v>
      </c>
      <c r="BK264" s="399">
        <v>1277.08</v>
      </c>
      <c r="BL264" s="399">
        <v>41</v>
      </c>
      <c r="BM264" s="399"/>
      <c r="BN264" s="399"/>
      <c r="BO264" s="399"/>
      <c r="BP264" s="399"/>
      <c r="BQ264" s="399"/>
      <c r="BR264" s="399"/>
      <c r="BS264" s="399"/>
      <c r="BT264" s="399"/>
      <c r="BU264" s="399"/>
      <c r="BV264" s="399">
        <v>1530.3001114095482</v>
      </c>
      <c r="BW264" s="399"/>
      <c r="BX264" s="399"/>
      <c r="BY264" s="399"/>
      <c r="BZ264" s="399"/>
      <c r="CA264" s="399"/>
      <c r="CB264" s="399"/>
      <c r="CC264" s="399"/>
      <c r="CD264" s="399"/>
      <c r="CE264" s="399"/>
      <c r="CF264" s="399"/>
      <c r="CG264" s="399"/>
      <c r="CH264" s="399"/>
      <c r="CI264" s="399">
        <v>3268.8986</v>
      </c>
      <c r="CJ264" s="399">
        <v>-1014.2122400000012</v>
      </c>
      <c r="CK264" s="399"/>
      <c r="CL264" s="399"/>
      <c r="CM264" s="399"/>
      <c r="CN264" s="399"/>
      <c r="CO264" s="399">
        <v>-702.09656999999993</v>
      </c>
      <c r="CP264" s="399">
        <v>-310.03406000000012</v>
      </c>
      <c r="CQ264" s="399">
        <v>31</v>
      </c>
      <c r="CR264" s="399">
        <v>-353.78898370589332</v>
      </c>
      <c r="CS264" s="399">
        <v>0</v>
      </c>
      <c r="CT264" s="399">
        <v>0</v>
      </c>
      <c r="CU264" s="399">
        <v>0</v>
      </c>
      <c r="CV264" s="399">
        <v>0</v>
      </c>
      <c r="CW264" s="399">
        <v>0</v>
      </c>
      <c r="CX264" s="399">
        <v>0</v>
      </c>
      <c r="CY264" s="399">
        <v>0</v>
      </c>
      <c r="CZ264" s="399">
        <v>16.028405933537101</v>
      </c>
      <c r="DA264" s="399">
        <v>0</v>
      </c>
      <c r="DB264" s="399">
        <v>0</v>
      </c>
      <c r="DC264" s="399">
        <v>-310.06643845649319</v>
      </c>
      <c r="DD264" s="399">
        <v>0</v>
      </c>
      <c r="DE264" s="399">
        <v>0</v>
      </c>
      <c r="DF264" s="399">
        <v>0</v>
      </c>
      <c r="DG264" s="399">
        <v>-36.289451227969593</v>
      </c>
      <c r="DH264" s="399">
        <v>0</v>
      </c>
      <c r="DI264" s="399">
        <v>-20.195402678176208</v>
      </c>
      <c r="DJ264" s="399"/>
      <c r="DK264" s="399">
        <v>0</v>
      </c>
      <c r="DL264" s="399">
        <v>0</v>
      </c>
      <c r="DM264" s="399">
        <v>0</v>
      </c>
      <c r="DN264" s="399">
        <v>0</v>
      </c>
      <c r="DO264" s="399">
        <v>-2.5746076948367005</v>
      </c>
      <c r="DP264" s="399">
        <v>-0.69148958195504839</v>
      </c>
      <c r="DQ264" s="399">
        <v>0</v>
      </c>
      <c r="DR264" s="399">
        <v>0</v>
      </c>
      <c r="DS264" s="399"/>
      <c r="DT264" s="399"/>
      <c r="DU264" s="399"/>
      <c r="DV264" s="399">
        <v>1804.204973016786</v>
      </c>
      <c r="DW264" s="399">
        <v>0</v>
      </c>
      <c r="DX264" s="399">
        <v>0</v>
      </c>
      <c r="DY264" s="399">
        <v>-702.09657000000016</v>
      </c>
      <c r="DZ264" s="399">
        <v>-310.03406000000018</v>
      </c>
      <c r="EA264" s="399">
        <v>0</v>
      </c>
      <c r="EB264" s="399">
        <v>0</v>
      </c>
      <c r="EC264" s="399">
        <v>-658.35460749933941</v>
      </c>
      <c r="ED264" s="399">
        <v>0</v>
      </c>
      <c r="EE264" s="399">
        <v>0</v>
      </c>
      <c r="EF264" s="399">
        <v>0</v>
      </c>
      <c r="EG264" s="399">
        <v>0</v>
      </c>
      <c r="EH264" s="399">
        <v>0</v>
      </c>
      <c r="EI264" s="399">
        <v>0</v>
      </c>
      <c r="EJ264" s="399">
        <v>0</v>
      </c>
      <c r="EK264" s="399">
        <v>0</v>
      </c>
      <c r="EL264" s="399">
        <v>0</v>
      </c>
      <c r="EM264" s="399">
        <v>0</v>
      </c>
      <c r="EN264" s="399">
        <v>0</v>
      </c>
      <c r="EO264" s="399">
        <v>0</v>
      </c>
      <c r="EP264" s="399">
        <v>137.26364359350103</v>
      </c>
      <c r="EQ264" s="399">
        <v>0</v>
      </c>
      <c r="ER264" s="399">
        <v>0</v>
      </c>
      <c r="ES264" s="399">
        <v>0</v>
      </c>
      <c r="ET264" s="399">
        <v>0</v>
      </c>
      <c r="EU264" s="399">
        <v>0</v>
      </c>
      <c r="EV264" s="399">
        <v>202</v>
      </c>
      <c r="EW264" s="399">
        <v>0</v>
      </c>
      <c r="EX264" s="399">
        <v>0</v>
      </c>
      <c r="EY264" s="399">
        <v>0</v>
      </c>
      <c r="EZ264" s="399"/>
      <c r="FA264" s="399">
        <v>0</v>
      </c>
      <c r="FB264" s="399">
        <v>-17.698635468909799</v>
      </c>
      <c r="FC264" s="399"/>
      <c r="FD264" s="399">
        <v>-17.698635468909799</v>
      </c>
      <c r="FE264" s="399"/>
      <c r="FF264" s="399">
        <v>0</v>
      </c>
      <c r="FG264" s="399">
        <v>0</v>
      </c>
      <c r="FH264" s="399">
        <v>0</v>
      </c>
      <c r="FI264" s="399">
        <v>0</v>
      </c>
    </row>
    <row r="265" spans="1:165">
      <c r="A265" s="399">
        <v>261</v>
      </c>
      <c r="B265" s="399" t="s">
        <v>2404</v>
      </c>
      <c r="C265" s="399" t="s">
        <v>2402</v>
      </c>
      <c r="D265" s="399" t="s">
        <v>1823</v>
      </c>
      <c r="E265" s="399" t="s">
        <v>889</v>
      </c>
      <c r="F265" s="399" t="s">
        <v>889</v>
      </c>
      <c r="G265" s="399" t="s">
        <v>1239</v>
      </c>
      <c r="H265" s="399" t="s">
        <v>1239</v>
      </c>
      <c r="I265" s="399" t="s">
        <v>1239</v>
      </c>
      <c r="J265" s="399" t="s">
        <v>2400</v>
      </c>
      <c r="K265" s="788">
        <v>44774</v>
      </c>
      <c r="L265" s="399">
        <v>0</v>
      </c>
      <c r="M265" s="399">
        <v>0</v>
      </c>
      <c r="N265" s="399">
        <v>-0.55300000000000005</v>
      </c>
      <c r="O265" s="399">
        <v>-0.55300000000000005</v>
      </c>
      <c r="P265" s="399">
        <v>-0.55300000000000005</v>
      </c>
      <c r="Q265" s="399">
        <v>-0.55300000000000005</v>
      </c>
      <c r="R265" s="399"/>
      <c r="S265" s="399">
        <v>609.05999999999995</v>
      </c>
      <c r="T265" s="399">
        <v>286.42</v>
      </c>
      <c r="U265" s="399"/>
      <c r="V265" s="399">
        <v>-495.20044000000001</v>
      </c>
      <c r="W265" s="399">
        <v>-495.20044000000001</v>
      </c>
      <c r="X265" s="399">
        <v>-378.18011000000001</v>
      </c>
      <c r="Y265" s="399">
        <v>0</v>
      </c>
      <c r="Z265" s="399">
        <v>-33.656353631129733</v>
      </c>
      <c r="AA265" s="399">
        <v>0</v>
      </c>
      <c r="AB265" s="399">
        <v>0</v>
      </c>
      <c r="AC265" s="399">
        <v>0</v>
      </c>
      <c r="AD265" s="399">
        <v>-54.001638925204318</v>
      </c>
      <c r="AE265" s="399">
        <v>-208.59823334273105</v>
      </c>
      <c r="AF265" s="399">
        <v>-158.39210991984683</v>
      </c>
      <c r="AG265" s="399">
        <v>0</v>
      </c>
      <c r="AH265" s="399">
        <v>0</v>
      </c>
      <c r="AI265" s="399">
        <v>0</v>
      </c>
      <c r="AJ265" s="399">
        <v>0</v>
      </c>
      <c r="AK265" s="399">
        <v>0</v>
      </c>
      <c r="AL265" s="399">
        <v>-5.2014565919953588</v>
      </c>
      <c r="AM265" s="399"/>
      <c r="AN265" s="399">
        <v>-0.94443417421584896</v>
      </c>
      <c r="AO265" s="399">
        <v>0</v>
      </c>
      <c r="AP265" s="399">
        <v>0</v>
      </c>
      <c r="AQ265" s="399">
        <v>0</v>
      </c>
      <c r="AR265" s="399">
        <v>0</v>
      </c>
      <c r="AS265" s="399">
        <v>0</v>
      </c>
      <c r="AT265" s="399">
        <v>0</v>
      </c>
      <c r="AU265" s="399">
        <v>0</v>
      </c>
      <c r="AV265" s="399">
        <v>0</v>
      </c>
      <c r="AW265" s="399">
        <v>0</v>
      </c>
      <c r="AX265" s="399">
        <v>0</v>
      </c>
      <c r="AY265" s="399">
        <v>0</v>
      </c>
      <c r="AZ265" s="399">
        <v>0</v>
      </c>
      <c r="BA265" s="399"/>
      <c r="BB265" s="399">
        <v>0</v>
      </c>
      <c r="BC265" s="399">
        <v>0</v>
      </c>
      <c r="BD265" s="399">
        <v>0</v>
      </c>
      <c r="BE265" s="399">
        <v>0</v>
      </c>
      <c r="BF265" s="399">
        <v>0</v>
      </c>
      <c r="BG265" s="399">
        <v>-18.537842329678604</v>
      </c>
      <c r="BH265" s="399">
        <v>0</v>
      </c>
      <c r="BI265" s="399">
        <v>-1.23</v>
      </c>
      <c r="BJ265" s="399">
        <v>-5.61</v>
      </c>
      <c r="BK265" s="399">
        <v>-77.45</v>
      </c>
      <c r="BL265" s="399">
        <v>5</v>
      </c>
      <c r="BM265" s="399"/>
      <c r="BN265" s="399"/>
      <c r="BO265" s="399"/>
      <c r="BP265" s="399"/>
      <c r="BQ265" s="399"/>
      <c r="BR265" s="399"/>
      <c r="BS265" s="399"/>
      <c r="BT265" s="399"/>
      <c r="BU265" s="399"/>
      <c r="BV265" s="399">
        <v>-176.92995224952543</v>
      </c>
      <c r="BW265" s="399"/>
      <c r="BX265" s="399"/>
      <c r="BY265" s="399"/>
      <c r="BZ265" s="399"/>
      <c r="CA265" s="399"/>
      <c r="CB265" s="399"/>
      <c r="CC265" s="399"/>
      <c r="CD265" s="399"/>
      <c r="CE265" s="399"/>
      <c r="CF265" s="399"/>
      <c r="CG265" s="399"/>
      <c r="CH265" s="399"/>
      <c r="CI265" s="399">
        <v>-376.12850000000003</v>
      </c>
      <c r="CJ265" s="399">
        <v>119.04194000000001</v>
      </c>
      <c r="CK265" s="399"/>
      <c r="CL265" s="399"/>
      <c r="CM265" s="399"/>
      <c r="CN265" s="399"/>
      <c r="CO265" s="399">
        <v>81.174869999999984</v>
      </c>
      <c r="CP265" s="399">
        <v>35.845460000000017</v>
      </c>
      <c r="CQ265" s="399">
        <v>31</v>
      </c>
      <c r="CR265" s="399">
        <v>40.904308590708496</v>
      </c>
      <c r="CS265" s="399">
        <v>0</v>
      </c>
      <c r="CT265" s="399">
        <v>0</v>
      </c>
      <c r="CU265" s="399">
        <v>0</v>
      </c>
      <c r="CV265" s="399">
        <v>0</v>
      </c>
      <c r="CW265" s="399">
        <v>0</v>
      </c>
      <c r="CX265" s="399">
        <v>0</v>
      </c>
      <c r="CY265" s="399">
        <v>0</v>
      </c>
      <c r="CZ265" s="399">
        <v>-1.853169241322604</v>
      </c>
      <c r="DA265" s="399">
        <v>0</v>
      </c>
      <c r="DB265" s="399">
        <v>0</v>
      </c>
      <c r="DC265" s="399">
        <v>35.849203526330882</v>
      </c>
      <c r="DD265" s="399">
        <v>0</v>
      </c>
      <c r="DE265" s="399">
        <v>0</v>
      </c>
      <c r="DF265" s="399">
        <v>0</v>
      </c>
      <c r="DG265" s="399">
        <v>4.1957069891422112</v>
      </c>
      <c r="DH265" s="399">
        <v>0</v>
      </c>
      <c r="DI265" s="399">
        <v>2.3349482920826823</v>
      </c>
      <c r="DJ265" s="399"/>
      <c r="DK265" s="399">
        <v>0</v>
      </c>
      <c r="DL265" s="399">
        <v>0</v>
      </c>
      <c r="DM265" s="399">
        <v>0</v>
      </c>
      <c r="DN265" s="399">
        <v>0</v>
      </c>
      <c r="DO265" s="399">
        <v>0.29767051123660693</v>
      </c>
      <c r="DP265" s="399">
        <v>7.9948513238792041E-2</v>
      </c>
      <c r="DQ265" s="399">
        <v>0</v>
      </c>
      <c r="DR265" s="399">
        <v>0</v>
      </c>
      <c r="DS265" s="399"/>
      <c r="DT265" s="399"/>
      <c r="DU265" s="399"/>
      <c r="DV265" s="399">
        <v>-208.59823334273105</v>
      </c>
      <c r="DW265" s="399">
        <v>0</v>
      </c>
      <c r="DX265" s="399">
        <v>0</v>
      </c>
      <c r="DY265" s="399">
        <v>81.174869999999999</v>
      </c>
      <c r="DZ265" s="399">
        <v>35.845460000000003</v>
      </c>
      <c r="EA265" s="399">
        <v>0</v>
      </c>
      <c r="EB265" s="399">
        <v>0</v>
      </c>
      <c r="EC265" s="399">
        <v>76.117519955495425</v>
      </c>
      <c r="ED265" s="399">
        <v>0</v>
      </c>
      <c r="EE265" s="399">
        <v>0</v>
      </c>
      <c r="EF265" s="399">
        <v>0</v>
      </c>
      <c r="EG265" s="399">
        <v>0</v>
      </c>
      <c r="EH265" s="399">
        <v>0</v>
      </c>
      <c r="EI265" s="399">
        <v>0</v>
      </c>
      <c r="EJ265" s="399">
        <v>0</v>
      </c>
      <c r="EK265" s="399">
        <v>0</v>
      </c>
      <c r="EL265" s="399">
        <v>0</v>
      </c>
      <c r="EM265" s="399">
        <v>0</v>
      </c>
      <c r="EN265" s="399">
        <v>0</v>
      </c>
      <c r="EO265" s="399">
        <v>0</v>
      </c>
      <c r="EP265" s="399">
        <v>-15.870122288774004</v>
      </c>
      <c r="EQ265" s="399">
        <v>0</v>
      </c>
      <c r="ER265" s="399">
        <v>0</v>
      </c>
      <c r="ES265" s="399">
        <v>0</v>
      </c>
      <c r="ET265" s="399">
        <v>0</v>
      </c>
      <c r="EU265" s="399">
        <v>0</v>
      </c>
      <c r="EV265" s="399">
        <v>202</v>
      </c>
      <c r="EW265" s="399">
        <v>0</v>
      </c>
      <c r="EX265" s="399">
        <v>0</v>
      </c>
      <c r="EY265" s="399">
        <v>0</v>
      </c>
      <c r="EZ265" s="399"/>
      <c r="FA265" s="399">
        <v>0</v>
      </c>
      <c r="FB265" s="399">
        <v>-17.698635468909799</v>
      </c>
      <c r="FC265" s="399"/>
      <c r="FD265" s="399">
        <v>-17.698635468909799</v>
      </c>
      <c r="FE265" s="399"/>
      <c r="FF265" s="399">
        <v>0</v>
      </c>
      <c r="FG265" s="399">
        <v>0</v>
      </c>
      <c r="FH265" s="399">
        <v>0</v>
      </c>
      <c r="FI265" s="399">
        <v>0</v>
      </c>
    </row>
    <row r="266" spans="1:165">
      <c r="A266" s="399">
        <v>262</v>
      </c>
      <c r="B266" s="399" t="s">
        <v>956</v>
      </c>
      <c r="C266" s="399" t="s">
        <v>2402</v>
      </c>
      <c r="D266" s="399" t="s">
        <v>1823</v>
      </c>
      <c r="E266" s="399" t="s">
        <v>889</v>
      </c>
      <c r="F266" s="399" t="s">
        <v>2405</v>
      </c>
      <c r="G266" s="399" t="s">
        <v>1239</v>
      </c>
      <c r="H266" s="399" t="s">
        <v>1239</v>
      </c>
      <c r="I266" s="399" t="s">
        <v>1239</v>
      </c>
      <c r="J266" s="399" t="s">
        <v>2400</v>
      </c>
      <c r="K266" s="788">
        <v>44774</v>
      </c>
      <c r="L266" s="399">
        <v>0</v>
      </c>
      <c r="M266" s="399">
        <v>0</v>
      </c>
      <c r="N266" s="399">
        <v>5.55</v>
      </c>
      <c r="O266" s="399">
        <v>5.55</v>
      </c>
      <c r="P266" s="399">
        <v>5.55</v>
      </c>
      <c r="Q266" s="399">
        <v>5.55</v>
      </c>
      <c r="R266" s="399"/>
      <c r="S266" s="399">
        <v>510.09</v>
      </c>
      <c r="T266" s="399">
        <v>286.42</v>
      </c>
      <c r="U266" s="399"/>
      <c r="V266" s="399">
        <v>4420.6305000000002</v>
      </c>
      <c r="W266" s="399">
        <v>4420.6305000000002</v>
      </c>
      <c r="X266" s="399">
        <v>3272.6684999999998</v>
      </c>
      <c r="Y266" s="399">
        <v>0</v>
      </c>
      <c r="Z266" s="399">
        <v>0</v>
      </c>
      <c r="AA266" s="399">
        <v>0</v>
      </c>
      <c r="AB266" s="399">
        <v>0</v>
      </c>
      <c r="AC266" s="399">
        <v>0</v>
      </c>
      <c r="AD266" s="399">
        <v>541.96943225114637</v>
      </c>
      <c r="AE266" s="399">
        <v>2093.5265733312067</v>
      </c>
      <c r="AF266" s="399">
        <v>1589.649566103345</v>
      </c>
      <c r="AG266" s="399">
        <v>0</v>
      </c>
      <c r="AH266" s="399">
        <v>0</v>
      </c>
      <c r="AI266" s="399">
        <v>0</v>
      </c>
      <c r="AJ266" s="399">
        <v>0</v>
      </c>
      <c r="AK266" s="399">
        <v>0</v>
      </c>
      <c r="AL266" s="399">
        <v>0</v>
      </c>
      <c r="AM266" s="399"/>
      <c r="AN266" s="399">
        <v>9.4784984934863665</v>
      </c>
      <c r="AO266" s="399">
        <v>0</v>
      </c>
      <c r="AP266" s="399">
        <v>0</v>
      </c>
      <c r="AQ266" s="399">
        <v>0</v>
      </c>
      <c r="AR266" s="399">
        <v>0</v>
      </c>
      <c r="AS266" s="399">
        <v>0</v>
      </c>
      <c r="AT266" s="399">
        <v>0</v>
      </c>
      <c r="AU266" s="399">
        <v>0</v>
      </c>
      <c r="AV266" s="399">
        <v>0</v>
      </c>
      <c r="AW266" s="399">
        <v>0</v>
      </c>
      <c r="AX266" s="399">
        <v>0</v>
      </c>
      <c r="AY266" s="399">
        <v>0</v>
      </c>
      <c r="AZ266" s="399">
        <v>0</v>
      </c>
      <c r="BA266" s="399"/>
      <c r="BB266" s="399">
        <v>0</v>
      </c>
      <c r="BC266" s="399">
        <v>0</v>
      </c>
      <c r="BD266" s="399">
        <v>0</v>
      </c>
      <c r="BE266" s="399">
        <v>0</v>
      </c>
      <c r="BF266" s="399">
        <v>0</v>
      </c>
      <c r="BG266" s="399">
        <v>186.04886967398957</v>
      </c>
      <c r="BH266" s="399">
        <v>0</v>
      </c>
      <c r="BI266" s="399">
        <v>23.24</v>
      </c>
      <c r="BJ266" s="399">
        <v>106.26</v>
      </c>
      <c r="BK266" s="399">
        <v>396.1</v>
      </c>
      <c r="BL266" s="399">
        <v>3</v>
      </c>
      <c r="BM266" s="399"/>
      <c r="BN266" s="399"/>
      <c r="BO266" s="399"/>
      <c r="BP266" s="399"/>
      <c r="BQ266" s="399"/>
      <c r="BR266" s="399"/>
      <c r="BS266" s="399"/>
      <c r="BT266" s="399">
        <v>2127.2594999999997</v>
      </c>
      <c r="BU266" s="399"/>
      <c r="BV266" s="399">
        <v>1775.6984357773347</v>
      </c>
      <c r="BW266" s="399"/>
      <c r="BX266" s="399"/>
      <c r="BY266" s="399"/>
      <c r="BZ266" s="399"/>
      <c r="CA266" s="399"/>
      <c r="CB266" s="399"/>
      <c r="CC266" s="399"/>
      <c r="CD266" s="399"/>
      <c r="CE266" s="399"/>
      <c r="CF266" s="399"/>
      <c r="CG266" s="399"/>
      <c r="CH266" s="399"/>
      <c r="CI266" s="399">
        <v>1145.4089999999999</v>
      </c>
      <c r="CJ266" s="399">
        <v>-401.84999999999991</v>
      </c>
      <c r="CK266" s="399"/>
      <c r="CL266" s="399"/>
      <c r="CM266" s="399"/>
      <c r="CN266" s="399"/>
      <c r="CO266" s="399">
        <v>-788.2109999999999</v>
      </c>
      <c r="CP266" s="399">
        <v>-359.75100000000009</v>
      </c>
      <c r="CQ266" s="399">
        <v>31</v>
      </c>
      <c r="CR266" s="399">
        <v>-384.10104578663754</v>
      </c>
      <c r="CS266" s="399">
        <v>0</v>
      </c>
      <c r="CT266" s="399">
        <v>0</v>
      </c>
      <c r="CU266" s="399">
        <v>0</v>
      </c>
      <c r="CV266" s="399">
        <v>0</v>
      </c>
      <c r="CW266" s="399">
        <v>0</v>
      </c>
      <c r="CX266" s="399">
        <v>0</v>
      </c>
      <c r="CY266" s="399">
        <v>0</v>
      </c>
      <c r="CZ266" s="399">
        <v>18.598714808933892</v>
      </c>
      <c r="DA266" s="399">
        <v>0</v>
      </c>
      <c r="DB266" s="399">
        <v>0</v>
      </c>
      <c r="DC266" s="399">
        <v>-359.78857065304942</v>
      </c>
      <c r="DD266" s="399">
        <v>0</v>
      </c>
      <c r="DE266" s="399">
        <v>0</v>
      </c>
      <c r="DF266" s="399">
        <v>0</v>
      </c>
      <c r="DG266" s="399">
        <v>-42.108813363000479</v>
      </c>
      <c r="DH266" s="399">
        <v>0</v>
      </c>
      <c r="DI266" s="399">
        <v>0</v>
      </c>
      <c r="DJ266" s="399"/>
      <c r="DK266" s="399">
        <v>0</v>
      </c>
      <c r="DL266" s="399">
        <v>0</v>
      </c>
      <c r="DM266" s="399">
        <v>0</v>
      </c>
      <c r="DN266" s="399">
        <v>0</v>
      </c>
      <c r="DO266" s="399">
        <v>0</v>
      </c>
      <c r="DP266" s="399">
        <v>-0.80237657952132935</v>
      </c>
      <c r="DQ266" s="399">
        <v>0</v>
      </c>
      <c r="DR266" s="399">
        <v>0</v>
      </c>
      <c r="DS266" s="399"/>
      <c r="DT266" s="399"/>
      <c r="DU266" s="399"/>
      <c r="DV266" s="399">
        <v>2093.5265733312067</v>
      </c>
      <c r="DW266" s="399">
        <v>0</v>
      </c>
      <c r="DX266" s="399">
        <v>0</v>
      </c>
      <c r="DY266" s="399">
        <v>-788.21100000000001</v>
      </c>
      <c r="DZ266" s="399">
        <v>-359.7510000000002</v>
      </c>
      <c r="EA266" s="399">
        <v>0</v>
      </c>
      <c r="EB266" s="399">
        <v>0</v>
      </c>
      <c r="EC266" s="399">
        <v>-763.92809358589443</v>
      </c>
      <c r="ED266" s="399">
        <v>0</v>
      </c>
      <c r="EE266" s="399">
        <v>0</v>
      </c>
      <c r="EF266" s="399">
        <v>0</v>
      </c>
      <c r="EG266" s="399">
        <v>0</v>
      </c>
      <c r="EH266" s="399">
        <v>0</v>
      </c>
      <c r="EI266" s="399">
        <v>0</v>
      </c>
      <c r="EJ266" s="399">
        <v>0</v>
      </c>
      <c r="EK266" s="399">
        <v>0</v>
      </c>
      <c r="EL266" s="399">
        <v>0</v>
      </c>
      <c r="EM266" s="399">
        <v>0</v>
      </c>
      <c r="EN266" s="399">
        <v>0</v>
      </c>
      <c r="EO266" s="399">
        <v>0</v>
      </c>
      <c r="EP266" s="399">
        <v>0</v>
      </c>
      <c r="EQ266" s="399">
        <v>0</v>
      </c>
      <c r="ER266" s="399">
        <v>0</v>
      </c>
      <c r="ES266" s="399">
        <v>0</v>
      </c>
      <c r="ET266" s="399">
        <v>0</v>
      </c>
      <c r="EU266" s="399">
        <v>0</v>
      </c>
      <c r="EV266" s="399">
        <v>202</v>
      </c>
      <c r="EW266" s="399">
        <v>0</v>
      </c>
      <c r="EX266" s="399">
        <v>0</v>
      </c>
      <c r="EY266" s="399">
        <v>0</v>
      </c>
      <c r="EZ266" s="399"/>
      <c r="FA266" s="399">
        <v>0</v>
      </c>
      <c r="FB266" s="399">
        <v>-17.698635468909799</v>
      </c>
      <c r="FC266" s="399"/>
      <c r="FD266" s="399">
        <v>-17.698635468909799</v>
      </c>
      <c r="FE266" s="399"/>
      <c r="FF266" s="399">
        <v>0</v>
      </c>
      <c r="FG266" s="399">
        <v>0</v>
      </c>
      <c r="FH266" s="399">
        <v>0</v>
      </c>
      <c r="FI266" s="399">
        <v>0</v>
      </c>
    </row>
    <row r="267" spans="1:165">
      <c r="A267" s="399">
        <v>263</v>
      </c>
      <c r="B267" s="399" t="s">
        <v>956</v>
      </c>
      <c r="C267" s="399" t="s">
        <v>2402</v>
      </c>
      <c r="D267" s="399" t="s">
        <v>1823</v>
      </c>
      <c r="E267" s="399" t="s">
        <v>889</v>
      </c>
      <c r="F267" s="399" t="s">
        <v>2406</v>
      </c>
      <c r="G267" s="399" t="s">
        <v>1239</v>
      </c>
      <c r="H267" s="399" t="s">
        <v>1239</v>
      </c>
      <c r="I267" s="399" t="s">
        <v>1239</v>
      </c>
      <c r="J267" s="399" t="s">
        <v>2400</v>
      </c>
      <c r="K267" s="788">
        <v>44774</v>
      </c>
      <c r="L267" s="399">
        <v>0</v>
      </c>
      <c r="M267" s="399">
        <v>0</v>
      </c>
      <c r="N267" s="399">
        <v>10.305999999999999</v>
      </c>
      <c r="O267" s="399">
        <v>10.305999999999999</v>
      </c>
      <c r="P267" s="399">
        <v>10.305999999999999</v>
      </c>
      <c r="Q267" s="399">
        <v>10.305999999999999</v>
      </c>
      <c r="R267" s="399"/>
      <c r="S267" s="399">
        <v>510.09</v>
      </c>
      <c r="T267" s="399">
        <v>286.42</v>
      </c>
      <c r="U267" s="399"/>
      <c r="V267" s="399">
        <v>8208.8320599999988</v>
      </c>
      <c r="W267" s="399">
        <v>8208.8320599999988</v>
      </c>
      <c r="X267" s="399">
        <v>6077.1390199999987</v>
      </c>
      <c r="Y267" s="399">
        <v>0</v>
      </c>
      <c r="Z267" s="399">
        <v>0</v>
      </c>
      <c r="AA267" s="399">
        <v>0</v>
      </c>
      <c r="AB267" s="399">
        <v>0</v>
      </c>
      <c r="AC267" s="399">
        <v>0</v>
      </c>
      <c r="AD267" s="399">
        <v>1006.4030574378944</v>
      </c>
      <c r="AE267" s="399">
        <v>3887.5468224777323</v>
      </c>
      <c r="AF267" s="399">
        <v>2951.8789960830763</v>
      </c>
      <c r="AG267" s="399">
        <v>0</v>
      </c>
      <c r="AH267" s="399">
        <v>0</v>
      </c>
      <c r="AI267" s="399">
        <v>0</v>
      </c>
      <c r="AJ267" s="399">
        <v>0</v>
      </c>
      <c r="AK267" s="399">
        <v>0</v>
      </c>
      <c r="AL267" s="399">
        <v>0</v>
      </c>
      <c r="AM267" s="399"/>
      <c r="AN267" s="399">
        <v>17.600973959255946</v>
      </c>
      <c r="AO267" s="399">
        <v>0</v>
      </c>
      <c r="AP267" s="399">
        <v>0</v>
      </c>
      <c r="AQ267" s="399">
        <v>0</v>
      </c>
      <c r="AR267" s="399">
        <v>0</v>
      </c>
      <c r="AS267" s="399">
        <v>0</v>
      </c>
      <c r="AT267" s="399">
        <v>0</v>
      </c>
      <c r="AU267" s="399">
        <v>0</v>
      </c>
      <c r="AV267" s="399">
        <v>0</v>
      </c>
      <c r="AW267" s="399">
        <v>0</v>
      </c>
      <c r="AX267" s="399">
        <v>0</v>
      </c>
      <c r="AY267" s="399">
        <v>0</v>
      </c>
      <c r="AZ267" s="399">
        <v>0</v>
      </c>
      <c r="BA267" s="399"/>
      <c r="BB267" s="399">
        <v>0</v>
      </c>
      <c r="BC267" s="399">
        <v>0</v>
      </c>
      <c r="BD267" s="399">
        <v>0</v>
      </c>
      <c r="BE267" s="399">
        <v>0</v>
      </c>
      <c r="BF267" s="399">
        <v>0</v>
      </c>
      <c r="BG267" s="399">
        <v>345.48101817299755</v>
      </c>
      <c r="BH267" s="399">
        <v>0</v>
      </c>
      <c r="BI267" s="399">
        <v>42.34</v>
      </c>
      <c r="BJ267" s="399">
        <v>198.41</v>
      </c>
      <c r="BK267" s="399">
        <v>919.71</v>
      </c>
      <c r="BL267" s="399">
        <v>74</v>
      </c>
      <c r="BM267" s="399"/>
      <c r="BN267" s="399"/>
      <c r="BO267" s="399"/>
      <c r="BP267" s="399"/>
      <c r="BQ267" s="399"/>
      <c r="BR267" s="399"/>
      <c r="BS267" s="399"/>
      <c r="BT267" s="399">
        <v>2430.8762199999996</v>
      </c>
      <c r="BU267" s="399"/>
      <c r="BV267" s="399">
        <v>3297.360014256074</v>
      </c>
      <c r="BW267" s="399"/>
      <c r="BX267" s="399"/>
      <c r="BY267" s="399"/>
      <c r="BZ267" s="399"/>
      <c r="CA267" s="399"/>
      <c r="CB267" s="399"/>
      <c r="CC267" s="399"/>
      <c r="CD267" s="399"/>
      <c r="CE267" s="399"/>
      <c r="CF267" s="399"/>
      <c r="CG267" s="399"/>
      <c r="CH267" s="399"/>
      <c r="CI267" s="399">
        <v>3647.6779999999999</v>
      </c>
      <c r="CJ267" s="399">
        <v>-1277.6924600000002</v>
      </c>
      <c r="CK267" s="399"/>
      <c r="CL267" s="399"/>
      <c r="CM267" s="399"/>
      <c r="CN267" s="399"/>
      <c r="CO267" s="399">
        <v>-1463.6581199999996</v>
      </c>
      <c r="CP267" s="399">
        <v>-668.03492000000017</v>
      </c>
      <c r="CQ267" s="399">
        <v>31</v>
      </c>
      <c r="CR267" s="399">
        <v>-713.25141943731251</v>
      </c>
      <c r="CS267" s="399">
        <v>0</v>
      </c>
      <c r="CT267" s="399">
        <v>0</v>
      </c>
      <c r="CU267" s="399">
        <v>0</v>
      </c>
      <c r="CV267" s="399">
        <v>0</v>
      </c>
      <c r="CW267" s="399">
        <v>0</v>
      </c>
      <c r="CX267" s="399">
        <v>0</v>
      </c>
      <c r="CY267" s="399">
        <v>0</v>
      </c>
      <c r="CZ267" s="399">
        <v>34.536640508265236</v>
      </c>
      <c r="DA267" s="399">
        <v>0</v>
      </c>
      <c r="DB267" s="399">
        <v>0</v>
      </c>
      <c r="DC267" s="399">
        <v>-668.10468633339269</v>
      </c>
      <c r="DD267" s="399">
        <v>0</v>
      </c>
      <c r="DE267" s="399">
        <v>0</v>
      </c>
      <c r="DF267" s="399">
        <v>0</v>
      </c>
      <c r="DG267" s="399">
        <v>-78.19341090433926</v>
      </c>
      <c r="DH267" s="399">
        <v>0</v>
      </c>
      <c r="DI267" s="399">
        <v>0</v>
      </c>
      <c r="DJ267" s="399"/>
      <c r="DK267" s="399">
        <v>0</v>
      </c>
      <c r="DL267" s="399">
        <v>0</v>
      </c>
      <c r="DM267" s="399">
        <v>0</v>
      </c>
      <c r="DN267" s="399">
        <v>0</v>
      </c>
      <c r="DO267" s="399">
        <v>0</v>
      </c>
      <c r="DP267" s="399">
        <v>-1.4899627078462778</v>
      </c>
      <c r="DQ267" s="399">
        <v>0</v>
      </c>
      <c r="DR267" s="399">
        <v>0</v>
      </c>
      <c r="DS267" s="399"/>
      <c r="DT267" s="399"/>
      <c r="DU267" s="399"/>
      <c r="DV267" s="399">
        <v>3887.5468224777323</v>
      </c>
      <c r="DW267" s="399">
        <v>0</v>
      </c>
      <c r="DX267" s="399">
        <v>0</v>
      </c>
      <c r="DY267" s="399">
        <v>-1463.6581199999996</v>
      </c>
      <c r="DZ267" s="399">
        <v>-668.03492000000051</v>
      </c>
      <c r="EA267" s="399">
        <v>0</v>
      </c>
      <c r="EB267" s="399">
        <v>0</v>
      </c>
      <c r="EC267" s="399">
        <v>-1418.5662941434643</v>
      </c>
      <c r="ED267" s="399">
        <v>0</v>
      </c>
      <c r="EE267" s="399">
        <v>0</v>
      </c>
      <c r="EF267" s="399">
        <v>0</v>
      </c>
      <c r="EG267" s="399">
        <v>0</v>
      </c>
      <c r="EH267" s="399">
        <v>0</v>
      </c>
      <c r="EI267" s="399">
        <v>0</v>
      </c>
      <c r="EJ267" s="399">
        <v>0</v>
      </c>
      <c r="EK267" s="399">
        <v>0</v>
      </c>
      <c r="EL267" s="399">
        <v>0</v>
      </c>
      <c r="EM267" s="399">
        <v>0</v>
      </c>
      <c r="EN267" s="399">
        <v>0</v>
      </c>
      <c r="EO267" s="399">
        <v>0</v>
      </c>
      <c r="EP267" s="399">
        <v>0</v>
      </c>
      <c r="EQ267" s="399">
        <v>0</v>
      </c>
      <c r="ER267" s="399">
        <v>0</v>
      </c>
      <c r="ES267" s="399">
        <v>0</v>
      </c>
      <c r="ET267" s="399">
        <v>0</v>
      </c>
      <c r="EU267" s="399">
        <v>0</v>
      </c>
      <c r="EV267" s="399">
        <v>202</v>
      </c>
      <c r="EW267" s="399">
        <v>0</v>
      </c>
      <c r="EX267" s="399">
        <v>0</v>
      </c>
      <c r="EY267" s="399">
        <v>0</v>
      </c>
      <c r="EZ267" s="399"/>
      <c r="FA267" s="399">
        <v>0</v>
      </c>
      <c r="FB267" s="399">
        <v>-17.698635468909799</v>
      </c>
      <c r="FC267" s="399"/>
      <c r="FD267" s="399">
        <v>-17.698635468909799</v>
      </c>
      <c r="FE267" s="399"/>
      <c r="FF267" s="399">
        <v>0</v>
      </c>
      <c r="FG267" s="399">
        <v>0</v>
      </c>
      <c r="FH267" s="399">
        <v>0</v>
      </c>
      <c r="FI267" s="399">
        <v>0</v>
      </c>
    </row>
    <row r="268" spans="1:165">
      <c r="A268" s="399">
        <v>264</v>
      </c>
      <c r="B268" s="399" t="s">
        <v>956</v>
      </c>
      <c r="C268" s="399" t="s">
        <v>2402</v>
      </c>
      <c r="D268" s="399" t="s">
        <v>1823</v>
      </c>
      <c r="E268" s="399" t="s">
        <v>889</v>
      </c>
      <c r="F268" s="399" t="s">
        <v>2407</v>
      </c>
      <c r="G268" s="399" t="s">
        <v>1239</v>
      </c>
      <c r="H268" s="399" t="s">
        <v>1239</v>
      </c>
      <c r="I268" s="399" t="s">
        <v>1239</v>
      </c>
      <c r="J268" s="399" t="s">
        <v>2400</v>
      </c>
      <c r="K268" s="788">
        <v>44774</v>
      </c>
      <c r="L268" s="399">
        <v>0</v>
      </c>
      <c r="M268" s="399">
        <v>0</v>
      </c>
      <c r="N268" s="399">
        <v>7.2119999999999997</v>
      </c>
      <c r="O268" s="399">
        <v>7.2119999999999997</v>
      </c>
      <c r="P268" s="399">
        <v>7.2119999999999997</v>
      </c>
      <c r="Q268" s="399">
        <v>7.2119999999999997</v>
      </c>
      <c r="R268" s="399"/>
      <c r="S268" s="399">
        <v>510.09</v>
      </c>
      <c r="T268" s="399">
        <v>286.42</v>
      </c>
      <c r="U268" s="399"/>
      <c r="V268" s="399">
        <v>5744.4301199999991</v>
      </c>
      <c r="W268" s="399">
        <v>5744.4301199999991</v>
      </c>
      <c r="X268" s="399">
        <v>4252.7000399999997</v>
      </c>
      <c r="Y268" s="399">
        <v>0</v>
      </c>
      <c r="Z268" s="399">
        <v>0</v>
      </c>
      <c r="AA268" s="399">
        <v>0</v>
      </c>
      <c r="AB268" s="399">
        <v>0</v>
      </c>
      <c r="AC268" s="399">
        <v>0</v>
      </c>
      <c r="AD268" s="399">
        <v>704.26730547662476</v>
      </c>
      <c r="AE268" s="399">
        <v>2720.4529093449842</v>
      </c>
      <c r="AF268" s="399">
        <v>2065.685165898617</v>
      </c>
      <c r="AG268" s="399">
        <v>0</v>
      </c>
      <c r="AH268" s="399">
        <v>0</v>
      </c>
      <c r="AI268" s="399">
        <v>0</v>
      </c>
      <c r="AJ268" s="399">
        <v>0</v>
      </c>
      <c r="AK268" s="399">
        <v>0</v>
      </c>
      <c r="AL268" s="399">
        <v>0</v>
      </c>
      <c r="AM268" s="399"/>
      <c r="AN268" s="399">
        <v>12.316924528833095</v>
      </c>
      <c r="AO268" s="399">
        <v>0</v>
      </c>
      <c r="AP268" s="399">
        <v>0</v>
      </c>
      <c r="AQ268" s="399">
        <v>0</v>
      </c>
      <c r="AR268" s="399">
        <v>0</v>
      </c>
      <c r="AS268" s="399">
        <v>0</v>
      </c>
      <c r="AT268" s="399">
        <v>0</v>
      </c>
      <c r="AU268" s="399">
        <v>0</v>
      </c>
      <c r="AV268" s="399">
        <v>0</v>
      </c>
      <c r="AW268" s="399">
        <v>0</v>
      </c>
      <c r="AX268" s="399">
        <v>0</v>
      </c>
      <c r="AY268" s="399">
        <v>0</v>
      </c>
      <c r="AZ268" s="399">
        <v>0</v>
      </c>
      <c r="BA268" s="399"/>
      <c r="BB268" s="399">
        <v>0</v>
      </c>
      <c r="BC268" s="399">
        <v>0</v>
      </c>
      <c r="BD268" s="399">
        <v>0</v>
      </c>
      <c r="BE268" s="399">
        <v>0</v>
      </c>
      <c r="BF268" s="399">
        <v>0</v>
      </c>
      <c r="BG268" s="399">
        <v>241.7629636196059</v>
      </c>
      <c r="BH268" s="399">
        <v>0</v>
      </c>
      <c r="BI268" s="399">
        <v>29.49</v>
      </c>
      <c r="BJ268" s="399">
        <v>137.5</v>
      </c>
      <c r="BK268" s="399">
        <v>887.99</v>
      </c>
      <c r="BL268" s="399">
        <v>88</v>
      </c>
      <c r="BM268" s="399"/>
      <c r="BN268" s="399"/>
      <c r="BO268" s="399"/>
      <c r="BP268" s="399"/>
      <c r="BQ268" s="399"/>
      <c r="BR268" s="399"/>
      <c r="BS268" s="399"/>
      <c r="BT268" s="399">
        <v>425.29163999999997</v>
      </c>
      <c r="BU268" s="399"/>
      <c r="BV268" s="399">
        <v>2307.4481295182231</v>
      </c>
      <c r="BW268" s="399"/>
      <c r="BX268" s="399"/>
      <c r="BY268" s="399"/>
      <c r="BZ268" s="399"/>
      <c r="CA268" s="399"/>
      <c r="CB268" s="399"/>
      <c r="CC268" s="399"/>
      <c r="CD268" s="399"/>
      <c r="CE268" s="399"/>
      <c r="CF268" s="399"/>
      <c r="CG268" s="399"/>
      <c r="CH268" s="399"/>
      <c r="CI268" s="399">
        <v>3826.3469999999998</v>
      </c>
      <c r="CJ268" s="399">
        <v>-1343.6773200000007</v>
      </c>
      <c r="CK268" s="399"/>
      <c r="CL268" s="399"/>
      <c r="CM268" s="399"/>
      <c r="CN268" s="399"/>
      <c r="CO268" s="399">
        <v>-1024.2482399999999</v>
      </c>
      <c r="CP268" s="399">
        <v>-467.48184000000015</v>
      </c>
      <c r="CQ268" s="399">
        <v>31</v>
      </c>
      <c r="CR268" s="399">
        <v>-499.12373733571712</v>
      </c>
      <c r="CS268" s="399">
        <v>0</v>
      </c>
      <c r="CT268" s="399">
        <v>0</v>
      </c>
      <c r="CU268" s="399">
        <v>0</v>
      </c>
      <c r="CV268" s="399">
        <v>0</v>
      </c>
      <c r="CW268" s="399">
        <v>0</v>
      </c>
      <c r="CX268" s="399">
        <v>0</v>
      </c>
      <c r="CY268" s="399">
        <v>0</v>
      </c>
      <c r="CZ268" s="399">
        <v>24.168275892257839</v>
      </c>
      <c r="DA268" s="399">
        <v>0</v>
      </c>
      <c r="DB268" s="399">
        <v>0</v>
      </c>
      <c r="DC268" s="399">
        <v>-467.53066154050316</v>
      </c>
      <c r="DD268" s="399">
        <v>0</v>
      </c>
      <c r="DE268" s="399">
        <v>0</v>
      </c>
      <c r="DF268" s="399">
        <v>0</v>
      </c>
      <c r="DG268" s="399">
        <v>-54.71869585116383</v>
      </c>
      <c r="DH268" s="399">
        <v>0</v>
      </c>
      <c r="DI268" s="399">
        <v>0</v>
      </c>
      <c r="DJ268" s="399"/>
      <c r="DK268" s="399">
        <v>0</v>
      </c>
      <c r="DL268" s="399">
        <v>0</v>
      </c>
      <c r="DM268" s="399">
        <v>0</v>
      </c>
      <c r="DN268" s="399">
        <v>0</v>
      </c>
      <c r="DO268" s="399">
        <v>0</v>
      </c>
      <c r="DP268" s="399">
        <v>-1.0426558363077181</v>
      </c>
      <c r="DQ268" s="399">
        <v>0</v>
      </c>
      <c r="DR268" s="399">
        <v>0</v>
      </c>
      <c r="DS268" s="399"/>
      <c r="DT268" s="399"/>
      <c r="DU268" s="399"/>
      <c r="DV268" s="399">
        <v>2720.4529093449842</v>
      </c>
      <c r="DW268" s="399">
        <v>0</v>
      </c>
      <c r="DX268" s="399">
        <v>0</v>
      </c>
      <c r="DY268" s="399">
        <v>-1024.2482399999999</v>
      </c>
      <c r="DZ268" s="399">
        <v>-467.48184000000015</v>
      </c>
      <c r="EA268" s="399">
        <v>0</v>
      </c>
      <c r="EB268" s="399">
        <v>0</v>
      </c>
      <c r="EC268" s="399">
        <v>-992.69358755702183</v>
      </c>
      <c r="ED268" s="399">
        <v>0</v>
      </c>
      <c r="EE268" s="399">
        <v>0</v>
      </c>
      <c r="EF268" s="399">
        <v>0</v>
      </c>
      <c r="EG268" s="399">
        <v>0</v>
      </c>
      <c r="EH268" s="399">
        <v>0</v>
      </c>
      <c r="EI268" s="399">
        <v>0</v>
      </c>
      <c r="EJ268" s="399">
        <v>0</v>
      </c>
      <c r="EK268" s="399">
        <v>0</v>
      </c>
      <c r="EL268" s="399">
        <v>0</v>
      </c>
      <c r="EM268" s="399">
        <v>0</v>
      </c>
      <c r="EN268" s="399">
        <v>0</v>
      </c>
      <c r="EO268" s="399">
        <v>0</v>
      </c>
      <c r="EP268" s="399">
        <v>0</v>
      </c>
      <c r="EQ268" s="399">
        <v>0</v>
      </c>
      <c r="ER268" s="399">
        <v>0</v>
      </c>
      <c r="ES268" s="399">
        <v>0</v>
      </c>
      <c r="ET268" s="399">
        <v>0</v>
      </c>
      <c r="EU268" s="399">
        <v>0</v>
      </c>
      <c r="EV268" s="399">
        <v>202</v>
      </c>
      <c r="EW268" s="399">
        <v>0</v>
      </c>
      <c r="EX268" s="399">
        <v>0</v>
      </c>
      <c r="EY268" s="399">
        <v>0</v>
      </c>
      <c r="EZ268" s="399"/>
      <c r="FA268" s="399">
        <v>0</v>
      </c>
      <c r="FB268" s="399">
        <v>-17.698635468909799</v>
      </c>
      <c r="FC268" s="399"/>
      <c r="FD268" s="399">
        <v>-17.698635468909799</v>
      </c>
      <c r="FE268" s="399"/>
      <c r="FF268" s="399">
        <v>0</v>
      </c>
      <c r="FG268" s="399">
        <v>0</v>
      </c>
      <c r="FH268" s="399">
        <v>0</v>
      </c>
      <c r="FI268" s="399">
        <v>0</v>
      </c>
    </row>
    <row r="269" spans="1:165">
      <c r="A269" s="399">
        <v>265</v>
      </c>
      <c r="B269" s="399" t="s">
        <v>956</v>
      </c>
      <c r="C269" s="399" t="s">
        <v>2402</v>
      </c>
      <c r="D269" s="399" t="s">
        <v>1823</v>
      </c>
      <c r="E269" s="399" t="s">
        <v>889</v>
      </c>
      <c r="F269" s="399" t="s">
        <v>2408</v>
      </c>
      <c r="G269" s="399" t="s">
        <v>1239</v>
      </c>
      <c r="H269" s="399" t="s">
        <v>1239</v>
      </c>
      <c r="I269" s="399" t="s">
        <v>1239</v>
      </c>
      <c r="J269" s="399" t="s">
        <v>2400</v>
      </c>
      <c r="K269" s="788">
        <v>44774</v>
      </c>
      <c r="L269" s="399">
        <v>0</v>
      </c>
      <c r="M269" s="399">
        <v>0</v>
      </c>
      <c r="N269" s="399">
        <v>1.1619999999999999</v>
      </c>
      <c r="O269" s="399">
        <v>1.1619999999999999</v>
      </c>
      <c r="P269" s="399">
        <v>1.1619999999999999</v>
      </c>
      <c r="Q269" s="399">
        <v>1.1619999999999999</v>
      </c>
      <c r="R269" s="399"/>
      <c r="S269" s="399">
        <v>510.09</v>
      </c>
      <c r="T269" s="399">
        <v>286.42</v>
      </c>
      <c r="U269" s="399"/>
      <c r="V269" s="399">
        <v>925.5446199999999</v>
      </c>
      <c r="W269" s="399">
        <v>925.5446199999999</v>
      </c>
      <c r="X269" s="399">
        <v>685.19653999999991</v>
      </c>
      <c r="Y269" s="399">
        <v>0</v>
      </c>
      <c r="Z269" s="399">
        <v>0</v>
      </c>
      <c r="AA269" s="399">
        <v>0</v>
      </c>
      <c r="AB269" s="399">
        <v>0</v>
      </c>
      <c r="AC269" s="399">
        <v>0</v>
      </c>
      <c r="AD269" s="399">
        <v>113.47179824789767</v>
      </c>
      <c r="AE269" s="399">
        <v>438.3203384163715</v>
      </c>
      <c r="AF269" s="399">
        <v>332.82392717334898</v>
      </c>
      <c r="AG269" s="399">
        <v>0</v>
      </c>
      <c r="AH269" s="399">
        <v>0</v>
      </c>
      <c r="AI269" s="399">
        <v>0</v>
      </c>
      <c r="AJ269" s="399">
        <v>0</v>
      </c>
      <c r="AK269" s="399">
        <v>0</v>
      </c>
      <c r="AL269" s="399">
        <v>0</v>
      </c>
      <c r="AM269" s="399"/>
      <c r="AN269" s="399">
        <v>1.9845072521497582</v>
      </c>
      <c r="AO269" s="399">
        <v>0</v>
      </c>
      <c r="AP269" s="399">
        <v>0</v>
      </c>
      <c r="AQ269" s="399">
        <v>0</v>
      </c>
      <c r="AR269" s="399">
        <v>0</v>
      </c>
      <c r="AS269" s="399">
        <v>0</v>
      </c>
      <c r="AT269" s="399">
        <v>0</v>
      </c>
      <c r="AU269" s="399">
        <v>0</v>
      </c>
      <c r="AV269" s="399">
        <v>0</v>
      </c>
      <c r="AW269" s="399">
        <v>0</v>
      </c>
      <c r="AX269" s="399">
        <v>0</v>
      </c>
      <c r="AY269" s="399">
        <v>0</v>
      </c>
      <c r="AZ269" s="399">
        <v>0</v>
      </c>
      <c r="BA269" s="399"/>
      <c r="BB269" s="399">
        <v>0</v>
      </c>
      <c r="BC269" s="399">
        <v>0</v>
      </c>
      <c r="BD269" s="399">
        <v>0</v>
      </c>
      <c r="BE269" s="399">
        <v>0</v>
      </c>
      <c r="BF269" s="399">
        <v>0</v>
      </c>
      <c r="BG269" s="399">
        <v>38.952934515527183</v>
      </c>
      <c r="BH269" s="399">
        <v>0</v>
      </c>
      <c r="BI269" s="399">
        <v>4.83</v>
      </c>
      <c r="BJ269" s="399">
        <v>22.34</v>
      </c>
      <c r="BK269" s="399">
        <v>180.27</v>
      </c>
      <c r="BL269" s="399">
        <v>20</v>
      </c>
      <c r="BM269" s="399"/>
      <c r="BN269" s="399"/>
      <c r="BO269" s="399"/>
      <c r="BP269" s="399"/>
      <c r="BQ269" s="399"/>
      <c r="BR269" s="399"/>
      <c r="BS269" s="399"/>
      <c r="BT269" s="399"/>
      <c r="BU269" s="399"/>
      <c r="BV269" s="399">
        <v>371.77686168887618</v>
      </c>
      <c r="BW269" s="399"/>
      <c r="BX269" s="399"/>
      <c r="BY269" s="399"/>
      <c r="BZ269" s="399"/>
      <c r="CA269" s="399"/>
      <c r="CB269" s="399"/>
      <c r="CC269" s="399"/>
      <c r="CD269" s="399"/>
      <c r="CE269" s="399"/>
      <c r="CF269" s="399"/>
      <c r="CG269" s="399"/>
      <c r="CH269" s="399"/>
      <c r="CI269" s="399">
        <v>684.0172</v>
      </c>
      <c r="CJ269" s="399">
        <v>-241.55741999999987</v>
      </c>
      <c r="CK269" s="399"/>
      <c r="CL269" s="399"/>
      <c r="CM269" s="399"/>
      <c r="CN269" s="399"/>
      <c r="CO269" s="399">
        <v>-165.02723999999998</v>
      </c>
      <c r="CP269" s="399">
        <v>-75.320840000000018</v>
      </c>
      <c r="CQ269" s="399">
        <v>31</v>
      </c>
      <c r="CR269" s="399">
        <v>-80.418993730463512</v>
      </c>
      <c r="CS269" s="399">
        <v>0</v>
      </c>
      <c r="CT269" s="399">
        <v>0</v>
      </c>
      <c r="CU269" s="399">
        <v>0</v>
      </c>
      <c r="CV269" s="399">
        <v>0</v>
      </c>
      <c r="CW269" s="399">
        <v>0</v>
      </c>
      <c r="CX269" s="399">
        <v>0</v>
      </c>
      <c r="CY269" s="399">
        <v>0</v>
      </c>
      <c r="CZ269" s="399">
        <v>3.894001190627236</v>
      </c>
      <c r="DA269" s="399">
        <v>0</v>
      </c>
      <c r="DB269" s="399">
        <v>0</v>
      </c>
      <c r="DC269" s="399">
        <v>-75.328706143935733</v>
      </c>
      <c r="DD269" s="399">
        <v>0</v>
      </c>
      <c r="DE269" s="399">
        <v>0</v>
      </c>
      <c r="DF269" s="399">
        <v>0</v>
      </c>
      <c r="DG269" s="399">
        <v>-8.816295698703879</v>
      </c>
      <c r="DH269" s="399">
        <v>0</v>
      </c>
      <c r="DI269" s="399">
        <v>0</v>
      </c>
      <c r="DJ269" s="399"/>
      <c r="DK269" s="399">
        <v>0</v>
      </c>
      <c r="DL269" s="399">
        <v>0</v>
      </c>
      <c r="DM269" s="399">
        <v>0</v>
      </c>
      <c r="DN269" s="399">
        <v>0</v>
      </c>
      <c r="DO269" s="399">
        <v>0</v>
      </c>
      <c r="DP269" s="399">
        <v>-0.16799307845113254</v>
      </c>
      <c r="DQ269" s="399">
        <v>0</v>
      </c>
      <c r="DR269" s="399">
        <v>0</v>
      </c>
      <c r="DS269" s="399"/>
      <c r="DT269" s="399"/>
      <c r="DU269" s="399"/>
      <c r="DV269" s="399">
        <v>438.3203384163715</v>
      </c>
      <c r="DW269" s="399">
        <v>0</v>
      </c>
      <c r="DX269" s="399">
        <v>0</v>
      </c>
      <c r="DY269" s="399">
        <v>-165.02724000000001</v>
      </c>
      <c r="DZ269" s="399">
        <v>-75.320840000000032</v>
      </c>
      <c r="EA269" s="399">
        <v>0</v>
      </c>
      <c r="EB269" s="399">
        <v>0</v>
      </c>
      <c r="EC269" s="399">
        <v>-159.94314319762327</v>
      </c>
      <c r="ED269" s="399">
        <v>0</v>
      </c>
      <c r="EE269" s="399">
        <v>0</v>
      </c>
      <c r="EF269" s="399">
        <v>0</v>
      </c>
      <c r="EG269" s="399">
        <v>0</v>
      </c>
      <c r="EH269" s="399">
        <v>0</v>
      </c>
      <c r="EI269" s="399">
        <v>0</v>
      </c>
      <c r="EJ269" s="399">
        <v>0</v>
      </c>
      <c r="EK269" s="399">
        <v>0</v>
      </c>
      <c r="EL269" s="399">
        <v>0</v>
      </c>
      <c r="EM269" s="399">
        <v>0</v>
      </c>
      <c r="EN269" s="399">
        <v>0</v>
      </c>
      <c r="EO269" s="399">
        <v>0</v>
      </c>
      <c r="EP269" s="399">
        <v>0</v>
      </c>
      <c r="EQ269" s="399">
        <v>0</v>
      </c>
      <c r="ER269" s="399">
        <v>0</v>
      </c>
      <c r="ES269" s="399">
        <v>0</v>
      </c>
      <c r="ET269" s="399">
        <v>0</v>
      </c>
      <c r="EU269" s="399">
        <v>0</v>
      </c>
      <c r="EV269" s="399">
        <v>202</v>
      </c>
      <c r="EW269" s="399">
        <v>0</v>
      </c>
      <c r="EX269" s="399">
        <v>0</v>
      </c>
      <c r="EY269" s="399">
        <v>0</v>
      </c>
      <c r="EZ269" s="399"/>
      <c r="FA269" s="399">
        <v>0</v>
      </c>
      <c r="FB269" s="399">
        <v>-17.698635468909799</v>
      </c>
      <c r="FC269" s="399"/>
      <c r="FD269" s="399">
        <v>-17.698635468909799</v>
      </c>
      <c r="FE269" s="399"/>
      <c r="FF269" s="399">
        <v>0</v>
      </c>
      <c r="FG269" s="399">
        <v>0</v>
      </c>
      <c r="FH269" s="399">
        <v>0</v>
      </c>
      <c r="FI269" s="399">
        <v>0</v>
      </c>
    </row>
    <row r="270" spans="1:165">
      <c r="A270" s="399">
        <v>266</v>
      </c>
      <c r="B270" s="399" t="s">
        <v>956</v>
      </c>
      <c r="C270" s="399" t="s">
        <v>2409</v>
      </c>
      <c r="D270" s="399" t="s">
        <v>1823</v>
      </c>
      <c r="E270" s="399" t="s">
        <v>889</v>
      </c>
      <c r="F270" s="399" t="s">
        <v>889</v>
      </c>
      <c r="G270" s="399" t="s">
        <v>1239</v>
      </c>
      <c r="H270" s="399" t="s">
        <v>1239</v>
      </c>
      <c r="I270" s="399" t="s">
        <v>2326</v>
      </c>
      <c r="J270" s="399" t="s">
        <v>2400</v>
      </c>
      <c r="K270" s="788">
        <v>44774</v>
      </c>
      <c r="L270" s="399">
        <v>0</v>
      </c>
      <c r="M270" s="399">
        <v>0</v>
      </c>
      <c r="N270" s="399">
        <v>4.2000000000000003E-2</v>
      </c>
      <c r="O270" s="399">
        <v>4.2000000000000003E-2</v>
      </c>
      <c r="P270" s="399">
        <v>4.2000000000000003E-2</v>
      </c>
      <c r="Q270" s="399">
        <v>4.2000000000000003E-2</v>
      </c>
      <c r="R270" s="399"/>
      <c r="S270" s="399">
        <v>409.62</v>
      </c>
      <c r="T270" s="399">
        <v>286.42</v>
      </c>
      <c r="U270" s="399"/>
      <c r="V270" s="399">
        <v>29.233680000000003</v>
      </c>
      <c r="W270" s="399">
        <v>29.233680000000003</v>
      </c>
      <c r="X270" s="399">
        <v>22.71528</v>
      </c>
      <c r="Y270" s="399">
        <v>0</v>
      </c>
      <c r="Z270" s="399">
        <v>2.556178756794663</v>
      </c>
      <c r="AA270" s="399">
        <v>0</v>
      </c>
      <c r="AB270" s="399">
        <v>0</v>
      </c>
      <c r="AC270" s="399">
        <v>0</v>
      </c>
      <c r="AD270" s="399">
        <v>2.3790149425076286</v>
      </c>
      <c r="AE270" s="399">
        <v>9.1888806224054704</v>
      </c>
      <c r="AF270" s="399">
        <v>12.029780500241532</v>
      </c>
      <c r="AG270" s="399">
        <v>0</v>
      </c>
      <c r="AH270" s="399">
        <v>0</v>
      </c>
      <c r="AI270" s="399">
        <v>0</v>
      </c>
      <c r="AJ270" s="399">
        <v>0</v>
      </c>
      <c r="AK270" s="399">
        <v>0</v>
      </c>
      <c r="AL270" s="399">
        <v>0.39504733610091336</v>
      </c>
      <c r="AM270" s="399"/>
      <c r="AN270" s="399">
        <v>7.1729177788545484E-2</v>
      </c>
      <c r="AO270" s="399">
        <v>0</v>
      </c>
      <c r="AP270" s="399">
        <v>0</v>
      </c>
      <c r="AQ270" s="399">
        <v>0</v>
      </c>
      <c r="AR270" s="399">
        <v>0</v>
      </c>
      <c r="AS270" s="399">
        <v>0</v>
      </c>
      <c r="AT270" s="399">
        <v>0</v>
      </c>
      <c r="AU270" s="399">
        <v>0</v>
      </c>
      <c r="AV270" s="399">
        <v>0</v>
      </c>
      <c r="AW270" s="399">
        <v>0</v>
      </c>
      <c r="AX270" s="399">
        <v>0</v>
      </c>
      <c r="AY270" s="399">
        <v>0</v>
      </c>
      <c r="AZ270" s="399">
        <v>0</v>
      </c>
      <c r="BA270" s="399"/>
      <c r="BB270" s="399">
        <v>0</v>
      </c>
      <c r="BC270" s="399">
        <v>0</v>
      </c>
      <c r="BD270" s="399">
        <v>0</v>
      </c>
      <c r="BE270" s="399">
        <v>0</v>
      </c>
      <c r="BF270" s="399">
        <v>0</v>
      </c>
      <c r="BG270" s="399">
        <v>1.4079373921274887</v>
      </c>
      <c r="BH270" s="399">
        <v>0</v>
      </c>
      <c r="BI270" s="399">
        <v>0</v>
      </c>
      <c r="BJ270" s="399">
        <v>0</v>
      </c>
      <c r="BK270" s="399">
        <v>0</v>
      </c>
      <c r="BL270" s="399">
        <v>0</v>
      </c>
      <c r="BM270" s="399"/>
      <c r="BN270" s="399"/>
      <c r="BO270" s="399"/>
      <c r="BP270" s="399"/>
      <c r="BQ270" s="399"/>
      <c r="BR270" s="399"/>
      <c r="BS270" s="399"/>
      <c r="BT270" s="399"/>
      <c r="BU270" s="399"/>
      <c r="BV270" s="399">
        <v>13.437717892369021</v>
      </c>
      <c r="BW270" s="399"/>
      <c r="BX270" s="399"/>
      <c r="BY270" s="399"/>
      <c r="BZ270" s="399"/>
      <c r="CA270" s="399"/>
      <c r="CB270" s="399"/>
      <c r="CC270" s="399"/>
      <c r="CD270" s="399"/>
      <c r="CE270" s="399"/>
      <c r="CF270" s="399"/>
      <c r="CG270" s="399"/>
      <c r="CH270" s="399"/>
      <c r="CI270" s="399">
        <v>21.633600000000001</v>
      </c>
      <c r="CJ270" s="399">
        <v>-7.6300800000000066</v>
      </c>
      <c r="CK270" s="399"/>
      <c r="CL270" s="399"/>
      <c r="CM270" s="399"/>
      <c r="CN270" s="399"/>
      <c r="CO270" s="399">
        <v>-3.79596</v>
      </c>
      <c r="CP270" s="399">
        <v>-2.7224400000000011</v>
      </c>
      <c r="CQ270" s="399">
        <v>31</v>
      </c>
      <c r="CR270" s="399">
        <v>-3.1657629442121227</v>
      </c>
      <c r="CS270" s="399">
        <v>0</v>
      </c>
      <c r="CT270" s="399">
        <v>0</v>
      </c>
      <c r="CU270" s="399">
        <v>0</v>
      </c>
      <c r="CV270" s="399">
        <v>0</v>
      </c>
      <c r="CW270" s="399">
        <v>0</v>
      </c>
      <c r="CX270" s="399">
        <v>0</v>
      </c>
      <c r="CY270" s="399">
        <v>0</v>
      </c>
      <c r="CZ270" s="399">
        <v>8.1640435435813785E-2</v>
      </c>
      <c r="DA270" s="399">
        <v>0</v>
      </c>
      <c r="DB270" s="399">
        <v>0</v>
      </c>
      <c r="DC270" s="399">
        <v>-2.7227243184555121</v>
      </c>
      <c r="DD270" s="399">
        <v>0</v>
      </c>
      <c r="DE270" s="399">
        <v>0</v>
      </c>
      <c r="DF270" s="399">
        <v>0</v>
      </c>
      <c r="DG270" s="399">
        <v>-0.318661290314598</v>
      </c>
      <c r="DH270" s="399">
        <v>0</v>
      </c>
      <c r="DI270" s="399">
        <v>-0.17733784496830474</v>
      </c>
      <c r="DJ270" s="399"/>
      <c r="DK270" s="399">
        <v>0</v>
      </c>
      <c r="DL270" s="399">
        <v>0</v>
      </c>
      <c r="DM270" s="399">
        <v>0</v>
      </c>
      <c r="DN270" s="399">
        <v>0</v>
      </c>
      <c r="DO270" s="399">
        <v>-2.2607886929362608E-2</v>
      </c>
      <c r="DP270" s="399">
        <v>-6.0720389801614122E-3</v>
      </c>
      <c r="DQ270" s="399">
        <v>0</v>
      </c>
      <c r="DR270" s="399">
        <v>0</v>
      </c>
      <c r="DS270" s="399"/>
      <c r="DT270" s="399"/>
      <c r="DU270" s="399"/>
      <c r="DV270" s="399">
        <v>9.1888806224054704</v>
      </c>
      <c r="DW270" s="399">
        <v>0</v>
      </c>
      <c r="DX270" s="399">
        <v>0</v>
      </c>
      <c r="DY270" s="399">
        <v>-3.7959600000000009</v>
      </c>
      <c r="DZ270" s="399">
        <v>-2.7224400000000006</v>
      </c>
      <c r="EA270" s="399">
        <v>0</v>
      </c>
      <c r="EB270" s="399">
        <v>0</v>
      </c>
      <c r="EC270" s="399">
        <v>-3.3530236231456021</v>
      </c>
      <c r="ED270" s="399">
        <v>0</v>
      </c>
      <c r="EE270" s="399">
        <v>0</v>
      </c>
      <c r="EF270" s="399">
        <v>0</v>
      </c>
      <c r="EG270" s="399">
        <v>0</v>
      </c>
      <c r="EH270" s="399">
        <v>0</v>
      </c>
      <c r="EI270" s="399">
        <v>0</v>
      </c>
      <c r="EJ270" s="399">
        <v>0</v>
      </c>
      <c r="EK270" s="399">
        <v>0</v>
      </c>
      <c r="EL270" s="399">
        <v>0</v>
      </c>
      <c r="EM270" s="399">
        <v>0</v>
      </c>
      <c r="EN270" s="399">
        <v>0</v>
      </c>
      <c r="EO270" s="399">
        <v>0</v>
      </c>
      <c r="EP270" s="399">
        <v>1.2053257434511901</v>
      </c>
      <c r="EQ270" s="399">
        <v>0</v>
      </c>
      <c r="ER270" s="399">
        <v>0</v>
      </c>
      <c r="ES270" s="399">
        <v>0</v>
      </c>
      <c r="ET270" s="399">
        <v>0</v>
      </c>
      <c r="EU270" s="399">
        <v>0</v>
      </c>
      <c r="EV270" s="399">
        <v>202</v>
      </c>
      <c r="EW270" s="399">
        <v>0</v>
      </c>
      <c r="EX270" s="399">
        <v>0</v>
      </c>
      <c r="EY270" s="399">
        <v>0</v>
      </c>
      <c r="EZ270" s="399"/>
      <c r="FA270" s="399">
        <v>0</v>
      </c>
      <c r="FB270" s="399">
        <v>-17.698635468909799</v>
      </c>
      <c r="FC270" s="399"/>
      <c r="FD270" s="399">
        <v>-17.698635468909799</v>
      </c>
      <c r="FE270" s="399"/>
      <c r="FF270" s="399">
        <v>0</v>
      </c>
      <c r="FG270" s="399">
        <v>0</v>
      </c>
      <c r="FH270" s="399">
        <v>0</v>
      </c>
      <c r="FI270" s="399">
        <v>0</v>
      </c>
    </row>
    <row r="271" spans="1:165">
      <c r="A271" s="399">
        <v>267</v>
      </c>
      <c r="B271" s="399" t="s">
        <v>956</v>
      </c>
      <c r="C271" s="399" t="s">
        <v>2409</v>
      </c>
      <c r="D271" s="399" t="s">
        <v>1823</v>
      </c>
      <c r="E271" s="399" t="s">
        <v>889</v>
      </c>
      <c r="F271" s="399" t="s">
        <v>889</v>
      </c>
      <c r="G271" s="399" t="s">
        <v>1239</v>
      </c>
      <c r="H271" s="399" t="s">
        <v>1239</v>
      </c>
      <c r="I271" s="399" t="s">
        <v>1239</v>
      </c>
      <c r="J271" s="399" t="s">
        <v>2400</v>
      </c>
      <c r="K271" s="788">
        <v>44774</v>
      </c>
      <c r="L271" s="399">
        <v>0</v>
      </c>
      <c r="M271" s="399">
        <v>0</v>
      </c>
      <c r="N271" s="399">
        <v>0</v>
      </c>
      <c r="O271" s="399">
        <v>0</v>
      </c>
      <c r="P271" s="399">
        <v>0</v>
      </c>
      <c r="Q271" s="399">
        <v>0</v>
      </c>
      <c r="R271" s="399"/>
      <c r="S271" s="399"/>
      <c r="T271" s="399"/>
      <c r="U271" s="399"/>
      <c r="V271" s="399"/>
      <c r="W271" s="399"/>
      <c r="X271" s="399"/>
      <c r="Y271" s="399"/>
      <c r="Z271" s="399"/>
      <c r="AA271" s="399">
        <v>0</v>
      </c>
      <c r="AB271" s="399"/>
      <c r="AC271" s="399"/>
      <c r="AD271" s="399"/>
      <c r="AE271" s="399"/>
      <c r="AF271" s="399"/>
      <c r="AG271" s="399"/>
      <c r="AH271" s="399"/>
      <c r="AI271" s="399"/>
      <c r="AJ271" s="399"/>
      <c r="AK271" s="399"/>
      <c r="AL271" s="399"/>
      <c r="AM271" s="399"/>
      <c r="AN271" s="399"/>
      <c r="AO271" s="399"/>
      <c r="AP271" s="399"/>
      <c r="AQ271" s="399"/>
      <c r="AR271" s="399"/>
      <c r="AS271" s="399"/>
      <c r="AT271" s="399"/>
      <c r="AU271" s="399"/>
      <c r="AV271" s="399"/>
      <c r="AW271" s="399"/>
      <c r="AX271" s="399"/>
      <c r="AY271" s="399"/>
      <c r="AZ271" s="399">
        <v>0</v>
      </c>
      <c r="BA271" s="399"/>
      <c r="BB271" s="399"/>
      <c r="BC271" s="399"/>
      <c r="BD271" s="399"/>
      <c r="BE271" s="399"/>
      <c r="BF271" s="399"/>
      <c r="BG271" s="399"/>
      <c r="BH271" s="399"/>
      <c r="BI271" s="399">
        <v>0.22</v>
      </c>
      <c r="BJ271" s="399">
        <v>1.06</v>
      </c>
      <c r="BK271" s="399">
        <v>0</v>
      </c>
      <c r="BL271" s="399">
        <v>1</v>
      </c>
      <c r="BM271" s="399"/>
      <c r="BN271" s="399"/>
      <c r="BO271" s="399"/>
      <c r="BP271" s="399"/>
      <c r="BQ271" s="399"/>
      <c r="BR271" s="399"/>
      <c r="BS271" s="399"/>
      <c r="BT271" s="399"/>
      <c r="BU271" s="399"/>
      <c r="BV271" s="399"/>
      <c r="BW271" s="399"/>
      <c r="BX271" s="399"/>
      <c r="BY271" s="399"/>
      <c r="BZ271" s="399"/>
      <c r="CA271" s="399"/>
      <c r="CB271" s="399"/>
      <c r="CC271" s="399"/>
      <c r="CD271" s="399"/>
      <c r="CE271" s="399"/>
      <c r="CF271" s="399"/>
      <c r="CG271" s="399"/>
      <c r="CH271" s="399"/>
      <c r="CI271" s="399"/>
      <c r="CJ271" s="399">
        <v>-0.03</v>
      </c>
      <c r="CK271" s="399"/>
      <c r="CL271" s="399"/>
      <c r="CM271" s="399"/>
      <c r="CN271" s="399"/>
      <c r="CO271" s="399">
        <v>0</v>
      </c>
      <c r="CP271" s="399">
        <v>0</v>
      </c>
      <c r="CQ271" s="399">
        <v>31</v>
      </c>
      <c r="CR271" s="399"/>
      <c r="CS271" s="399"/>
      <c r="CT271" s="399"/>
      <c r="CU271" s="399"/>
      <c r="CV271" s="399"/>
      <c r="CW271" s="399"/>
      <c r="CX271" s="399"/>
      <c r="CY271" s="399"/>
      <c r="CZ271" s="399"/>
      <c r="DA271" s="399"/>
      <c r="DB271" s="399"/>
      <c r="DC271" s="399"/>
      <c r="DD271" s="399"/>
      <c r="DE271" s="399"/>
      <c r="DF271" s="399"/>
      <c r="DG271" s="399"/>
      <c r="DH271" s="399"/>
      <c r="DI271" s="399"/>
      <c r="DJ271" s="399"/>
      <c r="DK271" s="399">
        <v>0</v>
      </c>
      <c r="DL271" s="399"/>
      <c r="DM271" s="399"/>
      <c r="DN271" s="399"/>
      <c r="DO271" s="399"/>
      <c r="DP271" s="399"/>
      <c r="DQ271" s="399"/>
      <c r="DR271" s="399"/>
      <c r="DS271" s="399"/>
      <c r="DT271" s="399"/>
      <c r="DU271" s="399"/>
      <c r="DV271" s="399"/>
      <c r="DW271" s="399"/>
      <c r="DX271" s="399"/>
      <c r="DY271" s="399"/>
      <c r="DZ271" s="399"/>
      <c r="EA271" s="399"/>
      <c r="EB271" s="399"/>
      <c r="EC271" s="399"/>
      <c r="ED271" s="399"/>
      <c r="EE271" s="399"/>
      <c r="EF271" s="399"/>
      <c r="EG271" s="399"/>
      <c r="EH271" s="399"/>
      <c r="EI271" s="399"/>
      <c r="EJ271" s="399"/>
      <c r="EK271" s="399"/>
      <c r="EL271" s="399"/>
      <c r="EM271" s="399"/>
      <c r="EN271" s="399"/>
      <c r="EO271" s="399"/>
      <c r="EP271" s="399"/>
      <c r="EQ271" s="399"/>
      <c r="ER271" s="399"/>
      <c r="ES271" s="399"/>
      <c r="ET271" s="399"/>
      <c r="EU271" s="399"/>
      <c r="EV271" s="399">
        <v>202</v>
      </c>
      <c r="EW271" s="399"/>
      <c r="EX271" s="399"/>
      <c r="EY271" s="399"/>
      <c r="EZ271" s="399"/>
      <c r="FA271" s="399">
        <v>0</v>
      </c>
      <c r="FB271" s="399">
        <v>-17.698635468909799</v>
      </c>
      <c r="FC271" s="399"/>
      <c r="FD271" s="399">
        <v>-17.698635468909799</v>
      </c>
      <c r="FE271" s="399"/>
      <c r="FF271" s="399">
        <v>0</v>
      </c>
      <c r="FG271" s="399">
        <v>0</v>
      </c>
      <c r="FH271" s="399">
        <v>0</v>
      </c>
      <c r="FI271" s="399">
        <v>0</v>
      </c>
    </row>
    <row r="272" spans="1:165">
      <c r="A272" s="399">
        <v>268</v>
      </c>
      <c r="B272" s="399" t="s">
        <v>956</v>
      </c>
      <c r="C272" s="399" t="s">
        <v>2409</v>
      </c>
      <c r="D272" s="399" t="s">
        <v>1823</v>
      </c>
      <c r="E272" s="399" t="s">
        <v>889</v>
      </c>
      <c r="F272" s="399" t="s">
        <v>889</v>
      </c>
      <c r="G272" s="399" t="s">
        <v>1239</v>
      </c>
      <c r="H272" s="399" t="s">
        <v>1239</v>
      </c>
      <c r="I272" s="399" t="s">
        <v>2410</v>
      </c>
      <c r="J272" s="399" t="s">
        <v>2400</v>
      </c>
      <c r="K272" s="788">
        <v>44774</v>
      </c>
      <c r="L272" s="399">
        <v>0</v>
      </c>
      <c r="M272" s="399">
        <v>0</v>
      </c>
      <c r="N272" s="399">
        <v>1.2E-2</v>
      </c>
      <c r="O272" s="399">
        <v>1.2E-2</v>
      </c>
      <c r="P272" s="399">
        <v>1.2E-2</v>
      </c>
      <c r="Q272" s="399">
        <v>1.2E-2</v>
      </c>
      <c r="R272" s="399"/>
      <c r="S272" s="399">
        <v>960.47</v>
      </c>
      <c r="T272" s="399">
        <v>286.42</v>
      </c>
      <c r="U272" s="399"/>
      <c r="V272" s="399">
        <v>14.962680000000001</v>
      </c>
      <c r="W272" s="399">
        <v>14.962680000000001</v>
      </c>
      <c r="X272" s="399">
        <v>11.230919999999999</v>
      </c>
      <c r="Y272" s="399">
        <v>0</v>
      </c>
      <c r="Z272" s="399">
        <v>0.73033678765561794</v>
      </c>
      <c r="AA272" s="399">
        <v>0</v>
      </c>
      <c r="AB272" s="399">
        <v>0</v>
      </c>
      <c r="AC272" s="399">
        <v>0</v>
      </c>
      <c r="AD272" s="399">
        <v>2.0390917310054157</v>
      </c>
      <c r="AE272" s="399">
        <v>7.8761874024429597</v>
      </c>
      <c r="AF272" s="399">
        <v>3.4370801429261517</v>
      </c>
      <c r="AG272" s="399">
        <v>0</v>
      </c>
      <c r="AH272" s="399">
        <v>0</v>
      </c>
      <c r="AI272" s="399">
        <v>0</v>
      </c>
      <c r="AJ272" s="399">
        <v>0</v>
      </c>
      <c r="AK272" s="399">
        <v>0</v>
      </c>
      <c r="AL272" s="399">
        <v>0.1128706674574038</v>
      </c>
      <c r="AM272" s="399"/>
      <c r="AN272" s="399">
        <v>2.0494050796727281E-2</v>
      </c>
      <c r="AO272" s="399">
        <v>0</v>
      </c>
      <c r="AP272" s="399">
        <v>0</v>
      </c>
      <c r="AQ272" s="399">
        <v>0</v>
      </c>
      <c r="AR272" s="399">
        <v>0</v>
      </c>
      <c r="AS272" s="399">
        <v>0</v>
      </c>
      <c r="AT272" s="399">
        <v>0</v>
      </c>
      <c r="AU272" s="399">
        <v>0</v>
      </c>
      <c r="AV272" s="399">
        <v>0</v>
      </c>
      <c r="AW272" s="399">
        <v>0</v>
      </c>
      <c r="AX272" s="399">
        <v>0</v>
      </c>
      <c r="AY272" s="399">
        <v>0</v>
      </c>
      <c r="AZ272" s="399">
        <v>0</v>
      </c>
      <c r="BA272" s="399"/>
      <c r="BB272" s="399">
        <v>0</v>
      </c>
      <c r="BC272" s="399">
        <v>0</v>
      </c>
      <c r="BD272" s="399">
        <v>0</v>
      </c>
      <c r="BE272" s="399">
        <v>0</v>
      </c>
      <c r="BF272" s="399">
        <v>0</v>
      </c>
      <c r="BG272" s="399">
        <v>0.40226782632213964</v>
      </c>
      <c r="BH272" s="399">
        <v>0</v>
      </c>
      <c r="BI272" s="399">
        <v>0</v>
      </c>
      <c r="BJ272" s="399">
        <v>0</v>
      </c>
      <c r="BK272" s="399">
        <v>0</v>
      </c>
      <c r="BL272" s="399">
        <v>0</v>
      </c>
      <c r="BM272" s="399"/>
      <c r="BN272" s="399"/>
      <c r="BO272" s="399"/>
      <c r="BP272" s="399"/>
      <c r="BQ272" s="399"/>
      <c r="BR272" s="399"/>
      <c r="BS272" s="399"/>
      <c r="BT272" s="399"/>
      <c r="BU272" s="399"/>
      <c r="BV272" s="399">
        <v>3.8393479692482915</v>
      </c>
      <c r="BW272" s="399"/>
      <c r="BX272" s="399"/>
      <c r="BY272" s="399"/>
      <c r="BZ272" s="399"/>
      <c r="CA272" s="399"/>
      <c r="CB272" s="399"/>
      <c r="CC272" s="399"/>
      <c r="CD272" s="399"/>
      <c r="CE272" s="399"/>
      <c r="CF272" s="399"/>
      <c r="CG272" s="399"/>
      <c r="CH272" s="399"/>
      <c r="CI272" s="399">
        <v>9.3590999999999998</v>
      </c>
      <c r="CJ272" s="399">
        <v>-5.6335800000000003</v>
      </c>
      <c r="CK272" s="399"/>
      <c r="CL272" s="399"/>
      <c r="CM272" s="399"/>
      <c r="CN272" s="399"/>
      <c r="CO272" s="399">
        <v>-2.953920000000001</v>
      </c>
      <c r="CP272" s="399">
        <v>-0.77784000000000031</v>
      </c>
      <c r="CQ272" s="399">
        <v>31</v>
      </c>
      <c r="CR272" s="399">
        <v>-0.85785421497162684</v>
      </c>
      <c r="CS272" s="399">
        <v>0</v>
      </c>
      <c r="CT272" s="399">
        <v>0</v>
      </c>
      <c r="CU272" s="399">
        <v>0</v>
      </c>
      <c r="CV272" s="399">
        <v>0</v>
      </c>
      <c r="CW272" s="399">
        <v>0</v>
      </c>
      <c r="CX272" s="399">
        <v>0</v>
      </c>
      <c r="CY272" s="399">
        <v>0</v>
      </c>
      <c r="CZ272" s="399">
        <v>6.9975322070640278E-2</v>
      </c>
      <c r="DA272" s="399">
        <v>0</v>
      </c>
      <c r="DB272" s="399">
        <v>0</v>
      </c>
      <c r="DC272" s="399">
        <v>-0.77792123384443146</v>
      </c>
      <c r="DD272" s="399">
        <v>0</v>
      </c>
      <c r="DE272" s="399">
        <v>0</v>
      </c>
      <c r="DF272" s="399">
        <v>0</v>
      </c>
      <c r="DG272" s="399">
        <v>-9.104608294702804E-2</v>
      </c>
      <c r="DH272" s="399">
        <v>0</v>
      </c>
      <c r="DI272" s="399">
        <v>-5.0667955705229861E-2</v>
      </c>
      <c r="DJ272" s="399"/>
      <c r="DK272" s="399">
        <v>0</v>
      </c>
      <c r="DL272" s="399">
        <v>0</v>
      </c>
      <c r="DM272" s="399">
        <v>0</v>
      </c>
      <c r="DN272" s="399">
        <v>0</v>
      </c>
      <c r="DO272" s="399">
        <v>-6.4593962655321718E-3</v>
      </c>
      <c r="DP272" s="399">
        <v>-1.7348682800461188E-3</v>
      </c>
      <c r="DQ272" s="399">
        <v>0</v>
      </c>
      <c r="DR272" s="399">
        <v>0</v>
      </c>
      <c r="DS272" s="399"/>
      <c r="DT272" s="399"/>
      <c r="DU272" s="399"/>
      <c r="DV272" s="399">
        <v>7.8761874024429597</v>
      </c>
      <c r="DW272" s="399">
        <v>0</v>
      </c>
      <c r="DX272" s="399">
        <v>0</v>
      </c>
      <c r="DY272" s="399">
        <v>-2.9539200000000019</v>
      </c>
      <c r="DZ272" s="399">
        <v>-0.77784000000000031</v>
      </c>
      <c r="EA272" s="399">
        <v>0</v>
      </c>
      <c r="EB272" s="399">
        <v>0</v>
      </c>
      <c r="EC272" s="399">
        <v>-2.8740217123203475</v>
      </c>
      <c r="ED272" s="399">
        <v>0</v>
      </c>
      <c r="EE272" s="399">
        <v>0</v>
      </c>
      <c r="EF272" s="399">
        <v>0</v>
      </c>
      <c r="EG272" s="399">
        <v>0</v>
      </c>
      <c r="EH272" s="399">
        <v>0</v>
      </c>
      <c r="EI272" s="399">
        <v>0</v>
      </c>
      <c r="EJ272" s="399">
        <v>0</v>
      </c>
      <c r="EK272" s="399">
        <v>0</v>
      </c>
      <c r="EL272" s="399">
        <v>0</v>
      </c>
      <c r="EM272" s="399">
        <v>0</v>
      </c>
      <c r="EN272" s="399">
        <v>0</v>
      </c>
      <c r="EO272" s="399">
        <v>0</v>
      </c>
      <c r="EP272" s="399">
        <v>0.3443787838431972</v>
      </c>
      <c r="EQ272" s="399">
        <v>0</v>
      </c>
      <c r="ER272" s="399">
        <v>0</v>
      </c>
      <c r="ES272" s="399">
        <v>0</v>
      </c>
      <c r="ET272" s="399">
        <v>0</v>
      </c>
      <c r="EU272" s="399">
        <v>0</v>
      </c>
      <c r="EV272" s="399">
        <v>202</v>
      </c>
      <c r="EW272" s="399">
        <v>0</v>
      </c>
      <c r="EX272" s="399">
        <v>0</v>
      </c>
      <c r="EY272" s="399">
        <v>0</v>
      </c>
      <c r="EZ272" s="399"/>
      <c r="FA272" s="399">
        <v>0</v>
      </c>
      <c r="FB272" s="399">
        <v>-17.698635468909799</v>
      </c>
      <c r="FC272" s="399"/>
      <c r="FD272" s="399">
        <v>-17.698635468909799</v>
      </c>
      <c r="FE272" s="399"/>
      <c r="FF272" s="399">
        <v>0</v>
      </c>
      <c r="FG272" s="399">
        <v>0</v>
      </c>
      <c r="FH272" s="399">
        <v>0</v>
      </c>
      <c r="FI272" s="399">
        <v>0</v>
      </c>
    </row>
    <row r="273" spans="1:165">
      <c r="A273" s="399">
        <v>273</v>
      </c>
      <c r="B273" s="399" t="s">
        <v>956</v>
      </c>
      <c r="C273" s="399" t="s">
        <v>2402</v>
      </c>
      <c r="D273" s="399" t="s">
        <v>2411</v>
      </c>
      <c r="E273" s="399" t="s">
        <v>894</v>
      </c>
      <c r="F273" s="399" t="s">
        <v>1239</v>
      </c>
      <c r="G273" s="399" t="s">
        <v>1239</v>
      </c>
      <c r="H273" s="399" t="s">
        <v>1239</v>
      </c>
      <c r="I273" s="399" t="s">
        <v>1239</v>
      </c>
      <c r="J273" s="399" t="s">
        <v>2400</v>
      </c>
      <c r="K273" s="788">
        <v>44774</v>
      </c>
      <c r="L273" s="399">
        <v>0</v>
      </c>
      <c r="M273" s="399">
        <v>0</v>
      </c>
      <c r="N273" s="399">
        <v>102.925</v>
      </c>
      <c r="O273" s="399">
        <v>102.925</v>
      </c>
      <c r="P273" s="399">
        <v>102.925</v>
      </c>
      <c r="Q273" s="399">
        <v>102.925</v>
      </c>
      <c r="R273" s="399"/>
      <c r="S273" s="399">
        <v>609.05999999999995</v>
      </c>
      <c r="T273" s="399">
        <v>286.42</v>
      </c>
      <c r="U273" s="399"/>
      <c r="V273" s="399">
        <v>92167.278999999995</v>
      </c>
      <c r="W273" s="399">
        <v>92167.278999999995</v>
      </c>
      <c r="X273" s="399">
        <v>70387.319749999995</v>
      </c>
      <c r="Y273" s="399">
        <v>0</v>
      </c>
      <c r="Z273" s="399">
        <v>6264.1594891212062</v>
      </c>
      <c r="AA273" s="399">
        <v>0</v>
      </c>
      <c r="AB273" s="399">
        <v>0</v>
      </c>
      <c r="AC273" s="399">
        <v>0</v>
      </c>
      <c r="AD273" s="399">
        <v>10050.847534134997</v>
      </c>
      <c r="AE273" s="399">
        <v>38824.544605426025</v>
      </c>
      <c r="AF273" s="399">
        <v>29480.122809222845</v>
      </c>
      <c r="AG273" s="399">
        <v>0</v>
      </c>
      <c r="AH273" s="399">
        <v>0</v>
      </c>
      <c r="AI273" s="399">
        <v>0</v>
      </c>
      <c r="AJ273" s="399">
        <v>0</v>
      </c>
      <c r="AK273" s="399">
        <v>0</v>
      </c>
      <c r="AL273" s="399">
        <v>968.1011206711072</v>
      </c>
      <c r="AM273" s="399"/>
      <c r="AN273" s="399">
        <v>175.77918152109626</v>
      </c>
      <c r="AO273" s="399">
        <v>0</v>
      </c>
      <c r="AP273" s="399">
        <v>0</v>
      </c>
      <c r="AQ273" s="399">
        <v>0</v>
      </c>
      <c r="AR273" s="399">
        <v>0</v>
      </c>
      <c r="AS273" s="399">
        <v>0</v>
      </c>
      <c r="AT273" s="399">
        <v>0</v>
      </c>
      <c r="AU273" s="399">
        <v>0</v>
      </c>
      <c r="AV273" s="399">
        <v>0</v>
      </c>
      <c r="AW273" s="399">
        <v>0</v>
      </c>
      <c r="AX273" s="399">
        <v>0</v>
      </c>
      <c r="AY273" s="399">
        <v>0</v>
      </c>
      <c r="AZ273" s="399">
        <v>0</v>
      </c>
      <c r="BA273" s="399"/>
      <c r="BB273" s="399">
        <v>0</v>
      </c>
      <c r="BC273" s="399">
        <v>0</v>
      </c>
      <c r="BD273" s="399">
        <v>0</v>
      </c>
      <c r="BE273" s="399">
        <v>0</v>
      </c>
      <c r="BF273" s="399">
        <v>0</v>
      </c>
      <c r="BG273" s="399">
        <v>3450.2846686838516</v>
      </c>
      <c r="BH273" s="399">
        <v>0</v>
      </c>
      <c r="BI273" s="399">
        <v>348.58</v>
      </c>
      <c r="BJ273" s="399">
        <v>1614.98</v>
      </c>
      <c r="BK273" s="399">
        <v>2633.55</v>
      </c>
      <c r="BL273" s="399">
        <v>320</v>
      </c>
      <c r="BM273" s="399"/>
      <c r="BN273" s="399"/>
      <c r="BO273" s="399"/>
      <c r="BP273" s="399"/>
      <c r="BQ273" s="399"/>
      <c r="BR273" s="399">
        <v>8447.0547499999957</v>
      </c>
      <c r="BS273" s="399"/>
      <c r="BT273" s="399"/>
      <c r="BU273" s="399"/>
      <c r="BV273" s="399">
        <v>32930.407477906694</v>
      </c>
      <c r="BW273" s="399"/>
      <c r="BX273" s="399"/>
      <c r="BY273" s="399"/>
      <c r="BZ273" s="399"/>
      <c r="CA273" s="399"/>
      <c r="CB273" s="399"/>
      <c r="CC273" s="399"/>
      <c r="CD273" s="399"/>
      <c r="CE273" s="399"/>
      <c r="CF273" s="399"/>
      <c r="CG273" s="399"/>
      <c r="CH273" s="399"/>
      <c r="CI273" s="399">
        <v>61943.274000000005</v>
      </c>
      <c r="CJ273" s="399">
        <v>-19163.714500000002</v>
      </c>
      <c r="CK273" s="399"/>
      <c r="CL273" s="399"/>
      <c r="CM273" s="399"/>
      <c r="CN273" s="399"/>
      <c r="CO273" s="399">
        <v>-15108.360749999996</v>
      </c>
      <c r="CP273" s="399">
        <v>-6671.5985000000019</v>
      </c>
      <c r="CQ273" s="399">
        <v>31</v>
      </c>
      <c r="CR273" s="399">
        <v>-7613.1572544279843</v>
      </c>
      <c r="CS273" s="399">
        <v>0</v>
      </c>
      <c r="CT273" s="399">
        <v>0</v>
      </c>
      <c r="CU273" s="399">
        <v>0</v>
      </c>
      <c r="CV273" s="399">
        <v>0</v>
      </c>
      <c r="CW273" s="399">
        <v>0</v>
      </c>
      <c r="CX273" s="399">
        <v>0</v>
      </c>
      <c r="CY273" s="399">
        <v>0</v>
      </c>
      <c r="CZ273" s="399">
        <v>344.91400391162642</v>
      </c>
      <c r="DA273" s="399">
        <v>0</v>
      </c>
      <c r="DB273" s="399">
        <v>0</v>
      </c>
      <c r="DC273" s="399">
        <v>-6672.2952494531746</v>
      </c>
      <c r="DD273" s="399">
        <v>0</v>
      </c>
      <c r="DE273" s="399">
        <v>0</v>
      </c>
      <c r="DF273" s="399">
        <v>0</v>
      </c>
      <c r="DG273" s="399">
        <v>-780.90984061023846</v>
      </c>
      <c r="DH273" s="399">
        <v>0</v>
      </c>
      <c r="DI273" s="399">
        <v>-434.58327841339906</v>
      </c>
      <c r="DJ273" s="399"/>
      <c r="DK273" s="399">
        <v>0</v>
      </c>
      <c r="DL273" s="399">
        <v>0</v>
      </c>
      <c r="DM273" s="399">
        <v>0</v>
      </c>
      <c r="DN273" s="399">
        <v>0</v>
      </c>
      <c r="DO273" s="399">
        <v>-55.402780052491607</v>
      </c>
      <c r="DP273" s="399">
        <v>-14.880109810312234</v>
      </c>
      <c r="DQ273" s="399">
        <v>0</v>
      </c>
      <c r="DR273" s="399">
        <v>0</v>
      </c>
      <c r="DS273" s="399"/>
      <c r="DT273" s="399"/>
      <c r="DU273" s="399"/>
      <c r="DV273" s="399">
        <v>38824.544605426025</v>
      </c>
      <c r="DW273" s="399">
        <v>0</v>
      </c>
      <c r="DX273" s="399">
        <v>0</v>
      </c>
      <c r="DY273" s="399">
        <v>-15108.36075</v>
      </c>
      <c r="DZ273" s="399">
        <v>-6671.5985000000001</v>
      </c>
      <c r="EA273" s="399">
        <v>0</v>
      </c>
      <c r="EB273" s="399">
        <v>0</v>
      </c>
      <c r="EC273" s="399">
        <v>-14167.080906725798</v>
      </c>
      <c r="ED273" s="399">
        <v>0</v>
      </c>
      <c r="EE273" s="399">
        <v>0</v>
      </c>
      <c r="EF273" s="399">
        <v>0</v>
      </c>
      <c r="EG273" s="399">
        <v>0</v>
      </c>
      <c r="EH273" s="399">
        <v>0</v>
      </c>
      <c r="EI273" s="399">
        <v>0</v>
      </c>
      <c r="EJ273" s="399">
        <v>0</v>
      </c>
      <c r="EK273" s="399">
        <v>0</v>
      </c>
      <c r="EL273" s="399">
        <v>0</v>
      </c>
      <c r="EM273" s="399">
        <v>0</v>
      </c>
      <c r="EN273" s="399">
        <v>0</v>
      </c>
      <c r="EO273" s="399">
        <v>0</v>
      </c>
      <c r="EP273" s="399">
        <v>2953.7655272550892</v>
      </c>
      <c r="EQ273" s="399">
        <v>0</v>
      </c>
      <c r="ER273" s="399">
        <v>0</v>
      </c>
      <c r="ES273" s="399">
        <v>0</v>
      </c>
      <c r="ET273" s="399">
        <v>0</v>
      </c>
      <c r="EU273" s="399">
        <v>0</v>
      </c>
      <c r="EV273" s="399">
        <v>202</v>
      </c>
      <c r="EW273" s="399">
        <v>0</v>
      </c>
      <c r="EX273" s="399">
        <v>0</v>
      </c>
      <c r="EY273" s="399">
        <v>0</v>
      </c>
      <c r="EZ273" s="399"/>
      <c r="FA273" s="399">
        <v>0</v>
      </c>
      <c r="FB273" s="399">
        <v>-12.3890448282368</v>
      </c>
      <c r="FC273" s="399"/>
      <c r="FD273" s="399">
        <v>-17.698635468909799</v>
      </c>
      <c r="FE273" s="399"/>
      <c r="FF273" s="399">
        <v>0</v>
      </c>
      <c r="FG273" s="399">
        <v>0</v>
      </c>
      <c r="FH273" s="399">
        <v>0</v>
      </c>
      <c r="FI273" s="399">
        <v>0</v>
      </c>
    </row>
    <row r="274" spans="1:165">
      <c r="A274" s="399">
        <v>274</v>
      </c>
      <c r="B274" s="399" t="s">
        <v>2403</v>
      </c>
      <c r="C274" s="399" t="s">
        <v>2402</v>
      </c>
      <c r="D274" s="399" t="s">
        <v>2411</v>
      </c>
      <c r="E274" s="399" t="s">
        <v>894</v>
      </c>
      <c r="F274" s="399" t="s">
        <v>1239</v>
      </c>
      <c r="G274" s="399" t="s">
        <v>1239</v>
      </c>
      <c r="H274" s="399" t="s">
        <v>1239</v>
      </c>
      <c r="I274" s="399" t="s">
        <v>1239</v>
      </c>
      <c r="J274" s="399" t="s">
        <v>2400</v>
      </c>
      <c r="K274" s="788">
        <v>44774</v>
      </c>
      <c r="L274" s="399">
        <v>0</v>
      </c>
      <c r="M274" s="399">
        <v>0</v>
      </c>
      <c r="N274" s="399">
        <v>-8.0000000000000002E-3</v>
      </c>
      <c r="O274" s="399">
        <v>-8.0000000000000002E-3</v>
      </c>
      <c r="P274" s="399">
        <v>-8.0000000000000002E-3</v>
      </c>
      <c r="Q274" s="399">
        <v>-8.0000000000000002E-3</v>
      </c>
      <c r="R274" s="399"/>
      <c r="S274" s="399">
        <v>609.05999999999995</v>
      </c>
      <c r="T274" s="399">
        <v>286.42</v>
      </c>
      <c r="U274" s="399"/>
      <c r="V274" s="399">
        <v>-7.1638399999999995</v>
      </c>
      <c r="W274" s="399">
        <v>-7.1638399999999995</v>
      </c>
      <c r="X274" s="399">
        <v>-5.4709599999999998</v>
      </c>
      <c r="Y274" s="399">
        <v>0</v>
      </c>
      <c r="Z274" s="399">
        <v>-0.48689119177041201</v>
      </c>
      <c r="AA274" s="399">
        <v>0</v>
      </c>
      <c r="AB274" s="399">
        <v>0</v>
      </c>
      <c r="AC274" s="399">
        <v>0</v>
      </c>
      <c r="AD274" s="399">
        <v>-0.7812171996412921</v>
      </c>
      <c r="AE274" s="399">
        <v>-3.0176959615584962</v>
      </c>
      <c r="AF274" s="399">
        <v>-2.291386761950768</v>
      </c>
      <c r="AG274" s="399">
        <v>0</v>
      </c>
      <c r="AH274" s="399">
        <v>0</v>
      </c>
      <c r="AI274" s="399">
        <v>0</v>
      </c>
      <c r="AJ274" s="399">
        <v>0</v>
      </c>
      <c r="AK274" s="399">
        <v>0</v>
      </c>
      <c r="AL274" s="399">
        <v>-7.5247111638269207E-2</v>
      </c>
      <c r="AM274" s="399"/>
      <c r="AN274" s="399">
        <v>-1.366270053115152E-2</v>
      </c>
      <c r="AO274" s="399">
        <v>0</v>
      </c>
      <c r="AP274" s="399">
        <v>0</v>
      </c>
      <c r="AQ274" s="399">
        <v>0</v>
      </c>
      <c r="AR274" s="399">
        <v>0</v>
      </c>
      <c r="AS274" s="399">
        <v>0</v>
      </c>
      <c r="AT274" s="399">
        <v>0</v>
      </c>
      <c r="AU274" s="399">
        <v>0</v>
      </c>
      <c r="AV274" s="399">
        <v>0</v>
      </c>
      <c r="AW274" s="399">
        <v>0</v>
      </c>
      <c r="AX274" s="399">
        <v>0</v>
      </c>
      <c r="AY274" s="399">
        <v>0</v>
      </c>
      <c r="AZ274" s="399">
        <v>0</v>
      </c>
      <c r="BA274" s="399"/>
      <c r="BB274" s="399">
        <v>0</v>
      </c>
      <c r="BC274" s="399">
        <v>0</v>
      </c>
      <c r="BD274" s="399">
        <v>0</v>
      </c>
      <c r="BE274" s="399">
        <v>0</v>
      </c>
      <c r="BF274" s="399">
        <v>0</v>
      </c>
      <c r="BG274" s="399">
        <v>-0.26817855088142645</v>
      </c>
      <c r="BH274" s="399">
        <v>0</v>
      </c>
      <c r="BI274" s="399">
        <v>-0.03</v>
      </c>
      <c r="BJ274" s="399">
        <v>-0.17</v>
      </c>
      <c r="BK274" s="399">
        <v>-1.25</v>
      </c>
      <c r="BL274" s="399">
        <v>0</v>
      </c>
      <c r="BM274" s="399"/>
      <c r="BN274" s="399"/>
      <c r="BO274" s="399"/>
      <c r="BP274" s="399"/>
      <c r="BQ274" s="399"/>
      <c r="BR274" s="399">
        <v>-0.6565599999999997</v>
      </c>
      <c r="BS274" s="399"/>
      <c r="BT274" s="399"/>
      <c r="BU274" s="399"/>
      <c r="BV274" s="399">
        <v>-2.5595653128321945</v>
      </c>
      <c r="BW274" s="399"/>
      <c r="BX274" s="399"/>
      <c r="BY274" s="399"/>
      <c r="BZ274" s="399"/>
      <c r="CA274" s="399"/>
      <c r="CB274" s="399"/>
      <c r="CC274" s="399"/>
      <c r="CD274" s="399"/>
      <c r="CE274" s="399"/>
      <c r="CF274" s="399"/>
      <c r="CG274" s="399"/>
      <c r="CH274" s="399"/>
      <c r="CI274" s="399">
        <v>-6.0180000000000007</v>
      </c>
      <c r="CJ274" s="399">
        <v>0.25616000000000039</v>
      </c>
      <c r="CK274" s="399"/>
      <c r="CL274" s="399"/>
      <c r="CM274" s="399"/>
      <c r="CN274" s="399"/>
      <c r="CO274" s="399">
        <v>1.1743199999999998</v>
      </c>
      <c r="CP274" s="399">
        <v>0.51856000000000013</v>
      </c>
      <c r="CQ274" s="399">
        <v>31</v>
      </c>
      <c r="CR274" s="399">
        <v>0.59174406641169774</v>
      </c>
      <c r="CS274" s="399">
        <v>0</v>
      </c>
      <c r="CT274" s="399">
        <v>0</v>
      </c>
      <c r="CU274" s="399">
        <v>0</v>
      </c>
      <c r="CV274" s="399">
        <v>0</v>
      </c>
      <c r="CW274" s="399">
        <v>0</v>
      </c>
      <c r="CX274" s="399">
        <v>0</v>
      </c>
      <c r="CY274" s="399">
        <v>0</v>
      </c>
      <c r="CZ274" s="399">
        <v>-2.6808958283147888E-2</v>
      </c>
      <c r="DA274" s="399">
        <v>0</v>
      </c>
      <c r="DB274" s="399">
        <v>0</v>
      </c>
      <c r="DC274" s="399">
        <v>0.51861415589628779</v>
      </c>
      <c r="DD274" s="399">
        <v>0</v>
      </c>
      <c r="DE274" s="399">
        <v>0</v>
      </c>
      <c r="DF274" s="399">
        <v>0</v>
      </c>
      <c r="DG274" s="399">
        <v>6.0697388631352045E-2</v>
      </c>
      <c r="DH274" s="399">
        <v>0</v>
      </c>
      <c r="DI274" s="399">
        <v>3.377863713682E-2</v>
      </c>
      <c r="DJ274" s="399"/>
      <c r="DK274" s="399">
        <v>0</v>
      </c>
      <c r="DL274" s="399">
        <v>0</v>
      </c>
      <c r="DM274" s="399">
        <v>0</v>
      </c>
      <c r="DN274" s="399">
        <v>0</v>
      </c>
      <c r="DO274" s="399">
        <v>4.3062641770214433E-3</v>
      </c>
      <c r="DP274" s="399">
        <v>1.1565788533640792E-3</v>
      </c>
      <c r="DQ274" s="399">
        <v>0</v>
      </c>
      <c r="DR274" s="399">
        <v>0</v>
      </c>
      <c r="DS274" s="399"/>
      <c r="DT274" s="399"/>
      <c r="DU274" s="399"/>
      <c r="DV274" s="399">
        <v>-3.0176959615584962</v>
      </c>
      <c r="DW274" s="399">
        <v>0</v>
      </c>
      <c r="DX274" s="399">
        <v>0</v>
      </c>
      <c r="DY274" s="399">
        <v>1.1743199999999994</v>
      </c>
      <c r="DZ274" s="399">
        <v>0.51856000000000013</v>
      </c>
      <c r="EA274" s="399">
        <v>0</v>
      </c>
      <c r="EB274" s="399">
        <v>0</v>
      </c>
      <c r="EC274" s="399">
        <v>1.101157612376064</v>
      </c>
      <c r="ED274" s="399">
        <v>0</v>
      </c>
      <c r="EE274" s="399">
        <v>0</v>
      </c>
      <c r="EF274" s="399">
        <v>0</v>
      </c>
      <c r="EG274" s="399">
        <v>0</v>
      </c>
      <c r="EH274" s="399">
        <v>0</v>
      </c>
      <c r="EI274" s="399">
        <v>0</v>
      </c>
      <c r="EJ274" s="399">
        <v>0</v>
      </c>
      <c r="EK274" s="399">
        <v>0</v>
      </c>
      <c r="EL274" s="399">
        <v>0</v>
      </c>
      <c r="EM274" s="399">
        <v>0</v>
      </c>
      <c r="EN274" s="399">
        <v>0</v>
      </c>
      <c r="EO274" s="399">
        <v>0</v>
      </c>
      <c r="EP274" s="399">
        <v>-0.22958585589546479</v>
      </c>
      <c r="EQ274" s="399">
        <v>0</v>
      </c>
      <c r="ER274" s="399">
        <v>0</v>
      </c>
      <c r="ES274" s="399">
        <v>0</v>
      </c>
      <c r="ET274" s="399">
        <v>0</v>
      </c>
      <c r="EU274" s="399">
        <v>0</v>
      </c>
      <c r="EV274" s="399">
        <v>202</v>
      </c>
      <c r="EW274" s="399">
        <v>0</v>
      </c>
      <c r="EX274" s="399">
        <v>0</v>
      </c>
      <c r="EY274" s="399">
        <v>0</v>
      </c>
      <c r="EZ274" s="399"/>
      <c r="FA274" s="399">
        <v>0</v>
      </c>
      <c r="FB274" s="399">
        <v>-12.3890448282368</v>
      </c>
      <c r="FC274" s="399"/>
      <c r="FD274" s="399">
        <v>-17.698635468909799</v>
      </c>
      <c r="FE274" s="399"/>
      <c r="FF274" s="399">
        <v>0</v>
      </c>
      <c r="FG274" s="399">
        <v>0</v>
      </c>
      <c r="FH274" s="399">
        <v>0</v>
      </c>
      <c r="FI274" s="399">
        <v>0</v>
      </c>
    </row>
    <row r="275" spans="1:165">
      <c r="A275" s="399">
        <v>275</v>
      </c>
      <c r="B275" s="399" t="s">
        <v>2404</v>
      </c>
      <c r="C275" s="399" t="s">
        <v>2402</v>
      </c>
      <c r="D275" s="399" t="s">
        <v>2411</v>
      </c>
      <c r="E275" s="399" t="s">
        <v>894</v>
      </c>
      <c r="F275" s="399" t="s">
        <v>1239</v>
      </c>
      <c r="G275" s="399" t="s">
        <v>1239</v>
      </c>
      <c r="H275" s="399" t="s">
        <v>1239</v>
      </c>
      <c r="I275" s="399" t="s">
        <v>1239</v>
      </c>
      <c r="J275" s="399" t="s">
        <v>2400</v>
      </c>
      <c r="K275" s="788">
        <v>44774</v>
      </c>
      <c r="L275" s="399">
        <v>0</v>
      </c>
      <c r="M275" s="399">
        <v>0</v>
      </c>
      <c r="N275" s="399">
        <v>1.403</v>
      </c>
      <c r="O275" s="399">
        <v>1.403</v>
      </c>
      <c r="P275" s="399">
        <v>1.403</v>
      </c>
      <c r="Q275" s="399">
        <v>1.403</v>
      </c>
      <c r="R275" s="399"/>
      <c r="S275" s="399">
        <v>609.05999999999995</v>
      </c>
      <c r="T275" s="399">
        <v>286.42</v>
      </c>
      <c r="U275" s="399"/>
      <c r="V275" s="399">
        <v>1256.35844</v>
      </c>
      <c r="W275" s="399">
        <v>1256.35844</v>
      </c>
      <c r="X275" s="399">
        <v>959.46960999999999</v>
      </c>
      <c r="Y275" s="399">
        <v>0</v>
      </c>
      <c r="Z275" s="399">
        <v>85.388542756736001</v>
      </c>
      <c r="AA275" s="399">
        <v>0</v>
      </c>
      <c r="AB275" s="399">
        <v>0</v>
      </c>
      <c r="AC275" s="399">
        <v>0</v>
      </c>
      <c r="AD275" s="399">
        <v>137.0059663870916</v>
      </c>
      <c r="AE275" s="399">
        <v>529.22842925832128</v>
      </c>
      <c r="AF275" s="399">
        <v>401.85195337711593</v>
      </c>
      <c r="AG275" s="399">
        <v>0</v>
      </c>
      <c r="AH275" s="399">
        <v>0</v>
      </c>
      <c r="AI275" s="399">
        <v>0</v>
      </c>
      <c r="AJ275" s="399">
        <v>0</v>
      </c>
      <c r="AK275" s="399">
        <v>0</v>
      </c>
      <c r="AL275" s="399">
        <v>13.196462203561461</v>
      </c>
      <c r="AM275" s="399"/>
      <c r="AN275" s="399">
        <v>2.396096105650698</v>
      </c>
      <c r="AO275" s="399">
        <v>0</v>
      </c>
      <c r="AP275" s="399">
        <v>0</v>
      </c>
      <c r="AQ275" s="399">
        <v>0</v>
      </c>
      <c r="AR275" s="399">
        <v>0</v>
      </c>
      <c r="AS275" s="399">
        <v>0</v>
      </c>
      <c r="AT275" s="399">
        <v>0</v>
      </c>
      <c r="AU275" s="399">
        <v>0</v>
      </c>
      <c r="AV275" s="399">
        <v>0</v>
      </c>
      <c r="AW275" s="399">
        <v>0</v>
      </c>
      <c r="AX275" s="399">
        <v>0</v>
      </c>
      <c r="AY275" s="399">
        <v>0</v>
      </c>
      <c r="AZ275" s="399">
        <v>0</v>
      </c>
      <c r="BA275" s="399"/>
      <c r="BB275" s="399">
        <v>0</v>
      </c>
      <c r="BC275" s="399">
        <v>0</v>
      </c>
      <c r="BD275" s="399">
        <v>0</v>
      </c>
      <c r="BE275" s="399">
        <v>0</v>
      </c>
      <c r="BF275" s="399">
        <v>0</v>
      </c>
      <c r="BG275" s="399">
        <v>47.031813360830157</v>
      </c>
      <c r="BH275" s="399">
        <v>0</v>
      </c>
      <c r="BI275" s="399">
        <v>3.59</v>
      </c>
      <c r="BJ275" s="399">
        <v>16.61</v>
      </c>
      <c r="BK275" s="399">
        <v>0</v>
      </c>
      <c r="BL275" s="399">
        <v>6</v>
      </c>
      <c r="BM275" s="399"/>
      <c r="BN275" s="399"/>
      <c r="BO275" s="399"/>
      <c r="BP275" s="399"/>
      <c r="BQ275" s="399"/>
      <c r="BR275" s="399">
        <v>115.14420999999996</v>
      </c>
      <c r="BS275" s="399"/>
      <c r="BT275" s="399"/>
      <c r="BU275" s="399"/>
      <c r="BV275" s="399">
        <v>448.88376673794608</v>
      </c>
      <c r="BW275" s="399"/>
      <c r="BX275" s="399"/>
      <c r="BY275" s="399"/>
      <c r="BZ275" s="399"/>
      <c r="CA275" s="399"/>
      <c r="CB275" s="399"/>
      <c r="CC275" s="399"/>
      <c r="CD275" s="399"/>
      <c r="CE275" s="399"/>
      <c r="CF275" s="399"/>
      <c r="CG275" s="399"/>
      <c r="CH275" s="399"/>
      <c r="CI275" s="399">
        <v>842.52</v>
      </c>
      <c r="CJ275" s="399">
        <v>-263.10205999999994</v>
      </c>
      <c r="CK275" s="399"/>
      <c r="CL275" s="399"/>
      <c r="CM275" s="399"/>
      <c r="CN275" s="399"/>
      <c r="CO275" s="399">
        <v>-205.94636999999994</v>
      </c>
      <c r="CP275" s="399">
        <v>-90.942460000000025</v>
      </c>
      <c r="CQ275" s="399">
        <v>31</v>
      </c>
      <c r="CR275" s="399">
        <v>-103.77711564695153</v>
      </c>
      <c r="CS275" s="399">
        <v>0</v>
      </c>
      <c r="CT275" s="399">
        <v>0</v>
      </c>
      <c r="CU275" s="399">
        <v>0</v>
      </c>
      <c r="CV275" s="399">
        <v>0</v>
      </c>
      <c r="CW275" s="399">
        <v>0</v>
      </c>
      <c r="CX275" s="399">
        <v>0</v>
      </c>
      <c r="CY275" s="399">
        <v>0</v>
      </c>
      <c r="CZ275" s="399">
        <v>4.7016210589070511</v>
      </c>
      <c r="DA275" s="399">
        <v>0</v>
      </c>
      <c r="DB275" s="399">
        <v>0</v>
      </c>
      <c r="DC275" s="399">
        <v>-90.951957590311508</v>
      </c>
      <c r="DD275" s="399">
        <v>0</v>
      </c>
      <c r="DE275" s="399">
        <v>0</v>
      </c>
      <c r="DF275" s="399">
        <v>0</v>
      </c>
      <c r="DG275" s="399">
        <v>-10.644804531223357</v>
      </c>
      <c r="DH275" s="399">
        <v>0</v>
      </c>
      <c r="DI275" s="399">
        <v>-5.9239284878698015</v>
      </c>
      <c r="DJ275" s="399"/>
      <c r="DK275" s="399">
        <v>0</v>
      </c>
      <c r="DL275" s="399">
        <v>0</v>
      </c>
      <c r="DM275" s="399">
        <v>0</v>
      </c>
      <c r="DN275" s="399">
        <v>0</v>
      </c>
      <c r="DO275" s="399">
        <v>-0.75521108004513593</v>
      </c>
      <c r="DP275" s="399">
        <v>-0.20283501640872537</v>
      </c>
      <c r="DQ275" s="399">
        <v>0</v>
      </c>
      <c r="DR275" s="399">
        <v>0</v>
      </c>
      <c r="DS275" s="399"/>
      <c r="DT275" s="399"/>
      <c r="DU275" s="399"/>
      <c r="DV275" s="399">
        <v>529.22842925832128</v>
      </c>
      <c r="DW275" s="399">
        <v>0</v>
      </c>
      <c r="DX275" s="399">
        <v>0</v>
      </c>
      <c r="DY275" s="399">
        <v>-205.94637</v>
      </c>
      <c r="DZ275" s="399">
        <v>-90.942459999999983</v>
      </c>
      <c r="EA275" s="399">
        <v>0</v>
      </c>
      <c r="EB275" s="399">
        <v>0</v>
      </c>
      <c r="EC275" s="399">
        <v>-193.11551627045225</v>
      </c>
      <c r="ED275" s="399">
        <v>0</v>
      </c>
      <c r="EE275" s="399">
        <v>0</v>
      </c>
      <c r="EF275" s="399">
        <v>0</v>
      </c>
      <c r="EG275" s="399">
        <v>0</v>
      </c>
      <c r="EH275" s="399">
        <v>0</v>
      </c>
      <c r="EI275" s="399">
        <v>0</v>
      </c>
      <c r="EJ275" s="399">
        <v>0</v>
      </c>
      <c r="EK275" s="399">
        <v>0</v>
      </c>
      <c r="EL275" s="399">
        <v>0</v>
      </c>
      <c r="EM275" s="399">
        <v>0</v>
      </c>
      <c r="EN275" s="399">
        <v>0</v>
      </c>
      <c r="EO275" s="399">
        <v>0</v>
      </c>
      <c r="EP275" s="399">
        <v>40.263619477667135</v>
      </c>
      <c r="EQ275" s="399">
        <v>0</v>
      </c>
      <c r="ER275" s="399">
        <v>0</v>
      </c>
      <c r="ES275" s="399">
        <v>0</v>
      </c>
      <c r="ET275" s="399">
        <v>0</v>
      </c>
      <c r="EU275" s="399">
        <v>0</v>
      </c>
      <c r="EV275" s="399">
        <v>202</v>
      </c>
      <c r="EW275" s="399">
        <v>0</v>
      </c>
      <c r="EX275" s="399">
        <v>0</v>
      </c>
      <c r="EY275" s="399">
        <v>0</v>
      </c>
      <c r="EZ275" s="399"/>
      <c r="FA275" s="399">
        <v>0</v>
      </c>
      <c r="FB275" s="399">
        <v>-12.3890448282368</v>
      </c>
      <c r="FC275" s="399"/>
      <c r="FD275" s="399">
        <v>-17.698635468909799</v>
      </c>
      <c r="FE275" s="399"/>
      <c r="FF275" s="399">
        <v>0</v>
      </c>
      <c r="FG275" s="399">
        <v>0</v>
      </c>
      <c r="FH275" s="399">
        <v>0</v>
      </c>
      <c r="FI275" s="399">
        <v>0</v>
      </c>
    </row>
    <row r="276" spans="1:165">
      <c r="A276" s="399">
        <v>254</v>
      </c>
      <c r="B276" s="399" t="s">
        <v>956</v>
      </c>
      <c r="C276" s="399" t="s">
        <v>2402</v>
      </c>
      <c r="D276" s="399" t="s">
        <v>1826</v>
      </c>
      <c r="E276" s="399" t="s">
        <v>921</v>
      </c>
      <c r="F276" s="399" t="s">
        <v>2401</v>
      </c>
      <c r="G276" s="399" t="s">
        <v>1239</v>
      </c>
      <c r="H276" s="399" t="s">
        <v>1239</v>
      </c>
      <c r="I276" s="399" t="s">
        <v>1239</v>
      </c>
      <c r="J276" s="399" t="s">
        <v>2400</v>
      </c>
      <c r="K276" s="788">
        <v>44743</v>
      </c>
      <c r="L276" s="399">
        <v>0</v>
      </c>
      <c r="M276" s="399">
        <v>0</v>
      </c>
      <c r="N276" s="399">
        <v>28.986999999999998</v>
      </c>
      <c r="O276" s="399">
        <v>27.247779999999999</v>
      </c>
      <c r="P276" s="399">
        <v>28.986999999999998</v>
      </c>
      <c r="Q276" s="399">
        <v>27.247779999999999</v>
      </c>
      <c r="R276" s="399"/>
      <c r="S276" s="399">
        <v>609.05999999999995</v>
      </c>
      <c r="T276" s="399">
        <v>286.42</v>
      </c>
      <c r="U276" s="399"/>
      <c r="V276" s="399">
        <v>25957.278759999997</v>
      </c>
      <c r="W276" s="399">
        <v>25957.278759999997</v>
      </c>
      <c r="X276" s="399">
        <v>19823.339689999997</v>
      </c>
      <c r="Y276" s="399">
        <v>0</v>
      </c>
      <c r="Z276" s="399">
        <v>1764.1893719811164</v>
      </c>
      <c r="AA276" s="399">
        <v>0</v>
      </c>
      <c r="AB276" s="399">
        <v>0</v>
      </c>
      <c r="AC276" s="399">
        <v>0</v>
      </c>
      <c r="AD276" s="399">
        <v>2830.6428707502664</v>
      </c>
      <c r="AE276" s="399">
        <v>10934.244104712016</v>
      </c>
      <c r="AF276" s="399">
        <v>8302.5535085833635</v>
      </c>
      <c r="AG276" s="399">
        <v>0</v>
      </c>
      <c r="AH276" s="399">
        <v>0</v>
      </c>
      <c r="AI276" s="399">
        <v>0</v>
      </c>
      <c r="AJ276" s="399">
        <v>0</v>
      </c>
      <c r="AK276" s="399">
        <v>0</v>
      </c>
      <c r="AL276" s="399">
        <v>272.64850313231364</v>
      </c>
      <c r="AM276" s="399"/>
      <c r="AN276" s="399">
        <v>49.505087537061137</v>
      </c>
      <c r="AO276" s="399">
        <v>0</v>
      </c>
      <c r="AP276" s="399">
        <v>0</v>
      </c>
      <c r="AQ276" s="399">
        <v>0</v>
      </c>
      <c r="AR276" s="399">
        <v>0</v>
      </c>
      <c r="AS276" s="399">
        <v>0</v>
      </c>
      <c r="AT276" s="399">
        <v>0</v>
      </c>
      <c r="AU276" s="399">
        <v>0</v>
      </c>
      <c r="AV276" s="399">
        <v>0</v>
      </c>
      <c r="AW276" s="399">
        <v>0</v>
      </c>
      <c r="AX276" s="399">
        <v>0</v>
      </c>
      <c r="AY276" s="399">
        <v>0</v>
      </c>
      <c r="AZ276" s="399">
        <v>0</v>
      </c>
      <c r="BA276" s="399"/>
      <c r="BB276" s="399">
        <v>0</v>
      </c>
      <c r="BC276" s="399">
        <v>0</v>
      </c>
      <c r="BD276" s="399">
        <v>0</v>
      </c>
      <c r="BE276" s="399">
        <v>0</v>
      </c>
      <c r="BF276" s="399">
        <v>0</v>
      </c>
      <c r="BG276" s="399">
        <v>971.71145679998835</v>
      </c>
      <c r="BH276" s="399">
        <v>0</v>
      </c>
      <c r="BI276" s="399">
        <v>69.8</v>
      </c>
      <c r="BJ276" s="399">
        <v>322.29000000000002</v>
      </c>
      <c r="BK276" s="399">
        <v>4437.49</v>
      </c>
      <c r="BL276" s="399">
        <v>6</v>
      </c>
      <c r="BM276" s="399"/>
      <c r="BN276" s="399"/>
      <c r="BO276" s="399"/>
      <c r="BP276" s="399"/>
      <c r="BQ276" s="399">
        <v>1189.4003813999998</v>
      </c>
      <c r="BR276" s="399"/>
      <c r="BS276" s="399"/>
      <c r="BT276" s="399"/>
      <c r="BU276" s="399"/>
      <c r="BV276" s="399">
        <v>9274.2649653833523</v>
      </c>
      <c r="BW276" s="399"/>
      <c r="BX276" s="399"/>
      <c r="BY276" s="399"/>
      <c r="BZ276" s="399"/>
      <c r="CA276" s="399"/>
      <c r="CB276" s="399"/>
      <c r="CC276" s="399"/>
      <c r="CD276" s="399"/>
      <c r="CE276" s="399"/>
      <c r="CF276" s="399"/>
      <c r="CG276" s="399"/>
      <c r="CH276" s="399"/>
      <c r="CI276" s="399">
        <v>18635.4575</v>
      </c>
      <c r="CJ276" s="399">
        <v>-5764.4145343999917</v>
      </c>
      <c r="CK276" s="399"/>
      <c r="CL276" s="399"/>
      <c r="CM276" s="399"/>
      <c r="CN276" s="399"/>
      <c r="CO276" s="399">
        <v>-4255.001729999999</v>
      </c>
      <c r="CP276" s="399">
        <v>-1878.9373400000004</v>
      </c>
      <c r="CQ276" s="399">
        <v>31</v>
      </c>
      <c r="CR276" s="399">
        <v>-2144.1106566344824</v>
      </c>
      <c r="CS276" s="399">
        <v>0</v>
      </c>
      <c r="CT276" s="399">
        <v>0</v>
      </c>
      <c r="CU276" s="399">
        <v>0</v>
      </c>
      <c r="CV276" s="399">
        <v>0</v>
      </c>
      <c r="CW276" s="399">
        <v>0</v>
      </c>
      <c r="CX276" s="399">
        <v>0</v>
      </c>
      <c r="CY276" s="399">
        <v>0</v>
      </c>
      <c r="CZ276" s="399">
        <v>97.138909219201196</v>
      </c>
      <c r="DA276" s="399">
        <v>0</v>
      </c>
      <c r="DB276" s="399">
        <v>0</v>
      </c>
      <c r="DC276" s="399">
        <v>-1879.1335671207116</v>
      </c>
      <c r="DD276" s="399">
        <v>0</v>
      </c>
      <c r="DE276" s="399">
        <v>0</v>
      </c>
      <c r="DF276" s="399">
        <v>0</v>
      </c>
      <c r="DG276" s="399">
        <v>-219.9294005321251</v>
      </c>
      <c r="DH276" s="399">
        <v>0</v>
      </c>
      <c r="DI276" s="399">
        <v>-122.39266933562499</v>
      </c>
      <c r="DJ276" s="399"/>
      <c r="DK276" s="399">
        <v>0</v>
      </c>
      <c r="DL276" s="399">
        <v>0</v>
      </c>
      <c r="DM276" s="399">
        <v>0</v>
      </c>
      <c r="DN276" s="399">
        <v>0</v>
      </c>
      <c r="DO276" s="399">
        <v>-15.603209962415065</v>
      </c>
      <c r="DP276" s="399">
        <v>-4.1907189028080722</v>
      </c>
      <c r="DQ276" s="399">
        <v>0</v>
      </c>
      <c r="DR276" s="399">
        <v>0</v>
      </c>
      <c r="DS276" s="399"/>
      <c r="DT276" s="399"/>
      <c r="DU276" s="399"/>
      <c r="DV276" s="399">
        <v>10934.244104712016</v>
      </c>
      <c r="DW276" s="399">
        <v>0</v>
      </c>
      <c r="DX276" s="399">
        <v>0</v>
      </c>
      <c r="DY276" s="399">
        <v>-4255.00173</v>
      </c>
      <c r="DZ276" s="399">
        <v>-1878.9373399999995</v>
      </c>
      <c r="EA276" s="399">
        <v>0</v>
      </c>
      <c r="EB276" s="399">
        <v>0</v>
      </c>
      <c r="EC276" s="399">
        <v>-3989.9069637431212</v>
      </c>
      <c r="ED276" s="399">
        <v>0</v>
      </c>
      <c r="EE276" s="399">
        <v>0</v>
      </c>
      <c r="EF276" s="399">
        <v>0</v>
      </c>
      <c r="EG276" s="399">
        <v>0</v>
      </c>
      <c r="EH276" s="399">
        <v>0</v>
      </c>
      <c r="EI276" s="399">
        <v>0</v>
      </c>
      <c r="EJ276" s="399">
        <v>0</v>
      </c>
      <c r="EK276" s="399">
        <v>0</v>
      </c>
      <c r="EL276" s="399">
        <v>0</v>
      </c>
      <c r="EM276" s="399">
        <v>0</v>
      </c>
      <c r="EN276" s="399">
        <v>0</v>
      </c>
      <c r="EO276" s="399">
        <v>0</v>
      </c>
      <c r="EP276" s="399">
        <v>831.87565060522968</v>
      </c>
      <c r="EQ276" s="399">
        <v>0</v>
      </c>
      <c r="ER276" s="399">
        <v>0</v>
      </c>
      <c r="ES276" s="399">
        <v>0</v>
      </c>
      <c r="ET276" s="399">
        <v>0</v>
      </c>
      <c r="EU276" s="399">
        <v>0</v>
      </c>
      <c r="EV276" s="399">
        <v>202</v>
      </c>
      <c r="EW276" s="399">
        <v>0</v>
      </c>
      <c r="EX276" s="399">
        <v>0</v>
      </c>
      <c r="EY276" s="399">
        <v>0</v>
      </c>
      <c r="EZ276" s="399"/>
      <c r="FA276" s="399">
        <v>0</v>
      </c>
      <c r="FB276" s="399">
        <v>-17.698635468909799</v>
      </c>
      <c r="FC276" s="399"/>
      <c r="FD276" s="399">
        <v>-17.698635468909799</v>
      </c>
      <c r="FE276" s="399"/>
      <c r="FF276" s="399">
        <v>0</v>
      </c>
      <c r="FG276" s="399">
        <v>0</v>
      </c>
      <c r="FH276" s="399">
        <v>0</v>
      </c>
      <c r="FI276" s="399">
        <v>0</v>
      </c>
    </row>
    <row r="277" spans="1:165">
      <c r="A277" s="399">
        <v>269</v>
      </c>
      <c r="B277" s="399" t="s">
        <v>956</v>
      </c>
      <c r="C277" s="399" t="s">
        <v>2402</v>
      </c>
      <c r="D277" s="399" t="s">
        <v>1826</v>
      </c>
      <c r="E277" s="399" t="s">
        <v>918</v>
      </c>
      <c r="F277" s="399" t="s">
        <v>1239</v>
      </c>
      <c r="G277" s="399" t="s">
        <v>1239</v>
      </c>
      <c r="H277" s="399" t="s">
        <v>1239</v>
      </c>
      <c r="I277" s="399" t="s">
        <v>1239</v>
      </c>
      <c r="J277" s="399" t="s">
        <v>2400</v>
      </c>
      <c r="K277" s="788">
        <v>44774</v>
      </c>
      <c r="L277" s="399">
        <v>0</v>
      </c>
      <c r="M277" s="399">
        <v>0</v>
      </c>
      <c r="N277" s="399">
        <v>17.398</v>
      </c>
      <c r="O277" s="399">
        <v>17.398</v>
      </c>
      <c r="P277" s="399">
        <v>17.398</v>
      </c>
      <c r="Q277" s="399">
        <v>17.398</v>
      </c>
      <c r="R277" s="399"/>
      <c r="S277" s="399">
        <v>609.05999999999995</v>
      </c>
      <c r="T277" s="399">
        <v>286.42</v>
      </c>
      <c r="U277" s="399"/>
      <c r="V277" s="399">
        <v>15579.561039999999</v>
      </c>
      <c r="W277" s="399">
        <v>15579.561039999999</v>
      </c>
      <c r="X277" s="399">
        <v>11897.97026</v>
      </c>
      <c r="Y277" s="399">
        <v>0</v>
      </c>
      <c r="Z277" s="399">
        <v>1058.8666193027034</v>
      </c>
      <c r="AA277" s="399">
        <v>0</v>
      </c>
      <c r="AB277" s="399">
        <v>0</v>
      </c>
      <c r="AC277" s="399">
        <v>0</v>
      </c>
      <c r="AD277" s="399">
        <v>1698.9521049198997</v>
      </c>
      <c r="AE277" s="399">
        <v>6562.7342923993392</v>
      </c>
      <c r="AF277" s="399">
        <v>4983.1933605524318</v>
      </c>
      <c r="AG277" s="399">
        <v>0</v>
      </c>
      <c r="AH277" s="399">
        <v>0</v>
      </c>
      <c r="AI277" s="399">
        <v>0</v>
      </c>
      <c r="AJ277" s="399">
        <v>0</v>
      </c>
      <c r="AK277" s="399">
        <v>0</v>
      </c>
      <c r="AL277" s="399">
        <v>163.64365603532593</v>
      </c>
      <c r="AM277" s="399"/>
      <c r="AN277" s="399">
        <v>29.712957980121768</v>
      </c>
      <c r="AO277" s="399">
        <v>0</v>
      </c>
      <c r="AP277" s="399">
        <v>0</v>
      </c>
      <c r="AQ277" s="399">
        <v>0</v>
      </c>
      <c r="AR277" s="399">
        <v>0</v>
      </c>
      <c r="AS277" s="399">
        <v>0</v>
      </c>
      <c r="AT277" s="399">
        <v>0</v>
      </c>
      <c r="AU277" s="399">
        <v>0</v>
      </c>
      <c r="AV277" s="399">
        <v>0</v>
      </c>
      <c r="AW277" s="399">
        <v>0</v>
      </c>
      <c r="AX277" s="399">
        <v>0</v>
      </c>
      <c r="AY277" s="399">
        <v>0</v>
      </c>
      <c r="AZ277" s="399">
        <v>0</v>
      </c>
      <c r="BA277" s="399"/>
      <c r="BB277" s="399">
        <v>0</v>
      </c>
      <c r="BC277" s="399">
        <v>0</v>
      </c>
      <c r="BD277" s="399">
        <v>0</v>
      </c>
      <c r="BE277" s="399">
        <v>0</v>
      </c>
      <c r="BF277" s="399">
        <v>0</v>
      </c>
      <c r="BG277" s="399">
        <v>583.22130352938211</v>
      </c>
      <c r="BH277" s="399">
        <v>0</v>
      </c>
      <c r="BI277" s="399">
        <v>50.35</v>
      </c>
      <c r="BJ277" s="399">
        <v>232.91</v>
      </c>
      <c r="BK277" s="399">
        <v>2673.67</v>
      </c>
      <c r="BL277" s="399">
        <v>44</v>
      </c>
      <c r="BM277" s="399"/>
      <c r="BN277" s="399"/>
      <c r="BO277" s="399"/>
      <c r="BP277" s="399"/>
      <c r="BQ277" s="399"/>
      <c r="BR277" s="399"/>
      <c r="BS277" s="399"/>
      <c r="BT277" s="399"/>
      <c r="BU277" s="399"/>
      <c r="BV277" s="399">
        <v>5566.4146640818144</v>
      </c>
      <c r="BW277" s="399"/>
      <c r="BX277" s="399"/>
      <c r="BY277" s="399"/>
      <c r="BZ277" s="399"/>
      <c r="CA277" s="399"/>
      <c r="CB277" s="399"/>
      <c r="CC277" s="399"/>
      <c r="CD277" s="399"/>
      <c r="CE277" s="399"/>
      <c r="CF277" s="399"/>
      <c r="CG277" s="399"/>
      <c r="CH277" s="399"/>
      <c r="CI277" s="399">
        <v>11899.337999999998</v>
      </c>
      <c r="CJ277" s="399">
        <v>-3680.2530400000014</v>
      </c>
      <c r="CK277" s="399"/>
      <c r="CL277" s="399"/>
      <c r="CM277" s="399"/>
      <c r="CN277" s="399"/>
      <c r="CO277" s="399">
        <v>-2553.8524199999993</v>
      </c>
      <c r="CP277" s="399">
        <v>-1127.7383600000003</v>
      </c>
      <c r="CQ277" s="399">
        <v>31</v>
      </c>
      <c r="CR277" s="399">
        <v>-1286.8954084288398</v>
      </c>
      <c r="CS277" s="399">
        <v>0</v>
      </c>
      <c r="CT277" s="399">
        <v>0</v>
      </c>
      <c r="CU277" s="399">
        <v>0</v>
      </c>
      <c r="CV277" s="399">
        <v>0</v>
      </c>
      <c r="CW277" s="399">
        <v>0</v>
      </c>
      <c r="CX277" s="399">
        <v>0</v>
      </c>
      <c r="CY277" s="399">
        <v>0</v>
      </c>
      <c r="CZ277" s="399">
        <v>58.302782026276191</v>
      </c>
      <c r="DA277" s="399">
        <v>0</v>
      </c>
      <c r="DB277" s="399">
        <v>0</v>
      </c>
      <c r="DC277" s="399">
        <v>-1127.8561355354514</v>
      </c>
      <c r="DD277" s="399">
        <v>0</v>
      </c>
      <c r="DE277" s="399">
        <v>0</v>
      </c>
      <c r="DF277" s="399">
        <v>0</v>
      </c>
      <c r="DG277" s="399">
        <v>-132.00164592603284</v>
      </c>
      <c r="DH277" s="399">
        <v>0</v>
      </c>
      <c r="DI277" s="399">
        <v>-73.4600911132992</v>
      </c>
      <c r="DJ277" s="399"/>
      <c r="DK277" s="399">
        <v>0</v>
      </c>
      <c r="DL277" s="399">
        <v>0</v>
      </c>
      <c r="DM277" s="399">
        <v>0</v>
      </c>
      <c r="DN277" s="399">
        <v>0</v>
      </c>
      <c r="DO277" s="399">
        <v>-9.3650480189773759</v>
      </c>
      <c r="DP277" s="399">
        <v>-2.5152698613535307</v>
      </c>
      <c r="DQ277" s="399">
        <v>0</v>
      </c>
      <c r="DR277" s="399">
        <v>0</v>
      </c>
      <c r="DS277" s="399"/>
      <c r="DT277" s="399"/>
      <c r="DU277" s="399"/>
      <c r="DV277" s="399">
        <v>6562.7342923993392</v>
      </c>
      <c r="DW277" s="399">
        <v>0</v>
      </c>
      <c r="DX277" s="399">
        <v>0</v>
      </c>
      <c r="DY277" s="399">
        <v>-2553.8524199999993</v>
      </c>
      <c r="DZ277" s="399">
        <v>-1127.7383599999998</v>
      </c>
      <c r="EA277" s="399">
        <v>0</v>
      </c>
      <c r="EB277" s="399">
        <v>0</v>
      </c>
      <c r="EC277" s="399">
        <v>-2394.7425175148455</v>
      </c>
      <c r="ED277" s="399">
        <v>0</v>
      </c>
      <c r="EE277" s="399">
        <v>0</v>
      </c>
      <c r="EF277" s="399">
        <v>0</v>
      </c>
      <c r="EG277" s="399">
        <v>0</v>
      </c>
      <c r="EH277" s="399">
        <v>0</v>
      </c>
      <c r="EI277" s="399">
        <v>0</v>
      </c>
      <c r="EJ277" s="399">
        <v>0</v>
      </c>
      <c r="EK277" s="399">
        <v>0</v>
      </c>
      <c r="EL277" s="399">
        <v>0</v>
      </c>
      <c r="EM277" s="399">
        <v>0</v>
      </c>
      <c r="EN277" s="399">
        <v>0</v>
      </c>
      <c r="EO277" s="399">
        <v>0</v>
      </c>
      <c r="EP277" s="399">
        <v>499.29184010866203</v>
      </c>
      <c r="EQ277" s="399">
        <v>0</v>
      </c>
      <c r="ER277" s="399">
        <v>0</v>
      </c>
      <c r="ES277" s="399">
        <v>0</v>
      </c>
      <c r="ET277" s="399">
        <v>0</v>
      </c>
      <c r="EU277" s="399">
        <v>0</v>
      </c>
      <c r="EV277" s="399">
        <v>202</v>
      </c>
      <c r="EW277" s="399">
        <v>0</v>
      </c>
      <c r="EX277" s="399">
        <v>0</v>
      </c>
      <c r="EY277" s="399">
        <v>0</v>
      </c>
      <c r="EZ277" s="399"/>
      <c r="FA277" s="399">
        <v>0</v>
      </c>
      <c r="FB277" s="399">
        <v>-17.698635468909799</v>
      </c>
      <c r="FC277" s="399"/>
      <c r="FD277" s="399">
        <v>-17.698635468909799</v>
      </c>
      <c r="FE277" s="399"/>
      <c r="FF277" s="399">
        <v>0</v>
      </c>
      <c r="FG277" s="399">
        <v>0</v>
      </c>
      <c r="FH277" s="399">
        <v>0</v>
      </c>
      <c r="FI277" s="399">
        <v>0</v>
      </c>
    </row>
    <row r="278" spans="1:165">
      <c r="A278" s="399">
        <v>276</v>
      </c>
      <c r="B278" s="399" t="s">
        <v>956</v>
      </c>
      <c r="C278" s="399" t="s">
        <v>2402</v>
      </c>
      <c r="D278" s="399" t="s">
        <v>1826</v>
      </c>
      <c r="E278" s="399" t="s">
        <v>2412</v>
      </c>
      <c r="F278" s="399" t="s">
        <v>1239</v>
      </c>
      <c r="G278" s="399" t="s">
        <v>1239</v>
      </c>
      <c r="H278" s="399" t="s">
        <v>1239</v>
      </c>
      <c r="I278" s="399" t="s">
        <v>1239</v>
      </c>
      <c r="J278" s="399" t="s">
        <v>2400</v>
      </c>
      <c r="K278" s="788">
        <v>44774</v>
      </c>
      <c r="L278" s="399">
        <v>0</v>
      </c>
      <c r="M278" s="399">
        <v>0</v>
      </c>
      <c r="N278" s="399">
        <v>5.8460000000000001</v>
      </c>
      <c r="O278" s="399">
        <v>5.8460000000000001</v>
      </c>
      <c r="P278" s="399">
        <v>5.8460000000000001</v>
      </c>
      <c r="Q278" s="399">
        <v>5.8460000000000001</v>
      </c>
      <c r="R278" s="399"/>
      <c r="S278" s="399">
        <v>609.05999999999995</v>
      </c>
      <c r="T278" s="399">
        <v>286.42</v>
      </c>
      <c r="U278" s="399"/>
      <c r="V278" s="399">
        <v>5234.9760800000004</v>
      </c>
      <c r="W278" s="399">
        <v>5234.9760800000004</v>
      </c>
      <c r="X278" s="399">
        <v>3997.9040199999999</v>
      </c>
      <c r="Y278" s="399">
        <v>0</v>
      </c>
      <c r="Z278" s="399">
        <v>355.79573838622855</v>
      </c>
      <c r="AA278" s="399">
        <v>0</v>
      </c>
      <c r="AB278" s="399">
        <v>0</v>
      </c>
      <c r="AC278" s="399">
        <v>0</v>
      </c>
      <c r="AD278" s="399">
        <v>570.8744686378742</v>
      </c>
      <c r="AE278" s="399">
        <v>2205.181323908871</v>
      </c>
      <c r="AF278" s="399">
        <v>1674.4308762955236</v>
      </c>
      <c r="AG278" s="399">
        <v>0</v>
      </c>
      <c r="AH278" s="399">
        <v>0</v>
      </c>
      <c r="AI278" s="399">
        <v>0</v>
      </c>
      <c r="AJ278" s="399">
        <v>0</v>
      </c>
      <c r="AK278" s="399">
        <v>0</v>
      </c>
      <c r="AL278" s="399">
        <v>54.986826829665219</v>
      </c>
      <c r="AM278" s="399"/>
      <c r="AN278" s="399">
        <v>9.9840184131389726</v>
      </c>
      <c r="AO278" s="399">
        <v>0</v>
      </c>
      <c r="AP278" s="399">
        <v>0</v>
      </c>
      <c r="AQ278" s="399">
        <v>0</v>
      </c>
      <c r="AR278" s="399">
        <v>0</v>
      </c>
      <c r="AS278" s="399">
        <v>0</v>
      </c>
      <c r="AT278" s="399">
        <v>0</v>
      </c>
      <c r="AU278" s="399">
        <v>0</v>
      </c>
      <c r="AV278" s="399">
        <v>0</v>
      </c>
      <c r="AW278" s="399">
        <v>0</v>
      </c>
      <c r="AX278" s="399">
        <v>0</v>
      </c>
      <c r="AY278" s="399">
        <v>0</v>
      </c>
      <c r="AZ278" s="399">
        <v>0</v>
      </c>
      <c r="BA278" s="399"/>
      <c r="BB278" s="399">
        <v>0</v>
      </c>
      <c r="BC278" s="399">
        <v>0</v>
      </c>
      <c r="BD278" s="399">
        <v>0</v>
      </c>
      <c r="BE278" s="399">
        <v>0</v>
      </c>
      <c r="BF278" s="399">
        <v>0</v>
      </c>
      <c r="BG278" s="399">
        <v>195.97147605660237</v>
      </c>
      <c r="BH278" s="399">
        <v>0</v>
      </c>
      <c r="BI278" s="399">
        <v>21.28</v>
      </c>
      <c r="BJ278" s="399">
        <v>98.45</v>
      </c>
      <c r="BK278" s="399">
        <v>399.32</v>
      </c>
      <c r="BL278" s="399">
        <v>10</v>
      </c>
      <c r="BM278" s="399"/>
      <c r="BN278" s="399"/>
      <c r="BO278" s="399"/>
      <c r="BP278" s="399"/>
      <c r="BQ278" s="399"/>
      <c r="BR278" s="399"/>
      <c r="BS278" s="399"/>
      <c r="BT278" s="399"/>
      <c r="BU278" s="399"/>
      <c r="BV278" s="399">
        <v>1870.4023523521259</v>
      </c>
      <c r="BW278" s="399"/>
      <c r="BX278" s="399"/>
      <c r="BY278" s="399"/>
      <c r="BZ278" s="399"/>
      <c r="CA278" s="399"/>
      <c r="CB278" s="399"/>
      <c r="CC278" s="399"/>
      <c r="CD278" s="399"/>
      <c r="CE278" s="399"/>
      <c r="CF278" s="399"/>
      <c r="CG278" s="399"/>
      <c r="CH278" s="399"/>
      <c r="CI278" s="399">
        <v>4000.6394999999993</v>
      </c>
      <c r="CJ278" s="399">
        <v>-1234.3665800000017</v>
      </c>
      <c r="CK278" s="399"/>
      <c r="CL278" s="399"/>
      <c r="CM278" s="399"/>
      <c r="CN278" s="399"/>
      <c r="CO278" s="399">
        <v>-858.13433999999984</v>
      </c>
      <c r="CP278" s="399">
        <v>-378.93772000000013</v>
      </c>
      <c r="CQ278" s="399">
        <v>31</v>
      </c>
      <c r="CR278" s="399">
        <v>-432.41697653034771</v>
      </c>
      <c r="CS278" s="399">
        <v>0</v>
      </c>
      <c r="CT278" s="399">
        <v>0</v>
      </c>
      <c r="CU278" s="399">
        <v>0</v>
      </c>
      <c r="CV278" s="399">
        <v>0</v>
      </c>
      <c r="CW278" s="399">
        <v>0</v>
      </c>
      <c r="CX278" s="399">
        <v>0</v>
      </c>
      <c r="CY278" s="399">
        <v>0</v>
      </c>
      <c r="CZ278" s="399">
        <v>19.590646265410328</v>
      </c>
      <c r="DA278" s="399">
        <v>0</v>
      </c>
      <c r="DB278" s="399">
        <v>0</v>
      </c>
      <c r="DC278" s="399">
        <v>-378.97729442121226</v>
      </c>
      <c r="DD278" s="399">
        <v>0</v>
      </c>
      <c r="DE278" s="399">
        <v>0</v>
      </c>
      <c r="DF278" s="399">
        <v>0</v>
      </c>
      <c r="DG278" s="399">
        <v>-44.35461674236052</v>
      </c>
      <c r="DH278" s="399">
        <v>0</v>
      </c>
      <c r="DI278" s="399">
        <v>-24.683739087731169</v>
      </c>
      <c r="DJ278" s="399"/>
      <c r="DK278" s="399">
        <v>0</v>
      </c>
      <c r="DL278" s="399">
        <v>0</v>
      </c>
      <c r="DM278" s="399">
        <v>0</v>
      </c>
      <c r="DN278" s="399">
        <v>0</v>
      </c>
      <c r="DO278" s="399">
        <v>-3.1468025473584191</v>
      </c>
      <c r="DP278" s="399">
        <v>-0.84516999709579999</v>
      </c>
      <c r="DQ278" s="399">
        <v>0</v>
      </c>
      <c r="DR278" s="399">
        <v>0</v>
      </c>
      <c r="DS278" s="399"/>
      <c r="DT278" s="399"/>
      <c r="DU278" s="399"/>
      <c r="DV278" s="399">
        <v>2205.181323908871</v>
      </c>
      <c r="DW278" s="399">
        <v>0</v>
      </c>
      <c r="DX278" s="399">
        <v>0</v>
      </c>
      <c r="DY278" s="399">
        <v>-858.13433999999961</v>
      </c>
      <c r="DZ278" s="399">
        <v>-378.93772000000013</v>
      </c>
      <c r="EA278" s="399">
        <v>0</v>
      </c>
      <c r="EB278" s="399">
        <v>0</v>
      </c>
      <c r="EC278" s="399">
        <v>-804.67092524380882</v>
      </c>
      <c r="ED278" s="399">
        <v>0</v>
      </c>
      <c r="EE278" s="399">
        <v>0</v>
      </c>
      <c r="EF278" s="399">
        <v>0</v>
      </c>
      <c r="EG278" s="399">
        <v>0</v>
      </c>
      <c r="EH278" s="399">
        <v>0</v>
      </c>
      <c r="EI278" s="399">
        <v>0</v>
      </c>
      <c r="EJ278" s="399">
        <v>0</v>
      </c>
      <c r="EK278" s="399">
        <v>0</v>
      </c>
      <c r="EL278" s="399">
        <v>0</v>
      </c>
      <c r="EM278" s="399">
        <v>0</v>
      </c>
      <c r="EN278" s="399">
        <v>0</v>
      </c>
      <c r="EO278" s="399">
        <v>0</v>
      </c>
      <c r="EP278" s="399">
        <v>167.76986419561089</v>
      </c>
      <c r="EQ278" s="399">
        <v>0</v>
      </c>
      <c r="ER278" s="399">
        <v>0</v>
      </c>
      <c r="ES278" s="399">
        <v>0</v>
      </c>
      <c r="ET278" s="399">
        <v>0</v>
      </c>
      <c r="EU278" s="399">
        <v>0</v>
      </c>
      <c r="EV278" s="399">
        <v>202</v>
      </c>
      <c r="EW278" s="399">
        <v>0</v>
      </c>
      <c r="EX278" s="399">
        <v>0</v>
      </c>
      <c r="EY278" s="399">
        <v>0</v>
      </c>
      <c r="EZ278" s="399"/>
      <c r="FA278" s="399">
        <v>0</v>
      </c>
      <c r="FB278" s="399">
        <v>-17.698635468909799</v>
      </c>
      <c r="FC278" s="399"/>
      <c r="FD278" s="399">
        <v>-17.698635468909799</v>
      </c>
      <c r="FE278" s="399"/>
      <c r="FF278" s="399">
        <v>0</v>
      </c>
      <c r="FG278" s="399">
        <v>0</v>
      </c>
      <c r="FH278" s="399">
        <v>0</v>
      </c>
      <c r="FI278" s="399">
        <v>0</v>
      </c>
    </row>
    <row r="279" spans="1:165">
      <c r="A279" s="399">
        <v>279</v>
      </c>
      <c r="B279" s="399" t="s">
        <v>956</v>
      </c>
      <c r="C279" s="399" t="s">
        <v>2399</v>
      </c>
      <c r="D279" s="399" t="s">
        <v>533</v>
      </c>
      <c r="E279" s="399" t="s">
        <v>921</v>
      </c>
      <c r="F279" s="399" t="s">
        <v>2401</v>
      </c>
      <c r="G279" s="399" t="s">
        <v>1239</v>
      </c>
      <c r="H279" s="399" t="s">
        <v>1239</v>
      </c>
      <c r="I279" s="399" t="s">
        <v>893</v>
      </c>
      <c r="J279" s="399" t="s">
        <v>2400</v>
      </c>
      <c r="K279" s="788">
        <v>44774</v>
      </c>
      <c r="L279" s="399">
        <v>0</v>
      </c>
      <c r="M279" s="399">
        <v>0</v>
      </c>
      <c r="N279" s="399">
        <v>21.699000000000002</v>
      </c>
      <c r="O279" s="399">
        <v>20.39706</v>
      </c>
      <c r="P279" s="399">
        <v>21.699000000000002</v>
      </c>
      <c r="Q279" s="399">
        <v>20.39706</v>
      </c>
      <c r="R279" s="399"/>
      <c r="S279" s="399">
        <v>3305.85</v>
      </c>
      <c r="T279" s="399">
        <v>286.42</v>
      </c>
      <c r="U279" s="399"/>
      <c r="V279" s="399">
        <v>77948.666729999997</v>
      </c>
      <c r="W279" s="399">
        <v>77948.666729999997</v>
      </c>
      <c r="X279" s="399">
        <v>56658.258900000001</v>
      </c>
      <c r="Y279" s="399">
        <v>0</v>
      </c>
      <c r="Z279" s="399">
        <v>1148.9494017620959</v>
      </c>
      <c r="AA279" s="399">
        <v>0</v>
      </c>
      <c r="AB279" s="399">
        <v>0</v>
      </c>
      <c r="AC279" s="399">
        <v>0</v>
      </c>
      <c r="AD279" s="399">
        <v>14147.424055335652</v>
      </c>
      <c r="AE279" s="399">
        <v>55405.980626106699</v>
      </c>
      <c r="AF279" s="399">
        <v>6215.1001684462144</v>
      </c>
      <c r="AG279" s="399">
        <v>0</v>
      </c>
      <c r="AH279" s="399">
        <v>0</v>
      </c>
      <c r="AI279" s="399">
        <v>0</v>
      </c>
      <c r="AJ279" s="399">
        <v>0</v>
      </c>
      <c r="AK279" s="399">
        <v>0</v>
      </c>
      <c r="AL279" s="399">
        <v>204.09838442985046</v>
      </c>
      <c r="AM279" s="399"/>
      <c r="AN279" s="399">
        <v>29.729527084961653</v>
      </c>
      <c r="AO279" s="399">
        <v>0</v>
      </c>
      <c r="AP279" s="399">
        <v>0</v>
      </c>
      <c r="AQ279" s="399">
        <v>0</v>
      </c>
      <c r="AR279" s="399">
        <v>0</v>
      </c>
      <c r="AS279" s="399">
        <v>0</v>
      </c>
      <c r="AT279" s="399">
        <v>0</v>
      </c>
      <c r="AU279" s="399">
        <v>0</v>
      </c>
      <c r="AV279" s="399">
        <v>0</v>
      </c>
      <c r="AW279" s="399">
        <v>0</v>
      </c>
      <c r="AX279" s="399">
        <v>0</v>
      </c>
      <c r="AY279" s="399">
        <v>0</v>
      </c>
      <c r="AZ279" s="399">
        <v>0</v>
      </c>
      <c r="BA279" s="399"/>
      <c r="BB279" s="399">
        <v>0</v>
      </c>
      <c r="BC279" s="399">
        <v>0</v>
      </c>
      <c r="BD279" s="399">
        <v>0</v>
      </c>
      <c r="BE279" s="399">
        <v>0</v>
      </c>
      <c r="BF279" s="399">
        <v>0</v>
      </c>
      <c r="BG279" s="399">
        <v>255.77252612887827</v>
      </c>
      <c r="BH279" s="399">
        <v>0</v>
      </c>
      <c r="BI279" s="399">
        <v>0</v>
      </c>
      <c r="BJ279" s="399">
        <v>0</v>
      </c>
      <c r="BK279" s="399">
        <v>0</v>
      </c>
      <c r="BL279" s="399">
        <v>0</v>
      </c>
      <c r="BM279" s="399"/>
      <c r="BN279" s="399"/>
      <c r="BO279" s="399"/>
      <c r="BP279" s="399"/>
      <c r="BQ279" s="399">
        <v>3399.4955340000051</v>
      </c>
      <c r="BR279" s="399"/>
      <c r="BS279" s="399"/>
      <c r="BT279" s="399"/>
      <c r="BU279" s="399"/>
      <c r="BV279" s="399">
        <v>6470.8726945750923</v>
      </c>
      <c r="BW279" s="399"/>
      <c r="BX279" s="399"/>
      <c r="BY279" s="399"/>
      <c r="BZ279" s="399"/>
      <c r="CA279" s="399"/>
      <c r="CB279" s="399"/>
      <c r="CC279" s="399"/>
      <c r="CD279" s="399"/>
      <c r="CE279" s="399"/>
      <c r="CF279" s="399"/>
      <c r="CG279" s="399"/>
      <c r="CH279" s="399"/>
      <c r="CI279" s="399">
        <v>53266.439999999995</v>
      </c>
      <c r="CJ279" s="399">
        <v>-20005.336726199988</v>
      </c>
      <c r="CK279" s="399"/>
      <c r="CL279" s="399"/>
      <c r="CM279" s="399"/>
      <c r="CN279" s="399"/>
      <c r="CO279" s="399">
        <v>-19883.878649999999</v>
      </c>
      <c r="CP279" s="399">
        <v>-1406.5291800000007</v>
      </c>
      <c r="CQ279" s="399">
        <v>31</v>
      </c>
      <c r="CR279" s="399">
        <v>-1072.9763019928505</v>
      </c>
      <c r="CS279" s="399">
        <v>0</v>
      </c>
      <c r="CT279" s="399">
        <v>0</v>
      </c>
      <c r="CU279" s="399">
        <v>0</v>
      </c>
      <c r="CV279" s="399">
        <v>0</v>
      </c>
      <c r="CW279" s="399">
        <v>0</v>
      </c>
      <c r="CX279" s="399">
        <v>0</v>
      </c>
      <c r="CY279" s="399">
        <v>0</v>
      </c>
      <c r="CZ279" s="399">
        <v>485.49584096151739</v>
      </c>
      <c r="DA279" s="399">
        <v>0</v>
      </c>
      <c r="DB279" s="399">
        <v>0</v>
      </c>
      <c r="DC279" s="399">
        <v>-1406.6760710991939</v>
      </c>
      <c r="DD279" s="399">
        <v>0</v>
      </c>
      <c r="DE279" s="399">
        <v>0</v>
      </c>
      <c r="DF279" s="399">
        <v>0</v>
      </c>
      <c r="DG279" s="399">
        <v>-57.889508197586679</v>
      </c>
      <c r="DH279" s="399">
        <v>0</v>
      </c>
      <c r="DI279" s="399">
        <v>-79.709687886464963</v>
      </c>
      <c r="DJ279" s="399"/>
      <c r="DK279" s="399">
        <v>0</v>
      </c>
      <c r="DL279" s="399">
        <v>0</v>
      </c>
      <c r="DM279" s="399">
        <v>0</v>
      </c>
      <c r="DN279" s="399">
        <v>0</v>
      </c>
      <c r="DO279" s="399">
        <v>-11.680203297148552</v>
      </c>
      <c r="DP279" s="399">
        <v>-2.5166724739800301</v>
      </c>
      <c r="DQ279" s="399">
        <v>0</v>
      </c>
      <c r="DR279" s="399">
        <v>0</v>
      </c>
      <c r="DS279" s="399"/>
      <c r="DT279" s="399"/>
      <c r="DU279" s="399"/>
      <c r="DV279" s="399">
        <v>55405.980626106699</v>
      </c>
      <c r="DW279" s="399">
        <v>0</v>
      </c>
      <c r="DX279" s="399">
        <v>0</v>
      </c>
      <c r="DY279" s="399">
        <v>-19883.878649999999</v>
      </c>
      <c r="DZ279" s="399">
        <v>-1406.5291800000005</v>
      </c>
      <c r="EA279" s="399">
        <v>0</v>
      </c>
      <c r="EB279" s="399">
        <v>0</v>
      </c>
      <c r="EC279" s="399">
        <v>-20217.648866816053</v>
      </c>
      <c r="ED279" s="399">
        <v>0</v>
      </c>
      <c r="EE279" s="399">
        <v>0</v>
      </c>
      <c r="EF279" s="399">
        <v>0</v>
      </c>
      <c r="EG279" s="399">
        <v>0</v>
      </c>
      <c r="EH279" s="399">
        <v>0</v>
      </c>
      <c r="EI279" s="399">
        <v>0</v>
      </c>
      <c r="EJ279" s="399">
        <v>0</v>
      </c>
      <c r="EK279" s="399">
        <v>0</v>
      </c>
      <c r="EL279" s="399">
        <v>0</v>
      </c>
      <c r="EM279" s="399">
        <v>0</v>
      </c>
      <c r="EN279" s="399">
        <v>0</v>
      </c>
      <c r="EO279" s="399">
        <v>0</v>
      </c>
      <c r="EP279" s="399">
        <v>541.76895421948154</v>
      </c>
      <c r="EQ279" s="399">
        <v>0</v>
      </c>
      <c r="ER279" s="399">
        <v>0</v>
      </c>
      <c r="ES279" s="399">
        <v>0</v>
      </c>
      <c r="ET279" s="399">
        <v>0</v>
      </c>
      <c r="EU279" s="399">
        <v>0</v>
      </c>
      <c r="EV279" s="399">
        <v>202</v>
      </c>
      <c r="EW279" s="399">
        <v>0</v>
      </c>
      <c r="EX279" s="399">
        <v>0</v>
      </c>
      <c r="EY279" s="399">
        <v>0</v>
      </c>
      <c r="EZ279" s="399"/>
      <c r="FA279" s="399">
        <v>0</v>
      </c>
      <c r="FB279" s="399">
        <v>-17.698635468909799</v>
      </c>
      <c r="FC279" s="399"/>
      <c r="FD279" s="399">
        <v>-17.698635468909799</v>
      </c>
      <c r="FE279" s="399"/>
      <c r="FF279" s="399">
        <v>0</v>
      </c>
      <c r="FG279" s="399">
        <v>0</v>
      </c>
      <c r="FH279" s="399">
        <v>0</v>
      </c>
      <c r="FI279" s="399">
        <v>0</v>
      </c>
    </row>
    <row r="280" spans="1:165">
      <c r="A280" s="399">
        <v>280</v>
      </c>
      <c r="B280" s="399" t="s">
        <v>956</v>
      </c>
      <c r="C280" s="399" t="s">
        <v>2399</v>
      </c>
      <c r="D280" s="399" t="s">
        <v>533</v>
      </c>
      <c r="E280" s="399" t="s">
        <v>921</v>
      </c>
      <c r="F280" s="399" t="s">
        <v>2401</v>
      </c>
      <c r="G280" s="399" t="s">
        <v>1239</v>
      </c>
      <c r="H280" s="399" t="s">
        <v>1239</v>
      </c>
      <c r="I280" s="399" t="s">
        <v>2326</v>
      </c>
      <c r="J280" s="399" t="s">
        <v>2400</v>
      </c>
      <c r="K280" s="788">
        <v>44774</v>
      </c>
      <c r="L280" s="399">
        <v>0</v>
      </c>
      <c r="M280" s="399">
        <v>0</v>
      </c>
      <c r="N280" s="399">
        <v>211.61</v>
      </c>
      <c r="O280" s="399">
        <v>198.9134</v>
      </c>
      <c r="P280" s="399">
        <v>211.61</v>
      </c>
      <c r="Q280" s="399">
        <v>198.9134</v>
      </c>
      <c r="R280" s="399"/>
      <c r="S280" s="399">
        <v>100.48</v>
      </c>
      <c r="T280" s="399">
        <v>286.42</v>
      </c>
      <c r="U280" s="399"/>
      <c r="V280" s="399">
        <v>81871.909000000014</v>
      </c>
      <c r="W280" s="399">
        <v>81871.909000000014</v>
      </c>
      <c r="X280" s="399">
        <v>66674.078800000003</v>
      </c>
      <c r="Y280" s="399">
        <v>0</v>
      </c>
      <c r="Z280" s="399">
        <v>11204.626153595886</v>
      </c>
      <c r="AA280" s="399">
        <v>0</v>
      </c>
      <c r="AB280" s="399">
        <v>0</v>
      </c>
      <c r="AC280" s="399">
        <v>0</v>
      </c>
      <c r="AD280" s="399">
        <v>0</v>
      </c>
      <c r="AE280" s="399">
        <v>0</v>
      </c>
      <c r="AF280" s="399">
        <v>60610.04408705025</v>
      </c>
      <c r="AG280" s="399">
        <v>0</v>
      </c>
      <c r="AH280" s="399">
        <v>0</v>
      </c>
      <c r="AI280" s="399">
        <v>0</v>
      </c>
      <c r="AJ280" s="399">
        <v>0</v>
      </c>
      <c r="AK280" s="399">
        <v>0</v>
      </c>
      <c r="AL280" s="399">
        <v>1990.3801617217684</v>
      </c>
      <c r="AM280" s="399"/>
      <c r="AN280" s="399">
        <v>289.92420049074775</v>
      </c>
      <c r="AO280" s="399">
        <v>0</v>
      </c>
      <c r="AP280" s="399">
        <v>0</v>
      </c>
      <c r="AQ280" s="399">
        <v>0</v>
      </c>
      <c r="AR280" s="399">
        <v>0</v>
      </c>
      <c r="AS280" s="399">
        <v>0</v>
      </c>
      <c r="AT280" s="399">
        <v>0</v>
      </c>
      <c r="AU280" s="399">
        <v>0</v>
      </c>
      <c r="AV280" s="399">
        <v>0</v>
      </c>
      <c r="AW280" s="399">
        <v>0</v>
      </c>
      <c r="AX280" s="399">
        <v>0</v>
      </c>
      <c r="AY280" s="399">
        <v>0</v>
      </c>
      <c r="AZ280" s="399">
        <v>0</v>
      </c>
      <c r="BA280" s="399"/>
      <c r="BB280" s="399">
        <v>0</v>
      </c>
      <c r="BC280" s="399">
        <v>0</v>
      </c>
      <c r="BD280" s="399">
        <v>0</v>
      </c>
      <c r="BE280" s="399">
        <v>0</v>
      </c>
      <c r="BF280" s="399">
        <v>0</v>
      </c>
      <c r="BG280" s="399">
        <v>2494.3096112324038</v>
      </c>
      <c r="BH280" s="399">
        <v>0</v>
      </c>
      <c r="BI280" s="399">
        <v>0</v>
      </c>
      <c r="BJ280" s="399">
        <v>0</v>
      </c>
      <c r="BK280" s="399">
        <v>0</v>
      </c>
      <c r="BL280" s="399">
        <v>0</v>
      </c>
      <c r="BM280" s="399"/>
      <c r="BN280" s="399"/>
      <c r="BO280" s="399"/>
      <c r="BP280" s="399"/>
      <c r="BQ280" s="399">
        <v>4000.4447280000059</v>
      </c>
      <c r="BR280" s="399"/>
      <c r="BS280" s="399"/>
      <c r="BT280" s="399"/>
      <c r="BU280" s="399"/>
      <c r="BV280" s="399">
        <v>63104.353698282655</v>
      </c>
      <c r="BW280" s="399"/>
      <c r="BX280" s="399"/>
      <c r="BY280" s="399"/>
      <c r="BZ280" s="399"/>
      <c r="CA280" s="399"/>
      <c r="CB280" s="399"/>
      <c r="CC280" s="399"/>
      <c r="CD280" s="399"/>
      <c r="CE280" s="399"/>
      <c r="CF280" s="399"/>
      <c r="CG280" s="399"/>
      <c r="CH280" s="399"/>
      <c r="CI280" s="399">
        <v>62672.5628</v>
      </c>
      <c r="CJ280" s="399">
        <v>-14287.061659999992</v>
      </c>
      <c r="CK280" s="399"/>
      <c r="CL280" s="399"/>
      <c r="CM280" s="399"/>
      <c r="CN280" s="399"/>
      <c r="CO280" s="399">
        <v>-1481.27</v>
      </c>
      <c r="CP280" s="399">
        <v>-13716.560200000005</v>
      </c>
      <c r="CQ280" s="399">
        <v>31</v>
      </c>
      <c r="CR280" s="399">
        <v>-15198.31744184409</v>
      </c>
      <c r="CS280" s="399">
        <v>0</v>
      </c>
      <c r="CT280" s="399">
        <v>0</v>
      </c>
      <c r="CU280" s="399">
        <v>0</v>
      </c>
      <c r="CV280" s="399">
        <v>0</v>
      </c>
      <c r="CW280" s="399">
        <v>0</v>
      </c>
      <c r="CX280" s="399">
        <v>0</v>
      </c>
      <c r="CY280" s="399">
        <v>0</v>
      </c>
      <c r="CZ280" s="399">
        <v>0</v>
      </c>
      <c r="DA280" s="399">
        <v>0</v>
      </c>
      <c r="DB280" s="399">
        <v>0</v>
      </c>
      <c r="DC280" s="399">
        <v>-13717.992691151681</v>
      </c>
      <c r="DD280" s="399">
        <v>0</v>
      </c>
      <c r="DE280" s="399">
        <v>0</v>
      </c>
      <c r="DF280" s="399">
        <v>0</v>
      </c>
      <c r="DG280" s="399">
        <v>-564.54209086553828</v>
      </c>
      <c r="DH280" s="399">
        <v>0</v>
      </c>
      <c r="DI280" s="399">
        <v>-777.3338427418239</v>
      </c>
      <c r="DJ280" s="399"/>
      <c r="DK280" s="399">
        <v>0</v>
      </c>
      <c r="DL280" s="399">
        <v>0</v>
      </c>
      <c r="DM280" s="399">
        <v>0</v>
      </c>
      <c r="DN280" s="399">
        <v>0</v>
      </c>
      <c r="DO280" s="399">
        <v>-113.90607031243871</v>
      </c>
      <c r="DP280" s="399">
        <v>-24.542746772612304</v>
      </c>
      <c r="DQ280" s="399">
        <v>0</v>
      </c>
      <c r="DR280" s="399">
        <v>0</v>
      </c>
      <c r="DS280" s="399"/>
      <c r="DT280" s="399"/>
      <c r="DU280" s="399"/>
      <c r="DV280" s="399">
        <v>0</v>
      </c>
      <c r="DW280" s="399">
        <v>0</v>
      </c>
      <c r="DX280" s="399">
        <v>0</v>
      </c>
      <c r="DY280" s="399">
        <v>-1481.2700000000004</v>
      </c>
      <c r="DZ280" s="399">
        <v>-13716.5602</v>
      </c>
      <c r="EA280" s="399">
        <v>0</v>
      </c>
      <c r="EB280" s="399">
        <v>0</v>
      </c>
      <c r="EC280" s="399">
        <v>0</v>
      </c>
      <c r="ED280" s="399">
        <v>0</v>
      </c>
      <c r="EE280" s="399">
        <v>0</v>
      </c>
      <c r="EF280" s="399">
        <v>0</v>
      </c>
      <c r="EG280" s="399">
        <v>0</v>
      </c>
      <c r="EH280" s="399">
        <v>0</v>
      </c>
      <c r="EI280" s="399">
        <v>0</v>
      </c>
      <c r="EJ280" s="399">
        <v>0</v>
      </c>
      <c r="EK280" s="399">
        <v>0</v>
      </c>
      <c r="EL280" s="399">
        <v>0</v>
      </c>
      <c r="EM280" s="399">
        <v>0</v>
      </c>
      <c r="EN280" s="399">
        <v>0</v>
      </c>
      <c r="EO280" s="399">
        <v>0</v>
      </c>
      <c r="EP280" s="399">
        <v>5283.3645975567761</v>
      </c>
      <c r="EQ280" s="399">
        <v>0</v>
      </c>
      <c r="ER280" s="399">
        <v>0</v>
      </c>
      <c r="ES280" s="399">
        <v>0</v>
      </c>
      <c r="ET280" s="399">
        <v>0</v>
      </c>
      <c r="EU280" s="399">
        <v>0</v>
      </c>
      <c r="EV280" s="399">
        <v>202</v>
      </c>
      <c r="EW280" s="399">
        <v>0</v>
      </c>
      <c r="EX280" s="399">
        <v>0</v>
      </c>
      <c r="EY280" s="399">
        <v>0</v>
      </c>
      <c r="EZ280" s="399"/>
      <c r="FA280" s="399">
        <v>0</v>
      </c>
      <c r="FB280" s="399">
        <v>-17.698635468909799</v>
      </c>
      <c r="FC280" s="399"/>
      <c r="FD280" s="399">
        <v>-17.698635468909799</v>
      </c>
      <c r="FE280" s="399"/>
      <c r="FF280" s="399">
        <v>0</v>
      </c>
      <c r="FG280" s="399">
        <v>0</v>
      </c>
      <c r="FH280" s="399">
        <v>0</v>
      </c>
      <c r="FI280" s="399">
        <v>0</v>
      </c>
    </row>
    <row r="281" spans="1:165">
      <c r="A281" s="399">
        <v>281</v>
      </c>
      <c r="B281" s="399" t="s">
        <v>956</v>
      </c>
      <c r="C281" s="399" t="s">
        <v>2399</v>
      </c>
      <c r="D281" s="399" t="s">
        <v>533</v>
      </c>
      <c r="E281" s="399" t="s">
        <v>921</v>
      </c>
      <c r="F281" s="399" t="s">
        <v>2401</v>
      </c>
      <c r="G281" s="399" t="s">
        <v>1239</v>
      </c>
      <c r="H281" s="399" t="s">
        <v>1239</v>
      </c>
      <c r="I281" s="399" t="s">
        <v>1239</v>
      </c>
      <c r="J281" s="399" t="s">
        <v>2400</v>
      </c>
      <c r="K281" s="788">
        <v>44774</v>
      </c>
      <c r="L281" s="399">
        <v>556</v>
      </c>
      <c r="M281" s="399">
        <v>522.64</v>
      </c>
      <c r="N281" s="399">
        <v>0</v>
      </c>
      <c r="O281" s="399">
        <v>0</v>
      </c>
      <c r="P281" s="399">
        <v>0</v>
      </c>
      <c r="Q281" s="399">
        <v>0</v>
      </c>
      <c r="R281" s="399">
        <v>39.21</v>
      </c>
      <c r="S281" s="399"/>
      <c r="T281" s="399"/>
      <c r="U281" s="399">
        <v>21800.760000000002</v>
      </c>
      <c r="V281" s="399"/>
      <c r="W281" s="399">
        <v>21800.760000000002</v>
      </c>
      <c r="X281" s="399">
        <v>16591.04</v>
      </c>
      <c r="Y281" s="399">
        <v>0</v>
      </c>
      <c r="Z281" s="399">
        <v>0</v>
      </c>
      <c r="AA281" s="399">
        <v>0</v>
      </c>
      <c r="AB281" s="399">
        <v>0</v>
      </c>
      <c r="AC281" s="399">
        <v>0</v>
      </c>
      <c r="AD281" s="399">
        <v>6867.8398590748293</v>
      </c>
      <c r="AE281" s="399">
        <v>14935.267123703527</v>
      </c>
      <c r="AF281" s="399"/>
      <c r="AG281" s="399"/>
      <c r="AH281" s="399"/>
      <c r="AI281" s="399">
        <v>0</v>
      </c>
      <c r="AJ281" s="399">
        <v>0</v>
      </c>
      <c r="AK281" s="399">
        <v>0</v>
      </c>
      <c r="AL281" s="399">
        <v>0</v>
      </c>
      <c r="AM281" s="399"/>
      <c r="AN281" s="399">
        <v>0</v>
      </c>
      <c r="AO281" s="399">
        <v>0</v>
      </c>
      <c r="AP281" s="399">
        <v>0</v>
      </c>
      <c r="AQ281" s="399">
        <v>0</v>
      </c>
      <c r="AR281" s="399">
        <v>0</v>
      </c>
      <c r="AS281" s="399"/>
      <c r="AT281" s="399"/>
      <c r="AU281" s="399">
        <v>0</v>
      </c>
      <c r="AV281" s="399">
        <v>0</v>
      </c>
      <c r="AW281" s="399">
        <v>0</v>
      </c>
      <c r="AX281" s="399"/>
      <c r="AY281" s="399"/>
      <c r="AZ281" s="399">
        <v>0</v>
      </c>
      <c r="BA281" s="399"/>
      <c r="BB281" s="399">
        <v>0</v>
      </c>
      <c r="BC281" s="399">
        <v>0</v>
      </c>
      <c r="BD281" s="399">
        <v>0</v>
      </c>
      <c r="BE281" s="399">
        <v>0</v>
      </c>
      <c r="BF281" s="399"/>
      <c r="BG281" s="399">
        <v>0</v>
      </c>
      <c r="BH281" s="399">
        <v>0</v>
      </c>
      <c r="BI281" s="399">
        <v>492.85</v>
      </c>
      <c r="BJ281" s="399">
        <v>2274.92</v>
      </c>
      <c r="BK281" s="399">
        <v>30888.240000000002</v>
      </c>
      <c r="BL281" s="399">
        <v>2</v>
      </c>
      <c r="BM281" s="399"/>
      <c r="BN281" s="399"/>
      <c r="BO281" s="399"/>
      <c r="BP281" s="399"/>
      <c r="BQ281" s="399">
        <v>995.46240000000046</v>
      </c>
      <c r="BR281" s="399"/>
      <c r="BS281" s="399"/>
      <c r="BT281" s="399"/>
      <c r="BU281" s="399"/>
      <c r="BV281" s="399">
        <v>0</v>
      </c>
      <c r="BW281" s="399"/>
      <c r="BX281" s="399"/>
      <c r="BY281" s="399"/>
      <c r="BZ281" s="399"/>
      <c r="CA281" s="399"/>
      <c r="CB281" s="399"/>
      <c r="CC281" s="399"/>
      <c r="CD281" s="399"/>
      <c r="CE281" s="399"/>
      <c r="CF281" s="399"/>
      <c r="CG281" s="399"/>
      <c r="CH281" s="399"/>
      <c r="CI281" s="399">
        <v>15595.577599999999</v>
      </c>
      <c r="CJ281" s="399">
        <v>-4897.1667999999972</v>
      </c>
      <c r="CK281" s="399"/>
      <c r="CL281" s="399"/>
      <c r="CM281" s="399"/>
      <c r="CN281" s="399"/>
      <c r="CO281" s="399">
        <v>-5209.72</v>
      </c>
      <c r="CP281" s="399">
        <v>0</v>
      </c>
      <c r="CQ281" s="399">
        <v>31</v>
      </c>
      <c r="CR281" s="399">
        <v>235.68302433918689</v>
      </c>
      <c r="CS281" s="399">
        <v>0</v>
      </c>
      <c r="CT281" s="399">
        <v>0</v>
      </c>
      <c r="CU281" s="399">
        <v>0</v>
      </c>
      <c r="CV281" s="399">
        <v>0</v>
      </c>
      <c r="CW281" s="399"/>
      <c r="CX281" s="399"/>
      <c r="CY281" s="399"/>
      <c r="CZ281" s="399">
        <v>235.68302433918689</v>
      </c>
      <c r="DA281" s="399">
        <v>0</v>
      </c>
      <c r="DB281" s="399">
        <v>0</v>
      </c>
      <c r="DC281" s="399"/>
      <c r="DD281" s="399"/>
      <c r="DE281" s="399">
        <v>0</v>
      </c>
      <c r="DF281" s="399">
        <v>0</v>
      </c>
      <c r="DG281" s="399">
        <v>0</v>
      </c>
      <c r="DH281" s="399">
        <v>0</v>
      </c>
      <c r="DI281" s="399">
        <v>0</v>
      </c>
      <c r="DJ281" s="399"/>
      <c r="DK281" s="399">
        <v>0</v>
      </c>
      <c r="DL281" s="399">
        <v>0</v>
      </c>
      <c r="DM281" s="399"/>
      <c r="DN281" s="399">
        <v>0</v>
      </c>
      <c r="DO281" s="399">
        <v>0</v>
      </c>
      <c r="DP281" s="399">
        <v>0</v>
      </c>
      <c r="DQ281" s="399">
        <v>0</v>
      </c>
      <c r="DR281" s="399">
        <v>0</v>
      </c>
      <c r="DS281" s="399"/>
      <c r="DT281" s="399"/>
      <c r="DU281" s="399">
        <v>14935.267123703527</v>
      </c>
      <c r="DV281" s="399"/>
      <c r="DW281" s="399">
        <v>0</v>
      </c>
      <c r="DX281" s="399">
        <v>0</v>
      </c>
      <c r="DY281" s="399">
        <v>-5209.7200000000012</v>
      </c>
      <c r="DZ281" s="399"/>
      <c r="EA281" s="399">
        <v>0</v>
      </c>
      <c r="EB281" s="399"/>
      <c r="EC281" s="399">
        <v>-5449.8807353814664</v>
      </c>
      <c r="ED281" s="399"/>
      <c r="EE281" s="399">
        <v>0</v>
      </c>
      <c r="EF281" s="399">
        <v>0</v>
      </c>
      <c r="EG281" s="399"/>
      <c r="EH281" s="399">
        <v>0</v>
      </c>
      <c r="EI281" s="399">
        <v>0</v>
      </c>
      <c r="EJ281" s="399">
        <v>0</v>
      </c>
      <c r="EK281" s="399">
        <v>0</v>
      </c>
      <c r="EL281" s="399">
        <v>0</v>
      </c>
      <c r="EM281" s="399"/>
      <c r="EN281" s="399"/>
      <c r="EO281" s="399">
        <v>0</v>
      </c>
      <c r="EP281" s="399">
        <v>0</v>
      </c>
      <c r="EQ281" s="399"/>
      <c r="ER281" s="399">
        <v>0</v>
      </c>
      <c r="ES281" s="399"/>
      <c r="ET281" s="399">
        <v>0</v>
      </c>
      <c r="EU281" s="399"/>
      <c r="EV281" s="399">
        <v>202</v>
      </c>
      <c r="EW281" s="399"/>
      <c r="EX281" s="399"/>
      <c r="EY281" s="399"/>
      <c r="EZ281" s="399"/>
      <c r="FA281" s="399">
        <v>0</v>
      </c>
      <c r="FB281" s="399">
        <v>-17.698635468909799</v>
      </c>
      <c r="FC281" s="399"/>
      <c r="FD281" s="399">
        <v>-17.698635468909799</v>
      </c>
      <c r="FE281" s="399"/>
      <c r="FF281" s="399">
        <v>0</v>
      </c>
      <c r="FG281" s="399">
        <v>0</v>
      </c>
      <c r="FH281" s="399">
        <v>0</v>
      </c>
      <c r="FI281" s="399">
        <v>0</v>
      </c>
    </row>
    <row r="282" spans="1:165">
      <c r="A282" s="399">
        <v>282</v>
      </c>
      <c r="B282" s="399" t="s">
        <v>956</v>
      </c>
      <c r="C282" s="399" t="s">
        <v>2399</v>
      </c>
      <c r="D282" s="399" t="s">
        <v>533</v>
      </c>
      <c r="E282" s="399" t="s">
        <v>890</v>
      </c>
      <c r="F282" s="399" t="s">
        <v>1239</v>
      </c>
      <c r="G282" s="399" t="s">
        <v>2416</v>
      </c>
      <c r="H282" s="399" t="s">
        <v>1239</v>
      </c>
      <c r="I282" s="399" t="s">
        <v>893</v>
      </c>
      <c r="J282" s="399" t="s">
        <v>2417</v>
      </c>
      <c r="K282" s="788">
        <v>44440</v>
      </c>
      <c r="L282" s="399">
        <v>0</v>
      </c>
      <c r="M282" s="399">
        <v>0</v>
      </c>
      <c r="N282" s="399">
        <v>86.004000000000005</v>
      </c>
      <c r="O282" s="399">
        <v>86.004000000000005</v>
      </c>
      <c r="P282" s="399">
        <v>0</v>
      </c>
      <c r="Q282" s="399">
        <v>0</v>
      </c>
      <c r="R282" s="399"/>
      <c r="S282" s="399">
        <v>3305.85</v>
      </c>
      <c r="T282" s="399"/>
      <c r="U282" s="399"/>
      <c r="V282" s="399">
        <v>284316.32339999999</v>
      </c>
      <c r="W282" s="399">
        <v>284316.32339999999</v>
      </c>
      <c r="X282" s="399">
        <v>205506.55800000002</v>
      </c>
      <c r="Y282" s="399">
        <v>0</v>
      </c>
      <c r="Z282" s="399">
        <v>4553.8616687011981</v>
      </c>
      <c r="AA282" s="399">
        <v>0</v>
      </c>
      <c r="AB282" s="399">
        <v>0</v>
      </c>
      <c r="AC282" s="399">
        <v>0</v>
      </c>
      <c r="AD282" s="399">
        <v>56073.324045121313</v>
      </c>
      <c r="AE282" s="399">
        <v>219601.63868232086</v>
      </c>
      <c r="AF282" s="399"/>
      <c r="AG282" s="399"/>
      <c r="AH282" s="399"/>
      <c r="AI282" s="399">
        <v>0</v>
      </c>
      <c r="AJ282" s="399">
        <v>0</v>
      </c>
      <c r="AK282" s="399">
        <v>0</v>
      </c>
      <c r="AL282" s="399">
        <v>808.94407366721316</v>
      </c>
      <c r="AM282" s="399"/>
      <c r="AN282" s="399">
        <v>117.83299909742578</v>
      </c>
      <c r="AO282" s="399">
        <v>0</v>
      </c>
      <c r="AP282" s="399">
        <v>0</v>
      </c>
      <c r="AQ282" s="399">
        <v>0</v>
      </c>
      <c r="AR282" s="399">
        <v>0</v>
      </c>
      <c r="AS282" s="399"/>
      <c r="AT282" s="399"/>
      <c r="AU282" s="399">
        <v>0</v>
      </c>
      <c r="AV282" s="399">
        <v>0</v>
      </c>
      <c r="AW282" s="399">
        <v>0</v>
      </c>
      <c r="AX282" s="399"/>
      <c r="AY282" s="399"/>
      <c r="AZ282" s="399">
        <v>0</v>
      </c>
      <c r="BA282" s="399"/>
      <c r="BB282" s="399">
        <v>0</v>
      </c>
      <c r="BC282" s="399">
        <v>0</v>
      </c>
      <c r="BD282" s="399">
        <v>0</v>
      </c>
      <c r="BE282" s="399">
        <v>0</v>
      </c>
      <c r="BF282" s="399"/>
      <c r="BG282" s="399">
        <v>1013.754566440299</v>
      </c>
      <c r="BH282" s="399">
        <v>0</v>
      </c>
      <c r="BI282" s="399">
        <v>0</v>
      </c>
      <c r="BJ282" s="399">
        <v>0</v>
      </c>
      <c r="BK282" s="399">
        <v>0</v>
      </c>
      <c r="BL282" s="399">
        <v>0</v>
      </c>
      <c r="BM282" s="399"/>
      <c r="BN282" s="399"/>
      <c r="BO282" s="399"/>
      <c r="BP282" s="399"/>
      <c r="BQ282" s="399"/>
      <c r="BR282" s="399"/>
      <c r="BS282" s="399"/>
      <c r="BT282" s="399"/>
      <c r="BU282" s="399"/>
      <c r="BV282" s="399">
        <v>1013.754566440299</v>
      </c>
      <c r="BW282" s="399"/>
      <c r="BX282" s="399"/>
      <c r="BY282" s="399"/>
      <c r="BZ282" s="399"/>
      <c r="CA282" s="399"/>
      <c r="CB282" s="399"/>
      <c r="CC282" s="399"/>
      <c r="CD282" s="399"/>
      <c r="CE282" s="399"/>
      <c r="CF282" s="399"/>
      <c r="CG282" s="399"/>
      <c r="CH282" s="399"/>
      <c r="CI282" s="399">
        <v>205497</v>
      </c>
      <c r="CJ282" s="399">
        <v>-78819.353400000022</v>
      </c>
      <c r="CK282" s="399"/>
      <c r="CL282" s="399"/>
      <c r="CM282" s="399"/>
      <c r="CN282" s="399"/>
      <c r="CO282" s="399">
        <v>-78809.765400000004</v>
      </c>
      <c r="CP282" s="399">
        <v>0</v>
      </c>
      <c r="CQ282" s="399">
        <v>30</v>
      </c>
      <c r="CR282" s="399">
        <v>1322.6192424637775</v>
      </c>
      <c r="CS282" s="399">
        <v>0</v>
      </c>
      <c r="CT282" s="399">
        <v>0</v>
      </c>
      <c r="CU282" s="399">
        <v>0</v>
      </c>
      <c r="CV282" s="399">
        <v>0</v>
      </c>
      <c r="CW282" s="399"/>
      <c r="CX282" s="399"/>
      <c r="CY282" s="399"/>
      <c r="CZ282" s="399">
        <v>1924.2630677014822</v>
      </c>
      <c r="DA282" s="399">
        <v>0</v>
      </c>
      <c r="DB282" s="399">
        <v>0</v>
      </c>
      <c r="DC282" s="399"/>
      <c r="DD282" s="399"/>
      <c r="DE282" s="399">
        <v>0</v>
      </c>
      <c r="DF282" s="399">
        <v>0</v>
      </c>
      <c r="DG282" s="399">
        <v>-229.44510175700475</v>
      </c>
      <c r="DH282" s="399">
        <v>0</v>
      </c>
      <c r="DI282" s="399">
        <v>-315.92939752926577</v>
      </c>
      <c r="DJ282" s="399"/>
      <c r="DK282" s="399">
        <v>0</v>
      </c>
      <c r="DL282" s="399">
        <v>0</v>
      </c>
      <c r="DM282" s="399"/>
      <c r="DN282" s="399">
        <v>0</v>
      </c>
      <c r="DO282" s="399">
        <v>-46.294493035069081</v>
      </c>
      <c r="DP282" s="399">
        <v>-9.9748329163638232</v>
      </c>
      <c r="DQ282" s="399">
        <v>0</v>
      </c>
      <c r="DR282" s="399">
        <v>0</v>
      </c>
      <c r="DS282" s="399"/>
      <c r="DT282" s="399"/>
      <c r="DU282" s="399"/>
      <c r="DV282" s="399">
        <v>219601.63868232086</v>
      </c>
      <c r="DW282" s="399">
        <v>0</v>
      </c>
      <c r="DX282" s="399">
        <v>0</v>
      </c>
      <c r="DY282" s="399">
        <v>-78809.765399999975</v>
      </c>
      <c r="DZ282" s="399"/>
      <c r="EA282" s="399">
        <v>0</v>
      </c>
      <c r="EB282" s="399"/>
      <c r="EC282" s="399">
        <v>-80132.663862005051</v>
      </c>
      <c r="ED282" s="399"/>
      <c r="EE282" s="399">
        <v>0</v>
      </c>
      <c r="EF282" s="399">
        <v>0</v>
      </c>
      <c r="EG282" s="399"/>
      <c r="EH282" s="399">
        <v>0</v>
      </c>
      <c r="EI282" s="399">
        <v>0</v>
      </c>
      <c r="EJ282" s="399">
        <v>0</v>
      </c>
      <c r="EK282" s="399">
        <v>0</v>
      </c>
      <c r="EL282" s="399">
        <v>0</v>
      </c>
      <c r="EM282" s="399"/>
      <c r="EN282" s="399"/>
      <c r="EO282" s="399">
        <v>0</v>
      </c>
      <c r="EP282" s="399">
        <v>2147.3015871096495</v>
      </c>
      <c r="EQ282" s="399"/>
      <c r="ER282" s="399">
        <v>0</v>
      </c>
      <c r="ES282" s="399"/>
      <c r="ET282" s="399">
        <v>0</v>
      </c>
      <c r="EU282" s="399"/>
      <c r="EV282" s="399">
        <v>202</v>
      </c>
      <c r="EW282" s="399"/>
      <c r="EX282" s="399"/>
      <c r="EY282" s="399"/>
      <c r="EZ282" s="399"/>
      <c r="FA282" s="399">
        <v>0</v>
      </c>
      <c r="FB282" s="399">
        <v>-17.698635468909799</v>
      </c>
      <c r="FC282" s="399"/>
      <c r="FD282" s="399">
        <v>-17.698635468909799</v>
      </c>
      <c r="FE282" s="399"/>
      <c r="FF282" s="399">
        <v>0</v>
      </c>
      <c r="FG282" s="399">
        <v>0</v>
      </c>
      <c r="FH282" s="399">
        <v>0</v>
      </c>
      <c r="FI282" s="399">
        <v>0</v>
      </c>
    </row>
    <row r="283" spans="1:165">
      <c r="A283" s="399">
        <v>283</v>
      </c>
      <c r="B283" s="399" t="s">
        <v>956</v>
      </c>
      <c r="C283" s="399" t="s">
        <v>2399</v>
      </c>
      <c r="D283" s="399" t="s">
        <v>533</v>
      </c>
      <c r="E283" s="399" t="s">
        <v>890</v>
      </c>
      <c r="F283" s="399" t="s">
        <v>1239</v>
      </c>
      <c r="G283" s="399" t="s">
        <v>2416</v>
      </c>
      <c r="H283" s="399" t="s">
        <v>1239</v>
      </c>
      <c r="I283" s="399" t="s">
        <v>2326</v>
      </c>
      <c r="J283" s="399" t="s">
        <v>2417</v>
      </c>
      <c r="K283" s="788">
        <v>44440</v>
      </c>
      <c r="L283" s="399">
        <v>0</v>
      </c>
      <c r="M283" s="399">
        <v>0</v>
      </c>
      <c r="N283" s="399">
        <v>794.00699999999995</v>
      </c>
      <c r="O283" s="399">
        <v>794.00699999999995</v>
      </c>
      <c r="P283" s="399">
        <v>0</v>
      </c>
      <c r="Q283" s="399">
        <v>0</v>
      </c>
      <c r="R283" s="399"/>
      <c r="S283" s="399">
        <v>100.48</v>
      </c>
      <c r="T283" s="399"/>
      <c r="U283" s="399"/>
      <c r="V283" s="399">
        <v>79781.823359999995</v>
      </c>
      <c r="W283" s="399">
        <v>79781.823359999995</v>
      </c>
      <c r="X283" s="399">
        <v>74223.774359999996</v>
      </c>
      <c r="Y283" s="399">
        <v>0</v>
      </c>
      <c r="Z283" s="399">
        <v>42042.207827315382</v>
      </c>
      <c r="AA283" s="399">
        <v>0</v>
      </c>
      <c r="AB283" s="399">
        <v>0</v>
      </c>
      <c r="AC283" s="399">
        <v>0</v>
      </c>
      <c r="AD283" s="399">
        <v>0</v>
      </c>
      <c r="AE283" s="399">
        <v>0</v>
      </c>
      <c r="AF283" s="399"/>
      <c r="AG283" s="399"/>
      <c r="AH283" s="399"/>
      <c r="AI283" s="399">
        <v>0</v>
      </c>
      <c r="AJ283" s="399">
        <v>0</v>
      </c>
      <c r="AK283" s="399">
        <v>0</v>
      </c>
      <c r="AL283" s="399">
        <v>7468.3416713209017</v>
      </c>
      <c r="AM283" s="399"/>
      <c r="AN283" s="399">
        <v>1087.8590078874208</v>
      </c>
      <c r="AO283" s="399">
        <v>0</v>
      </c>
      <c r="AP283" s="399">
        <v>0</v>
      </c>
      <c r="AQ283" s="399">
        <v>0</v>
      </c>
      <c r="AR283" s="399">
        <v>0</v>
      </c>
      <c r="AS283" s="399"/>
      <c r="AT283" s="399"/>
      <c r="AU283" s="399">
        <v>0</v>
      </c>
      <c r="AV283" s="399">
        <v>0</v>
      </c>
      <c r="AW283" s="399">
        <v>0</v>
      </c>
      <c r="AX283" s="399"/>
      <c r="AY283" s="399"/>
      <c r="AZ283" s="399">
        <v>0</v>
      </c>
      <c r="BA283" s="399"/>
      <c r="BB283" s="399">
        <v>0</v>
      </c>
      <c r="BC283" s="399">
        <v>0</v>
      </c>
      <c r="BD283" s="399">
        <v>0</v>
      </c>
      <c r="BE283" s="399">
        <v>0</v>
      </c>
      <c r="BF283" s="399"/>
      <c r="BG283" s="399">
        <v>9359.1951773820092</v>
      </c>
      <c r="BH283" s="399">
        <v>0</v>
      </c>
      <c r="BI283" s="399">
        <v>0</v>
      </c>
      <c r="BJ283" s="399">
        <v>0</v>
      </c>
      <c r="BK283" s="399">
        <v>0</v>
      </c>
      <c r="BL283" s="399">
        <v>0</v>
      </c>
      <c r="BM283" s="399"/>
      <c r="BN283" s="399"/>
      <c r="BO283" s="399"/>
      <c r="BP283" s="399"/>
      <c r="BQ283" s="399"/>
      <c r="BR283" s="399"/>
      <c r="BS283" s="399"/>
      <c r="BT283" s="399"/>
      <c r="BU283" s="399"/>
      <c r="BV283" s="399">
        <v>9359.1951773820092</v>
      </c>
      <c r="BW283" s="399"/>
      <c r="BX283" s="399"/>
      <c r="BY283" s="399"/>
      <c r="BZ283" s="399"/>
      <c r="CA283" s="399"/>
      <c r="CB283" s="399"/>
      <c r="CC283" s="399"/>
      <c r="CD283" s="399"/>
      <c r="CE283" s="399"/>
      <c r="CF283" s="399"/>
      <c r="CG283" s="399"/>
      <c r="CH283" s="399"/>
      <c r="CI283" s="399">
        <v>74224.054799999998</v>
      </c>
      <c r="CJ283" s="399">
        <v>-5557.7985599999811</v>
      </c>
      <c r="CK283" s="399"/>
      <c r="CL283" s="399"/>
      <c r="CM283" s="399"/>
      <c r="CN283" s="399"/>
      <c r="CO283" s="399">
        <v>-5558.049</v>
      </c>
      <c r="CP283" s="399">
        <v>0</v>
      </c>
      <c r="CQ283" s="399">
        <v>30</v>
      </c>
      <c r="CR283" s="399">
        <v>-5554.5022178679355</v>
      </c>
      <c r="CS283" s="399">
        <v>0</v>
      </c>
      <c r="CT283" s="399">
        <v>0</v>
      </c>
      <c r="CU283" s="399">
        <v>0</v>
      </c>
      <c r="CV283" s="399">
        <v>0</v>
      </c>
      <c r="CW283" s="399"/>
      <c r="CX283" s="399"/>
      <c r="CY283" s="399"/>
      <c r="CZ283" s="399">
        <v>0</v>
      </c>
      <c r="DA283" s="399">
        <v>0</v>
      </c>
      <c r="DB283" s="399">
        <v>0</v>
      </c>
      <c r="DC283" s="399"/>
      <c r="DD283" s="399"/>
      <c r="DE283" s="399">
        <v>0</v>
      </c>
      <c r="DF283" s="399">
        <v>0</v>
      </c>
      <c r="DG283" s="399">
        <v>-2118.2853926651551</v>
      </c>
      <c r="DH283" s="399">
        <v>0</v>
      </c>
      <c r="DI283" s="399">
        <v>-2916.726584159107</v>
      </c>
      <c r="DJ283" s="399"/>
      <c r="DK283" s="399">
        <v>0</v>
      </c>
      <c r="DL283" s="399">
        <v>0</v>
      </c>
      <c r="DM283" s="399"/>
      <c r="DN283" s="399">
        <v>0</v>
      </c>
      <c r="DO283" s="399">
        <v>-427.4004875505334</v>
      </c>
      <c r="DP283" s="399">
        <v>-92.089753493131639</v>
      </c>
      <c r="DQ283" s="399">
        <v>0</v>
      </c>
      <c r="DR283" s="399">
        <v>0</v>
      </c>
      <c r="DS283" s="399"/>
      <c r="DT283" s="399"/>
      <c r="DU283" s="399"/>
      <c r="DV283" s="399">
        <v>0</v>
      </c>
      <c r="DW283" s="399">
        <v>0</v>
      </c>
      <c r="DX283" s="399">
        <v>0</v>
      </c>
      <c r="DY283" s="399">
        <v>-5558.0489999999991</v>
      </c>
      <c r="DZ283" s="399"/>
      <c r="EA283" s="399">
        <v>0</v>
      </c>
      <c r="EB283" s="399"/>
      <c r="EC283" s="399">
        <v>0</v>
      </c>
      <c r="ED283" s="399"/>
      <c r="EE283" s="399">
        <v>0</v>
      </c>
      <c r="EF283" s="399">
        <v>0</v>
      </c>
      <c r="EG283" s="399"/>
      <c r="EH283" s="399">
        <v>0</v>
      </c>
      <c r="EI283" s="399">
        <v>0</v>
      </c>
      <c r="EJ283" s="399">
        <v>0</v>
      </c>
      <c r="EK283" s="399">
        <v>0</v>
      </c>
      <c r="EL283" s="399">
        <v>0</v>
      </c>
      <c r="EM283" s="399"/>
      <c r="EN283" s="399"/>
      <c r="EO283" s="399">
        <v>0</v>
      </c>
      <c r="EP283" s="399">
        <v>19824.339464166449</v>
      </c>
      <c r="EQ283" s="399"/>
      <c r="ER283" s="399">
        <v>0</v>
      </c>
      <c r="ES283" s="399"/>
      <c r="ET283" s="399">
        <v>0</v>
      </c>
      <c r="EU283" s="399"/>
      <c r="EV283" s="399">
        <v>202</v>
      </c>
      <c r="EW283" s="399"/>
      <c r="EX283" s="399"/>
      <c r="EY283" s="399"/>
      <c r="EZ283" s="399"/>
      <c r="FA283" s="399">
        <v>0</v>
      </c>
      <c r="FB283" s="399">
        <v>-17.698635468909799</v>
      </c>
      <c r="FC283" s="399"/>
      <c r="FD283" s="399">
        <v>-17.698635468909799</v>
      </c>
      <c r="FE283" s="399"/>
      <c r="FF283" s="399">
        <v>0</v>
      </c>
      <c r="FG283" s="399">
        <v>0</v>
      </c>
      <c r="FH283" s="399">
        <v>0</v>
      </c>
      <c r="FI283" s="399">
        <v>0</v>
      </c>
    </row>
    <row r="284" spans="1:165">
      <c r="A284" s="399">
        <v>284</v>
      </c>
      <c r="B284" s="399" t="s">
        <v>956</v>
      </c>
      <c r="C284" s="399" t="s">
        <v>2399</v>
      </c>
      <c r="D284" s="399" t="s">
        <v>533</v>
      </c>
      <c r="E284" s="399" t="s">
        <v>890</v>
      </c>
      <c r="F284" s="399" t="s">
        <v>1239</v>
      </c>
      <c r="G284" s="399" t="s">
        <v>2416</v>
      </c>
      <c r="H284" s="399" t="s">
        <v>1239</v>
      </c>
      <c r="I284" s="399" t="s">
        <v>1239</v>
      </c>
      <c r="J284" s="399" t="s">
        <v>2417</v>
      </c>
      <c r="K284" s="788">
        <v>44440</v>
      </c>
      <c r="L284" s="399">
        <v>2100</v>
      </c>
      <c r="M284" s="399">
        <v>2100</v>
      </c>
      <c r="N284" s="399">
        <v>0</v>
      </c>
      <c r="O284" s="399">
        <v>0</v>
      </c>
      <c r="P284" s="399">
        <v>0</v>
      </c>
      <c r="Q284" s="399">
        <v>0</v>
      </c>
      <c r="R284" s="399">
        <v>39.21</v>
      </c>
      <c r="S284" s="399"/>
      <c r="T284" s="399"/>
      <c r="U284" s="399">
        <v>82341</v>
      </c>
      <c r="V284" s="399"/>
      <c r="W284" s="399">
        <v>82341</v>
      </c>
      <c r="X284" s="399">
        <v>62664</v>
      </c>
      <c r="Y284" s="399">
        <v>0</v>
      </c>
      <c r="Z284" s="399">
        <v>0</v>
      </c>
      <c r="AA284" s="399">
        <v>0</v>
      </c>
      <c r="AB284" s="399">
        <v>0</v>
      </c>
      <c r="AC284" s="399">
        <v>0</v>
      </c>
      <c r="AD284" s="399">
        <v>25939.682920966083</v>
      </c>
      <c r="AE284" s="399">
        <v>56410.181582333462</v>
      </c>
      <c r="AF284" s="399"/>
      <c r="AG284" s="399"/>
      <c r="AH284" s="399"/>
      <c r="AI284" s="399">
        <v>0</v>
      </c>
      <c r="AJ284" s="399">
        <v>0</v>
      </c>
      <c r="AK284" s="399">
        <v>0</v>
      </c>
      <c r="AL284" s="399">
        <v>0</v>
      </c>
      <c r="AM284" s="399"/>
      <c r="AN284" s="399">
        <v>0</v>
      </c>
      <c r="AO284" s="399">
        <v>0</v>
      </c>
      <c r="AP284" s="399">
        <v>0</v>
      </c>
      <c r="AQ284" s="399">
        <v>0</v>
      </c>
      <c r="AR284" s="399">
        <v>0</v>
      </c>
      <c r="AS284" s="399"/>
      <c r="AT284" s="399"/>
      <c r="AU284" s="399">
        <v>0</v>
      </c>
      <c r="AV284" s="399">
        <v>0</v>
      </c>
      <c r="AW284" s="399">
        <v>0</v>
      </c>
      <c r="AX284" s="399"/>
      <c r="AY284" s="399"/>
      <c r="AZ284" s="399">
        <v>0</v>
      </c>
      <c r="BA284" s="399"/>
      <c r="BB284" s="399">
        <v>0</v>
      </c>
      <c r="BC284" s="399">
        <v>0</v>
      </c>
      <c r="BD284" s="399">
        <v>0</v>
      </c>
      <c r="BE284" s="399">
        <v>0</v>
      </c>
      <c r="BF284" s="399"/>
      <c r="BG284" s="399">
        <v>0</v>
      </c>
      <c r="BH284" s="399">
        <v>0</v>
      </c>
      <c r="BI284" s="399">
        <v>9268</v>
      </c>
      <c r="BJ284" s="399">
        <v>0</v>
      </c>
      <c r="BK284" s="399">
        <v>116190.86</v>
      </c>
      <c r="BL284" s="399">
        <v>1</v>
      </c>
      <c r="BM284" s="399"/>
      <c r="BN284" s="399"/>
      <c r="BO284" s="399"/>
      <c r="BP284" s="399"/>
      <c r="BQ284" s="399"/>
      <c r="BR284" s="399"/>
      <c r="BS284" s="399"/>
      <c r="BT284" s="399"/>
      <c r="BU284" s="399"/>
      <c r="BV284" s="399">
        <v>0</v>
      </c>
      <c r="BW284" s="399"/>
      <c r="BX284" s="399"/>
      <c r="BY284" s="399"/>
      <c r="BZ284" s="399"/>
      <c r="CA284" s="399"/>
      <c r="CB284" s="399"/>
      <c r="CC284" s="399"/>
      <c r="CD284" s="399"/>
      <c r="CE284" s="399"/>
      <c r="CF284" s="399"/>
      <c r="CG284" s="399"/>
      <c r="CH284" s="399"/>
      <c r="CI284" s="399">
        <v>62664</v>
      </c>
      <c r="CJ284" s="399">
        <v>-19677.029999999984</v>
      </c>
      <c r="CK284" s="399"/>
      <c r="CL284" s="399"/>
      <c r="CM284" s="399"/>
      <c r="CN284" s="399"/>
      <c r="CO284" s="399">
        <v>-19677.000000000004</v>
      </c>
      <c r="CP284" s="399">
        <v>0</v>
      </c>
      <c r="CQ284" s="399">
        <v>30</v>
      </c>
      <c r="CR284" s="399">
        <v>890.16969624512785</v>
      </c>
      <c r="CS284" s="399">
        <v>0</v>
      </c>
      <c r="CT284" s="399">
        <v>0</v>
      </c>
      <c r="CU284" s="399">
        <v>0</v>
      </c>
      <c r="CV284" s="399">
        <v>0</v>
      </c>
      <c r="CW284" s="399"/>
      <c r="CX284" s="399"/>
      <c r="CY284" s="399"/>
      <c r="CZ284" s="399">
        <v>890.16969624512785</v>
      </c>
      <c r="DA284" s="399">
        <v>0</v>
      </c>
      <c r="DB284" s="399">
        <v>0</v>
      </c>
      <c r="DC284" s="399"/>
      <c r="DD284" s="399"/>
      <c r="DE284" s="399">
        <v>0</v>
      </c>
      <c r="DF284" s="399">
        <v>0</v>
      </c>
      <c r="DG284" s="399">
        <v>0</v>
      </c>
      <c r="DH284" s="399">
        <v>0</v>
      </c>
      <c r="DI284" s="399">
        <v>0</v>
      </c>
      <c r="DJ284" s="399"/>
      <c r="DK284" s="399">
        <v>0</v>
      </c>
      <c r="DL284" s="399">
        <v>0</v>
      </c>
      <c r="DM284" s="399"/>
      <c r="DN284" s="399">
        <v>0</v>
      </c>
      <c r="DO284" s="399">
        <v>0</v>
      </c>
      <c r="DP284" s="399">
        <v>0</v>
      </c>
      <c r="DQ284" s="399">
        <v>0</v>
      </c>
      <c r="DR284" s="399">
        <v>0</v>
      </c>
      <c r="DS284" s="399"/>
      <c r="DT284" s="399"/>
      <c r="DU284" s="399">
        <v>56410.181582333462</v>
      </c>
      <c r="DV284" s="399"/>
      <c r="DW284" s="399">
        <v>0</v>
      </c>
      <c r="DX284" s="399">
        <v>0</v>
      </c>
      <c r="DY284" s="399">
        <v>-19677</v>
      </c>
      <c r="DZ284" s="399"/>
      <c r="EA284" s="399">
        <v>0</v>
      </c>
      <c r="EB284" s="399"/>
      <c r="EC284" s="399">
        <v>-20584.081914210576</v>
      </c>
      <c r="ED284" s="399"/>
      <c r="EE284" s="399">
        <v>0</v>
      </c>
      <c r="EF284" s="399">
        <v>0</v>
      </c>
      <c r="EG284" s="399"/>
      <c r="EH284" s="399">
        <v>0</v>
      </c>
      <c r="EI284" s="399">
        <v>0</v>
      </c>
      <c r="EJ284" s="399">
        <v>0</v>
      </c>
      <c r="EK284" s="399">
        <v>0</v>
      </c>
      <c r="EL284" s="399">
        <v>0</v>
      </c>
      <c r="EM284" s="399"/>
      <c r="EN284" s="399"/>
      <c r="EO284" s="399">
        <v>0</v>
      </c>
      <c r="EP284" s="399">
        <v>0</v>
      </c>
      <c r="EQ284" s="399"/>
      <c r="ER284" s="399">
        <v>0</v>
      </c>
      <c r="ES284" s="399"/>
      <c r="ET284" s="399">
        <v>0</v>
      </c>
      <c r="EU284" s="399"/>
      <c r="EV284" s="399">
        <v>202</v>
      </c>
      <c r="EW284" s="399"/>
      <c r="EX284" s="399"/>
      <c r="EY284" s="399"/>
      <c r="EZ284" s="399"/>
      <c r="FA284" s="399">
        <v>0</v>
      </c>
      <c r="FB284" s="399">
        <v>-17.698635468909799</v>
      </c>
      <c r="FC284" s="399"/>
      <c r="FD284" s="399">
        <v>-17.698635468909799</v>
      </c>
      <c r="FE284" s="399"/>
      <c r="FF284" s="399">
        <v>0</v>
      </c>
      <c r="FG284" s="399">
        <v>0</v>
      </c>
      <c r="FH284" s="399">
        <v>0</v>
      </c>
      <c r="FI284" s="399">
        <v>0</v>
      </c>
    </row>
    <row r="285" spans="1:165">
      <c r="A285" s="399">
        <v>285</v>
      </c>
      <c r="B285" s="399" t="s">
        <v>956</v>
      </c>
      <c r="C285" s="399" t="s">
        <v>2399</v>
      </c>
      <c r="D285" s="399" t="s">
        <v>533</v>
      </c>
      <c r="E285" s="399" t="s">
        <v>890</v>
      </c>
      <c r="F285" s="399" t="s">
        <v>1239</v>
      </c>
      <c r="G285" s="399" t="s">
        <v>2416</v>
      </c>
      <c r="H285" s="399" t="s">
        <v>1239</v>
      </c>
      <c r="I285" s="399" t="s">
        <v>893</v>
      </c>
      <c r="J285" s="399" t="s">
        <v>2417</v>
      </c>
      <c r="K285" s="788">
        <v>44470</v>
      </c>
      <c r="L285" s="399">
        <v>0</v>
      </c>
      <c r="M285" s="399">
        <v>0</v>
      </c>
      <c r="N285" s="399">
        <v>72.034999999999997</v>
      </c>
      <c r="O285" s="399">
        <v>72.034999999999997</v>
      </c>
      <c r="P285" s="399">
        <v>0</v>
      </c>
      <c r="Q285" s="399">
        <v>0</v>
      </c>
      <c r="R285" s="399"/>
      <c r="S285" s="399">
        <v>3305.85</v>
      </c>
      <c r="T285" s="399"/>
      <c r="U285" s="399"/>
      <c r="V285" s="399">
        <v>238136.90474999999</v>
      </c>
      <c r="W285" s="399">
        <v>238136.90474999999</v>
      </c>
      <c r="X285" s="399">
        <v>172127.63249999998</v>
      </c>
      <c r="Y285" s="399">
        <v>0</v>
      </c>
      <c r="Z285" s="399">
        <v>3814.2112611610019</v>
      </c>
      <c r="AA285" s="399">
        <v>0</v>
      </c>
      <c r="AB285" s="399">
        <v>0</v>
      </c>
      <c r="AC285" s="399">
        <v>0</v>
      </c>
      <c r="AD285" s="399">
        <v>46965.744588511159</v>
      </c>
      <c r="AE285" s="399">
        <v>183933.35243106112</v>
      </c>
      <c r="AF285" s="399"/>
      <c r="AG285" s="399"/>
      <c r="AH285" s="399"/>
      <c r="AI285" s="399">
        <v>0</v>
      </c>
      <c r="AJ285" s="399">
        <v>0</v>
      </c>
      <c r="AK285" s="399">
        <v>0</v>
      </c>
      <c r="AL285" s="399">
        <v>677.55321085784021</v>
      </c>
      <c r="AM285" s="399"/>
      <c r="AN285" s="399">
        <v>98.694247825485618</v>
      </c>
      <c r="AO285" s="399">
        <v>0</v>
      </c>
      <c r="AP285" s="399">
        <v>0</v>
      </c>
      <c r="AQ285" s="399">
        <v>0</v>
      </c>
      <c r="AR285" s="399">
        <v>0</v>
      </c>
      <c r="AS285" s="399"/>
      <c r="AT285" s="399"/>
      <c r="AU285" s="399">
        <v>0</v>
      </c>
      <c r="AV285" s="399">
        <v>0</v>
      </c>
      <c r="AW285" s="399">
        <v>0</v>
      </c>
      <c r="AX285" s="399"/>
      <c r="AY285" s="399"/>
      <c r="AZ285" s="399">
        <v>0</v>
      </c>
      <c r="BA285" s="399"/>
      <c r="BB285" s="399">
        <v>0</v>
      </c>
      <c r="BC285" s="399">
        <v>0</v>
      </c>
      <c r="BD285" s="399">
        <v>0</v>
      </c>
      <c r="BE285" s="399">
        <v>0</v>
      </c>
      <c r="BF285" s="399"/>
      <c r="BG285" s="399">
        <v>849.09783490915447</v>
      </c>
      <c r="BH285" s="399">
        <v>0</v>
      </c>
      <c r="BI285" s="399">
        <v>0</v>
      </c>
      <c r="BJ285" s="399">
        <v>0</v>
      </c>
      <c r="BK285" s="399">
        <v>0</v>
      </c>
      <c r="BL285" s="399">
        <v>0</v>
      </c>
      <c r="BM285" s="399"/>
      <c r="BN285" s="399"/>
      <c r="BO285" s="399"/>
      <c r="BP285" s="399"/>
      <c r="BQ285" s="399"/>
      <c r="BR285" s="399"/>
      <c r="BS285" s="399"/>
      <c r="BT285" s="399"/>
      <c r="BU285" s="399"/>
      <c r="BV285" s="399">
        <v>849.09783490915447</v>
      </c>
      <c r="BW285" s="399"/>
      <c r="BX285" s="399"/>
      <c r="BY285" s="399"/>
      <c r="BZ285" s="399"/>
      <c r="CA285" s="399"/>
      <c r="CB285" s="399"/>
      <c r="CC285" s="399"/>
      <c r="CD285" s="399"/>
      <c r="CE285" s="399"/>
      <c r="CF285" s="399"/>
      <c r="CG285" s="399"/>
      <c r="CH285" s="399"/>
      <c r="CI285" s="399">
        <v>172139.58000000002</v>
      </c>
      <c r="CJ285" s="399">
        <v>-65997.354749999999</v>
      </c>
      <c r="CK285" s="399"/>
      <c r="CL285" s="399"/>
      <c r="CM285" s="399"/>
      <c r="CN285" s="399"/>
      <c r="CO285" s="399">
        <v>-66009.272249999995</v>
      </c>
      <c r="CP285" s="399">
        <v>0</v>
      </c>
      <c r="CQ285" s="399">
        <v>31</v>
      </c>
      <c r="CR285" s="399">
        <v>1107.7958831086653</v>
      </c>
      <c r="CS285" s="399">
        <v>0</v>
      </c>
      <c r="CT285" s="399">
        <v>0</v>
      </c>
      <c r="CU285" s="399">
        <v>0</v>
      </c>
      <c r="CV285" s="399">
        <v>0</v>
      </c>
      <c r="CW285" s="399"/>
      <c r="CX285" s="399"/>
      <c r="CY285" s="399"/>
      <c r="CZ285" s="399">
        <v>1611.7191070400877</v>
      </c>
      <c r="DA285" s="399">
        <v>0</v>
      </c>
      <c r="DB285" s="399">
        <v>0</v>
      </c>
      <c r="DC285" s="399"/>
      <c r="DD285" s="399"/>
      <c r="DE285" s="399">
        <v>0</v>
      </c>
      <c r="DF285" s="399">
        <v>0</v>
      </c>
      <c r="DG285" s="399">
        <v>-192.17801387221323</v>
      </c>
      <c r="DH285" s="399">
        <v>0</v>
      </c>
      <c r="DI285" s="399">
        <v>-264.61529871890434</v>
      </c>
      <c r="DJ285" s="399"/>
      <c r="DK285" s="399">
        <v>0</v>
      </c>
      <c r="DL285" s="399">
        <v>0</v>
      </c>
      <c r="DM285" s="399"/>
      <c r="DN285" s="399">
        <v>0</v>
      </c>
      <c r="DO285" s="399">
        <v>-38.775217498967436</v>
      </c>
      <c r="DP285" s="399">
        <v>-8.3546938413360721</v>
      </c>
      <c r="DQ285" s="399">
        <v>0</v>
      </c>
      <c r="DR285" s="399">
        <v>0</v>
      </c>
      <c r="DS285" s="399"/>
      <c r="DT285" s="399"/>
      <c r="DU285" s="399"/>
      <c r="DV285" s="399">
        <v>183933.35243106112</v>
      </c>
      <c r="DW285" s="399">
        <v>0</v>
      </c>
      <c r="DX285" s="399">
        <v>0</v>
      </c>
      <c r="DY285" s="399">
        <v>-66009.272250000009</v>
      </c>
      <c r="DZ285" s="399"/>
      <c r="EA285" s="399">
        <v>0</v>
      </c>
      <c r="EB285" s="399"/>
      <c r="EC285" s="399">
        <v>-67117.302001064279</v>
      </c>
      <c r="ED285" s="399"/>
      <c r="EE285" s="399">
        <v>0</v>
      </c>
      <c r="EF285" s="399">
        <v>0</v>
      </c>
      <c r="EG285" s="399"/>
      <c r="EH285" s="399">
        <v>0</v>
      </c>
      <c r="EI285" s="399">
        <v>0</v>
      </c>
      <c r="EJ285" s="399">
        <v>0</v>
      </c>
      <c r="EK285" s="399">
        <v>0</v>
      </c>
      <c r="EL285" s="399">
        <v>0</v>
      </c>
      <c r="EM285" s="399"/>
      <c r="EN285" s="399"/>
      <c r="EO285" s="399">
        <v>0</v>
      </c>
      <c r="EP285" s="399">
        <v>1798.5311128254918</v>
      </c>
      <c r="EQ285" s="399"/>
      <c r="ER285" s="399">
        <v>0</v>
      </c>
      <c r="ES285" s="399"/>
      <c r="ET285" s="399">
        <v>0</v>
      </c>
      <c r="EU285" s="399"/>
      <c r="EV285" s="399">
        <v>202</v>
      </c>
      <c r="EW285" s="399"/>
      <c r="EX285" s="399"/>
      <c r="EY285" s="399"/>
      <c r="EZ285" s="399"/>
      <c r="FA285" s="399">
        <v>0</v>
      </c>
      <c r="FB285" s="399">
        <v>-17.698635468909799</v>
      </c>
      <c r="FC285" s="399"/>
      <c r="FD285" s="399">
        <v>-17.698635468909799</v>
      </c>
      <c r="FE285" s="399"/>
      <c r="FF285" s="399">
        <v>0</v>
      </c>
      <c r="FG285" s="399">
        <v>0</v>
      </c>
      <c r="FH285" s="399">
        <v>0</v>
      </c>
      <c r="FI285" s="399">
        <v>0</v>
      </c>
    </row>
    <row r="286" spans="1:165">
      <c r="A286" s="399">
        <v>286</v>
      </c>
      <c r="B286" s="399" t="s">
        <v>956</v>
      </c>
      <c r="C286" s="399" t="s">
        <v>2399</v>
      </c>
      <c r="D286" s="399" t="s">
        <v>533</v>
      </c>
      <c r="E286" s="399" t="s">
        <v>890</v>
      </c>
      <c r="F286" s="399" t="s">
        <v>1239</v>
      </c>
      <c r="G286" s="399" t="s">
        <v>2416</v>
      </c>
      <c r="H286" s="399" t="s">
        <v>1239</v>
      </c>
      <c r="I286" s="399" t="s">
        <v>2326</v>
      </c>
      <c r="J286" s="399" t="s">
        <v>2417</v>
      </c>
      <c r="K286" s="788">
        <v>44470</v>
      </c>
      <c r="L286" s="399">
        <v>0</v>
      </c>
      <c r="M286" s="399">
        <v>0</v>
      </c>
      <c r="N286" s="399">
        <v>755.34</v>
      </c>
      <c r="O286" s="399">
        <v>755.34</v>
      </c>
      <c r="P286" s="399">
        <v>0</v>
      </c>
      <c r="Q286" s="399">
        <v>0</v>
      </c>
      <c r="R286" s="399"/>
      <c r="S286" s="399">
        <v>100.48</v>
      </c>
      <c r="T286" s="399"/>
      <c r="U286" s="399"/>
      <c r="V286" s="399">
        <v>75896.563200000004</v>
      </c>
      <c r="W286" s="399">
        <v>75896.563200000004</v>
      </c>
      <c r="X286" s="399">
        <v>70609.183199999999</v>
      </c>
      <c r="Y286" s="399">
        <v>0</v>
      </c>
      <c r="Z286" s="399">
        <v>39994.812716115099</v>
      </c>
      <c r="AA286" s="399">
        <v>0</v>
      </c>
      <c r="AB286" s="399">
        <v>0</v>
      </c>
      <c r="AC286" s="399">
        <v>0</v>
      </c>
      <c r="AD286" s="399">
        <v>0</v>
      </c>
      <c r="AE286" s="399">
        <v>0</v>
      </c>
      <c r="AF286" s="399"/>
      <c r="AG286" s="399"/>
      <c r="AH286" s="399"/>
      <c r="AI286" s="399">
        <v>0</v>
      </c>
      <c r="AJ286" s="399">
        <v>0</v>
      </c>
      <c r="AK286" s="399">
        <v>0</v>
      </c>
      <c r="AL286" s="399">
        <v>7104.6441631062826</v>
      </c>
      <c r="AM286" s="399"/>
      <c r="AN286" s="399">
        <v>1034.8818373360493</v>
      </c>
      <c r="AO286" s="399">
        <v>0</v>
      </c>
      <c r="AP286" s="399">
        <v>0</v>
      </c>
      <c r="AQ286" s="399">
        <v>0</v>
      </c>
      <c r="AR286" s="399">
        <v>0</v>
      </c>
      <c r="AS286" s="399"/>
      <c r="AT286" s="399"/>
      <c r="AU286" s="399">
        <v>0</v>
      </c>
      <c r="AV286" s="399">
        <v>0</v>
      </c>
      <c r="AW286" s="399">
        <v>0</v>
      </c>
      <c r="AX286" s="399"/>
      <c r="AY286" s="399"/>
      <c r="AZ286" s="399">
        <v>0</v>
      </c>
      <c r="BA286" s="399"/>
      <c r="BB286" s="399">
        <v>0</v>
      </c>
      <c r="BC286" s="399">
        <v>0</v>
      </c>
      <c r="BD286" s="399">
        <v>0</v>
      </c>
      <c r="BE286" s="399">
        <v>0</v>
      </c>
      <c r="BF286" s="399"/>
      <c r="BG286" s="399">
        <v>8903.4158203689985</v>
      </c>
      <c r="BH286" s="399">
        <v>0</v>
      </c>
      <c r="BI286" s="399">
        <v>0</v>
      </c>
      <c r="BJ286" s="399">
        <v>0</v>
      </c>
      <c r="BK286" s="399">
        <v>0</v>
      </c>
      <c r="BL286" s="399">
        <v>0</v>
      </c>
      <c r="BM286" s="399"/>
      <c r="BN286" s="399"/>
      <c r="BO286" s="399"/>
      <c r="BP286" s="399"/>
      <c r="BQ286" s="399"/>
      <c r="BR286" s="399"/>
      <c r="BS286" s="399"/>
      <c r="BT286" s="399"/>
      <c r="BU286" s="399"/>
      <c r="BV286" s="399">
        <v>8903.4158203689985</v>
      </c>
      <c r="BW286" s="399"/>
      <c r="BX286" s="399"/>
      <c r="BY286" s="399"/>
      <c r="BZ286" s="399"/>
      <c r="CA286" s="399"/>
      <c r="CB286" s="399"/>
      <c r="CC286" s="399"/>
      <c r="CD286" s="399"/>
      <c r="CE286" s="399"/>
      <c r="CF286" s="399"/>
      <c r="CG286" s="399"/>
      <c r="CH286" s="399"/>
      <c r="CI286" s="399">
        <v>70609.183199999999</v>
      </c>
      <c r="CJ286" s="399">
        <v>-5287.4099999999889</v>
      </c>
      <c r="CK286" s="399"/>
      <c r="CL286" s="399"/>
      <c r="CM286" s="399"/>
      <c r="CN286" s="399"/>
      <c r="CO286" s="399">
        <v>-5287.38</v>
      </c>
      <c r="CP286" s="399">
        <v>0</v>
      </c>
      <c r="CQ286" s="399">
        <v>31</v>
      </c>
      <c r="CR286" s="399">
        <v>-5284.0059410614194</v>
      </c>
      <c r="CS286" s="399">
        <v>0</v>
      </c>
      <c r="CT286" s="399">
        <v>0</v>
      </c>
      <c r="CU286" s="399">
        <v>0</v>
      </c>
      <c r="CV286" s="399">
        <v>0</v>
      </c>
      <c r="CW286" s="399"/>
      <c r="CX286" s="399"/>
      <c r="CY286" s="399"/>
      <c r="CZ286" s="399">
        <v>0</v>
      </c>
      <c r="DA286" s="399">
        <v>0</v>
      </c>
      <c r="DB286" s="399">
        <v>0</v>
      </c>
      <c r="DC286" s="399"/>
      <c r="DD286" s="399"/>
      <c r="DE286" s="399">
        <v>0</v>
      </c>
      <c r="DF286" s="399">
        <v>0</v>
      </c>
      <c r="DG286" s="399">
        <v>-2015.1279377835435</v>
      </c>
      <c r="DH286" s="399">
        <v>0</v>
      </c>
      <c r="DI286" s="399">
        <v>-2774.6861905231781</v>
      </c>
      <c r="DJ286" s="399"/>
      <c r="DK286" s="399">
        <v>0</v>
      </c>
      <c r="DL286" s="399">
        <v>0</v>
      </c>
      <c r="DM286" s="399"/>
      <c r="DN286" s="399">
        <v>0</v>
      </c>
      <c r="DO286" s="399">
        <v>-406.58669793392255</v>
      </c>
      <c r="DP286" s="399">
        <v>-87.605114820778681</v>
      </c>
      <c r="DQ286" s="399">
        <v>0</v>
      </c>
      <c r="DR286" s="399">
        <v>0</v>
      </c>
      <c r="DS286" s="399"/>
      <c r="DT286" s="399"/>
      <c r="DU286" s="399"/>
      <c r="DV286" s="399">
        <v>0</v>
      </c>
      <c r="DW286" s="399">
        <v>0</v>
      </c>
      <c r="DX286" s="399">
        <v>0</v>
      </c>
      <c r="DY286" s="399">
        <v>-5287.3800000000047</v>
      </c>
      <c r="DZ286" s="399"/>
      <c r="EA286" s="399">
        <v>0</v>
      </c>
      <c r="EB286" s="399"/>
      <c r="EC286" s="399">
        <v>0</v>
      </c>
      <c r="ED286" s="399"/>
      <c r="EE286" s="399">
        <v>0</v>
      </c>
      <c r="EF286" s="399">
        <v>0</v>
      </c>
      <c r="EG286" s="399"/>
      <c r="EH286" s="399">
        <v>0</v>
      </c>
      <c r="EI286" s="399">
        <v>0</v>
      </c>
      <c r="EJ286" s="399">
        <v>0</v>
      </c>
      <c r="EK286" s="399">
        <v>0</v>
      </c>
      <c r="EL286" s="399">
        <v>0</v>
      </c>
      <c r="EM286" s="399"/>
      <c r="EN286" s="399"/>
      <c r="EO286" s="399">
        <v>0</v>
      </c>
      <c r="EP286" s="399">
        <v>18858.922617638746</v>
      </c>
      <c r="EQ286" s="399"/>
      <c r="ER286" s="399">
        <v>0</v>
      </c>
      <c r="ES286" s="399"/>
      <c r="ET286" s="399">
        <v>0</v>
      </c>
      <c r="EU286" s="399"/>
      <c r="EV286" s="399">
        <v>202</v>
      </c>
      <c r="EW286" s="399"/>
      <c r="EX286" s="399"/>
      <c r="EY286" s="399"/>
      <c r="EZ286" s="399"/>
      <c r="FA286" s="399">
        <v>0</v>
      </c>
      <c r="FB286" s="399">
        <v>-17.698635468909799</v>
      </c>
      <c r="FC286" s="399"/>
      <c r="FD286" s="399">
        <v>-17.698635468909799</v>
      </c>
      <c r="FE286" s="399"/>
      <c r="FF286" s="399">
        <v>0</v>
      </c>
      <c r="FG286" s="399">
        <v>0</v>
      </c>
      <c r="FH286" s="399">
        <v>0</v>
      </c>
      <c r="FI286" s="399">
        <v>0</v>
      </c>
    </row>
    <row r="287" spans="1:165">
      <c r="A287" s="399">
        <v>287</v>
      </c>
      <c r="B287" s="399" t="s">
        <v>956</v>
      </c>
      <c r="C287" s="399" t="s">
        <v>2399</v>
      </c>
      <c r="D287" s="399" t="s">
        <v>533</v>
      </c>
      <c r="E287" s="399" t="s">
        <v>890</v>
      </c>
      <c r="F287" s="399" t="s">
        <v>1239</v>
      </c>
      <c r="G287" s="399" t="s">
        <v>2416</v>
      </c>
      <c r="H287" s="399" t="s">
        <v>1239</v>
      </c>
      <c r="I287" s="399" t="s">
        <v>1239</v>
      </c>
      <c r="J287" s="399" t="s">
        <v>2417</v>
      </c>
      <c r="K287" s="788">
        <v>44470</v>
      </c>
      <c r="L287" s="399">
        <v>2100</v>
      </c>
      <c r="M287" s="399">
        <v>2100</v>
      </c>
      <c r="N287" s="399">
        <v>0</v>
      </c>
      <c r="O287" s="399">
        <v>0</v>
      </c>
      <c r="P287" s="399">
        <v>0</v>
      </c>
      <c r="Q287" s="399">
        <v>0</v>
      </c>
      <c r="R287" s="399">
        <v>39.21</v>
      </c>
      <c r="S287" s="399"/>
      <c r="T287" s="399"/>
      <c r="U287" s="399">
        <v>82341</v>
      </c>
      <c r="V287" s="399"/>
      <c r="W287" s="399">
        <v>82341</v>
      </c>
      <c r="X287" s="399">
        <v>62664</v>
      </c>
      <c r="Y287" s="399">
        <v>0</v>
      </c>
      <c r="Z287" s="399">
        <v>0</v>
      </c>
      <c r="AA287" s="399">
        <v>0</v>
      </c>
      <c r="AB287" s="399">
        <v>0</v>
      </c>
      <c r="AC287" s="399">
        <v>0</v>
      </c>
      <c r="AD287" s="399">
        <v>25939.682920966083</v>
      </c>
      <c r="AE287" s="399">
        <v>56410.181582333462</v>
      </c>
      <c r="AF287" s="399"/>
      <c r="AG287" s="399"/>
      <c r="AH287" s="399"/>
      <c r="AI287" s="399">
        <v>0</v>
      </c>
      <c r="AJ287" s="399">
        <v>0</v>
      </c>
      <c r="AK287" s="399">
        <v>0</v>
      </c>
      <c r="AL287" s="399">
        <v>0</v>
      </c>
      <c r="AM287" s="399"/>
      <c r="AN287" s="399">
        <v>0</v>
      </c>
      <c r="AO287" s="399">
        <v>0</v>
      </c>
      <c r="AP287" s="399">
        <v>0</v>
      </c>
      <c r="AQ287" s="399">
        <v>0</v>
      </c>
      <c r="AR287" s="399">
        <v>0</v>
      </c>
      <c r="AS287" s="399"/>
      <c r="AT287" s="399"/>
      <c r="AU287" s="399">
        <v>0</v>
      </c>
      <c r="AV287" s="399">
        <v>0</v>
      </c>
      <c r="AW287" s="399">
        <v>0</v>
      </c>
      <c r="AX287" s="399"/>
      <c r="AY287" s="399"/>
      <c r="AZ287" s="399">
        <v>0</v>
      </c>
      <c r="BA287" s="399"/>
      <c r="BB287" s="399">
        <v>0</v>
      </c>
      <c r="BC287" s="399">
        <v>0</v>
      </c>
      <c r="BD287" s="399">
        <v>0</v>
      </c>
      <c r="BE287" s="399">
        <v>0</v>
      </c>
      <c r="BF287" s="399"/>
      <c r="BG287" s="399">
        <v>0</v>
      </c>
      <c r="BH287" s="399">
        <v>0</v>
      </c>
      <c r="BI287" s="399">
        <v>4812.6499999999996</v>
      </c>
      <c r="BJ287" s="399">
        <v>0</v>
      </c>
      <c r="BK287" s="399">
        <v>102892</v>
      </c>
      <c r="BL287" s="399">
        <v>1</v>
      </c>
      <c r="BM287" s="399"/>
      <c r="BN287" s="399"/>
      <c r="BO287" s="399"/>
      <c r="BP287" s="399"/>
      <c r="BQ287" s="399"/>
      <c r="BR287" s="399"/>
      <c r="BS287" s="399"/>
      <c r="BT287" s="399"/>
      <c r="BU287" s="399"/>
      <c r="BV287" s="399">
        <v>0</v>
      </c>
      <c r="BW287" s="399"/>
      <c r="BX287" s="399"/>
      <c r="BY287" s="399"/>
      <c r="BZ287" s="399"/>
      <c r="CA287" s="399"/>
      <c r="CB287" s="399"/>
      <c r="CC287" s="399"/>
      <c r="CD287" s="399"/>
      <c r="CE287" s="399"/>
      <c r="CF287" s="399"/>
      <c r="CG287" s="399"/>
      <c r="CH287" s="399"/>
      <c r="CI287" s="399">
        <v>62664</v>
      </c>
      <c r="CJ287" s="399">
        <v>-19677.029999999984</v>
      </c>
      <c r="CK287" s="399"/>
      <c r="CL287" s="399"/>
      <c r="CM287" s="399"/>
      <c r="CN287" s="399"/>
      <c r="CO287" s="399">
        <v>-19677.000000000004</v>
      </c>
      <c r="CP287" s="399">
        <v>0</v>
      </c>
      <c r="CQ287" s="399">
        <v>31</v>
      </c>
      <c r="CR287" s="399">
        <v>890.16969624512785</v>
      </c>
      <c r="CS287" s="399">
        <v>0</v>
      </c>
      <c r="CT287" s="399">
        <v>0</v>
      </c>
      <c r="CU287" s="399">
        <v>0</v>
      </c>
      <c r="CV287" s="399">
        <v>0</v>
      </c>
      <c r="CW287" s="399"/>
      <c r="CX287" s="399"/>
      <c r="CY287" s="399"/>
      <c r="CZ287" s="399">
        <v>890.16969624512785</v>
      </c>
      <c r="DA287" s="399">
        <v>0</v>
      </c>
      <c r="DB287" s="399">
        <v>0</v>
      </c>
      <c r="DC287" s="399"/>
      <c r="DD287" s="399"/>
      <c r="DE287" s="399">
        <v>0</v>
      </c>
      <c r="DF287" s="399">
        <v>0</v>
      </c>
      <c r="DG287" s="399">
        <v>0</v>
      </c>
      <c r="DH287" s="399">
        <v>0</v>
      </c>
      <c r="DI287" s="399">
        <v>0</v>
      </c>
      <c r="DJ287" s="399"/>
      <c r="DK287" s="399">
        <v>0</v>
      </c>
      <c r="DL287" s="399">
        <v>0</v>
      </c>
      <c r="DM287" s="399"/>
      <c r="DN287" s="399">
        <v>0</v>
      </c>
      <c r="DO287" s="399">
        <v>0</v>
      </c>
      <c r="DP287" s="399">
        <v>0</v>
      </c>
      <c r="DQ287" s="399">
        <v>0</v>
      </c>
      <c r="DR287" s="399">
        <v>0</v>
      </c>
      <c r="DS287" s="399"/>
      <c r="DT287" s="399"/>
      <c r="DU287" s="399">
        <v>56410.181582333462</v>
      </c>
      <c r="DV287" s="399"/>
      <c r="DW287" s="399">
        <v>0</v>
      </c>
      <c r="DX287" s="399">
        <v>0</v>
      </c>
      <c r="DY287" s="399">
        <v>-19677</v>
      </c>
      <c r="DZ287" s="399"/>
      <c r="EA287" s="399">
        <v>0</v>
      </c>
      <c r="EB287" s="399"/>
      <c r="EC287" s="399">
        <v>-20584.081914210576</v>
      </c>
      <c r="ED287" s="399"/>
      <c r="EE287" s="399">
        <v>0</v>
      </c>
      <c r="EF287" s="399">
        <v>0</v>
      </c>
      <c r="EG287" s="399"/>
      <c r="EH287" s="399">
        <v>0</v>
      </c>
      <c r="EI287" s="399">
        <v>0</v>
      </c>
      <c r="EJ287" s="399">
        <v>0</v>
      </c>
      <c r="EK287" s="399">
        <v>0</v>
      </c>
      <c r="EL287" s="399">
        <v>0</v>
      </c>
      <c r="EM287" s="399"/>
      <c r="EN287" s="399"/>
      <c r="EO287" s="399">
        <v>0</v>
      </c>
      <c r="EP287" s="399">
        <v>0</v>
      </c>
      <c r="EQ287" s="399"/>
      <c r="ER287" s="399">
        <v>0</v>
      </c>
      <c r="ES287" s="399"/>
      <c r="ET287" s="399">
        <v>0</v>
      </c>
      <c r="EU287" s="399"/>
      <c r="EV287" s="399">
        <v>202</v>
      </c>
      <c r="EW287" s="399"/>
      <c r="EX287" s="399"/>
      <c r="EY287" s="399"/>
      <c r="EZ287" s="399"/>
      <c r="FA287" s="399">
        <v>0</v>
      </c>
      <c r="FB287" s="399">
        <v>-17.698635468909799</v>
      </c>
      <c r="FC287" s="399"/>
      <c r="FD287" s="399">
        <v>-17.698635468909799</v>
      </c>
      <c r="FE287" s="399"/>
      <c r="FF287" s="399">
        <v>0</v>
      </c>
      <c r="FG287" s="399">
        <v>0</v>
      </c>
      <c r="FH287" s="399">
        <v>0</v>
      </c>
      <c r="FI287" s="399">
        <v>0</v>
      </c>
    </row>
    <row r="288" spans="1:165">
      <c r="A288" s="399">
        <v>288</v>
      </c>
      <c r="B288" s="399" t="s">
        <v>956</v>
      </c>
      <c r="C288" s="399" t="s">
        <v>2399</v>
      </c>
      <c r="D288" s="399" t="s">
        <v>533</v>
      </c>
      <c r="E288" s="399" t="s">
        <v>890</v>
      </c>
      <c r="F288" s="399" t="s">
        <v>1239</v>
      </c>
      <c r="G288" s="399" t="s">
        <v>2416</v>
      </c>
      <c r="H288" s="399" t="s">
        <v>1239</v>
      </c>
      <c r="I288" s="399" t="s">
        <v>893</v>
      </c>
      <c r="J288" s="399" t="s">
        <v>2417</v>
      </c>
      <c r="K288" s="788">
        <v>44501</v>
      </c>
      <c r="L288" s="399">
        <v>0</v>
      </c>
      <c r="M288" s="399">
        <v>0</v>
      </c>
      <c r="N288" s="399">
        <v>80.399000000000001</v>
      </c>
      <c r="O288" s="399">
        <v>80.399000000000001</v>
      </c>
      <c r="P288" s="399">
        <v>0</v>
      </c>
      <c r="Q288" s="399">
        <v>0</v>
      </c>
      <c r="R288" s="399"/>
      <c r="S288" s="399">
        <v>3305.85</v>
      </c>
      <c r="T288" s="399"/>
      <c r="U288" s="399"/>
      <c r="V288" s="399">
        <v>265787.03415000002</v>
      </c>
      <c r="W288" s="399">
        <v>265787.03415000002</v>
      </c>
      <c r="X288" s="399">
        <v>192113.4105</v>
      </c>
      <c r="Y288" s="399">
        <v>0</v>
      </c>
      <c r="Z288" s="399">
        <v>4257.0801858274926</v>
      </c>
      <c r="AA288" s="399">
        <v>0</v>
      </c>
      <c r="AB288" s="399">
        <v>0</v>
      </c>
      <c r="AC288" s="399">
        <v>0</v>
      </c>
      <c r="AD288" s="399">
        <v>52418.947722242083</v>
      </c>
      <c r="AE288" s="399">
        <v>205289.89521905858</v>
      </c>
      <c r="AF288" s="399"/>
      <c r="AG288" s="399"/>
      <c r="AH288" s="399"/>
      <c r="AI288" s="399">
        <v>0</v>
      </c>
      <c r="AJ288" s="399">
        <v>0</v>
      </c>
      <c r="AK288" s="399">
        <v>0</v>
      </c>
      <c r="AL288" s="399">
        <v>756.22406607565074</v>
      </c>
      <c r="AM288" s="399"/>
      <c r="AN288" s="399">
        <v>110.15365906741471</v>
      </c>
      <c r="AO288" s="399">
        <v>0</v>
      </c>
      <c r="AP288" s="399">
        <v>0</v>
      </c>
      <c r="AQ288" s="399">
        <v>0</v>
      </c>
      <c r="AR288" s="399">
        <v>0</v>
      </c>
      <c r="AS288" s="399"/>
      <c r="AT288" s="399"/>
      <c r="AU288" s="399">
        <v>0</v>
      </c>
      <c r="AV288" s="399">
        <v>0</v>
      </c>
      <c r="AW288" s="399">
        <v>0</v>
      </c>
      <c r="AX288" s="399"/>
      <c r="AY288" s="399"/>
      <c r="AZ288" s="399">
        <v>0</v>
      </c>
      <c r="BA288" s="399"/>
      <c r="BB288" s="399">
        <v>0</v>
      </c>
      <c r="BC288" s="399">
        <v>0</v>
      </c>
      <c r="BD288" s="399">
        <v>0</v>
      </c>
      <c r="BE288" s="399">
        <v>0</v>
      </c>
      <c r="BF288" s="399"/>
      <c r="BG288" s="399">
        <v>947.68677488527965</v>
      </c>
      <c r="BH288" s="399">
        <v>0</v>
      </c>
      <c r="BI288" s="399">
        <v>0</v>
      </c>
      <c r="BJ288" s="399">
        <v>0</v>
      </c>
      <c r="BK288" s="399">
        <v>0</v>
      </c>
      <c r="BL288" s="399">
        <v>0</v>
      </c>
      <c r="BM288" s="399"/>
      <c r="BN288" s="399"/>
      <c r="BO288" s="399"/>
      <c r="BP288" s="399"/>
      <c r="BQ288" s="399"/>
      <c r="BR288" s="399"/>
      <c r="BS288" s="399"/>
      <c r="BT288" s="399"/>
      <c r="BU288" s="399"/>
      <c r="BV288" s="399">
        <v>947.68677488527965</v>
      </c>
      <c r="BW288" s="399"/>
      <c r="BX288" s="399"/>
      <c r="BY288" s="399"/>
      <c r="BZ288" s="399"/>
      <c r="CA288" s="399"/>
      <c r="CB288" s="399"/>
      <c r="CC288" s="399"/>
      <c r="CD288" s="399"/>
      <c r="CE288" s="399"/>
      <c r="CF288" s="399"/>
      <c r="CG288" s="399"/>
      <c r="CH288" s="399"/>
      <c r="CI288" s="399">
        <v>192115.80000000002</v>
      </c>
      <c r="CJ288" s="399">
        <v>-73671.264150000032</v>
      </c>
      <c r="CK288" s="399"/>
      <c r="CL288" s="399"/>
      <c r="CM288" s="399"/>
      <c r="CN288" s="399"/>
      <c r="CO288" s="399">
        <v>-73673.623649999994</v>
      </c>
      <c r="CP288" s="399">
        <v>0</v>
      </c>
      <c r="CQ288" s="399">
        <v>30</v>
      </c>
      <c r="CR288" s="399">
        <v>1236.4223114604611</v>
      </c>
      <c r="CS288" s="399">
        <v>0</v>
      </c>
      <c r="CT288" s="399">
        <v>0</v>
      </c>
      <c r="CU288" s="399">
        <v>0</v>
      </c>
      <c r="CV288" s="399">
        <v>0</v>
      </c>
      <c r="CW288" s="399"/>
      <c r="CX288" s="399"/>
      <c r="CY288" s="399"/>
      <c r="CZ288" s="399">
        <v>1798.8561739004217</v>
      </c>
      <c r="DA288" s="399">
        <v>0</v>
      </c>
      <c r="DB288" s="399">
        <v>0</v>
      </c>
      <c r="DC288" s="399"/>
      <c r="DD288" s="399"/>
      <c r="DE288" s="399">
        <v>0</v>
      </c>
      <c r="DF288" s="399">
        <v>0</v>
      </c>
      <c r="DG288" s="399">
        <v>-214.49184614856779</v>
      </c>
      <c r="DH288" s="399">
        <v>0</v>
      </c>
      <c r="DI288" s="399">
        <v>-295.33984037899972</v>
      </c>
      <c r="DJ288" s="399"/>
      <c r="DK288" s="399">
        <v>0</v>
      </c>
      <c r="DL288" s="399">
        <v>0</v>
      </c>
      <c r="DM288" s="399"/>
      <c r="DN288" s="399">
        <v>0</v>
      </c>
      <c r="DO288" s="399">
        <v>-43.277416696043474</v>
      </c>
      <c r="DP288" s="399">
        <v>-9.3247592163473172</v>
      </c>
      <c r="DQ288" s="399">
        <v>0</v>
      </c>
      <c r="DR288" s="399">
        <v>0</v>
      </c>
      <c r="DS288" s="399"/>
      <c r="DT288" s="399"/>
      <c r="DU288" s="399"/>
      <c r="DV288" s="399">
        <v>205289.89521905858</v>
      </c>
      <c r="DW288" s="399">
        <v>0</v>
      </c>
      <c r="DX288" s="399">
        <v>0</v>
      </c>
      <c r="DY288" s="399">
        <v>-73673.623650000023</v>
      </c>
      <c r="DZ288" s="399"/>
      <c r="EA288" s="399">
        <v>0</v>
      </c>
      <c r="EB288" s="399"/>
      <c r="EC288" s="399">
        <v>-74910.306983876842</v>
      </c>
      <c r="ED288" s="399"/>
      <c r="EE288" s="399">
        <v>0</v>
      </c>
      <c r="EF288" s="399">
        <v>0</v>
      </c>
      <c r="EG288" s="399"/>
      <c r="EH288" s="399">
        <v>0</v>
      </c>
      <c r="EI288" s="399">
        <v>0</v>
      </c>
      <c r="EJ288" s="399">
        <v>0</v>
      </c>
      <c r="EK288" s="399">
        <v>0</v>
      </c>
      <c r="EL288" s="399">
        <v>0</v>
      </c>
      <c r="EM288" s="399"/>
      <c r="EN288" s="399"/>
      <c r="EO288" s="399">
        <v>0</v>
      </c>
      <c r="EP288" s="399">
        <v>2007.3589635601681</v>
      </c>
      <c r="EQ288" s="399"/>
      <c r="ER288" s="399">
        <v>0</v>
      </c>
      <c r="ES288" s="399"/>
      <c r="ET288" s="399">
        <v>0</v>
      </c>
      <c r="EU288" s="399"/>
      <c r="EV288" s="399">
        <v>202</v>
      </c>
      <c r="EW288" s="399"/>
      <c r="EX288" s="399"/>
      <c r="EY288" s="399"/>
      <c r="EZ288" s="399"/>
      <c r="FA288" s="399">
        <v>0</v>
      </c>
      <c r="FB288" s="399">
        <v>-17.698635468909799</v>
      </c>
      <c r="FC288" s="399"/>
      <c r="FD288" s="399">
        <v>-17.698635468909799</v>
      </c>
      <c r="FE288" s="399"/>
      <c r="FF288" s="399">
        <v>0</v>
      </c>
      <c r="FG288" s="399">
        <v>0</v>
      </c>
      <c r="FH288" s="399">
        <v>0</v>
      </c>
      <c r="FI288" s="399">
        <v>0</v>
      </c>
    </row>
    <row r="289" spans="1:165">
      <c r="A289" s="399">
        <v>289</v>
      </c>
      <c r="B289" s="399" t="s">
        <v>956</v>
      </c>
      <c r="C289" s="399" t="s">
        <v>2399</v>
      </c>
      <c r="D289" s="399" t="s">
        <v>533</v>
      </c>
      <c r="E289" s="399" t="s">
        <v>890</v>
      </c>
      <c r="F289" s="399" t="s">
        <v>1239</v>
      </c>
      <c r="G289" s="399" t="s">
        <v>2416</v>
      </c>
      <c r="H289" s="399" t="s">
        <v>1239</v>
      </c>
      <c r="I289" s="399" t="s">
        <v>2326</v>
      </c>
      <c r="J289" s="399" t="s">
        <v>2417</v>
      </c>
      <c r="K289" s="788">
        <v>44501</v>
      </c>
      <c r="L289" s="399">
        <v>0</v>
      </c>
      <c r="M289" s="399">
        <v>0</v>
      </c>
      <c r="N289" s="399">
        <v>779.74400000000003</v>
      </c>
      <c r="O289" s="399">
        <v>779.74400000000003</v>
      </c>
      <c r="P289" s="399">
        <v>0</v>
      </c>
      <c r="Q289" s="399">
        <v>0</v>
      </c>
      <c r="R289" s="399"/>
      <c r="S289" s="399">
        <v>100.48</v>
      </c>
      <c r="T289" s="399"/>
      <c r="U289" s="399"/>
      <c r="V289" s="399">
        <v>78348.677120000008</v>
      </c>
      <c r="W289" s="399">
        <v>78348.677120000008</v>
      </c>
      <c r="X289" s="399">
        <v>72890.469120000009</v>
      </c>
      <c r="Y289" s="399">
        <v>0</v>
      </c>
      <c r="Z289" s="399">
        <v>41286.990291146307</v>
      </c>
      <c r="AA289" s="399">
        <v>0</v>
      </c>
      <c r="AB289" s="399">
        <v>0</v>
      </c>
      <c r="AC289" s="399">
        <v>0</v>
      </c>
      <c r="AD289" s="399">
        <v>0</v>
      </c>
      <c r="AE289" s="399">
        <v>0</v>
      </c>
      <c r="AF289" s="399"/>
      <c r="AG289" s="399"/>
      <c r="AH289" s="399"/>
      <c r="AI289" s="399">
        <v>0</v>
      </c>
      <c r="AJ289" s="399">
        <v>0</v>
      </c>
      <c r="AK289" s="399">
        <v>0</v>
      </c>
      <c r="AL289" s="399">
        <v>7334.1854771588232</v>
      </c>
      <c r="AM289" s="399"/>
      <c r="AN289" s="399">
        <v>1068.3174509118548</v>
      </c>
      <c r="AO289" s="399">
        <v>0</v>
      </c>
      <c r="AP289" s="399">
        <v>0</v>
      </c>
      <c r="AQ289" s="399">
        <v>0</v>
      </c>
      <c r="AR289" s="399">
        <v>0</v>
      </c>
      <c r="AS289" s="399"/>
      <c r="AT289" s="399"/>
      <c r="AU289" s="399">
        <v>0</v>
      </c>
      <c r="AV289" s="399">
        <v>0</v>
      </c>
      <c r="AW289" s="399">
        <v>0</v>
      </c>
      <c r="AX289" s="399"/>
      <c r="AY289" s="399"/>
      <c r="AZ289" s="399">
        <v>0</v>
      </c>
      <c r="BA289" s="399"/>
      <c r="BB289" s="399">
        <v>0</v>
      </c>
      <c r="BC289" s="399">
        <v>0</v>
      </c>
      <c r="BD289" s="399">
        <v>0</v>
      </c>
      <c r="BE289" s="399">
        <v>0</v>
      </c>
      <c r="BF289" s="399"/>
      <c r="BG289" s="399">
        <v>9191.0729809593086</v>
      </c>
      <c r="BH289" s="399">
        <v>0</v>
      </c>
      <c r="BI289" s="399">
        <v>0</v>
      </c>
      <c r="BJ289" s="399">
        <v>0</v>
      </c>
      <c r="BK289" s="399">
        <v>0</v>
      </c>
      <c r="BL289" s="399">
        <v>0</v>
      </c>
      <c r="BM289" s="399"/>
      <c r="BN289" s="399"/>
      <c r="BO289" s="399"/>
      <c r="BP289" s="399"/>
      <c r="BQ289" s="399"/>
      <c r="BR289" s="399"/>
      <c r="BS289" s="399"/>
      <c r="BT289" s="399"/>
      <c r="BU289" s="399"/>
      <c r="BV289" s="399">
        <v>9191.0729809593086</v>
      </c>
      <c r="BW289" s="399"/>
      <c r="BX289" s="399"/>
      <c r="BY289" s="399"/>
      <c r="BZ289" s="399"/>
      <c r="CA289" s="399"/>
      <c r="CB289" s="399"/>
      <c r="CC289" s="399"/>
      <c r="CD289" s="399"/>
      <c r="CE289" s="399"/>
      <c r="CF289" s="399"/>
      <c r="CG289" s="399"/>
      <c r="CH289" s="399"/>
      <c r="CI289" s="399">
        <v>72890.095200000011</v>
      </c>
      <c r="CJ289" s="399">
        <v>-5458.6119199999812</v>
      </c>
      <c r="CK289" s="399"/>
      <c r="CL289" s="399"/>
      <c r="CM289" s="399"/>
      <c r="CN289" s="399"/>
      <c r="CO289" s="399">
        <v>-5458.2080000000005</v>
      </c>
      <c r="CP289" s="399">
        <v>0</v>
      </c>
      <c r="CQ289" s="399">
        <v>30</v>
      </c>
      <c r="CR289" s="399">
        <v>-5454.7249298421812</v>
      </c>
      <c r="CS289" s="399">
        <v>0</v>
      </c>
      <c r="CT289" s="399">
        <v>0</v>
      </c>
      <c r="CU289" s="399">
        <v>0</v>
      </c>
      <c r="CV289" s="399">
        <v>0</v>
      </c>
      <c r="CW289" s="399"/>
      <c r="CX289" s="399"/>
      <c r="CY289" s="399"/>
      <c r="CZ289" s="399">
        <v>0</v>
      </c>
      <c r="DA289" s="399">
        <v>0</v>
      </c>
      <c r="DB289" s="399">
        <v>0</v>
      </c>
      <c r="DC289" s="399"/>
      <c r="DD289" s="399"/>
      <c r="DE289" s="399">
        <v>0</v>
      </c>
      <c r="DF289" s="399">
        <v>0</v>
      </c>
      <c r="DG289" s="399">
        <v>-2080.2339591695018</v>
      </c>
      <c r="DH289" s="399">
        <v>0</v>
      </c>
      <c r="DI289" s="399">
        <v>-2864.3324978728851</v>
      </c>
      <c r="DJ289" s="399"/>
      <c r="DK289" s="399">
        <v>0</v>
      </c>
      <c r="DL289" s="399">
        <v>0</v>
      </c>
      <c r="DM289" s="399"/>
      <c r="DN289" s="399">
        <v>0</v>
      </c>
      <c r="DO289" s="399">
        <v>-419.72295680592651</v>
      </c>
      <c r="DP289" s="399">
        <v>-90.43551599387456</v>
      </c>
      <c r="DQ289" s="399">
        <v>0</v>
      </c>
      <c r="DR289" s="399">
        <v>0</v>
      </c>
      <c r="DS289" s="399"/>
      <c r="DT289" s="399"/>
      <c r="DU289" s="399"/>
      <c r="DV289" s="399">
        <v>0</v>
      </c>
      <c r="DW289" s="399">
        <v>0</v>
      </c>
      <c r="DX289" s="399">
        <v>0</v>
      </c>
      <c r="DY289" s="399">
        <v>-5458.2079999999987</v>
      </c>
      <c r="DZ289" s="399"/>
      <c r="EA289" s="399">
        <v>0</v>
      </c>
      <c r="EB289" s="399"/>
      <c r="EC289" s="399">
        <v>0</v>
      </c>
      <c r="ED289" s="399"/>
      <c r="EE289" s="399">
        <v>0</v>
      </c>
      <c r="EF289" s="399">
        <v>0</v>
      </c>
      <c r="EG289" s="399"/>
      <c r="EH289" s="399">
        <v>0</v>
      </c>
      <c r="EI289" s="399">
        <v>0</v>
      </c>
      <c r="EJ289" s="399">
        <v>0</v>
      </c>
      <c r="EK289" s="399">
        <v>0</v>
      </c>
      <c r="EL289" s="399">
        <v>0</v>
      </c>
      <c r="EM289" s="399"/>
      <c r="EN289" s="399"/>
      <c r="EO289" s="399">
        <v>0</v>
      </c>
      <c r="EP289" s="399">
        <v>19468.228556104677</v>
      </c>
      <c r="EQ289" s="399"/>
      <c r="ER289" s="399">
        <v>0</v>
      </c>
      <c r="ES289" s="399"/>
      <c r="ET289" s="399">
        <v>0</v>
      </c>
      <c r="EU289" s="399"/>
      <c r="EV289" s="399">
        <v>202</v>
      </c>
      <c r="EW289" s="399"/>
      <c r="EX289" s="399"/>
      <c r="EY289" s="399"/>
      <c r="EZ289" s="399"/>
      <c r="FA289" s="399">
        <v>0</v>
      </c>
      <c r="FB289" s="399">
        <v>-17.698635468909799</v>
      </c>
      <c r="FC289" s="399"/>
      <c r="FD289" s="399">
        <v>-17.698635468909799</v>
      </c>
      <c r="FE289" s="399"/>
      <c r="FF289" s="399">
        <v>0</v>
      </c>
      <c r="FG289" s="399">
        <v>0</v>
      </c>
      <c r="FH289" s="399">
        <v>0</v>
      </c>
      <c r="FI289" s="399">
        <v>0</v>
      </c>
    </row>
    <row r="290" spans="1:165">
      <c r="A290" s="399">
        <v>290</v>
      </c>
      <c r="B290" s="399" t="s">
        <v>956</v>
      </c>
      <c r="C290" s="399" t="s">
        <v>2399</v>
      </c>
      <c r="D290" s="399" t="s">
        <v>533</v>
      </c>
      <c r="E290" s="399" t="s">
        <v>890</v>
      </c>
      <c r="F290" s="399" t="s">
        <v>1239</v>
      </c>
      <c r="G290" s="399" t="s">
        <v>2416</v>
      </c>
      <c r="H290" s="399" t="s">
        <v>1239</v>
      </c>
      <c r="I290" s="399" t="s">
        <v>1239</v>
      </c>
      <c r="J290" s="399" t="s">
        <v>2417</v>
      </c>
      <c r="K290" s="788">
        <v>44501</v>
      </c>
      <c r="L290" s="399">
        <v>2100</v>
      </c>
      <c r="M290" s="399">
        <v>2100</v>
      </c>
      <c r="N290" s="399">
        <v>0</v>
      </c>
      <c r="O290" s="399">
        <v>0</v>
      </c>
      <c r="P290" s="399">
        <v>0</v>
      </c>
      <c r="Q290" s="399">
        <v>0</v>
      </c>
      <c r="R290" s="399">
        <v>39.21</v>
      </c>
      <c r="S290" s="399"/>
      <c r="T290" s="399"/>
      <c r="U290" s="399">
        <v>82341</v>
      </c>
      <c r="V290" s="399"/>
      <c r="W290" s="399">
        <v>82341</v>
      </c>
      <c r="X290" s="399">
        <v>62664</v>
      </c>
      <c r="Y290" s="399">
        <v>0</v>
      </c>
      <c r="Z290" s="399">
        <v>0</v>
      </c>
      <c r="AA290" s="399">
        <v>0</v>
      </c>
      <c r="AB290" s="399">
        <v>0</v>
      </c>
      <c r="AC290" s="399">
        <v>0</v>
      </c>
      <c r="AD290" s="399">
        <v>25939.682920966083</v>
      </c>
      <c r="AE290" s="399">
        <v>56410.181582333462</v>
      </c>
      <c r="AF290" s="399"/>
      <c r="AG290" s="399"/>
      <c r="AH290" s="399"/>
      <c r="AI290" s="399">
        <v>0</v>
      </c>
      <c r="AJ290" s="399">
        <v>0</v>
      </c>
      <c r="AK290" s="399">
        <v>0</v>
      </c>
      <c r="AL290" s="399">
        <v>0</v>
      </c>
      <c r="AM290" s="399"/>
      <c r="AN290" s="399">
        <v>0</v>
      </c>
      <c r="AO290" s="399">
        <v>0</v>
      </c>
      <c r="AP290" s="399">
        <v>0</v>
      </c>
      <c r="AQ290" s="399">
        <v>0</v>
      </c>
      <c r="AR290" s="399">
        <v>0</v>
      </c>
      <c r="AS290" s="399"/>
      <c r="AT290" s="399"/>
      <c r="AU290" s="399">
        <v>0</v>
      </c>
      <c r="AV290" s="399">
        <v>0</v>
      </c>
      <c r="AW290" s="399">
        <v>0</v>
      </c>
      <c r="AX290" s="399"/>
      <c r="AY290" s="399"/>
      <c r="AZ290" s="399">
        <v>0</v>
      </c>
      <c r="BA290" s="399"/>
      <c r="BB290" s="399">
        <v>0</v>
      </c>
      <c r="BC290" s="399">
        <v>0</v>
      </c>
      <c r="BD290" s="399">
        <v>0</v>
      </c>
      <c r="BE290" s="399">
        <v>0</v>
      </c>
      <c r="BF290" s="399"/>
      <c r="BG290" s="399">
        <v>0</v>
      </c>
      <c r="BH290" s="399">
        <v>0</v>
      </c>
      <c r="BI290" s="399">
        <v>5333.36</v>
      </c>
      <c r="BJ290" s="399">
        <v>0</v>
      </c>
      <c r="BK290" s="399">
        <v>105501.17</v>
      </c>
      <c r="BL290" s="399">
        <v>1</v>
      </c>
      <c r="BM290" s="399"/>
      <c r="BN290" s="399"/>
      <c r="BO290" s="399"/>
      <c r="BP290" s="399"/>
      <c r="BQ290" s="399"/>
      <c r="BR290" s="399"/>
      <c r="BS290" s="399"/>
      <c r="BT290" s="399"/>
      <c r="BU290" s="399"/>
      <c r="BV290" s="399">
        <v>0</v>
      </c>
      <c r="BW290" s="399"/>
      <c r="BX290" s="399"/>
      <c r="BY290" s="399"/>
      <c r="BZ290" s="399"/>
      <c r="CA290" s="399"/>
      <c r="CB290" s="399"/>
      <c r="CC290" s="399"/>
      <c r="CD290" s="399"/>
      <c r="CE290" s="399"/>
      <c r="CF290" s="399"/>
      <c r="CG290" s="399"/>
      <c r="CH290" s="399"/>
      <c r="CI290" s="399">
        <v>62664</v>
      </c>
      <c r="CJ290" s="399">
        <v>-19677.029999999984</v>
      </c>
      <c r="CK290" s="399"/>
      <c r="CL290" s="399"/>
      <c r="CM290" s="399"/>
      <c r="CN290" s="399"/>
      <c r="CO290" s="399">
        <v>-19677.000000000004</v>
      </c>
      <c r="CP290" s="399">
        <v>0</v>
      </c>
      <c r="CQ290" s="399">
        <v>30</v>
      </c>
      <c r="CR290" s="399">
        <v>890.16969624512785</v>
      </c>
      <c r="CS290" s="399">
        <v>0</v>
      </c>
      <c r="CT290" s="399">
        <v>0</v>
      </c>
      <c r="CU290" s="399">
        <v>0</v>
      </c>
      <c r="CV290" s="399">
        <v>0</v>
      </c>
      <c r="CW290" s="399"/>
      <c r="CX290" s="399"/>
      <c r="CY290" s="399"/>
      <c r="CZ290" s="399">
        <v>890.16969624512785</v>
      </c>
      <c r="DA290" s="399">
        <v>0</v>
      </c>
      <c r="DB290" s="399">
        <v>0</v>
      </c>
      <c r="DC290" s="399"/>
      <c r="DD290" s="399"/>
      <c r="DE290" s="399">
        <v>0</v>
      </c>
      <c r="DF290" s="399">
        <v>0</v>
      </c>
      <c r="DG290" s="399">
        <v>0</v>
      </c>
      <c r="DH290" s="399">
        <v>0</v>
      </c>
      <c r="DI290" s="399">
        <v>0</v>
      </c>
      <c r="DJ290" s="399"/>
      <c r="DK290" s="399">
        <v>0</v>
      </c>
      <c r="DL290" s="399">
        <v>0</v>
      </c>
      <c r="DM290" s="399"/>
      <c r="DN290" s="399">
        <v>0</v>
      </c>
      <c r="DO290" s="399">
        <v>0</v>
      </c>
      <c r="DP290" s="399">
        <v>0</v>
      </c>
      <c r="DQ290" s="399">
        <v>0</v>
      </c>
      <c r="DR290" s="399">
        <v>0</v>
      </c>
      <c r="DS290" s="399"/>
      <c r="DT290" s="399"/>
      <c r="DU290" s="399">
        <v>56410.181582333462</v>
      </c>
      <c r="DV290" s="399"/>
      <c r="DW290" s="399">
        <v>0</v>
      </c>
      <c r="DX290" s="399">
        <v>0</v>
      </c>
      <c r="DY290" s="399">
        <v>-19677</v>
      </c>
      <c r="DZ290" s="399"/>
      <c r="EA290" s="399">
        <v>0</v>
      </c>
      <c r="EB290" s="399"/>
      <c r="EC290" s="399">
        <v>-20584.081914210576</v>
      </c>
      <c r="ED290" s="399"/>
      <c r="EE290" s="399">
        <v>0</v>
      </c>
      <c r="EF290" s="399">
        <v>0</v>
      </c>
      <c r="EG290" s="399"/>
      <c r="EH290" s="399">
        <v>0</v>
      </c>
      <c r="EI290" s="399">
        <v>0</v>
      </c>
      <c r="EJ290" s="399">
        <v>0</v>
      </c>
      <c r="EK290" s="399">
        <v>0</v>
      </c>
      <c r="EL290" s="399">
        <v>0</v>
      </c>
      <c r="EM290" s="399"/>
      <c r="EN290" s="399"/>
      <c r="EO290" s="399">
        <v>0</v>
      </c>
      <c r="EP290" s="399">
        <v>0</v>
      </c>
      <c r="EQ290" s="399"/>
      <c r="ER290" s="399">
        <v>0</v>
      </c>
      <c r="ES290" s="399"/>
      <c r="ET290" s="399">
        <v>0</v>
      </c>
      <c r="EU290" s="399"/>
      <c r="EV290" s="399">
        <v>202</v>
      </c>
      <c r="EW290" s="399"/>
      <c r="EX290" s="399"/>
      <c r="EY290" s="399"/>
      <c r="EZ290" s="399"/>
      <c r="FA290" s="399">
        <v>0</v>
      </c>
      <c r="FB290" s="399">
        <v>-17.698635468909799</v>
      </c>
      <c r="FC290" s="399"/>
      <c r="FD290" s="399">
        <v>-17.698635468909799</v>
      </c>
      <c r="FE290" s="399"/>
      <c r="FF290" s="399">
        <v>0</v>
      </c>
      <c r="FG290" s="399">
        <v>0</v>
      </c>
      <c r="FH290" s="399">
        <v>0</v>
      </c>
      <c r="FI290" s="399">
        <v>0</v>
      </c>
    </row>
    <row r="291" spans="1:165">
      <c r="A291" s="399">
        <v>291</v>
      </c>
      <c r="B291" s="399" t="s">
        <v>956</v>
      </c>
      <c r="C291" s="399" t="s">
        <v>2399</v>
      </c>
      <c r="D291" s="399" t="s">
        <v>533</v>
      </c>
      <c r="E291" s="399" t="s">
        <v>890</v>
      </c>
      <c r="F291" s="399" t="s">
        <v>1239</v>
      </c>
      <c r="G291" s="399" t="s">
        <v>2416</v>
      </c>
      <c r="H291" s="399" t="s">
        <v>1239</v>
      </c>
      <c r="I291" s="399" t="s">
        <v>893</v>
      </c>
      <c r="J291" s="399" t="s">
        <v>2417</v>
      </c>
      <c r="K291" s="788">
        <v>44531</v>
      </c>
      <c r="L291" s="399">
        <v>0</v>
      </c>
      <c r="M291" s="399">
        <v>0</v>
      </c>
      <c r="N291" s="399">
        <v>92.685000000000002</v>
      </c>
      <c r="O291" s="399">
        <v>92.685000000000002</v>
      </c>
      <c r="P291" s="399">
        <v>0</v>
      </c>
      <c r="Q291" s="399">
        <v>0</v>
      </c>
      <c r="R291" s="399"/>
      <c r="S291" s="399">
        <v>3305.85</v>
      </c>
      <c r="T291" s="399"/>
      <c r="U291" s="399"/>
      <c r="V291" s="399">
        <v>306402.70724999998</v>
      </c>
      <c r="W291" s="399">
        <v>306402.70724999998</v>
      </c>
      <c r="X291" s="399">
        <v>221470.8075</v>
      </c>
      <c r="Y291" s="399">
        <v>0</v>
      </c>
      <c r="Z291" s="399">
        <v>4907.6167243799191</v>
      </c>
      <c r="AA291" s="399">
        <v>0</v>
      </c>
      <c r="AB291" s="399">
        <v>0</v>
      </c>
      <c r="AC291" s="399">
        <v>0</v>
      </c>
      <c r="AD291" s="399">
        <v>60429.236304381993</v>
      </c>
      <c r="AE291" s="399">
        <v>236660.8283483432</v>
      </c>
      <c r="AF291" s="399"/>
      <c r="AG291" s="399"/>
      <c r="AH291" s="399"/>
      <c r="AI291" s="399">
        <v>0</v>
      </c>
      <c r="AJ291" s="399">
        <v>0</v>
      </c>
      <c r="AK291" s="399">
        <v>0</v>
      </c>
      <c r="AL291" s="399">
        <v>871.78481777412264</v>
      </c>
      <c r="AM291" s="399"/>
      <c r="AN291" s="399">
        <v>126.9865531992106</v>
      </c>
      <c r="AO291" s="399">
        <v>0</v>
      </c>
      <c r="AP291" s="399">
        <v>0</v>
      </c>
      <c r="AQ291" s="399">
        <v>0</v>
      </c>
      <c r="AR291" s="399">
        <v>0</v>
      </c>
      <c r="AS291" s="399"/>
      <c r="AT291" s="399"/>
      <c r="AU291" s="399">
        <v>0</v>
      </c>
      <c r="AV291" s="399">
        <v>0</v>
      </c>
      <c r="AW291" s="399">
        <v>0</v>
      </c>
      <c r="AX291" s="399"/>
      <c r="AY291" s="399"/>
      <c r="AZ291" s="399">
        <v>0</v>
      </c>
      <c r="BA291" s="399"/>
      <c r="BB291" s="399">
        <v>0</v>
      </c>
      <c r="BC291" s="399">
        <v>0</v>
      </c>
      <c r="BD291" s="399">
        <v>0</v>
      </c>
      <c r="BE291" s="399">
        <v>0</v>
      </c>
      <c r="BF291" s="399"/>
      <c r="BG291" s="399">
        <v>1092.5054880065939</v>
      </c>
      <c r="BH291" s="399">
        <v>0</v>
      </c>
      <c r="BI291" s="399">
        <v>0</v>
      </c>
      <c r="BJ291" s="399">
        <v>0</v>
      </c>
      <c r="BK291" s="399">
        <v>0</v>
      </c>
      <c r="BL291" s="399">
        <v>0</v>
      </c>
      <c r="BM291" s="399"/>
      <c r="BN291" s="399"/>
      <c r="BO291" s="399"/>
      <c r="BP291" s="399"/>
      <c r="BQ291" s="399"/>
      <c r="BR291" s="399"/>
      <c r="BS291" s="399"/>
      <c r="BT291" s="399"/>
      <c r="BU291" s="399"/>
      <c r="BV291" s="399">
        <v>1092.5054880065939</v>
      </c>
      <c r="BW291" s="399"/>
      <c r="BX291" s="399"/>
      <c r="BY291" s="399"/>
      <c r="BZ291" s="399"/>
      <c r="CA291" s="399"/>
      <c r="CB291" s="399"/>
      <c r="CC291" s="399"/>
      <c r="CD291" s="399"/>
      <c r="CE291" s="399"/>
      <c r="CF291" s="399"/>
      <c r="CG291" s="399"/>
      <c r="CH291" s="399"/>
      <c r="CI291" s="399">
        <v>221482.755</v>
      </c>
      <c r="CJ291" s="399">
        <v>-84919.982250000001</v>
      </c>
      <c r="CK291" s="399"/>
      <c r="CL291" s="399"/>
      <c r="CM291" s="399"/>
      <c r="CN291" s="399"/>
      <c r="CO291" s="399">
        <v>-84931.899749999997</v>
      </c>
      <c r="CP291" s="399">
        <v>0</v>
      </c>
      <c r="CQ291" s="399"/>
      <c r="CR291" s="399">
        <v>1425.3635236472037</v>
      </c>
      <c r="CS291" s="399">
        <v>0</v>
      </c>
      <c r="CT291" s="399">
        <v>0</v>
      </c>
      <c r="CU291" s="399">
        <v>0</v>
      </c>
      <c r="CV291" s="399">
        <v>0</v>
      </c>
      <c r="CW291" s="399"/>
      <c r="CX291" s="399"/>
      <c r="CY291" s="399"/>
      <c r="CZ291" s="399">
        <v>2073.7445052545445</v>
      </c>
      <c r="DA291" s="399">
        <v>0</v>
      </c>
      <c r="DB291" s="399">
        <v>0</v>
      </c>
      <c r="DC291" s="399"/>
      <c r="DD291" s="399"/>
      <c r="DE291" s="399">
        <v>0</v>
      </c>
      <c r="DF291" s="399">
        <v>0</v>
      </c>
      <c r="DG291" s="399">
        <v>-247.26895558750721</v>
      </c>
      <c r="DH291" s="399">
        <v>0</v>
      </c>
      <c r="DI291" s="399">
        <v>-340.47156190409714</v>
      </c>
      <c r="DJ291" s="399"/>
      <c r="DK291" s="399">
        <v>0</v>
      </c>
      <c r="DL291" s="399">
        <v>0</v>
      </c>
      <c r="DM291" s="399"/>
      <c r="DN291" s="399">
        <v>0</v>
      </c>
      <c r="DO291" s="399">
        <v>-49.890761905904128</v>
      </c>
      <c r="DP291" s="399">
        <v>-10.74970220981794</v>
      </c>
      <c r="DQ291" s="399">
        <v>0</v>
      </c>
      <c r="DR291" s="399">
        <v>0</v>
      </c>
      <c r="DS291" s="399"/>
      <c r="DT291" s="399"/>
      <c r="DU291" s="399"/>
      <c r="DV291" s="399">
        <v>236660.8283483432</v>
      </c>
      <c r="DW291" s="399">
        <v>0</v>
      </c>
      <c r="DX291" s="399">
        <v>0</v>
      </c>
      <c r="DY291" s="399">
        <v>-84931.899749999982</v>
      </c>
      <c r="DZ291" s="399"/>
      <c r="EA291" s="399">
        <v>0</v>
      </c>
      <c r="EB291" s="399"/>
      <c r="EC291" s="399">
        <v>-86357.564183641894</v>
      </c>
      <c r="ED291" s="399"/>
      <c r="EE291" s="399">
        <v>0</v>
      </c>
      <c r="EF291" s="399">
        <v>0</v>
      </c>
      <c r="EG291" s="399"/>
      <c r="EH291" s="399">
        <v>0</v>
      </c>
      <c r="EI291" s="399">
        <v>0</v>
      </c>
      <c r="EJ291" s="399">
        <v>0</v>
      </c>
      <c r="EK291" s="399">
        <v>0</v>
      </c>
      <c r="EL291" s="399">
        <v>0</v>
      </c>
      <c r="EM291" s="399"/>
      <c r="EN291" s="399"/>
      <c r="EO291" s="399">
        <v>0</v>
      </c>
      <c r="EP291" s="399">
        <v>2314.1091995867387</v>
      </c>
      <c r="EQ291" s="399"/>
      <c r="ER291" s="399">
        <v>0</v>
      </c>
      <c r="ES291" s="399"/>
      <c r="ET291" s="399">
        <v>0</v>
      </c>
      <c r="EU291" s="399"/>
      <c r="EV291" s="399">
        <v>202</v>
      </c>
      <c r="EW291" s="399"/>
      <c r="EX291" s="399"/>
      <c r="EY291" s="399"/>
      <c r="EZ291" s="399"/>
      <c r="FA291" s="399">
        <v>0</v>
      </c>
      <c r="FB291" s="399">
        <v>-17.698635468909799</v>
      </c>
      <c r="FC291" s="399"/>
      <c r="FD291" s="399">
        <v>-17.698635468909799</v>
      </c>
      <c r="FE291" s="399"/>
      <c r="FF291" s="399">
        <v>0</v>
      </c>
      <c r="FG291" s="399">
        <v>0</v>
      </c>
      <c r="FH291" s="399">
        <v>0</v>
      </c>
      <c r="FI291" s="399">
        <v>0</v>
      </c>
    </row>
    <row r="292" spans="1:165">
      <c r="A292" s="399">
        <v>292</v>
      </c>
      <c r="B292" s="399" t="s">
        <v>956</v>
      </c>
      <c r="C292" s="399" t="s">
        <v>2399</v>
      </c>
      <c r="D292" s="399" t="s">
        <v>533</v>
      </c>
      <c r="E292" s="399" t="s">
        <v>890</v>
      </c>
      <c r="F292" s="399" t="s">
        <v>1239</v>
      </c>
      <c r="G292" s="399" t="s">
        <v>2416</v>
      </c>
      <c r="H292" s="399" t="s">
        <v>1239</v>
      </c>
      <c r="I292" s="399" t="s">
        <v>2326</v>
      </c>
      <c r="J292" s="399" t="s">
        <v>2417</v>
      </c>
      <c r="K292" s="788">
        <v>44531</v>
      </c>
      <c r="L292" s="399">
        <v>0</v>
      </c>
      <c r="M292" s="399">
        <v>0</v>
      </c>
      <c r="N292" s="399">
        <v>868.61800000000005</v>
      </c>
      <c r="O292" s="399">
        <v>868.61800000000005</v>
      </c>
      <c r="P292" s="399">
        <v>0</v>
      </c>
      <c r="Q292" s="399">
        <v>0</v>
      </c>
      <c r="R292" s="399"/>
      <c r="S292" s="399">
        <v>100.48</v>
      </c>
      <c r="T292" s="399"/>
      <c r="U292" s="399"/>
      <c r="V292" s="399">
        <v>87278.736640000003</v>
      </c>
      <c r="W292" s="399">
        <v>87278.736640000003</v>
      </c>
      <c r="X292" s="399">
        <v>81198.410640000002</v>
      </c>
      <c r="Y292" s="399">
        <v>0</v>
      </c>
      <c r="Z292" s="399">
        <v>45992.816786938951</v>
      </c>
      <c r="AA292" s="399">
        <v>0</v>
      </c>
      <c r="AB292" s="399">
        <v>0</v>
      </c>
      <c r="AC292" s="399">
        <v>0</v>
      </c>
      <c r="AD292" s="399">
        <v>0</v>
      </c>
      <c r="AE292" s="399">
        <v>0</v>
      </c>
      <c r="AF292" s="399"/>
      <c r="AG292" s="399"/>
      <c r="AH292" s="399"/>
      <c r="AI292" s="399">
        <v>0</v>
      </c>
      <c r="AJ292" s="399">
        <v>0</v>
      </c>
      <c r="AK292" s="399">
        <v>0</v>
      </c>
      <c r="AL292" s="399">
        <v>8170.1244521262652</v>
      </c>
      <c r="AM292" s="399"/>
      <c r="AN292" s="399">
        <v>1190.0826009256289</v>
      </c>
      <c r="AO292" s="399">
        <v>0</v>
      </c>
      <c r="AP292" s="399">
        <v>0</v>
      </c>
      <c r="AQ292" s="399">
        <v>0</v>
      </c>
      <c r="AR292" s="399">
        <v>0</v>
      </c>
      <c r="AS292" s="399"/>
      <c r="AT292" s="399"/>
      <c r="AU292" s="399">
        <v>0</v>
      </c>
      <c r="AV292" s="399">
        <v>0</v>
      </c>
      <c r="AW292" s="399">
        <v>0</v>
      </c>
      <c r="AX292" s="399"/>
      <c r="AY292" s="399"/>
      <c r="AZ292" s="399">
        <v>0</v>
      </c>
      <c r="BA292" s="399"/>
      <c r="BB292" s="399">
        <v>0</v>
      </c>
      <c r="BC292" s="399">
        <v>0</v>
      </c>
      <c r="BD292" s="399">
        <v>0</v>
      </c>
      <c r="BE292" s="399">
        <v>0</v>
      </c>
      <c r="BF292" s="399"/>
      <c r="BG292" s="399">
        <v>10238.65708562671</v>
      </c>
      <c r="BH292" s="399">
        <v>0</v>
      </c>
      <c r="BI292" s="399">
        <v>0</v>
      </c>
      <c r="BJ292" s="399">
        <v>0</v>
      </c>
      <c r="BK292" s="399">
        <v>0</v>
      </c>
      <c r="BL292" s="399">
        <v>0</v>
      </c>
      <c r="BM292" s="399"/>
      <c r="BN292" s="399"/>
      <c r="BO292" s="399"/>
      <c r="BP292" s="399"/>
      <c r="BQ292" s="399"/>
      <c r="BR292" s="399"/>
      <c r="BS292" s="399"/>
      <c r="BT292" s="399"/>
      <c r="BU292" s="399"/>
      <c r="BV292" s="399">
        <v>10238.65708562671</v>
      </c>
      <c r="BW292" s="399"/>
      <c r="BX292" s="399"/>
      <c r="BY292" s="399"/>
      <c r="BZ292" s="399"/>
      <c r="CA292" s="399"/>
      <c r="CB292" s="399"/>
      <c r="CC292" s="399"/>
      <c r="CD292" s="399"/>
      <c r="CE292" s="399"/>
      <c r="CF292" s="399"/>
      <c r="CG292" s="399"/>
      <c r="CH292" s="399"/>
      <c r="CI292" s="399">
        <v>81198.597600000008</v>
      </c>
      <c r="CJ292" s="399">
        <v>-6080.1690399999788</v>
      </c>
      <c r="CK292" s="399"/>
      <c r="CL292" s="399"/>
      <c r="CM292" s="399"/>
      <c r="CN292" s="399"/>
      <c r="CO292" s="399">
        <v>-6080.326</v>
      </c>
      <c r="CP292" s="399">
        <v>0</v>
      </c>
      <c r="CQ292" s="399"/>
      <c r="CR292" s="399">
        <v>-6076.4459349602694</v>
      </c>
      <c r="CS292" s="399">
        <v>0</v>
      </c>
      <c r="CT292" s="399">
        <v>0</v>
      </c>
      <c r="CU292" s="399">
        <v>0</v>
      </c>
      <c r="CV292" s="399">
        <v>0</v>
      </c>
      <c r="CW292" s="399"/>
      <c r="CX292" s="399"/>
      <c r="CY292" s="399"/>
      <c r="CZ292" s="399">
        <v>0</v>
      </c>
      <c r="DA292" s="399">
        <v>0</v>
      </c>
      <c r="DB292" s="399">
        <v>0</v>
      </c>
      <c r="DC292" s="399"/>
      <c r="DD292" s="399"/>
      <c r="DE292" s="399">
        <v>0</v>
      </c>
      <c r="DF292" s="399">
        <v>0</v>
      </c>
      <c r="DG292" s="399">
        <v>-2317.3357680801573</v>
      </c>
      <c r="DH292" s="399">
        <v>0</v>
      </c>
      <c r="DI292" s="399">
        <v>-3190.8046302855146</v>
      </c>
      <c r="DJ292" s="399"/>
      <c r="DK292" s="399">
        <v>0</v>
      </c>
      <c r="DL292" s="399">
        <v>0</v>
      </c>
      <c r="DM292" s="399"/>
      <c r="DN292" s="399">
        <v>0</v>
      </c>
      <c r="DO292" s="399">
        <v>-467.56232211450151</v>
      </c>
      <c r="DP292" s="399">
        <v>-100.74321448009528</v>
      </c>
      <c r="DQ292" s="399">
        <v>0</v>
      </c>
      <c r="DR292" s="399">
        <v>0</v>
      </c>
      <c r="DS292" s="399"/>
      <c r="DT292" s="399"/>
      <c r="DU292" s="399"/>
      <c r="DV292" s="399">
        <v>0</v>
      </c>
      <c r="DW292" s="399">
        <v>0</v>
      </c>
      <c r="DX292" s="399">
        <v>0</v>
      </c>
      <c r="DY292" s="399">
        <v>-6080.3260000000009</v>
      </c>
      <c r="DZ292" s="399"/>
      <c r="EA292" s="399">
        <v>0</v>
      </c>
      <c r="EB292" s="399"/>
      <c r="EC292" s="399">
        <v>0</v>
      </c>
      <c r="ED292" s="399"/>
      <c r="EE292" s="399">
        <v>0</v>
      </c>
      <c r="EF292" s="399">
        <v>0</v>
      </c>
      <c r="EG292" s="399"/>
      <c r="EH292" s="399">
        <v>0</v>
      </c>
      <c r="EI292" s="399">
        <v>0</v>
      </c>
      <c r="EJ292" s="399">
        <v>0</v>
      </c>
      <c r="EK292" s="399">
        <v>0</v>
      </c>
      <c r="EL292" s="399">
        <v>0</v>
      </c>
      <c r="EM292" s="399"/>
      <c r="EN292" s="399"/>
      <c r="EO292" s="399">
        <v>0</v>
      </c>
      <c r="EP292" s="399">
        <v>21687.186758662501</v>
      </c>
      <c r="EQ292" s="399"/>
      <c r="ER292" s="399">
        <v>0</v>
      </c>
      <c r="ES292" s="399"/>
      <c r="ET292" s="399">
        <v>0</v>
      </c>
      <c r="EU292" s="399"/>
      <c r="EV292" s="399">
        <v>202</v>
      </c>
      <c r="EW292" s="399"/>
      <c r="EX292" s="399"/>
      <c r="EY292" s="399"/>
      <c r="EZ292" s="399"/>
      <c r="FA292" s="399">
        <v>0</v>
      </c>
      <c r="FB292" s="399">
        <v>-17.698635468909799</v>
      </c>
      <c r="FC292" s="399"/>
      <c r="FD292" s="399">
        <v>-17.698635468909799</v>
      </c>
      <c r="FE292" s="399"/>
      <c r="FF292" s="399">
        <v>0</v>
      </c>
      <c r="FG292" s="399">
        <v>0</v>
      </c>
      <c r="FH292" s="399">
        <v>0</v>
      </c>
      <c r="FI292" s="399">
        <v>0</v>
      </c>
    </row>
    <row r="293" spans="1:165">
      <c r="A293" s="399">
        <v>293</v>
      </c>
      <c r="B293" s="399" t="s">
        <v>956</v>
      </c>
      <c r="C293" s="399" t="s">
        <v>2399</v>
      </c>
      <c r="D293" s="399" t="s">
        <v>533</v>
      </c>
      <c r="E293" s="399" t="s">
        <v>890</v>
      </c>
      <c r="F293" s="399" t="s">
        <v>1239</v>
      </c>
      <c r="G293" s="399" t="s">
        <v>2416</v>
      </c>
      <c r="H293" s="399" t="s">
        <v>1239</v>
      </c>
      <c r="I293" s="399" t="s">
        <v>1239</v>
      </c>
      <c r="J293" s="399" t="s">
        <v>2417</v>
      </c>
      <c r="K293" s="788">
        <v>44531</v>
      </c>
      <c r="L293" s="399">
        <v>2100</v>
      </c>
      <c r="M293" s="399">
        <v>2100</v>
      </c>
      <c r="N293" s="399">
        <v>0</v>
      </c>
      <c r="O293" s="399">
        <v>0</v>
      </c>
      <c r="P293" s="399">
        <v>0</v>
      </c>
      <c r="Q293" s="399">
        <v>0</v>
      </c>
      <c r="R293" s="399">
        <v>39.21</v>
      </c>
      <c r="S293" s="399"/>
      <c r="T293" s="399"/>
      <c r="U293" s="399">
        <v>82341</v>
      </c>
      <c r="V293" s="399"/>
      <c r="W293" s="399">
        <v>82341</v>
      </c>
      <c r="X293" s="399">
        <v>62664</v>
      </c>
      <c r="Y293" s="399">
        <v>0</v>
      </c>
      <c r="Z293" s="399">
        <v>0</v>
      </c>
      <c r="AA293" s="399">
        <v>0</v>
      </c>
      <c r="AB293" s="399">
        <v>0</v>
      </c>
      <c r="AC293" s="399">
        <v>0</v>
      </c>
      <c r="AD293" s="399">
        <v>25939.682920966083</v>
      </c>
      <c r="AE293" s="399">
        <v>56410.181582333462</v>
      </c>
      <c r="AF293" s="399"/>
      <c r="AG293" s="399"/>
      <c r="AH293" s="399"/>
      <c r="AI293" s="399">
        <v>0</v>
      </c>
      <c r="AJ293" s="399">
        <v>0</v>
      </c>
      <c r="AK293" s="399">
        <v>0</v>
      </c>
      <c r="AL293" s="399">
        <v>0</v>
      </c>
      <c r="AM293" s="399"/>
      <c r="AN293" s="399">
        <v>0</v>
      </c>
      <c r="AO293" s="399">
        <v>0</v>
      </c>
      <c r="AP293" s="399">
        <v>0</v>
      </c>
      <c r="AQ293" s="399">
        <v>0</v>
      </c>
      <c r="AR293" s="399">
        <v>0</v>
      </c>
      <c r="AS293" s="399"/>
      <c r="AT293" s="399"/>
      <c r="AU293" s="399">
        <v>0</v>
      </c>
      <c r="AV293" s="399">
        <v>0</v>
      </c>
      <c r="AW293" s="399">
        <v>0</v>
      </c>
      <c r="AX293" s="399"/>
      <c r="AY293" s="399"/>
      <c r="AZ293" s="399">
        <v>0</v>
      </c>
      <c r="BA293" s="399"/>
      <c r="BB293" s="399">
        <v>0</v>
      </c>
      <c r="BC293" s="399">
        <v>0</v>
      </c>
      <c r="BD293" s="399">
        <v>0</v>
      </c>
      <c r="BE293" s="399">
        <v>0</v>
      </c>
      <c r="BF293" s="399"/>
      <c r="BG293" s="399">
        <v>0</v>
      </c>
      <c r="BH293" s="399">
        <v>0</v>
      </c>
      <c r="BI293" s="399">
        <v>5056.9799999999996</v>
      </c>
      <c r="BJ293" s="399">
        <v>0</v>
      </c>
      <c r="BK293" s="399">
        <v>114164.86</v>
      </c>
      <c r="BL293" s="399">
        <v>1</v>
      </c>
      <c r="BM293" s="399"/>
      <c r="BN293" s="399"/>
      <c r="BO293" s="399"/>
      <c r="BP293" s="399"/>
      <c r="BQ293" s="399"/>
      <c r="BR293" s="399"/>
      <c r="BS293" s="399"/>
      <c r="BT293" s="399"/>
      <c r="BU293" s="399"/>
      <c r="BV293" s="399">
        <v>0</v>
      </c>
      <c r="BW293" s="399"/>
      <c r="BX293" s="399"/>
      <c r="BY293" s="399"/>
      <c r="BZ293" s="399"/>
      <c r="CA293" s="399"/>
      <c r="CB293" s="399"/>
      <c r="CC293" s="399"/>
      <c r="CD293" s="399"/>
      <c r="CE293" s="399"/>
      <c r="CF293" s="399"/>
      <c r="CG293" s="399"/>
      <c r="CH293" s="399"/>
      <c r="CI293" s="399">
        <v>62664</v>
      </c>
      <c r="CJ293" s="399">
        <v>-19677.029999999984</v>
      </c>
      <c r="CK293" s="399"/>
      <c r="CL293" s="399"/>
      <c r="CM293" s="399"/>
      <c r="CN293" s="399"/>
      <c r="CO293" s="399">
        <v>-19677.000000000004</v>
      </c>
      <c r="CP293" s="399">
        <v>0</v>
      </c>
      <c r="CQ293" s="399"/>
      <c r="CR293" s="399">
        <v>890.16969624512785</v>
      </c>
      <c r="CS293" s="399">
        <v>0</v>
      </c>
      <c r="CT293" s="399">
        <v>0</v>
      </c>
      <c r="CU293" s="399">
        <v>0</v>
      </c>
      <c r="CV293" s="399">
        <v>0</v>
      </c>
      <c r="CW293" s="399"/>
      <c r="CX293" s="399"/>
      <c r="CY293" s="399"/>
      <c r="CZ293" s="399">
        <v>890.16969624512785</v>
      </c>
      <c r="DA293" s="399">
        <v>0</v>
      </c>
      <c r="DB293" s="399">
        <v>0</v>
      </c>
      <c r="DC293" s="399"/>
      <c r="DD293" s="399"/>
      <c r="DE293" s="399">
        <v>0</v>
      </c>
      <c r="DF293" s="399">
        <v>0</v>
      </c>
      <c r="DG293" s="399">
        <v>0</v>
      </c>
      <c r="DH293" s="399">
        <v>0</v>
      </c>
      <c r="DI293" s="399">
        <v>0</v>
      </c>
      <c r="DJ293" s="399"/>
      <c r="DK293" s="399">
        <v>0</v>
      </c>
      <c r="DL293" s="399">
        <v>0</v>
      </c>
      <c r="DM293" s="399"/>
      <c r="DN293" s="399">
        <v>0</v>
      </c>
      <c r="DO293" s="399">
        <v>0</v>
      </c>
      <c r="DP293" s="399">
        <v>0</v>
      </c>
      <c r="DQ293" s="399">
        <v>0</v>
      </c>
      <c r="DR293" s="399">
        <v>0</v>
      </c>
      <c r="DS293" s="399"/>
      <c r="DT293" s="399"/>
      <c r="DU293" s="399">
        <v>56410.181582333462</v>
      </c>
      <c r="DV293" s="399"/>
      <c r="DW293" s="399">
        <v>0</v>
      </c>
      <c r="DX293" s="399">
        <v>0</v>
      </c>
      <c r="DY293" s="399">
        <v>-19677</v>
      </c>
      <c r="DZ293" s="399"/>
      <c r="EA293" s="399">
        <v>0</v>
      </c>
      <c r="EB293" s="399"/>
      <c r="EC293" s="399">
        <v>-20584.081914210576</v>
      </c>
      <c r="ED293" s="399"/>
      <c r="EE293" s="399">
        <v>0</v>
      </c>
      <c r="EF293" s="399">
        <v>0</v>
      </c>
      <c r="EG293" s="399"/>
      <c r="EH293" s="399">
        <v>0</v>
      </c>
      <c r="EI293" s="399">
        <v>0</v>
      </c>
      <c r="EJ293" s="399">
        <v>0</v>
      </c>
      <c r="EK293" s="399">
        <v>0</v>
      </c>
      <c r="EL293" s="399">
        <v>0</v>
      </c>
      <c r="EM293" s="399"/>
      <c r="EN293" s="399"/>
      <c r="EO293" s="399">
        <v>0</v>
      </c>
      <c r="EP293" s="399">
        <v>0</v>
      </c>
      <c r="EQ293" s="399"/>
      <c r="ER293" s="399">
        <v>0</v>
      </c>
      <c r="ES293" s="399"/>
      <c r="ET293" s="399">
        <v>0</v>
      </c>
      <c r="EU293" s="399"/>
      <c r="EV293" s="399">
        <v>202</v>
      </c>
      <c r="EW293" s="399"/>
      <c r="EX293" s="399"/>
      <c r="EY293" s="399"/>
      <c r="EZ293" s="399"/>
      <c r="FA293" s="399">
        <v>0</v>
      </c>
      <c r="FB293" s="399">
        <v>-17.698635468909799</v>
      </c>
      <c r="FC293" s="399"/>
      <c r="FD293" s="399">
        <v>-17.698635468909799</v>
      </c>
      <c r="FE293" s="399"/>
      <c r="FF293" s="399">
        <v>0</v>
      </c>
      <c r="FG293" s="399">
        <v>0</v>
      </c>
      <c r="FH293" s="399">
        <v>0</v>
      </c>
      <c r="FI293" s="399">
        <v>0</v>
      </c>
    </row>
    <row r="294" spans="1:165">
      <c r="A294" s="399">
        <v>294</v>
      </c>
      <c r="B294" s="399" t="s">
        <v>956</v>
      </c>
      <c r="C294" s="399" t="s">
        <v>2399</v>
      </c>
      <c r="D294" s="399" t="s">
        <v>533</v>
      </c>
      <c r="E294" s="399" t="s">
        <v>890</v>
      </c>
      <c r="F294" s="399" t="s">
        <v>1239</v>
      </c>
      <c r="G294" s="399" t="s">
        <v>2416</v>
      </c>
      <c r="H294" s="399" t="s">
        <v>1239</v>
      </c>
      <c r="I294" s="399" t="s">
        <v>893</v>
      </c>
      <c r="J294" s="399" t="s">
        <v>2417</v>
      </c>
      <c r="K294" s="788">
        <v>44562</v>
      </c>
      <c r="L294" s="399">
        <v>0</v>
      </c>
      <c r="M294" s="399">
        <v>0</v>
      </c>
      <c r="N294" s="399">
        <v>83.393000000000001</v>
      </c>
      <c r="O294" s="399">
        <v>83.393000000000001</v>
      </c>
      <c r="P294" s="399">
        <v>0</v>
      </c>
      <c r="Q294" s="399">
        <v>0</v>
      </c>
      <c r="R294" s="399"/>
      <c r="S294" s="399">
        <v>3305.85</v>
      </c>
      <c r="T294" s="399"/>
      <c r="U294" s="399"/>
      <c r="V294" s="399">
        <v>275684.74904999998</v>
      </c>
      <c r="W294" s="399">
        <v>275684.74904999998</v>
      </c>
      <c r="X294" s="399">
        <v>199267.5735</v>
      </c>
      <c r="Y294" s="399">
        <v>0</v>
      </c>
      <c r="Z294" s="399">
        <v>4415.6107406399587</v>
      </c>
      <c r="AA294" s="399">
        <v>0</v>
      </c>
      <c r="AB294" s="399">
        <v>0</v>
      </c>
      <c r="AC294" s="399">
        <v>0</v>
      </c>
      <c r="AD294" s="399">
        <v>54370.991024775612</v>
      </c>
      <c r="AE294" s="399">
        <v>212934.74087989843</v>
      </c>
      <c r="AF294" s="399"/>
      <c r="AG294" s="399"/>
      <c r="AH294" s="399"/>
      <c r="AI294" s="399">
        <v>0</v>
      </c>
      <c r="AJ294" s="399">
        <v>0</v>
      </c>
      <c r="AK294" s="399">
        <v>0</v>
      </c>
      <c r="AL294" s="399">
        <v>784.38529760627296</v>
      </c>
      <c r="AM294" s="399"/>
      <c r="AN294" s="399">
        <v>114.255700824748</v>
      </c>
      <c r="AO294" s="399">
        <v>0</v>
      </c>
      <c r="AP294" s="399">
        <v>0</v>
      </c>
      <c r="AQ294" s="399">
        <v>0</v>
      </c>
      <c r="AR294" s="399">
        <v>0</v>
      </c>
      <c r="AS294" s="399"/>
      <c r="AT294" s="399"/>
      <c r="AU294" s="399">
        <v>0</v>
      </c>
      <c r="AV294" s="399">
        <v>0</v>
      </c>
      <c r="AW294" s="399">
        <v>0</v>
      </c>
      <c r="AX294" s="399"/>
      <c r="AY294" s="399"/>
      <c r="AZ294" s="399">
        <v>0</v>
      </c>
      <c r="BA294" s="399"/>
      <c r="BB294" s="399">
        <v>0</v>
      </c>
      <c r="BC294" s="399">
        <v>0</v>
      </c>
      <c r="BD294" s="399">
        <v>0</v>
      </c>
      <c r="BE294" s="399">
        <v>0</v>
      </c>
      <c r="BF294" s="399"/>
      <c r="BG294" s="399">
        <v>982.97793776052094</v>
      </c>
      <c r="BH294" s="399">
        <v>0</v>
      </c>
      <c r="BI294" s="399">
        <v>0</v>
      </c>
      <c r="BJ294" s="399">
        <v>0</v>
      </c>
      <c r="BK294" s="399">
        <v>0</v>
      </c>
      <c r="BL294" s="399">
        <v>0</v>
      </c>
      <c r="BM294" s="399"/>
      <c r="BN294" s="399"/>
      <c r="BO294" s="399"/>
      <c r="BP294" s="399"/>
      <c r="BQ294" s="399"/>
      <c r="BR294" s="399"/>
      <c r="BS294" s="399"/>
      <c r="BT294" s="399"/>
      <c r="BU294" s="399"/>
      <c r="BV294" s="399">
        <v>982.97793776052094</v>
      </c>
      <c r="BW294" s="399"/>
      <c r="BX294" s="399"/>
      <c r="BY294" s="399"/>
      <c r="BZ294" s="399"/>
      <c r="CA294" s="399"/>
      <c r="CB294" s="399"/>
      <c r="CC294" s="399"/>
      <c r="CD294" s="399"/>
      <c r="CE294" s="399"/>
      <c r="CF294" s="399"/>
      <c r="CG294" s="399"/>
      <c r="CH294" s="399"/>
      <c r="CI294" s="399">
        <v>199260.405</v>
      </c>
      <c r="CJ294" s="399">
        <v>-76424.374050000013</v>
      </c>
      <c r="CK294" s="399"/>
      <c r="CL294" s="399"/>
      <c r="CM294" s="399"/>
      <c r="CN294" s="399"/>
      <c r="CO294" s="399">
        <v>-76417.17555</v>
      </c>
      <c r="CP294" s="399">
        <v>0</v>
      </c>
      <c r="CQ294" s="399">
        <v>31</v>
      </c>
      <c r="CR294" s="399">
        <v>1282.4657746939993</v>
      </c>
      <c r="CS294" s="399">
        <v>0</v>
      </c>
      <c r="CT294" s="399">
        <v>0</v>
      </c>
      <c r="CU294" s="399">
        <v>0</v>
      </c>
      <c r="CV294" s="399">
        <v>0</v>
      </c>
      <c r="CW294" s="399"/>
      <c r="CX294" s="399"/>
      <c r="CY294" s="399"/>
      <c r="CZ294" s="399">
        <v>1865.8442631136859</v>
      </c>
      <c r="DA294" s="399">
        <v>0</v>
      </c>
      <c r="DB294" s="399">
        <v>0</v>
      </c>
      <c r="DC294" s="399"/>
      <c r="DD294" s="399"/>
      <c r="DE294" s="399">
        <v>0</v>
      </c>
      <c r="DF294" s="399">
        <v>0</v>
      </c>
      <c r="DG294" s="399">
        <v>-222.47936573673189</v>
      </c>
      <c r="DH294" s="399">
        <v>0</v>
      </c>
      <c r="DI294" s="399">
        <v>-306.33808018415493</v>
      </c>
      <c r="DJ294" s="399"/>
      <c r="DK294" s="399">
        <v>0</v>
      </c>
      <c r="DL294" s="399">
        <v>0</v>
      </c>
      <c r="DM294" s="399"/>
      <c r="DN294" s="399">
        <v>0</v>
      </c>
      <c r="DO294" s="399">
        <v>-44.889036064293691</v>
      </c>
      <c r="DP294" s="399">
        <v>-9.6720064345184937</v>
      </c>
      <c r="DQ294" s="399">
        <v>0</v>
      </c>
      <c r="DR294" s="399">
        <v>0</v>
      </c>
      <c r="DS294" s="399"/>
      <c r="DT294" s="399"/>
      <c r="DU294" s="399"/>
      <c r="DV294" s="399">
        <v>212934.74087989843</v>
      </c>
      <c r="DW294" s="399">
        <v>0</v>
      </c>
      <c r="DX294" s="399">
        <v>0</v>
      </c>
      <c r="DY294" s="399">
        <v>-76417.175549999985</v>
      </c>
      <c r="DZ294" s="399"/>
      <c r="EA294" s="399">
        <v>0</v>
      </c>
      <c r="EB294" s="399"/>
      <c r="EC294" s="399">
        <v>-77699.912067394383</v>
      </c>
      <c r="ED294" s="399"/>
      <c r="EE294" s="399">
        <v>0</v>
      </c>
      <c r="EF294" s="399">
        <v>0</v>
      </c>
      <c r="EG294" s="399"/>
      <c r="EH294" s="399">
        <v>0</v>
      </c>
      <c r="EI294" s="399">
        <v>0</v>
      </c>
      <c r="EJ294" s="399">
        <v>0</v>
      </c>
      <c r="EK294" s="399">
        <v>0</v>
      </c>
      <c r="EL294" s="399">
        <v>0</v>
      </c>
      <c r="EM294" s="399"/>
      <c r="EN294" s="399"/>
      <c r="EO294" s="399">
        <v>0</v>
      </c>
      <c r="EP294" s="399">
        <v>2082.111544275092</v>
      </c>
      <c r="EQ294" s="399"/>
      <c r="ER294" s="399">
        <v>0</v>
      </c>
      <c r="ES294" s="399"/>
      <c r="ET294" s="399">
        <v>0</v>
      </c>
      <c r="EU294" s="399"/>
      <c r="EV294" s="399">
        <v>202</v>
      </c>
      <c r="EW294" s="399"/>
      <c r="EX294" s="399"/>
      <c r="EY294" s="399"/>
      <c r="EZ294" s="399"/>
      <c r="FA294" s="399">
        <v>0</v>
      </c>
      <c r="FB294" s="399">
        <v>-17.698635468909799</v>
      </c>
      <c r="FC294" s="399"/>
      <c r="FD294" s="399">
        <v>-17.698635468909799</v>
      </c>
      <c r="FE294" s="399"/>
      <c r="FF294" s="399">
        <v>0</v>
      </c>
      <c r="FG294" s="399">
        <v>0</v>
      </c>
      <c r="FH294" s="399">
        <v>0</v>
      </c>
      <c r="FI294" s="399">
        <v>0</v>
      </c>
    </row>
    <row r="295" spans="1:165">
      <c r="A295" s="399">
        <v>295</v>
      </c>
      <c r="B295" s="399" t="s">
        <v>956</v>
      </c>
      <c r="C295" s="399" t="s">
        <v>2399</v>
      </c>
      <c r="D295" s="399" t="s">
        <v>533</v>
      </c>
      <c r="E295" s="399" t="s">
        <v>890</v>
      </c>
      <c r="F295" s="399" t="s">
        <v>1239</v>
      </c>
      <c r="G295" s="399" t="s">
        <v>2416</v>
      </c>
      <c r="H295" s="399" t="s">
        <v>1239</v>
      </c>
      <c r="I295" s="399" t="s">
        <v>2326</v>
      </c>
      <c r="J295" s="399" t="s">
        <v>2417</v>
      </c>
      <c r="K295" s="788">
        <v>44562</v>
      </c>
      <c r="L295" s="399">
        <v>0</v>
      </c>
      <c r="M295" s="399">
        <v>0</v>
      </c>
      <c r="N295" s="399">
        <v>868.58399999999995</v>
      </c>
      <c r="O295" s="399">
        <v>868.58399999999995</v>
      </c>
      <c r="P295" s="399">
        <v>0</v>
      </c>
      <c r="Q295" s="399">
        <v>0</v>
      </c>
      <c r="R295" s="399"/>
      <c r="S295" s="399">
        <v>100.48</v>
      </c>
      <c r="T295" s="399"/>
      <c r="U295" s="399"/>
      <c r="V295" s="399">
        <v>87275.320319999999</v>
      </c>
      <c r="W295" s="399">
        <v>87275.320319999999</v>
      </c>
      <c r="X295" s="399">
        <v>81195.232319999996</v>
      </c>
      <c r="Y295" s="399">
        <v>0</v>
      </c>
      <c r="Z295" s="399">
        <v>45991.016506757376</v>
      </c>
      <c r="AA295" s="399">
        <v>0</v>
      </c>
      <c r="AB295" s="399">
        <v>0</v>
      </c>
      <c r="AC295" s="399">
        <v>0</v>
      </c>
      <c r="AD295" s="399">
        <v>0</v>
      </c>
      <c r="AE295" s="399">
        <v>0</v>
      </c>
      <c r="AF295" s="399"/>
      <c r="AG295" s="399"/>
      <c r="AH295" s="399"/>
      <c r="AI295" s="399">
        <v>0</v>
      </c>
      <c r="AJ295" s="399">
        <v>0</v>
      </c>
      <c r="AK295" s="399">
        <v>0</v>
      </c>
      <c r="AL295" s="399">
        <v>8169.8046519018017</v>
      </c>
      <c r="AM295" s="399"/>
      <c r="AN295" s="399">
        <v>1190.0360179531006</v>
      </c>
      <c r="AO295" s="399">
        <v>0</v>
      </c>
      <c r="AP295" s="399">
        <v>0</v>
      </c>
      <c r="AQ295" s="399">
        <v>0</v>
      </c>
      <c r="AR295" s="399">
        <v>0</v>
      </c>
      <c r="AS295" s="399"/>
      <c r="AT295" s="399"/>
      <c r="AU295" s="399">
        <v>0</v>
      </c>
      <c r="AV295" s="399">
        <v>0</v>
      </c>
      <c r="AW295" s="399">
        <v>0</v>
      </c>
      <c r="AX295" s="399"/>
      <c r="AY295" s="399"/>
      <c r="AZ295" s="399">
        <v>0</v>
      </c>
      <c r="BA295" s="399"/>
      <c r="BB295" s="399">
        <v>0</v>
      </c>
      <c r="BC295" s="399">
        <v>0</v>
      </c>
      <c r="BD295" s="399">
        <v>0</v>
      </c>
      <c r="BE295" s="399">
        <v>0</v>
      </c>
      <c r="BF295" s="399"/>
      <c r="BG295" s="399">
        <v>10238.256317578025</v>
      </c>
      <c r="BH295" s="399">
        <v>0</v>
      </c>
      <c r="BI295" s="399">
        <v>0</v>
      </c>
      <c r="BJ295" s="399">
        <v>0</v>
      </c>
      <c r="BK295" s="399">
        <v>0</v>
      </c>
      <c r="BL295" s="399">
        <v>0</v>
      </c>
      <c r="BM295" s="399"/>
      <c r="BN295" s="399"/>
      <c r="BO295" s="399"/>
      <c r="BP295" s="399"/>
      <c r="BQ295" s="399"/>
      <c r="BR295" s="399"/>
      <c r="BS295" s="399"/>
      <c r="BT295" s="399"/>
      <c r="BU295" s="399"/>
      <c r="BV295" s="399">
        <v>10238.256317578025</v>
      </c>
      <c r="BW295" s="399"/>
      <c r="BX295" s="399"/>
      <c r="BY295" s="399"/>
      <c r="BZ295" s="399"/>
      <c r="CA295" s="399"/>
      <c r="CB295" s="399"/>
      <c r="CC295" s="399"/>
      <c r="CD295" s="399"/>
      <c r="CE295" s="399"/>
      <c r="CF295" s="399"/>
      <c r="CG295" s="399"/>
      <c r="CH295" s="399"/>
      <c r="CI295" s="399">
        <v>81194.858400000012</v>
      </c>
      <c r="CJ295" s="399">
        <v>-6080.4919199999713</v>
      </c>
      <c r="CK295" s="399"/>
      <c r="CL295" s="399"/>
      <c r="CM295" s="399"/>
      <c r="CN295" s="399"/>
      <c r="CO295" s="399">
        <v>-6080.0879999999997</v>
      </c>
      <c r="CP295" s="399">
        <v>0</v>
      </c>
      <c r="CQ295" s="399">
        <v>31</v>
      </c>
      <c r="CR295" s="399">
        <v>-6076.2080868362536</v>
      </c>
      <c r="CS295" s="399">
        <v>0</v>
      </c>
      <c r="CT295" s="399">
        <v>0</v>
      </c>
      <c r="CU295" s="399">
        <v>0</v>
      </c>
      <c r="CV295" s="399">
        <v>0</v>
      </c>
      <c r="CW295" s="399"/>
      <c r="CX295" s="399"/>
      <c r="CY295" s="399"/>
      <c r="CZ295" s="399">
        <v>0</v>
      </c>
      <c r="DA295" s="399">
        <v>0</v>
      </c>
      <c r="DB295" s="399">
        <v>0</v>
      </c>
      <c r="DC295" s="399"/>
      <c r="DD295" s="399"/>
      <c r="DE295" s="399">
        <v>0</v>
      </c>
      <c r="DF295" s="399">
        <v>0</v>
      </c>
      <c r="DG295" s="399">
        <v>-2317.2450614448881</v>
      </c>
      <c r="DH295" s="399">
        <v>0</v>
      </c>
      <c r="DI295" s="399">
        <v>-3190.6797337747048</v>
      </c>
      <c r="DJ295" s="399"/>
      <c r="DK295" s="399">
        <v>0</v>
      </c>
      <c r="DL295" s="399">
        <v>0</v>
      </c>
      <c r="DM295" s="399"/>
      <c r="DN295" s="399">
        <v>0</v>
      </c>
      <c r="DO295" s="399">
        <v>-467.54402049174951</v>
      </c>
      <c r="DP295" s="399">
        <v>-100.73927112491219</v>
      </c>
      <c r="DQ295" s="399">
        <v>0</v>
      </c>
      <c r="DR295" s="399">
        <v>0</v>
      </c>
      <c r="DS295" s="399"/>
      <c r="DT295" s="399"/>
      <c r="DU295" s="399"/>
      <c r="DV295" s="399">
        <v>0</v>
      </c>
      <c r="DW295" s="399">
        <v>0</v>
      </c>
      <c r="DX295" s="399">
        <v>0</v>
      </c>
      <c r="DY295" s="399">
        <v>-6080.0880000000034</v>
      </c>
      <c r="DZ295" s="399"/>
      <c r="EA295" s="399">
        <v>0</v>
      </c>
      <c r="EB295" s="399"/>
      <c r="EC295" s="399">
        <v>0</v>
      </c>
      <c r="ED295" s="399"/>
      <c r="EE295" s="399">
        <v>0</v>
      </c>
      <c r="EF295" s="399">
        <v>0</v>
      </c>
      <c r="EG295" s="399"/>
      <c r="EH295" s="399">
        <v>0</v>
      </c>
      <c r="EI295" s="399">
        <v>0</v>
      </c>
      <c r="EJ295" s="399">
        <v>0</v>
      </c>
      <c r="EK295" s="399">
        <v>0</v>
      </c>
      <c r="EL295" s="399">
        <v>0</v>
      </c>
      <c r="EM295" s="399"/>
      <c r="EN295" s="399"/>
      <c r="EO295" s="399">
        <v>0</v>
      </c>
      <c r="EP295" s="399">
        <v>21686.337864960322</v>
      </c>
      <c r="EQ295" s="399"/>
      <c r="ER295" s="399">
        <v>0</v>
      </c>
      <c r="ES295" s="399"/>
      <c r="ET295" s="399">
        <v>0</v>
      </c>
      <c r="EU295" s="399"/>
      <c r="EV295" s="399">
        <v>202</v>
      </c>
      <c r="EW295" s="399"/>
      <c r="EX295" s="399"/>
      <c r="EY295" s="399"/>
      <c r="EZ295" s="399"/>
      <c r="FA295" s="399">
        <v>0</v>
      </c>
      <c r="FB295" s="399">
        <v>-17.698635468909799</v>
      </c>
      <c r="FC295" s="399"/>
      <c r="FD295" s="399">
        <v>-17.698635468909799</v>
      </c>
      <c r="FE295" s="399"/>
      <c r="FF295" s="399">
        <v>0</v>
      </c>
      <c r="FG295" s="399">
        <v>0</v>
      </c>
      <c r="FH295" s="399">
        <v>0</v>
      </c>
      <c r="FI295" s="399">
        <v>0</v>
      </c>
    </row>
    <row r="296" spans="1:165">
      <c r="A296" s="399">
        <v>296</v>
      </c>
      <c r="B296" s="399" t="s">
        <v>956</v>
      </c>
      <c r="C296" s="399" t="s">
        <v>2399</v>
      </c>
      <c r="D296" s="399" t="s">
        <v>533</v>
      </c>
      <c r="E296" s="399" t="s">
        <v>890</v>
      </c>
      <c r="F296" s="399" t="s">
        <v>1239</v>
      </c>
      <c r="G296" s="399" t="s">
        <v>2416</v>
      </c>
      <c r="H296" s="399" t="s">
        <v>1239</v>
      </c>
      <c r="I296" s="399" t="s">
        <v>1239</v>
      </c>
      <c r="J296" s="399" t="s">
        <v>2417</v>
      </c>
      <c r="K296" s="788">
        <v>44562</v>
      </c>
      <c r="L296" s="399">
        <v>2100</v>
      </c>
      <c r="M296" s="399">
        <v>2100</v>
      </c>
      <c r="N296" s="399">
        <v>0</v>
      </c>
      <c r="O296" s="399">
        <v>0</v>
      </c>
      <c r="P296" s="399">
        <v>0</v>
      </c>
      <c r="Q296" s="399">
        <v>0</v>
      </c>
      <c r="R296" s="399">
        <v>39.21</v>
      </c>
      <c r="S296" s="399"/>
      <c r="T296" s="399"/>
      <c r="U296" s="399">
        <v>82341</v>
      </c>
      <c r="V296" s="399"/>
      <c r="W296" s="399">
        <v>82341</v>
      </c>
      <c r="X296" s="399">
        <v>62664</v>
      </c>
      <c r="Y296" s="399">
        <v>0</v>
      </c>
      <c r="Z296" s="399">
        <v>0</v>
      </c>
      <c r="AA296" s="399">
        <v>0</v>
      </c>
      <c r="AB296" s="399">
        <v>0</v>
      </c>
      <c r="AC296" s="399">
        <v>0</v>
      </c>
      <c r="AD296" s="399">
        <v>25939.682920966083</v>
      </c>
      <c r="AE296" s="399">
        <v>56410.181582333462</v>
      </c>
      <c r="AF296" s="399"/>
      <c r="AG296" s="399"/>
      <c r="AH296" s="399"/>
      <c r="AI296" s="399">
        <v>0</v>
      </c>
      <c r="AJ296" s="399">
        <v>0</v>
      </c>
      <c r="AK296" s="399">
        <v>0</v>
      </c>
      <c r="AL296" s="399">
        <v>0</v>
      </c>
      <c r="AM296" s="399"/>
      <c r="AN296" s="399">
        <v>0</v>
      </c>
      <c r="AO296" s="399">
        <v>0</v>
      </c>
      <c r="AP296" s="399">
        <v>0</v>
      </c>
      <c r="AQ296" s="399">
        <v>0</v>
      </c>
      <c r="AR296" s="399">
        <v>0</v>
      </c>
      <c r="AS296" s="399"/>
      <c r="AT296" s="399"/>
      <c r="AU296" s="399">
        <v>0</v>
      </c>
      <c r="AV296" s="399">
        <v>0</v>
      </c>
      <c r="AW296" s="399">
        <v>0</v>
      </c>
      <c r="AX296" s="399"/>
      <c r="AY296" s="399"/>
      <c r="AZ296" s="399">
        <v>0</v>
      </c>
      <c r="BA296" s="399"/>
      <c r="BB296" s="399">
        <v>0</v>
      </c>
      <c r="BC296" s="399">
        <v>0</v>
      </c>
      <c r="BD296" s="399">
        <v>0</v>
      </c>
      <c r="BE296" s="399">
        <v>0</v>
      </c>
      <c r="BF296" s="399"/>
      <c r="BG296" s="399">
        <v>0</v>
      </c>
      <c r="BH296" s="399">
        <v>0</v>
      </c>
      <c r="BI296" s="399">
        <v>2591.2800000000002</v>
      </c>
      <c r="BJ296" s="399">
        <v>0</v>
      </c>
      <c r="BK296" s="399">
        <v>113823.97</v>
      </c>
      <c r="BL296" s="399">
        <v>1</v>
      </c>
      <c r="BM296" s="399"/>
      <c r="BN296" s="399"/>
      <c r="BO296" s="399"/>
      <c r="BP296" s="399"/>
      <c r="BQ296" s="399"/>
      <c r="BR296" s="399"/>
      <c r="BS296" s="399"/>
      <c r="BT296" s="399"/>
      <c r="BU296" s="399"/>
      <c r="BV296" s="399">
        <v>0</v>
      </c>
      <c r="BW296" s="399"/>
      <c r="BX296" s="399"/>
      <c r="BY296" s="399"/>
      <c r="BZ296" s="399"/>
      <c r="CA296" s="399"/>
      <c r="CB296" s="399"/>
      <c r="CC296" s="399"/>
      <c r="CD296" s="399"/>
      <c r="CE296" s="399"/>
      <c r="CF296" s="399"/>
      <c r="CG296" s="399"/>
      <c r="CH296" s="399"/>
      <c r="CI296" s="399">
        <v>62664</v>
      </c>
      <c r="CJ296" s="399">
        <v>-19677.029999999984</v>
      </c>
      <c r="CK296" s="399"/>
      <c r="CL296" s="399"/>
      <c r="CM296" s="399"/>
      <c r="CN296" s="399"/>
      <c r="CO296" s="399">
        <v>-19677.000000000004</v>
      </c>
      <c r="CP296" s="399">
        <v>0</v>
      </c>
      <c r="CQ296" s="399">
        <v>31</v>
      </c>
      <c r="CR296" s="399">
        <v>890.16969624512785</v>
      </c>
      <c r="CS296" s="399">
        <v>0</v>
      </c>
      <c r="CT296" s="399">
        <v>0</v>
      </c>
      <c r="CU296" s="399">
        <v>0</v>
      </c>
      <c r="CV296" s="399">
        <v>0</v>
      </c>
      <c r="CW296" s="399"/>
      <c r="CX296" s="399"/>
      <c r="CY296" s="399"/>
      <c r="CZ296" s="399">
        <v>890.16969624512785</v>
      </c>
      <c r="DA296" s="399">
        <v>0</v>
      </c>
      <c r="DB296" s="399">
        <v>0</v>
      </c>
      <c r="DC296" s="399"/>
      <c r="DD296" s="399"/>
      <c r="DE296" s="399">
        <v>0</v>
      </c>
      <c r="DF296" s="399">
        <v>0</v>
      </c>
      <c r="DG296" s="399">
        <v>0</v>
      </c>
      <c r="DH296" s="399">
        <v>0</v>
      </c>
      <c r="DI296" s="399">
        <v>0</v>
      </c>
      <c r="DJ296" s="399"/>
      <c r="DK296" s="399">
        <v>0</v>
      </c>
      <c r="DL296" s="399">
        <v>0</v>
      </c>
      <c r="DM296" s="399"/>
      <c r="DN296" s="399">
        <v>0</v>
      </c>
      <c r="DO296" s="399">
        <v>0</v>
      </c>
      <c r="DP296" s="399">
        <v>0</v>
      </c>
      <c r="DQ296" s="399">
        <v>0</v>
      </c>
      <c r="DR296" s="399">
        <v>0</v>
      </c>
      <c r="DS296" s="399"/>
      <c r="DT296" s="399"/>
      <c r="DU296" s="399">
        <v>56410.181582333462</v>
      </c>
      <c r="DV296" s="399"/>
      <c r="DW296" s="399">
        <v>0</v>
      </c>
      <c r="DX296" s="399">
        <v>0</v>
      </c>
      <c r="DY296" s="399">
        <v>-19677</v>
      </c>
      <c r="DZ296" s="399"/>
      <c r="EA296" s="399">
        <v>0</v>
      </c>
      <c r="EB296" s="399"/>
      <c r="EC296" s="399">
        <v>-20584.081914210576</v>
      </c>
      <c r="ED296" s="399"/>
      <c r="EE296" s="399">
        <v>0</v>
      </c>
      <c r="EF296" s="399">
        <v>0</v>
      </c>
      <c r="EG296" s="399"/>
      <c r="EH296" s="399">
        <v>0</v>
      </c>
      <c r="EI296" s="399">
        <v>0</v>
      </c>
      <c r="EJ296" s="399">
        <v>0</v>
      </c>
      <c r="EK296" s="399">
        <v>0</v>
      </c>
      <c r="EL296" s="399">
        <v>0</v>
      </c>
      <c r="EM296" s="399"/>
      <c r="EN296" s="399"/>
      <c r="EO296" s="399">
        <v>0</v>
      </c>
      <c r="EP296" s="399">
        <v>0</v>
      </c>
      <c r="EQ296" s="399"/>
      <c r="ER296" s="399">
        <v>0</v>
      </c>
      <c r="ES296" s="399"/>
      <c r="ET296" s="399">
        <v>0</v>
      </c>
      <c r="EU296" s="399"/>
      <c r="EV296" s="399">
        <v>202</v>
      </c>
      <c r="EW296" s="399"/>
      <c r="EX296" s="399"/>
      <c r="EY296" s="399"/>
      <c r="EZ296" s="399"/>
      <c r="FA296" s="399">
        <v>0</v>
      </c>
      <c r="FB296" s="399">
        <v>-17.698635468909799</v>
      </c>
      <c r="FC296" s="399"/>
      <c r="FD296" s="399">
        <v>-17.698635468909799</v>
      </c>
      <c r="FE296" s="399"/>
      <c r="FF296" s="399">
        <v>0</v>
      </c>
      <c r="FG296" s="399">
        <v>0</v>
      </c>
      <c r="FH296" s="399">
        <v>0</v>
      </c>
      <c r="FI296" s="399">
        <v>0</v>
      </c>
    </row>
    <row r="297" spans="1:165">
      <c r="A297" s="399">
        <v>297</v>
      </c>
      <c r="B297" s="399" t="s">
        <v>956</v>
      </c>
      <c r="C297" s="399" t="s">
        <v>2399</v>
      </c>
      <c r="D297" s="399" t="s">
        <v>533</v>
      </c>
      <c r="E297" s="399" t="s">
        <v>890</v>
      </c>
      <c r="F297" s="399" t="s">
        <v>1239</v>
      </c>
      <c r="G297" s="399" t="s">
        <v>2416</v>
      </c>
      <c r="H297" s="399" t="s">
        <v>1239</v>
      </c>
      <c r="I297" s="399" t="s">
        <v>893</v>
      </c>
      <c r="J297" s="399" t="s">
        <v>2417</v>
      </c>
      <c r="K297" s="788">
        <v>44593</v>
      </c>
      <c r="L297" s="399">
        <v>0</v>
      </c>
      <c r="M297" s="399">
        <v>0</v>
      </c>
      <c r="N297" s="399">
        <v>78.411000000000001</v>
      </c>
      <c r="O297" s="399">
        <v>40.95357679947</v>
      </c>
      <c r="P297" s="399">
        <v>0</v>
      </c>
      <c r="Q297" s="399">
        <v>0</v>
      </c>
      <c r="R297" s="399"/>
      <c r="S297" s="399">
        <v>3305.85</v>
      </c>
      <c r="T297" s="399"/>
      <c r="U297" s="399"/>
      <c r="V297" s="399">
        <v>259215.00435</v>
      </c>
      <c r="W297" s="399">
        <v>259215.00435</v>
      </c>
      <c r="X297" s="399">
        <v>187363.0845</v>
      </c>
      <c r="Y297" s="399">
        <v>0</v>
      </c>
      <c r="Z297" s="399">
        <v>4151.816744622688</v>
      </c>
      <c r="AA297" s="399">
        <v>0</v>
      </c>
      <c r="AB297" s="399">
        <v>0</v>
      </c>
      <c r="AC297" s="399">
        <v>0</v>
      </c>
      <c r="AD297" s="399">
        <v>51122.80140112096</v>
      </c>
      <c r="AE297" s="399">
        <v>200213.75855447957</v>
      </c>
      <c r="AF297" s="399"/>
      <c r="AG297" s="399"/>
      <c r="AH297" s="399"/>
      <c r="AI297" s="399">
        <v>0</v>
      </c>
      <c r="AJ297" s="399">
        <v>0</v>
      </c>
      <c r="AK297" s="399">
        <v>0</v>
      </c>
      <c r="AL297" s="399">
        <v>737.52515883354079</v>
      </c>
      <c r="AM297" s="399"/>
      <c r="AN297" s="399">
        <v>107.42992526194425</v>
      </c>
      <c r="AO297" s="399">
        <v>0</v>
      </c>
      <c r="AP297" s="399">
        <v>0</v>
      </c>
      <c r="AQ297" s="399">
        <v>0</v>
      </c>
      <c r="AR297" s="399">
        <v>0</v>
      </c>
      <c r="AS297" s="399"/>
      <c r="AT297" s="399"/>
      <c r="AU297" s="399">
        <v>0</v>
      </c>
      <c r="AV297" s="399">
        <v>0</v>
      </c>
      <c r="AW297" s="399">
        <v>0</v>
      </c>
      <c r="AX297" s="399"/>
      <c r="AY297" s="399"/>
      <c r="AZ297" s="399">
        <v>0</v>
      </c>
      <c r="BA297" s="399"/>
      <c r="BB297" s="399">
        <v>0</v>
      </c>
      <c r="BC297" s="399">
        <v>0</v>
      </c>
      <c r="BD297" s="399">
        <v>0</v>
      </c>
      <c r="BE297" s="399">
        <v>0</v>
      </c>
      <c r="BF297" s="399"/>
      <c r="BG297" s="399">
        <v>924.25363133284816</v>
      </c>
      <c r="BH297" s="399">
        <v>0</v>
      </c>
      <c r="BI297" s="399">
        <v>0</v>
      </c>
      <c r="BJ297" s="399">
        <v>0</v>
      </c>
      <c r="BK297" s="399">
        <v>0</v>
      </c>
      <c r="BL297" s="399">
        <v>0</v>
      </c>
      <c r="BM297" s="399"/>
      <c r="BN297" s="399">
        <v>89504.512737666446</v>
      </c>
      <c r="BO297" s="399"/>
      <c r="BP297" s="399"/>
      <c r="BQ297" s="399"/>
      <c r="BR297" s="399"/>
      <c r="BS297" s="399"/>
      <c r="BT297" s="399"/>
      <c r="BU297" s="399"/>
      <c r="BV297" s="399">
        <v>924.25363133284816</v>
      </c>
      <c r="BW297" s="399"/>
      <c r="BX297" s="399"/>
      <c r="BY297" s="399"/>
      <c r="BZ297" s="399"/>
      <c r="CA297" s="399"/>
      <c r="CB297" s="399"/>
      <c r="CC297" s="399"/>
      <c r="CD297" s="399"/>
      <c r="CE297" s="399"/>
      <c r="CF297" s="399"/>
      <c r="CG297" s="399"/>
      <c r="CH297" s="399"/>
      <c r="CI297" s="399">
        <v>97850.025000000009</v>
      </c>
      <c r="CJ297" s="399">
        <v>-37536.386862527914</v>
      </c>
      <c r="CK297" s="399"/>
      <c r="CL297" s="399"/>
      <c r="CM297" s="399"/>
      <c r="CN297" s="399"/>
      <c r="CO297" s="399">
        <v>-71851.919849999991</v>
      </c>
      <c r="CP297" s="399">
        <v>0</v>
      </c>
      <c r="CQ297" s="399">
        <v>29</v>
      </c>
      <c r="CR297" s="399">
        <v>1205.849697930651</v>
      </c>
      <c r="CS297" s="399">
        <v>0</v>
      </c>
      <c r="CT297" s="399">
        <v>0</v>
      </c>
      <c r="CU297" s="399">
        <v>0</v>
      </c>
      <c r="CV297" s="399">
        <v>0</v>
      </c>
      <c r="CW297" s="399"/>
      <c r="CX297" s="399"/>
      <c r="CY297" s="399"/>
      <c r="CZ297" s="399">
        <v>1754.3764406485861</v>
      </c>
      <c r="DA297" s="399">
        <v>0</v>
      </c>
      <c r="DB297" s="399">
        <v>0</v>
      </c>
      <c r="DC297" s="399"/>
      <c r="DD297" s="399"/>
      <c r="DE297" s="399">
        <v>0</v>
      </c>
      <c r="DF297" s="399">
        <v>0</v>
      </c>
      <c r="DG297" s="399">
        <v>-209.18817582750216</v>
      </c>
      <c r="DH297" s="399">
        <v>0</v>
      </c>
      <c r="DI297" s="399">
        <v>-288.03706792320418</v>
      </c>
      <c r="DJ297" s="399"/>
      <c r="DK297" s="399">
        <v>0</v>
      </c>
      <c r="DL297" s="399">
        <v>0</v>
      </c>
      <c r="DM297" s="399"/>
      <c r="DN297" s="399">
        <v>0</v>
      </c>
      <c r="DO297" s="399">
        <v>-42.2073100480535</v>
      </c>
      <c r="DP297" s="399">
        <v>-9.0941889191782224</v>
      </c>
      <c r="DQ297" s="399">
        <v>0</v>
      </c>
      <c r="DR297" s="399">
        <v>0</v>
      </c>
      <c r="DS297" s="399"/>
      <c r="DT297" s="399"/>
      <c r="DU297" s="399"/>
      <c r="DV297" s="399">
        <v>200213.75855447957</v>
      </c>
      <c r="DW297" s="399">
        <v>0</v>
      </c>
      <c r="DX297" s="399">
        <v>0</v>
      </c>
      <c r="DY297" s="399">
        <v>-71851.919850000006</v>
      </c>
      <c r="DZ297" s="399"/>
      <c r="EA297" s="399">
        <v>0</v>
      </c>
      <c r="EB297" s="399"/>
      <c r="EC297" s="399">
        <v>-73058.024116130386</v>
      </c>
      <c r="ED297" s="399"/>
      <c r="EE297" s="399">
        <v>0</v>
      </c>
      <c r="EF297" s="399">
        <v>0</v>
      </c>
      <c r="EG297" s="399"/>
      <c r="EH297" s="399">
        <v>0</v>
      </c>
      <c r="EI297" s="399">
        <v>0</v>
      </c>
      <c r="EJ297" s="399">
        <v>0</v>
      </c>
      <c r="EK297" s="399">
        <v>0</v>
      </c>
      <c r="EL297" s="399">
        <v>0</v>
      </c>
      <c r="EM297" s="399"/>
      <c r="EN297" s="399"/>
      <c r="EO297" s="399">
        <v>0</v>
      </c>
      <c r="EP297" s="399">
        <v>1957.7236494448482</v>
      </c>
      <c r="EQ297" s="399"/>
      <c r="ER297" s="399">
        <v>0</v>
      </c>
      <c r="ES297" s="399"/>
      <c r="ET297" s="399">
        <v>0</v>
      </c>
      <c r="EU297" s="399"/>
      <c r="EV297" s="399">
        <v>202</v>
      </c>
      <c r="EW297" s="399"/>
      <c r="EX297" s="399"/>
      <c r="EY297" s="399"/>
      <c r="EZ297" s="399"/>
      <c r="FA297" s="399">
        <v>0</v>
      </c>
      <c r="FB297" s="399">
        <v>-17.698635468909799</v>
      </c>
      <c r="FC297" s="399"/>
      <c r="FD297" s="399">
        <v>-17.698635468909799</v>
      </c>
      <c r="FE297" s="399"/>
      <c r="FF297" s="399">
        <v>0</v>
      </c>
      <c r="FG297" s="399">
        <v>0</v>
      </c>
      <c r="FH297" s="399">
        <v>0</v>
      </c>
      <c r="FI297" s="399">
        <v>0</v>
      </c>
    </row>
    <row r="298" spans="1:165">
      <c r="A298" s="399">
        <v>298</v>
      </c>
      <c r="B298" s="399" t="s">
        <v>956</v>
      </c>
      <c r="C298" s="399" t="s">
        <v>2399</v>
      </c>
      <c r="D298" s="399" t="s">
        <v>533</v>
      </c>
      <c r="E298" s="399" t="s">
        <v>890</v>
      </c>
      <c r="F298" s="399" t="s">
        <v>1239</v>
      </c>
      <c r="G298" s="399" t="s">
        <v>2416</v>
      </c>
      <c r="H298" s="399" t="s">
        <v>1239</v>
      </c>
      <c r="I298" s="399" t="s">
        <v>2326</v>
      </c>
      <c r="J298" s="399" t="s">
        <v>2417</v>
      </c>
      <c r="K298" s="788">
        <v>44593</v>
      </c>
      <c r="L298" s="399">
        <v>0</v>
      </c>
      <c r="M298" s="399">
        <v>0</v>
      </c>
      <c r="N298" s="399">
        <v>819.54899999999998</v>
      </c>
      <c r="O298" s="399">
        <v>819.54899999999998</v>
      </c>
      <c r="P298" s="399">
        <v>0</v>
      </c>
      <c r="Q298" s="399">
        <v>0</v>
      </c>
      <c r="R298" s="399"/>
      <c r="S298" s="399">
        <v>100.48</v>
      </c>
      <c r="T298" s="399"/>
      <c r="U298" s="399"/>
      <c r="V298" s="399">
        <v>82348.283519999997</v>
      </c>
      <c r="W298" s="399">
        <v>82348.283519999997</v>
      </c>
      <c r="X298" s="399">
        <v>76611.440520000004</v>
      </c>
      <c r="Y298" s="399">
        <v>0</v>
      </c>
      <c r="Z298" s="399">
        <v>43394.641839012118</v>
      </c>
      <c r="AA298" s="399">
        <v>0</v>
      </c>
      <c r="AB298" s="399">
        <v>0</v>
      </c>
      <c r="AC298" s="399">
        <v>0</v>
      </c>
      <c r="AD298" s="399">
        <v>0</v>
      </c>
      <c r="AE298" s="399">
        <v>0</v>
      </c>
      <c r="AF298" s="399"/>
      <c r="AG298" s="399"/>
      <c r="AH298" s="399"/>
      <c r="AI298" s="399">
        <v>0</v>
      </c>
      <c r="AJ298" s="399">
        <v>0</v>
      </c>
      <c r="AK298" s="399">
        <v>0</v>
      </c>
      <c r="AL298" s="399">
        <v>7708.5868870039858</v>
      </c>
      <c r="AM298" s="399"/>
      <c r="AN298" s="399">
        <v>1122.8537809554928</v>
      </c>
      <c r="AO298" s="399">
        <v>0</v>
      </c>
      <c r="AP298" s="399">
        <v>0</v>
      </c>
      <c r="AQ298" s="399">
        <v>0</v>
      </c>
      <c r="AR298" s="399">
        <v>0</v>
      </c>
      <c r="AS298" s="399"/>
      <c r="AT298" s="399"/>
      <c r="AU298" s="399">
        <v>0</v>
      </c>
      <c r="AV298" s="399">
        <v>0</v>
      </c>
      <c r="AW298" s="399">
        <v>0</v>
      </c>
      <c r="AX298" s="399"/>
      <c r="AY298" s="399"/>
      <c r="AZ298" s="399">
        <v>0</v>
      </c>
      <c r="BA298" s="399"/>
      <c r="BB298" s="399">
        <v>0</v>
      </c>
      <c r="BC298" s="399">
        <v>0</v>
      </c>
      <c r="BD298" s="399">
        <v>0</v>
      </c>
      <c r="BE298" s="399">
        <v>0</v>
      </c>
      <c r="BF298" s="399"/>
      <c r="BG298" s="399">
        <v>9660.2662803076655</v>
      </c>
      <c r="BH298" s="399">
        <v>0</v>
      </c>
      <c r="BI298" s="399">
        <v>0</v>
      </c>
      <c r="BJ298" s="399">
        <v>0</v>
      </c>
      <c r="BK298" s="399">
        <v>0</v>
      </c>
      <c r="BL298" s="399">
        <v>0</v>
      </c>
      <c r="BM298" s="399"/>
      <c r="BN298" s="399"/>
      <c r="BO298" s="399"/>
      <c r="BP298" s="399"/>
      <c r="BQ298" s="399"/>
      <c r="BR298" s="399"/>
      <c r="BS298" s="399"/>
      <c r="BT298" s="399"/>
      <c r="BU298" s="399"/>
      <c r="BV298" s="399">
        <v>9660.2662803076655</v>
      </c>
      <c r="BW298" s="399"/>
      <c r="BX298" s="399"/>
      <c r="BY298" s="399"/>
      <c r="BZ298" s="399"/>
      <c r="CA298" s="399"/>
      <c r="CB298" s="399"/>
      <c r="CC298" s="399"/>
      <c r="CD298" s="399"/>
      <c r="CE298" s="399"/>
      <c r="CF298" s="399"/>
      <c r="CG298" s="399"/>
      <c r="CH298" s="399"/>
      <c r="CI298" s="399">
        <v>76611.534</v>
      </c>
      <c r="CJ298" s="399">
        <v>-5736.7795199999819</v>
      </c>
      <c r="CK298" s="399"/>
      <c r="CL298" s="399"/>
      <c r="CM298" s="399"/>
      <c r="CN298" s="399"/>
      <c r="CO298" s="399">
        <v>-5736.8429999999998</v>
      </c>
      <c r="CP298" s="399">
        <v>0</v>
      </c>
      <c r="CQ298" s="399">
        <v>29</v>
      </c>
      <c r="CR298" s="399">
        <v>-5733.1821232702496</v>
      </c>
      <c r="CS298" s="399">
        <v>0</v>
      </c>
      <c r="CT298" s="399">
        <v>0</v>
      </c>
      <c r="CU298" s="399">
        <v>0</v>
      </c>
      <c r="CV298" s="399">
        <v>0</v>
      </c>
      <c r="CW298" s="399"/>
      <c r="CX298" s="399"/>
      <c r="CY298" s="399"/>
      <c r="CZ298" s="399">
        <v>0</v>
      </c>
      <c r="DA298" s="399">
        <v>0</v>
      </c>
      <c r="DB298" s="399">
        <v>0</v>
      </c>
      <c r="DC298" s="399"/>
      <c r="DD298" s="399"/>
      <c r="DE298" s="399">
        <v>0</v>
      </c>
      <c r="DF298" s="399">
        <v>0</v>
      </c>
      <c r="DG298" s="399">
        <v>-2186.4274184904352</v>
      </c>
      <c r="DH298" s="399">
        <v>0</v>
      </c>
      <c r="DI298" s="399">
        <v>-3010.5532511942729</v>
      </c>
      <c r="DJ298" s="399"/>
      <c r="DK298" s="399">
        <v>0</v>
      </c>
      <c r="DL298" s="399">
        <v>0</v>
      </c>
      <c r="DM298" s="399"/>
      <c r="DN298" s="399">
        <v>0</v>
      </c>
      <c r="DO298" s="399">
        <v>-441.14931250171867</v>
      </c>
      <c r="DP298" s="399">
        <v>-95.052141083822335</v>
      </c>
      <c r="DQ298" s="399">
        <v>0</v>
      </c>
      <c r="DR298" s="399">
        <v>0</v>
      </c>
      <c r="DS298" s="399"/>
      <c r="DT298" s="399"/>
      <c r="DU298" s="399"/>
      <c r="DV298" s="399">
        <v>0</v>
      </c>
      <c r="DW298" s="399">
        <v>0</v>
      </c>
      <c r="DX298" s="399">
        <v>0</v>
      </c>
      <c r="DY298" s="399">
        <v>-5736.8429999999935</v>
      </c>
      <c r="DZ298" s="399"/>
      <c r="EA298" s="399">
        <v>0</v>
      </c>
      <c r="EB298" s="399"/>
      <c r="EC298" s="399">
        <v>0</v>
      </c>
      <c r="ED298" s="399"/>
      <c r="EE298" s="399">
        <v>0</v>
      </c>
      <c r="EF298" s="399">
        <v>0</v>
      </c>
      <c r="EG298" s="399"/>
      <c r="EH298" s="399">
        <v>0</v>
      </c>
      <c r="EI298" s="399">
        <v>0</v>
      </c>
      <c r="EJ298" s="399">
        <v>0</v>
      </c>
      <c r="EK298" s="399">
        <v>0</v>
      </c>
      <c r="EL298" s="399">
        <v>0</v>
      </c>
      <c r="EM298" s="399"/>
      <c r="EN298" s="399"/>
      <c r="EO298" s="399">
        <v>0</v>
      </c>
      <c r="EP298" s="399">
        <v>20462.058374193362</v>
      </c>
      <c r="EQ298" s="399"/>
      <c r="ER298" s="399">
        <v>0</v>
      </c>
      <c r="ES298" s="399"/>
      <c r="ET298" s="399">
        <v>0</v>
      </c>
      <c r="EU298" s="399"/>
      <c r="EV298" s="399">
        <v>202</v>
      </c>
      <c r="EW298" s="399"/>
      <c r="EX298" s="399"/>
      <c r="EY298" s="399"/>
      <c r="EZ298" s="399"/>
      <c r="FA298" s="399">
        <v>0</v>
      </c>
      <c r="FB298" s="399">
        <v>-17.698635468909799</v>
      </c>
      <c r="FC298" s="399"/>
      <c r="FD298" s="399">
        <v>-17.698635468909799</v>
      </c>
      <c r="FE298" s="399"/>
      <c r="FF298" s="399">
        <v>0</v>
      </c>
      <c r="FG298" s="399">
        <v>0</v>
      </c>
      <c r="FH298" s="399">
        <v>0</v>
      </c>
      <c r="FI298" s="399">
        <v>0</v>
      </c>
    </row>
    <row r="299" spans="1:165">
      <c r="A299" s="399">
        <v>299</v>
      </c>
      <c r="B299" s="399" t="s">
        <v>956</v>
      </c>
      <c r="C299" s="399" t="s">
        <v>2399</v>
      </c>
      <c r="D299" s="399" t="s">
        <v>533</v>
      </c>
      <c r="E299" s="399" t="s">
        <v>890</v>
      </c>
      <c r="F299" s="399" t="s">
        <v>1239</v>
      </c>
      <c r="G299" s="399" t="s">
        <v>2416</v>
      </c>
      <c r="H299" s="399" t="s">
        <v>1239</v>
      </c>
      <c r="I299" s="399" t="s">
        <v>1239</v>
      </c>
      <c r="J299" s="399" t="s">
        <v>2417</v>
      </c>
      <c r="K299" s="788">
        <v>44593</v>
      </c>
      <c r="L299" s="399">
        <v>2100</v>
      </c>
      <c r="M299" s="399">
        <v>1055.973387</v>
      </c>
      <c r="N299" s="399">
        <v>0</v>
      </c>
      <c r="O299" s="399">
        <v>0</v>
      </c>
      <c r="P299" s="399">
        <v>0</v>
      </c>
      <c r="Q299" s="399">
        <v>0</v>
      </c>
      <c r="R299" s="399">
        <v>39.21</v>
      </c>
      <c r="S299" s="399"/>
      <c r="T299" s="399"/>
      <c r="U299" s="399">
        <v>82341</v>
      </c>
      <c r="V299" s="399"/>
      <c r="W299" s="399">
        <v>82341</v>
      </c>
      <c r="X299" s="399">
        <v>62664</v>
      </c>
      <c r="Y299" s="399">
        <v>0</v>
      </c>
      <c r="Z299" s="399">
        <v>0</v>
      </c>
      <c r="AA299" s="399">
        <v>0</v>
      </c>
      <c r="AB299" s="399">
        <v>0</v>
      </c>
      <c r="AC299" s="399">
        <v>0</v>
      </c>
      <c r="AD299" s="399">
        <v>25939.682920966083</v>
      </c>
      <c r="AE299" s="399">
        <v>56410.181582333462</v>
      </c>
      <c r="AF299" s="399"/>
      <c r="AG299" s="399"/>
      <c r="AH299" s="399"/>
      <c r="AI299" s="399">
        <v>0</v>
      </c>
      <c r="AJ299" s="399">
        <v>0</v>
      </c>
      <c r="AK299" s="399">
        <v>0</v>
      </c>
      <c r="AL299" s="399">
        <v>0</v>
      </c>
      <c r="AM299" s="399"/>
      <c r="AN299" s="399">
        <v>0</v>
      </c>
      <c r="AO299" s="399">
        <v>0</v>
      </c>
      <c r="AP299" s="399">
        <v>0</v>
      </c>
      <c r="AQ299" s="399">
        <v>0</v>
      </c>
      <c r="AR299" s="399">
        <v>0</v>
      </c>
      <c r="AS299" s="399"/>
      <c r="AT299" s="399"/>
      <c r="AU299" s="399">
        <v>0</v>
      </c>
      <c r="AV299" s="399">
        <v>0</v>
      </c>
      <c r="AW299" s="399">
        <v>0</v>
      </c>
      <c r="AX299" s="399"/>
      <c r="AY299" s="399"/>
      <c r="AZ299" s="399">
        <v>0</v>
      </c>
      <c r="BA299" s="399"/>
      <c r="BB299" s="399">
        <v>0</v>
      </c>
      <c r="BC299" s="399">
        <v>0</v>
      </c>
      <c r="BD299" s="399">
        <v>0</v>
      </c>
      <c r="BE299" s="399">
        <v>0</v>
      </c>
      <c r="BF299" s="399"/>
      <c r="BG299" s="399">
        <v>0</v>
      </c>
      <c r="BH299" s="399">
        <v>0</v>
      </c>
      <c r="BI299" s="399">
        <v>2468.3200000000002</v>
      </c>
      <c r="BJ299" s="399">
        <v>0</v>
      </c>
      <c r="BK299" s="399">
        <v>106256.46</v>
      </c>
      <c r="BL299" s="399">
        <v>1</v>
      </c>
      <c r="BM299" s="399"/>
      <c r="BN299" s="399">
        <v>31153.754131919999</v>
      </c>
      <c r="BO299" s="399"/>
      <c r="BP299" s="399"/>
      <c r="BQ299" s="399"/>
      <c r="BR299" s="399"/>
      <c r="BS299" s="399"/>
      <c r="BT299" s="399"/>
      <c r="BU299" s="399"/>
      <c r="BV299" s="399">
        <v>0</v>
      </c>
      <c r="BW299" s="399"/>
      <c r="BX299" s="399"/>
      <c r="BY299" s="399"/>
      <c r="BZ299" s="399"/>
      <c r="CA299" s="399"/>
      <c r="CB299" s="399"/>
      <c r="CC299" s="399"/>
      <c r="CD299" s="399"/>
      <c r="CE299" s="399"/>
      <c r="CF299" s="399"/>
      <c r="CG299" s="399"/>
      <c r="CH299" s="399"/>
      <c r="CI299" s="399">
        <v>31510.144800000002</v>
      </c>
      <c r="CJ299" s="399">
        <v>-9894.6017042700041</v>
      </c>
      <c r="CK299" s="399"/>
      <c r="CL299" s="399"/>
      <c r="CM299" s="399"/>
      <c r="CN299" s="399"/>
      <c r="CO299" s="399">
        <v>-19677.000000000004</v>
      </c>
      <c r="CP299" s="399">
        <v>0</v>
      </c>
      <c r="CQ299" s="399">
        <v>29</v>
      </c>
      <c r="CR299" s="399">
        <v>890.16969624512785</v>
      </c>
      <c r="CS299" s="399">
        <v>0</v>
      </c>
      <c r="CT299" s="399">
        <v>0</v>
      </c>
      <c r="CU299" s="399">
        <v>0</v>
      </c>
      <c r="CV299" s="399">
        <v>0</v>
      </c>
      <c r="CW299" s="399"/>
      <c r="CX299" s="399"/>
      <c r="CY299" s="399"/>
      <c r="CZ299" s="399">
        <v>890.16969624512785</v>
      </c>
      <c r="DA299" s="399">
        <v>0</v>
      </c>
      <c r="DB299" s="399">
        <v>0</v>
      </c>
      <c r="DC299" s="399"/>
      <c r="DD299" s="399"/>
      <c r="DE299" s="399">
        <v>0</v>
      </c>
      <c r="DF299" s="399">
        <v>0</v>
      </c>
      <c r="DG299" s="399">
        <v>0</v>
      </c>
      <c r="DH299" s="399">
        <v>0</v>
      </c>
      <c r="DI299" s="399">
        <v>0</v>
      </c>
      <c r="DJ299" s="399"/>
      <c r="DK299" s="399">
        <v>0</v>
      </c>
      <c r="DL299" s="399">
        <v>0</v>
      </c>
      <c r="DM299" s="399"/>
      <c r="DN299" s="399">
        <v>0</v>
      </c>
      <c r="DO299" s="399">
        <v>0</v>
      </c>
      <c r="DP299" s="399">
        <v>0</v>
      </c>
      <c r="DQ299" s="399">
        <v>0</v>
      </c>
      <c r="DR299" s="399">
        <v>0</v>
      </c>
      <c r="DS299" s="399"/>
      <c r="DT299" s="399"/>
      <c r="DU299" s="399">
        <v>56410.181582333462</v>
      </c>
      <c r="DV299" s="399"/>
      <c r="DW299" s="399">
        <v>0</v>
      </c>
      <c r="DX299" s="399">
        <v>0</v>
      </c>
      <c r="DY299" s="399">
        <v>-19677</v>
      </c>
      <c r="DZ299" s="399"/>
      <c r="EA299" s="399">
        <v>0</v>
      </c>
      <c r="EB299" s="399"/>
      <c r="EC299" s="399">
        <v>-20584.081914210576</v>
      </c>
      <c r="ED299" s="399"/>
      <c r="EE299" s="399">
        <v>0</v>
      </c>
      <c r="EF299" s="399">
        <v>0</v>
      </c>
      <c r="EG299" s="399"/>
      <c r="EH299" s="399">
        <v>0</v>
      </c>
      <c r="EI299" s="399">
        <v>0</v>
      </c>
      <c r="EJ299" s="399">
        <v>0</v>
      </c>
      <c r="EK299" s="399">
        <v>0</v>
      </c>
      <c r="EL299" s="399">
        <v>0</v>
      </c>
      <c r="EM299" s="399"/>
      <c r="EN299" s="399"/>
      <c r="EO299" s="399">
        <v>0</v>
      </c>
      <c r="EP299" s="399">
        <v>0</v>
      </c>
      <c r="EQ299" s="399"/>
      <c r="ER299" s="399">
        <v>0</v>
      </c>
      <c r="ES299" s="399"/>
      <c r="ET299" s="399">
        <v>0</v>
      </c>
      <c r="EU299" s="399"/>
      <c r="EV299" s="399">
        <v>202</v>
      </c>
      <c r="EW299" s="399"/>
      <c r="EX299" s="399"/>
      <c r="EY299" s="399"/>
      <c r="EZ299" s="399"/>
      <c r="FA299" s="399">
        <v>0</v>
      </c>
      <c r="FB299" s="399">
        <v>-17.698635468909799</v>
      </c>
      <c r="FC299" s="399"/>
      <c r="FD299" s="399">
        <v>-17.698635468909799</v>
      </c>
      <c r="FE299" s="399"/>
      <c r="FF299" s="399">
        <v>0</v>
      </c>
      <c r="FG299" s="399">
        <v>0</v>
      </c>
      <c r="FH299" s="399">
        <v>0</v>
      </c>
      <c r="FI299" s="399">
        <v>0</v>
      </c>
    </row>
    <row r="300" spans="1:165">
      <c r="A300" s="399">
        <v>278</v>
      </c>
      <c r="B300" s="399" t="s">
        <v>956</v>
      </c>
      <c r="C300" s="399" t="s">
        <v>2402</v>
      </c>
      <c r="D300" s="399" t="s">
        <v>1826</v>
      </c>
      <c r="E300" s="399" t="s">
        <v>921</v>
      </c>
      <c r="F300" s="399" t="s">
        <v>2401</v>
      </c>
      <c r="G300" s="399" t="s">
        <v>1239</v>
      </c>
      <c r="H300" s="399" t="s">
        <v>1239</v>
      </c>
      <c r="I300" s="399" t="s">
        <v>1239</v>
      </c>
      <c r="J300" s="399" t="s">
        <v>2400</v>
      </c>
      <c r="K300" s="788">
        <v>44774</v>
      </c>
      <c r="L300" s="399">
        <v>0</v>
      </c>
      <c r="M300" s="399">
        <v>0</v>
      </c>
      <c r="N300" s="399">
        <v>29.271999999999998</v>
      </c>
      <c r="O300" s="399">
        <v>27.51568</v>
      </c>
      <c r="P300" s="399">
        <v>29.271999999999998</v>
      </c>
      <c r="Q300" s="399">
        <v>27.51568</v>
      </c>
      <c r="R300" s="399"/>
      <c r="S300" s="399">
        <v>609.05999999999995</v>
      </c>
      <c r="T300" s="399">
        <v>286.42</v>
      </c>
      <c r="U300" s="399"/>
      <c r="V300" s="399">
        <v>26212.490559999998</v>
      </c>
      <c r="W300" s="399">
        <v>26212.490559999998</v>
      </c>
      <c r="X300" s="399">
        <v>20018.242639999997</v>
      </c>
      <c r="Y300" s="399">
        <v>0</v>
      </c>
      <c r="Z300" s="399">
        <v>1781.5348706879374</v>
      </c>
      <c r="AA300" s="399">
        <v>0</v>
      </c>
      <c r="AB300" s="399">
        <v>0</v>
      </c>
      <c r="AC300" s="399">
        <v>0</v>
      </c>
      <c r="AD300" s="399">
        <v>2858.4737334874876</v>
      </c>
      <c r="AE300" s="399">
        <v>11041.749523342536</v>
      </c>
      <c r="AF300" s="399">
        <v>8384.1841619778588</v>
      </c>
      <c r="AG300" s="399">
        <v>0</v>
      </c>
      <c r="AH300" s="399">
        <v>0</v>
      </c>
      <c r="AI300" s="399">
        <v>0</v>
      </c>
      <c r="AJ300" s="399">
        <v>0</v>
      </c>
      <c r="AK300" s="399">
        <v>0</v>
      </c>
      <c r="AL300" s="399">
        <v>275.32918148442701</v>
      </c>
      <c r="AM300" s="399"/>
      <c r="AN300" s="399">
        <v>49.991821243483407</v>
      </c>
      <c r="AO300" s="399">
        <v>0</v>
      </c>
      <c r="AP300" s="399">
        <v>0</v>
      </c>
      <c r="AQ300" s="399">
        <v>0</v>
      </c>
      <c r="AR300" s="399">
        <v>0</v>
      </c>
      <c r="AS300" s="399">
        <v>0</v>
      </c>
      <c r="AT300" s="399">
        <v>0</v>
      </c>
      <c r="AU300" s="399">
        <v>0</v>
      </c>
      <c r="AV300" s="399">
        <v>0</v>
      </c>
      <c r="AW300" s="399">
        <v>0</v>
      </c>
      <c r="AX300" s="399">
        <v>0</v>
      </c>
      <c r="AY300" s="399">
        <v>0</v>
      </c>
      <c r="AZ300" s="399">
        <v>0</v>
      </c>
      <c r="BA300" s="399"/>
      <c r="BB300" s="399">
        <v>0</v>
      </c>
      <c r="BC300" s="399">
        <v>0</v>
      </c>
      <c r="BD300" s="399">
        <v>0</v>
      </c>
      <c r="BE300" s="399">
        <v>0</v>
      </c>
      <c r="BF300" s="399">
        <v>0</v>
      </c>
      <c r="BG300" s="399">
        <v>981.26531767513916</v>
      </c>
      <c r="BH300" s="399">
        <v>0</v>
      </c>
      <c r="BI300" s="399">
        <v>70.489999999999995</v>
      </c>
      <c r="BJ300" s="399">
        <v>325.45</v>
      </c>
      <c r="BK300" s="399">
        <v>4481.13</v>
      </c>
      <c r="BL300" s="399">
        <v>6</v>
      </c>
      <c r="BM300" s="399"/>
      <c r="BN300" s="399"/>
      <c r="BO300" s="399"/>
      <c r="BP300" s="399"/>
      <c r="BQ300" s="399">
        <v>1201.0945583999992</v>
      </c>
      <c r="BR300" s="399"/>
      <c r="BS300" s="399"/>
      <c r="BT300" s="399"/>
      <c r="BU300" s="399"/>
      <c r="BV300" s="399">
        <v>9365.449479652998</v>
      </c>
      <c r="BW300" s="399"/>
      <c r="BX300" s="399"/>
      <c r="BY300" s="399"/>
      <c r="BZ300" s="399"/>
      <c r="CA300" s="399"/>
      <c r="CB300" s="399"/>
      <c r="CC300" s="399"/>
      <c r="CD300" s="399"/>
      <c r="CE300" s="399"/>
      <c r="CF300" s="399"/>
      <c r="CG300" s="399"/>
      <c r="CH300" s="399"/>
      <c r="CI300" s="399">
        <v>18820.1024</v>
      </c>
      <c r="CJ300" s="399">
        <v>-5819.668726399992</v>
      </c>
      <c r="CK300" s="399"/>
      <c r="CL300" s="399"/>
      <c r="CM300" s="399"/>
      <c r="CN300" s="399"/>
      <c r="CO300" s="399">
        <v>-4296.8368799999989</v>
      </c>
      <c r="CP300" s="399">
        <v>-1897.4110400000006</v>
      </c>
      <c r="CQ300" s="399">
        <v>31</v>
      </c>
      <c r="CR300" s="399">
        <v>-2165.1915390003996</v>
      </c>
      <c r="CS300" s="399">
        <v>0</v>
      </c>
      <c r="CT300" s="399">
        <v>0</v>
      </c>
      <c r="CU300" s="399">
        <v>0</v>
      </c>
      <c r="CV300" s="399">
        <v>0</v>
      </c>
      <c r="CW300" s="399">
        <v>0</v>
      </c>
      <c r="CX300" s="399">
        <v>0</v>
      </c>
      <c r="CY300" s="399">
        <v>0</v>
      </c>
      <c r="CZ300" s="399">
        <v>98.09397835803793</v>
      </c>
      <c r="DA300" s="399">
        <v>0</v>
      </c>
      <c r="DB300" s="399">
        <v>0</v>
      </c>
      <c r="DC300" s="399">
        <v>-1897.6091964245161</v>
      </c>
      <c r="DD300" s="399">
        <v>0</v>
      </c>
      <c r="DE300" s="399">
        <v>0</v>
      </c>
      <c r="DF300" s="399">
        <v>0</v>
      </c>
      <c r="DG300" s="399">
        <v>-222.09174500211702</v>
      </c>
      <c r="DH300" s="399">
        <v>0</v>
      </c>
      <c r="DI300" s="399">
        <v>-123.59603328362437</v>
      </c>
      <c r="DJ300" s="399"/>
      <c r="DK300" s="399">
        <v>0</v>
      </c>
      <c r="DL300" s="399">
        <v>0</v>
      </c>
      <c r="DM300" s="399">
        <v>0</v>
      </c>
      <c r="DN300" s="399">
        <v>0</v>
      </c>
      <c r="DO300" s="399">
        <v>-15.75662062372146</v>
      </c>
      <c r="DP300" s="399">
        <v>-4.2319220244591662</v>
      </c>
      <c r="DQ300" s="399">
        <v>0</v>
      </c>
      <c r="DR300" s="399">
        <v>0</v>
      </c>
      <c r="DS300" s="399"/>
      <c r="DT300" s="399"/>
      <c r="DU300" s="399"/>
      <c r="DV300" s="399">
        <v>11041.749523342536</v>
      </c>
      <c r="DW300" s="399">
        <v>0</v>
      </c>
      <c r="DX300" s="399">
        <v>0</v>
      </c>
      <c r="DY300" s="399">
        <v>-4296.8368799999989</v>
      </c>
      <c r="DZ300" s="399">
        <v>-1897.4110400000009</v>
      </c>
      <c r="EA300" s="399">
        <v>0</v>
      </c>
      <c r="EB300" s="399">
        <v>0</v>
      </c>
      <c r="EC300" s="399">
        <v>-4029.1357036840172</v>
      </c>
      <c r="ED300" s="399">
        <v>0</v>
      </c>
      <c r="EE300" s="399">
        <v>0</v>
      </c>
      <c r="EF300" s="399">
        <v>0</v>
      </c>
      <c r="EG300" s="399">
        <v>0</v>
      </c>
      <c r="EH300" s="399">
        <v>0</v>
      </c>
      <c r="EI300" s="399">
        <v>0</v>
      </c>
      <c r="EJ300" s="399">
        <v>0</v>
      </c>
      <c r="EK300" s="399">
        <v>0</v>
      </c>
      <c r="EL300" s="399">
        <v>0</v>
      </c>
      <c r="EM300" s="399">
        <v>0</v>
      </c>
      <c r="EN300" s="399">
        <v>0</v>
      </c>
      <c r="EO300" s="399">
        <v>0</v>
      </c>
      <c r="EP300" s="399">
        <v>840.05464672150561</v>
      </c>
      <c r="EQ300" s="399">
        <v>0</v>
      </c>
      <c r="ER300" s="399">
        <v>0</v>
      </c>
      <c r="ES300" s="399">
        <v>0</v>
      </c>
      <c r="ET300" s="399">
        <v>0</v>
      </c>
      <c r="EU300" s="399">
        <v>0</v>
      </c>
      <c r="EV300" s="399">
        <v>202</v>
      </c>
      <c r="EW300" s="399">
        <v>0</v>
      </c>
      <c r="EX300" s="399">
        <v>0</v>
      </c>
      <c r="EY300" s="399">
        <v>0</v>
      </c>
      <c r="EZ300" s="399"/>
      <c r="FA300" s="399">
        <v>0</v>
      </c>
      <c r="FB300" s="399">
        <v>-17.698635468909799</v>
      </c>
      <c r="FC300" s="399"/>
      <c r="FD300" s="399">
        <v>-17.698635468909799</v>
      </c>
      <c r="FE300" s="399"/>
      <c r="FF300" s="399">
        <v>0</v>
      </c>
      <c r="FG300" s="399">
        <v>0</v>
      </c>
      <c r="FH300" s="399">
        <v>0</v>
      </c>
      <c r="FI300" s="399">
        <v>0</v>
      </c>
    </row>
    <row r="301" spans="1:165">
      <c r="A301" s="399">
        <v>277</v>
      </c>
      <c r="B301" s="399" t="s">
        <v>956</v>
      </c>
      <c r="C301" s="399" t="s">
        <v>2402</v>
      </c>
      <c r="D301" s="399" t="s">
        <v>2413</v>
      </c>
      <c r="E301" s="399" t="s">
        <v>2414</v>
      </c>
      <c r="F301" s="399" t="s">
        <v>2415</v>
      </c>
      <c r="G301" s="399" t="s">
        <v>1239</v>
      </c>
      <c r="H301" s="399" t="s">
        <v>1239</v>
      </c>
      <c r="I301" s="399" t="s">
        <v>1239</v>
      </c>
      <c r="J301" s="399" t="s">
        <v>2400</v>
      </c>
      <c r="K301" s="788">
        <v>44774</v>
      </c>
      <c r="L301" s="399">
        <v>0</v>
      </c>
      <c r="M301" s="399">
        <v>0</v>
      </c>
      <c r="N301" s="399">
        <v>46.963999999999999</v>
      </c>
      <c r="O301" s="399">
        <v>46.963999999999999</v>
      </c>
      <c r="P301" s="399">
        <v>46.963999999999999</v>
      </c>
      <c r="Q301" s="399">
        <v>46.963999999999999</v>
      </c>
      <c r="R301" s="399"/>
      <c r="S301" s="399">
        <v>334.98</v>
      </c>
      <c r="T301" s="399">
        <v>157.53</v>
      </c>
      <c r="U301" s="399"/>
      <c r="V301" s="399">
        <v>23130.23964</v>
      </c>
      <c r="W301" s="399">
        <v>23130.23964</v>
      </c>
      <c r="X301" s="399">
        <v>17664.569319999999</v>
      </c>
      <c r="Y301" s="399">
        <v>0</v>
      </c>
      <c r="Z301" s="399">
        <v>1572.0621077085107</v>
      </c>
      <c r="AA301" s="399">
        <v>0</v>
      </c>
      <c r="AB301" s="399">
        <v>0</v>
      </c>
      <c r="AC301" s="399">
        <v>0</v>
      </c>
      <c r="AD301" s="399">
        <v>2522.3745637718112</v>
      </c>
      <c r="AE301" s="399">
        <v>9743.4612782810527</v>
      </c>
      <c r="AF301" s="399">
        <v>7398.3722923175765</v>
      </c>
      <c r="AG301" s="399">
        <v>0</v>
      </c>
      <c r="AH301" s="399">
        <v>0</v>
      </c>
      <c r="AI301" s="399">
        <v>0</v>
      </c>
      <c r="AJ301" s="399">
        <v>0</v>
      </c>
      <c r="AK301" s="399">
        <v>0</v>
      </c>
      <c r="AL301" s="399">
        <v>242.95599287985272</v>
      </c>
      <c r="AM301" s="399"/>
      <c r="AN301" s="399">
        <v>44.113785907468746</v>
      </c>
      <c r="AO301" s="399">
        <v>0</v>
      </c>
      <c r="AP301" s="399">
        <v>0</v>
      </c>
      <c r="AQ301" s="399">
        <v>0</v>
      </c>
      <c r="AR301" s="399">
        <v>0</v>
      </c>
      <c r="AS301" s="399">
        <v>0</v>
      </c>
      <c r="AT301" s="399">
        <v>0</v>
      </c>
      <c r="AU301" s="399">
        <v>0</v>
      </c>
      <c r="AV301" s="399">
        <v>0</v>
      </c>
      <c r="AW301" s="399">
        <v>0</v>
      </c>
      <c r="AX301" s="399">
        <v>0</v>
      </c>
      <c r="AY301" s="399">
        <v>0</v>
      </c>
      <c r="AZ301" s="399">
        <v>0</v>
      </c>
      <c r="BA301" s="399"/>
      <c r="BB301" s="399">
        <v>0</v>
      </c>
      <c r="BC301" s="399">
        <v>0</v>
      </c>
      <c r="BD301" s="399">
        <v>0</v>
      </c>
      <c r="BE301" s="399">
        <v>0</v>
      </c>
      <c r="BF301" s="399">
        <v>0</v>
      </c>
      <c r="BG301" s="399">
        <v>865.88820062217917</v>
      </c>
      <c r="BH301" s="399">
        <v>0</v>
      </c>
      <c r="BI301" s="399">
        <v>62.2</v>
      </c>
      <c r="BJ301" s="399">
        <v>287.2</v>
      </c>
      <c r="BK301" s="399">
        <v>3954.27</v>
      </c>
      <c r="BL301" s="399">
        <v>3</v>
      </c>
      <c r="BM301" s="399"/>
      <c r="BN301" s="399"/>
      <c r="BO301" s="399"/>
      <c r="BP301" s="399"/>
      <c r="BQ301" s="399"/>
      <c r="BR301" s="399"/>
      <c r="BS301" s="399"/>
      <c r="BT301" s="399"/>
      <c r="BU301" s="399"/>
      <c r="BV301" s="399">
        <v>8264.2604929397548</v>
      </c>
      <c r="BW301" s="399"/>
      <c r="BX301" s="399"/>
      <c r="BY301" s="399"/>
      <c r="BZ301" s="399"/>
      <c r="CA301" s="399"/>
      <c r="CB301" s="399"/>
      <c r="CC301" s="399"/>
      <c r="CD301" s="399"/>
      <c r="CE301" s="399"/>
      <c r="CF301" s="399"/>
      <c r="CG301" s="399"/>
      <c r="CH301" s="399"/>
      <c r="CI301" s="399">
        <v>17663.0648</v>
      </c>
      <c r="CJ301" s="399">
        <v>-5467.2048399999985</v>
      </c>
      <c r="CK301" s="399"/>
      <c r="CL301" s="399"/>
      <c r="CM301" s="399"/>
      <c r="CN301" s="399"/>
      <c r="CO301" s="399">
        <v>-3791.4037200000007</v>
      </c>
      <c r="CP301" s="399">
        <v>-1674.2666000000002</v>
      </c>
      <c r="CQ301" s="399">
        <v>31</v>
      </c>
      <c r="CR301" s="399">
        <v>-1910.6084480284517</v>
      </c>
      <c r="CS301" s="399">
        <v>0</v>
      </c>
      <c r="CT301" s="399">
        <v>0</v>
      </c>
      <c r="CU301" s="399">
        <v>0</v>
      </c>
      <c r="CV301" s="399">
        <v>0</v>
      </c>
      <c r="CW301" s="399">
        <v>0</v>
      </c>
      <c r="CX301" s="399">
        <v>0</v>
      </c>
      <c r="CY301" s="399">
        <v>0</v>
      </c>
      <c r="CZ301" s="399">
        <v>86.560094280660905</v>
      </c>
      <c r="DA301" s="399">
        <v>0</v>
      </c>
      <c r="DB301" s="399">
        <v>0</v>
      </c>
      <c r="DC301" s="399">
        <v>-1674.4884212040461</v>
      </c>
      <c r="DD301" s="399">
        <v>0</v>
      </c>
      <c r="DE301" s="399">
        <v>0</v>
      </c>
      <c r="DF301" s="399">
        <v>0</v>
      </c>
      <c r="DG301" s="399">
        <v>-195.97821097819588</v>
      </c>
      <c r="DH301" s="399">
        <v>0</v>
      </c>
      <c r="DI301" s="399">
        <v>-109.06361912143711</v>
      </c>
      <c r="DJ301" s="399"/>
      <c r="DK301" s="399">
        <v>0</v>
      </c>
      <c r="DL301" s="399">
        <v>0</v>
      </c>
      <c r="DM301" s="399">
        <v>0</v>
      </c>
      <c r="DN301" s="399">
        <v>0</v>
      </c>
      <c r="DO301" s="399">
        <v>-13.903958118162649</v>
      </c>
      <c r="DP301" s="399">
        <v>-3.7343328872704902</v>
      </c>
      <c r="DQ301" s="399">
        <v>0</v>
      </c>
      <c r="DR301" s="399">
        <v>0</v>
      </c>
      <c r="DS301" s="399"/>
      <c r="DT301" s="399"/>
      <c r="DU301" s="399"/>
      <c r="DV301" s="399">
        <v>9743.4612782810527</v>
      </c>
      <c r="DW301" s="399">
        <v>0</v>
      </c>
      <c r="DX301" s="399">
        <v>0</v>
      </c>
      <c r="DY301" s="399">
        <v>-3791.4037200000002</v>
      </c>
      <c r="DZ301" s="399">
        <v>-1674.2665999999999</v>
      </c>
      <c r="EA301" s="399">
        <v>0</v>
      </c>
      <c r="EB301" s="399">
        <v>0</v>
      </c>
      <c r="EC301" s="399">
        <v>-3555.3901698995551</v>
      </c>
      <c r="ED301" s="399">
        <v>0</v>
      </c>
      <c r="EE301" s="399">
        <v>0</v>
      </c>
      <c r="EF301" s="399">
        <v>0</v>
      </c>
      <c r="EG301" s="399">
        <v>0</v>
      </c>
      <c r="EH301" s="399">
        <v>0</v>
      </c>
      <c r="EI301" s="399">
        <v>0</v>
      </c>
      <c r="EJ301" s="399">
        <v>0</v>
      </c>
      <c r="EK301" s="399">
        <v>0</v>
      </c>
      <c r="EL301" s="399">
        <v>0</v>
      </c>
      <c r="EM301" s="399">
        <v>0</v>
      </c>
      <c r="EN301" s="399">
        <v>0</v>
      </c>
      <c r="EO301" s="399">
        <v>0</v>
      </c>
      <c r="EP301" s="399">
        <v>741.28107186887905</v>
      </c>
      <c r="EQ301" s="399">
        <v>0</v>
      </c>
      <c r="ER301" s="399">
        <v>0</v>
      </c>
      <c r="ES301" s="399">
        <v>0</v>
      </c>
      <c r="ET301" s="399">
        <v>0</v>
      </c>
      <c r="EU301" s="399">
        <v>0</v>
      </c>
      <c r="EV301" s="399">
        <v>202</v>
      </c>
      <c r="EW301" s="399">
        <v>0</v>
      </c>
      <c r="EX301" s="399">
        <v>0</v>
      </c>
      <c r="EY301" s="399">
        <v>0</v>
      </c>
      <c r="EZ301" s="399"/>
      <c r="FA301" s="399">
        <v>0</v>
      </c>
      <c r="FB301" s="399">
        <v>-9.7342495079003708</v>
      </c>
      <c r="FC301" s="399"/>
      <c r="FD301" s="399">
        <v>-9.7342495079003708</v>
      </c>
      <c r="FE301" s="399"/>
      <c r="FF301" s="399">
        <v>0</v>
      </c>
      <c r="FG301" s="399">
        <v>0</v>
      </c>
      <c r="FH301" s="399">
        <v>0</v>
      </c>
      <c r="FI301" s="399">
        <v>0</v>
      </c>
    </row>
    <row r="302" spans="1:165">
      <c r="A302" s="399">
        <v>300</v>
      </c>
      <c r="B302" s="399" t="s">
        <v>956</v>
      </c>
      <c r="C302" s="399" t="s">
        <v>2399</v>
      </c>
      <c r="D302" s="399" t="s">
        <v>533</v>
      </c>
      <c r="E302" s="399" t="s">
        <v>890</v>
      </c>
      <c r="F302" s="399" t="s">
        <v>1239</v>
      </c>
      <c r="G302" s="399" t="s">
        <v>2416</v>
      </c>
      <c r="H302" s="399" t="s">
        <v>1239</v>
      </c>
      <c r="I302" s="399" t="s">
        <v>893</v>
      </c>
      <c r="J302" s="399" t="s">
        <v>2417</v>
      </c>
      <c r="K302" s="788">
        <v>44621</v>
      </c>
      <c r="L302" s="399">
        <v>0</v>
      </c>
      <c r="M302" s="399">
        <v>0</v>
      </c>
      <c r="N302" s="399">
        <v>90.872</v>
      </c>
      <c r="O302" s="399">
        <v>47.399215953679999</v>
      </c>
      <c r="P302" s="399">
        <v>0</v>
      </c>
      <c r="Q302" s="399">
        <v>0</v>
      </c>
      <c r="R302" s="399"/>
      <c r="S302" s="399">
        <v>3305.85</v>
      </c>
      <c r="T302" s="399"/>
      <c r="U302" s="399"/>
      <c r="V302" s="399">
        <v>300409.20120000001</v>
      </c>
      <c r="W302" s="399">
        <v>300409.20120000001</v>
      </c>
      <c r="X302" s="399">
        <v>217138.644</v>
      </c>
      <c r="Y302" s="399">
        <v>0</v>
      </c>
      <c r="Z302" s="399">
        <v>4811.6194311684958</v>
      </c>
      <c r="AA302" s="399">
        <v>0</v>
      </c>
      <c r="AB302" s="399">
        <v>0</v>
      </c>
      <c r="AC302" s="399">
        <v>0</v>
      </c>
      <c r="AD302" s="399">
        <v>59247.187370683503</v>
      </c>
      <c r="AE302" s="399">
        <v>232031.53470001233</v>
      </c>
      <c r="AF302" s="399"/>
      <c r="AG302" s="399"/>
      <c r="AH302" s="399"/>
      <c r="AI302" s="399">
        <v>0</v>
      </c>
      <c r="AJ302" s="399">
        <v>0</v>
      </c>
      <c r="AK302" s="399">
        <v>0</v>
      </c>
      <c r="AL302" s="399">
        <v>854.73194109909991</v>
      </c>
      <c r="AM302" s="399"/>
      <c r="AN302" s="399">
        <v>124.50258469351745</v>
      </c>
      <c r="AO302" s="399">
        <v>0</v>
      </c>
      <c r="AP302" s="399">
        <v>0</v>
      </c>
      <c r="AQ302" s="399">
        <v>0</v>
      </c>
      <c r="AR302" s="399">
        <v>0</v>
      </c>
      <c r="AS302" s="399"/>
      <c r="AT302" s="399"/>
      <c r="AU302" s="399">
        <v>0</v>
      </c>
      <c r="AV302" s="399">
        <v>0</v>
      </c>
      <c r="AW302" s="399">
        <v>0</v>
      </c>
      <c r="AX302" s="399"/>
      <c r="AY302" s="399"/>
      <c r="AZ302" s="399">
        <v>0</v>
      </c>
      <c r="BA302" s="399"/>
      <c r="BB302" s="399">
        <v>0</v>
      </c>
      <c r="BC302" s="399">
        <v>0</v>
      </c>
      <c r="BD302" s="399">
        <v>0</v>
      </c>
      <c r="BE302" s="399">
        <v>0</v>
      </c>
      <c r="BF302" s="399"/>
      <c r="BG302" s="399">
        <v>1071.1351211753272</v>
      </c>
      <c r="BH302" s="399">
        <v>0</v>
      </c>
      <c r="BI302" s="399">
        <v>0</v>
      </c>
      <c r="BJ302" s="399">
        <v>0</v>
      </c>
      <c r="BK302" s="399">
        <v>0</v>
      </c>
      <c r="BL302" s="399">
        <v>0</v>
      </c>
      <c r="BM302" s="399"/>
      <c r="BN302" s="399">
        <v>103878.21747868165</v>
      </c>
      <c r="BO302" s="399"/>
      <c r="BP302" s="399"/>
      <c r="BQ302" s="399"/>
      <c r="BR302" s="399"/>
      <c r="BS302" s="399"/>
      <c r="BT302" s="399"/>
      <c r="BU302" s="399"/>
      <c r="BV302" s="399">
        <v>1071.1351211753272</v>
      </c>
      <c r="BW302" s="399"/>
      <c r="BX302" s="399"/>
      <c r="BY302" s="399"/>
      <c r="BZ302" s="399"/>
      <c r="CA302" s="399"/>
      <c r="CB302" s="399"/>
      <c r="CC302" s="399"/>
      <c r="CD302" s="399"/>
      <c r="CE302" s="399"/>
      <c r="CF302" s="399"/>
      <c r="CG302" s="399"/>
      <c r="CH302" s="399"/>
      <c r="CI302" s="399">
        <v>113262.3</v>
      </c>
      <c r="CJ302" s="399">
        <v>-43432.428060473045</v>
      </c>
      <c r="CK302" s="399"/>
      <c r="CL302" s="399"/>
      <c r="CM302" s="399"/>
      <c r="CN302" s="399"/>
      <c r="CO302" s="399">
        <v>-83270.557199999996</v>
      </c>
      <c r="CP302" s="399">
        <v>0</v>
      </c>
      <c r="CQ302" s="399">
        <v>31</v>
      </c>
      <c r="CR302" s="399">
        <v>1397.4821613084059</v>
      </c>
      <c r="CS302" s="399">
        <v>0</v>
      </c>
      <c r="CT302" s="399">
        <v>0</v>
      </c>
      <c r="CU302" s="399">
        <v>0</v>
      </c>
      <c r="CV302" s="399">
        <v>0</v>
      </c>
      <c r="CW302" s="399"/>
      <c r="CX302" s="399"/>
      <c r="CY302" s="399"/>
      <c r="CZ302" s="399">
        <v>2033.1802414791018</v>
      </c>
      <c r="DA302" s="399">
        <v>0</v>
      </c>
      <c r="DB302" s="399">
        <v>0</v>
      </c>
      <c r="DC302" s="399"/>
      <c r="DD302" s="399"/>
      <c r="DE302" s="399">
        <v>0</v>
      </c>
      <c r="DF302" s="399">
        <v>0</v>
      </c>
      <c r="DG302" s="399">
        <v>-242.43215765385946</v>
      </c>
      <c r="DH302" s="399">
        <v>0</v>
      </c>
      <c r="DI302" s="399">
        <v>-333.81163913631281</v>
      </c>
      <c r="DJ302" s="399"/>
      <c r="DK302" s="399">
        <v>0</v>
      </c>
      <c r="DL302" s="399">
        <v>0</v>
      </c>
      <c r="DM302" s="399"/>
      <c r="DN302" s="399">
        <v>0</v>
      </c>
      <c r="DO302" s="399">
        <v>-48.914854786786691</v>
      </c>
      <c r="DP302" s="399">
        <v>-10.539428593737654</v>
      </c>
      <c r="DQ302" s="399">
        <v>0</v>
      </c>
      <c r="DR302" s="399">
        <v>0</v>
      </c>
      <c r="DS302" s="399"/>
      <c r="DT302" s="399"/>
      <c r="DU302" s="399"/>
      <c r="DV302" s="399">
        <v>232031.53470001233</v>
      </c>
      <c r="DW302" s="399">
        <v>0</v>
      </c>
      <c r="DX302" s="399">
        <v>0</v>
      </c>
      <c r="DY302" s="399">
        <v>-83270.55720000001</v>
      </c>
      <c r="DZ302" s="399"/>
      <c r="EA302" s="399">
        <v>0</v>
      </c>
      <c r="EB302" s="399"/>
      <c r="EC302" s="399">
        <v>-84668.334385239315</v>
      </c>
      <c r="ED302" s="399"/>
      <c r="EE302" s="399">
        <v>0</v>
      </c>
      <c r="EF302" s="399">
        <v>0</v>
      </c>
      <c r="EG302" s="399"/>
      <c r="EH302" s="399">
        <v>0</v>
      </c>
      <c r="EI302" s="399">
        <v>0</v>
      </c>
      <c r="EJ302" s="399">
        <v>0</v>
      </c>
      <c r="EK302" s="399">
        <v>0</v>
      </c>
      <c r="EL302" s="399">
        <v>0</v>
      </c>
      <c r="EM302" s="399"/>
      <c r="EN302" s="399"/>
      <c r="EO302" s="399">
        <v>0</v>
      </c>
      <c r="EP302" s="399">
        <v>2268.8431912914289</v>
      </c>
      <c r="EQ302" s="399"/>
      <c r="ER302" s="399">
        <v>0</v>
      </c>
      <c r="ES302" s="399"/>
      <c r="ET302" s="399">
        <v>0</v>
      </c>
      <c r="EU302" s="399"/>
      <c r="EV302" s="399">
        <v>202</v>
      </c>
      <c r="EW302" s="399"/>
      <c r="EX302" s="399"/>
      <c r="EY302" s="399"/>
      <c r="EZ302" s="399"/>
      <c r="FA302" s="399">
        <v>0</v>
      </c>
      <c r="FB302" s="399">
        <v>-17.698635468909799</v>
      </c>
      <c r="FC302" s="399"/>
      <c r="FD302" s="399">
        <v>-17.698635468909799</v>
      </c>
      <c r="FE302" s="399"/>
      <c r="FF302" s="399">
        <v>0</v>
      </c>
      <c r="FG302" s="399">
        <v>0</v>
      </c>
      <c r="FH302" s="399">
        <v>0</v>
      </c>
      <c r="FI302" s="399">
        <v>0</v>
      </c>
    </row>
    <row r="303" spans="1:165">
      <c r="A303" s="399">
        <v>301</v>
      </c>
      <c r="B303" s="399" t="s">
        <v>956</v>
      </c>
      <c r="C303" s="399" t="s">
        <v>2399</v>
      </c>
      <c r="D303" s="399" t="s">
        <v>533</v>
      </c>
      <c r="E303" s="399" t="s">
        <v>890</v>
      </c>
      <c r="F303" s="399" t="s">
        <v>1239</v>
      </c>
      <c r="G303" s="399" t="s">
        <v>2416</v>
      </c>
      <c r="H303" s="399" t="s">
        <v>1239</v>
      </c>
      <c r="I303" s="399" t="s">
        <v>2326</v>
      </c>
      <c r="J303" s="399" t="s">
        <v>2417</v>
      </c>
      <c r="K303" s="788">
        <v>44621</v>
      </c>
      <c r="L303" s="399">
        <v>0</v>
      </c>
      <c r="M303" s="399">
        <v>0</v>
      </c>
      <c r="N303" s="399">
        <v>830.31600000000003</v>
      </c>
      <c r="O303" s="399">
        <v>830.31600000000003</v>
      </c>
      <c r="P303" s="399">
        <v>0</v>
      </c>
      <c r="Q303" s="399">
        <v>0</v>
      </c>
      <c r="R303" s="399"/>
      <c r="S303" s="399">
        <v>100.48</v>
      </c>
      <c r="T303" s="399"/>
      <c r="U303" s="399"/>
      <c r="V303" s="399">
        <v>83430.15168000001</v>
      </c>
      <c r="W303" s="399">
        <v>83430.15168000001</v>
      </c>
      <c r="X303" s="399">
        <v>77617.93968000001</v>
      </c>
      <c r="Y303" s="399">
        <v>0</v>
      </c>
      <c r="Z303" s="399">
        <v>43964.748212982005</v>
      </c>
      <c r="AA303" s="399">
        <v>0</v>
      </c>
      <c r="AB303" s="399">
        <v>0</v>
      </c>
      <c r="AC303" s="399">
        <v>0</v>
      </c>
      <c r="AD303" s="399">
        <v>0</v>
      </c>
      <c r="AE303" s="399">
        <v>0</v>
      </c>
      <c r="AF303" s="399"/>
      <c r="AG303" s="399"/>
      <c r="AH303" s="399"/>
      <c r="AI303" s="399">
        <v>0</v>
      </c>
      <c r="AJ303" s="399">
        <v>0</v>
      </c>
      <c r="AK303" s="399">
        <v>0</v>
      </c>
      <c r="AL303" s="399">
        <v>7809.8600933801417</v>
      </c>
      <c r="AM303" s="399"/>
      <c r="AN303" s="399">
        <v>1137.6055122852215</v>
      </c>
      <c r="AO303" s="399">
        <v>0</v>
      </c>
      <c r="AP303" s="399">
        <v>0</v>
      </c>
      <c r="AQ303" s="399">
        <v>0</v>
      </c>
      <c r="AR303" s="399">
        <v>0</v>
      </c>
      <c r="AS303" s="399"/>
      <c r="AT303" s="399"/>
      <c r="AU303" s="399">
        <v>0</v>
      </c>
      <c r="AV303" s="399">
        <v>0</v>
      </c>
      <c r="AW303" s="399">
        <v>0</v>
      </c>
      <c r="AX303" s="399"/>
      <c r="AY303" s="399"/>
      <c r="AZ303" s="399">
        <v>0</v>
      </c>
      <c r="BA303" s="399"/>
      <c r="BB303" s="399">
        <v>0</v>
      </c>
      <c r="BC303" s="399">
        <v>0</v>
      </c>
      <c r="BD303" s="399">
        <v>0</v>
      </c>
      <c r="BE303" s="399">
        <v>0</v>
      </c>
      <c r="BF303" s="399"/>
      <c r="BG303" s="399">
        <v>9787.1800914892701</v>
      </c>
      <c r="BH303" s="399">
        <v>0</v>
      </c>
      <c r="BI303" s="399">
        <v>0</v>
      </c>
      <c r="BJ303" s="399">
        <v>0</v>
      </c>
      <c r="BK303" s="399">
        <v>0</v>
      </c>
      <c r="BL303" s="399">
        <v>0</v>
      </c>
      <c r="BM303" s="399"/>
      <c r="BN303" s="399"/>
      <c r="BO303" s="399"/>
      <c r="BP303" s="399"/>
      <c r="BQ303" s="399"/>
      <c r="BR303" s="399"/>
      <c r="BS303" s="399"/>
      <c r="BT303" s="399"/>
      <c r="BU303" s="399"/>
      <c r="BV303" s="399">
        <v>9787.1800914892701</v>
      </c>
      <c r="BW303" s="399"/>
      <c r="BX303" s="399"/>
      <c r="BY303" s="399"/>
      <c r="BZ303" s="399"/>
      <c r="CA303" s="399"/>
      <c r="CB303" s="399"/>
      <c r="CC303" s="399"/>
      <c r="CD303" s="399"/>
      <c r="CE303" s="399"/>
      <c r="CF303" s="399"/>
      <c r="CG303" s="399"/>
      <c r="CH303" s="399"/>
      <c r="CI303" s="399">
        <v>77618.313600000009</v>
      </c>
      <c r="CJ303" s="399">
        <v>-5811.8680799999856</v>
      </c>
      <c r="CK303" s="399"/>
      <c r="CL303" s="399"/>
      <c r="CM303" s="399"/>
      <c r="CN303" s="399"/>
      <c r="CO303" s="399">
        <v>-5812.2120000000004</v>
      </c>
      <c r="CP303" s="399">
        <v>0</v>
      </c>
      <c r="CQ303" s="399">
        <v>31</v>
      </c>
      <c r="CR303" s="399">
        <v>-5808.5030277204351</v>
      </c>
      <c r="CS303" s="399">
        <v>0</v>
      </c>
      <c r="CT303" s="399">
        <v>0</v>
      </c>
      <c r="CU303" s="399">
        <v>0</v>
      </c>
      <c r="CV303" s="399">
        <v>0</v>
      </c>
      <c r="CW303" s="399"/>
      <c r="CX303" s="399"/>
      <c r="CY303" s="399"/>
      <c r="CZ303" s="399">
        <v>0</v>
      </c>
      <c r="DA303" s="399">
        <v>0</v>
      </c>
      <c r="DB303" s="399">
        <v>0</v>
      </c>
      <c r="DC303" s="399"/>
      <c r="DD303" s="399"/>
      <c r="DE303" s="399">
        <v>0</v>
      </c>
      <c r="DF303" s="399">
        <v>0</v>
      </c>
      <c r="DG303" s="399">
        <v>-2215.1520756065893</v>
      </c>
      <c r="DH303" s="399">
        <v>0</v>
      </c>
      <c r="DI303" s="399">
        <v>-3050.1050374274419</v>
      </c>
      <c r="DJ303" s="399"/>
      <c r="DK303" s="399">
        <v>0</v>
      </c>
      <c r="DL303" s="399">
        <v>0</v>
      </c>
      <c r="DM303" s="399"/>
      <c r="DN303" s="399">
        <v>0</v>
      </c>
      <c r="DO303" s="399">
        <v>-446.94500580096792</v>
      </c>
      <c r="DP303" s="399">
        <v>-96.300908885441913</v>
      </c>
      <c r="DQ303" s="399">
        <v>0</v>
      </c>
      <c r="DR303" s="399">
        <v>0</v>
      </c>
      <c r="DS303" s="399"/>
      <c r="DT303" s="399"/>
      <c r="DU303" s="399"/>
      <c r="DV303" s="399">
        <v>0</v>
      </c>
      <c r="DW303" s="399">
        <v>0</v>
      </c>
      <c r="DX303" s="399">
        <v>0</v>
      </c>
      <c r="DY303" s="399">
        <v>-5812.2119999999995</v>
      </c>
      <c r="DZ303" s="399"/>
      <c r="EA303" s="399">
        <v>0</v>
      </c>
      <c r="EB303" s="399"/>
      <c r="EC303" s="399">
        <v>0</v>
      </c>
      <c r="ED303" s="399"/>
      <c r="EE303" s="399">
        <v>0</v>
      </c>
      <c r="EF303" s="399">
        <v>0</v>
      </c>
      <c r="EG303" s="399"/>
      <c r="EH303" s="399">
        <v>0</v>
      </c>
      <c r="EI303" s="399">
        <v>0</v>
      </c>
      <c r="EJ303" s="399">
        <v>0</v>
      </c>
      <c r="EK303" s="399">
        <v>0</v>
      </c>
      <c r="EL303" s="399">
        <v>0</v>
      </c>
      <c r="EM303" s="399"/>
      <c r="EN303" s="399"/>
      <c r="EO303" s="399">
        <v>0</v>
      </c>
      <c r="EP303" s="399">
        <v>20730.883035702245</v>
      </c>
      <c r="EQ303" s="399"/>
      <c r="ER303" s="399">
        <v>0</v>
      </c>
      <c r="ES303" s="399"/>
      <c r="ET303" s="399">
        <v>0</v>
      </c>
      <c r="EU303" s="399"/>
      <c r="EV303" s="399">
        <v>202</v>
      </c>
      <c r="EW303" s="399"/>
      <c r="EX303" s="399"/>
      <c r="EY303" s="399"/>
      <c r="EZ303" s="399"/>
      <c r="FA303" s="399">
        <v>0</v>
      </c>
      <c r="FB303" s="399">
        <v>-17.698635468909799</v>
      </c>
      <c r="FC303" s="399"/>
      <c r="FD303" s="399">
        <v>-17.698635468909799</v>
      </c>
      <c r="FE303" s="399"/>
      <c r="FF303" s="399">
        <v>0</v>
      </c>
      <c r="FG303" s="399">
        <v>0</v>
      </c>
      <c r="FH303" s="399">
        <v>0</v>
      </c>
      <c r="FI303" s="399">
        <v>0</v>
      </c>
    </row>
    <row r="304" spans="1:165">
      <c r="A304" s="399">
        <v>302</v>
      </c>
      <c r="B304" s="399" t="s">
        <v>956</v>
      </c>
      <c r="C304" s="399" t="s">
        <v>2399</v>
      </c>
      <c r="D304" s="399" t="s">
        <v>533</v>
      </c>
      <c r="E304" s="399" t="s">
        <v>890</v>
      </c>
      <c r="F304" s="399" t="s">
        <v>1239</v>
      </c>
      <c r="G304" s="399" t="s">
        <v>2416</v>
      </c>
      <c r="H304" s="399" t="s">
        <v>1239</v>
      </c>
      <c r="I304" s="399" t="s">
        <v>1239</v>
      </c>
      <c r="J304" s="399" t="s">
        <v>2417</v>
      </c>
      <c r="K304" s="788">
        <v>44621</v>
      </c>
      <c r="L304" s="399">
        <v>2100</v>
      </c>
      <c r="M304" s="399">
        <v>1054.466322</v>
      </c>
      <c r="N304" s="399">
        <v>0</v>
      </c>
      <c r="O304" s="399">
        <v>0</v>
      </c>
      <c r="P304" s="399">
        <v>0</v>
      </c>
      <c r="Q304" s="399">
        <v>0</v>
      </c>
      <c r="R304" s="399">
        <v>39.21</v>
      </c>
      <c r="S304" s="399"/>
      <c r="T304" s="399"/>
      <c r="U304" s="399">
        <v>82341</v>
      </c>
      <c r="V304" s="399"/>
      <c r="W304" s="399">
        <v>82341</v>
      </c>
      <c r="X304" s="399">
        <v>62664</v>
      </c>
      <c r="Y304" s="399">
        <v>0</v>
      </c>
      <c r="Z304" s="399">
        <v>0</v>
      </c>
      <c r="AA304" s="399">
        <v>0</v>
      </c>
      <c r="AB304" s="399">
        <v>0</v>
      </c>
      <c r="AC304" s="399">
        <v>0</v>
      </c>
      <c r="AD304" s="399">
        <v>25939.682920966083</v>
      </c>
      <c r="AE304" s="399">
        <v>56410.181582333462</v>
      </c>
      <c r="AF304" s="399"/>
      <c r="AG304" s="399"/>
      <c r="AH304" s="399"/>
      <c r="AI304" s="399">
        <v>0</v>
      </c>
      <c r="AJ304" s="399">
        <v>0</v>
      </c>
      <c r="AK304" s="399">
        <v>0</v>
      </c>
      <c r="AL304" s="399">
        <v>0</v>
      </c>
      <c r="AM304" s="399"/>
      <c r="AN304" s="399">
        <v>0</v>
      </c>
      <c r="AO304" s="399">
        <v>0</v>
      </c>
      <c r="AP304" s="399">
        <v>0</v>
      </c>
      <c r="AQ304" s="399">
        <v>0</v>
      </c>
      <c r="AR304" s="399">
        <v>0</v>
      </c>
      <c r="AS304" s="399"/>
      <c r="AT304" s="399"/>
      <c r="AU304" s="399">
        <v>0</v>
      </c>
      <c r="AV304" s="399">
        <v>0</v>
      </c>
      <c r="AW304" s="399">
        <v>0</v>
      </c>
      <c r="AX304" s="399"/>
      <c r="AY304" s="399"/>
      <c r="AZ304" s="399">
        <v>0</v>
      </c>
      <c r="BA304" s="399"/>
      <c r="BB304" s="399">
        <v>0</v>
      </c>
      <c r="BC304" s="399">
        <v>0</v>
      </c>
      <c r="BD304" s="399">
        <v>0</v>
      </c>
      <c r="BE304" s="399">
        <v>0</v>
      </c>
      <c r="BF304" s="399"/>
      <c r="BG304" s="399">
        <v>0</v>
      </c>
      <c r="BH304" s="399">
        <v>0</v>
      </c>
      <c r="BI304" s="399">
        <v>2320.6999999999998</v>
      </c>
      <c r="BJ304" s="399">
        <v>0</v>
      </c>
      <c r="BK304" s="399">
        <v>110153.2</v>
      </c>
      <c r="BL304" s="399">
        <v>1</v>
      </c>
      <c r="BM304" s="399"/>
      <c r="BN304" s="399">
        <v>31198.724951520002</v>
      </c>
      <c r="BO304" s="399"/>
      <c r="BP304" s="399"/>
      <c r="BQ304" s="399"/>
      <c r="BR304" s="399"/>
      <c r="BS304" s="399"/>
      <c r="BT304" s="399"/>
      <c r="BU304" s="399"/>
      <c r="BV304" s="399">
        <v>0</v>
      </c>
      <c r="BW304" s="399"/>
      <c r="BX304" s="399"/>
      <c r="BY304" s="399"/>
      <c r="BZ304" s="399"/>
      <c r="CA304" s="399"/>
      <c r="CB304" s="399"/>
      <c r="CC304" s="399"/>
      <c r="CD304" s="399"/>
      <c r="CE304" s="399"/>
      <c r="CF304" s="399"/>
      <c r="CG304" s="399"/>
      <c r="CH304" s="399"/>
      <c r="CI304" s="399">
        <v>31465.3848</v>
      </c>
      <c r="CJ304" s="399">
        <v>-9880.2696856200055</v>
      </c>
      <c r="CK304" s="399"/>
      <c r="CL304" s="399"/>
      <c r="CM304" s="399"/>
      <c r="CN304" s="399"/>
      <c r="CO304" s="399">
        <v>-19677.000000000004</v>
      </c>
      <c r="CP304" s="399">
        <v>0</v>
      </c>
      <c r="CQ304" s="399">
        <v>31</v>
      </c>
      <c r="CR304" s="399">
        <v>890.16969624512785</v>
      </c>
      <c r="CS304" s="399">
        <v>0</v>
      </c>
      <c r="CT304" s="399">
        <v>0</v>
      </c>
      <c r="CU304" s="399">
        <v>0</v>
      </c>
      <c r="CV304" s="399">
        <v>0</v>
      </c>
      <c r="CW304" s="399"/>
      <c r="CX304" s="399"/>
      <c r="CY304" s="399"/>
      <c r="CZ304" s="399">
        <v>890.16969624512785</v>
      </c>
      <c r="DA304" s="399">
        <v>0</v>
      </c>
      <c r="DB304" s="399">
        <v>0</v>
      </c>
      <c r="DC304" s="399"/>
      <c r="DD304" s="399"/>
      <c r="DE304" s="399">
        <v>0</v>
      </c>
      <c r="DF304" s="399">
        <v>0</v>
      </c>
      <c r="DG304" s="399">
        <v>0</v>
      </c>
      <c r="DH304" s="399">
        <v>0</v>
      </c>
      <c r="DI304" s="399">
        <v>0</v>
      </c>
      <c r="DJ304" s="399"/>
      <c r="DK304" s="399">
        <v>0</v>
      </c>
      <c r="DL304" s="399">
        <v>0</v>
      </c>
      <c r="DM304" s="399"/>
      <c r="DN304" s="399">
        <v>0</v>
      </c>
      <c r="DO304" s="399">
        <v>0</v>
      </c>
      <c r="DP304" s="399">
        <v>0</v>
      </c>
      <c r="DQ304" s="399">
        <v>0</v>
      </c>
      <c r="DR304" s="399">
        <v>0</v>
      </c>
      <c r="DS304" s="399"/>
      <c r="DT304" s="399"/>
      <c r="DU304" s="399">
        <v>56410.181582333462</v>
      </c>
      <c r="DV304" s="399"/>
      <c r="DW304" s="399">
        <v>0</v>
      </c>
      <c r="DX304" s="399">
        <v>0</v>
      </c>
      <c r="DY304" s="399">
        <v>-19677</v>
      </c>
      <c r="DZ304" s="399"/>
      <c r="EA304" s="399">
        <v>0</v>
      </c>
      <c r="EB304" s="399"/>
      <c r="EC304" s="399">
        <v>-20584.081914210576</v>
      </c>
      <c r="ED304" s="399"/>
      <c r="EE304" s="399">
        <v>0</v>
      </c>
      <c r="EF304" s="399">
        <v>0</v>
      </c>
      <c r="EG304" s="399"/>
      <c r="EH304" s="399">
        <v>0</v>
      </c>
      <c r="EI304" s="399">
        <v>0</v>
      </c>
      <c r="EJ304" s="399">
        <v>0</v>
      </c>
      <c r="EK304" s="399">
        <v>0</v>
      </c>
      <c r="EL304" s="399">
        <v>0</v>
      </c>
      <c r="EM304" s="399"/>
      <c r="EN304" s="399"/>
      <c r="EO304" s="399">
        <v>0</v>
      </c>
      <c r="EP304" s="399">
        <v>0</v>
      </c>
      <c r="EQ304" s="399"/>
      <c r="ER304" s="399">
        <v>0</v>
      </c>
      <c r="ES304" s="399"/>
      <c r="ET304" s="399">
        <v>0</v>
      </c>
      <c r="EU304" s="399"/>
      <c r="EV304" s="399">
        <v>202</v>
      </c>
      <c r="EW304" s="399"/>
      <c r="EX304" s="399"/>
      <c r="EY304" s="399"/>
      <c r="EZ304" s="399"/>
      <c r="FA304" s="399">
        <v>0</v>
      </c>
      <c r="FB304" s="399">
        <v>-17.698635468909799</v>
      </c>
      <c r="FC304" s="399"/>
      <c r="FD304" s="399">
        <v>-17.698635468909799</v>
      </c>
      <c r="FE304" s="399"/>
      <c r="FF304" s="399">
        <v>0</v>
      </c>
      <c r="FG304" s="399">
        <v>0</v>
      </c>
      <c r="FH304" s="399">
        <v>0</v>
      </c>
      <c r="FI304" s="399">
        <v>0</v>
      </c>
    </row>
    <row r="305" spans="1:165">
      <c r="A305" s="399">
        <v>303</v>
      </c>
      <c r="B305" s="399" t="s">
        <v>956</v>
      </c>
      <c r="C305" s="399" t="s">
        <v>2399</v>
      </c>
      <c r="D305" s="399" t="s">
        <v>533</v>
      </c>
      <c r="E305" s="399" t="s">
        <v>890</v>
      </c>
      <c r="F305" s="399" t="s">
        <v>1239</v>
      </c>
      <c r="G305" s="399" t="s">
        <v>2416</v>
      </c>
      <c r="H305" s="399" t="s">
        <v>1239</v>
      </c>
      <c r="I305" s="399" t="s">
        <v>893</v>
      </c>
      <c r="J305" s="399" t="s">
        <v>2417</v>
      </c>
      <c r="K305" s="788">
        <v>44652</v>
      </c>
      <c r="L305" s="399">
        <v>0</v>
      </c>
      <c r="M305" s="399">
        <v>0</v>
      </c>
      <c r="N305" s="399">
        <v>85.397999999999996</v>
      </c>
      <c r="O305" s="399">
        <v>44.465462753879997</v>
      </c>
      <c r="P305" s="399">
        <v>0</v>
      </c>
      <c r="Q305" s="399">
        <v>0</v>
      </c>
      <c r="R305" s="399"/>
      <c r="S305" s="399">
        <v>3305.85</v>
      </c>
      <c r="T305" s="399"/>
      <c r="U305" s="399"/>
      <c r="V305" s="399">
        <v>282312.97829999996</v>
      </c>
      <c r="W305" s="399">
        <v>282312.97829999996</v>
      </c>
      <c r="X305" s="399">
        <v>204058.52099999998</v>
      </c>
      <c r="Y305" s="399">
        <v>0</v>
      </c>
      <c r="Z305" s="399">
        <v>4521.7743219355489</v>
      </c>
      <c r="AA305" s="399">
        <v>0</v>
      </c>
      <c r="AB305" s="399">
        <v>0</v>
      </c>
      <c r="AC305" s="399">
        <v>0</v>
      </c>
      <c r="AD305" s="399">
        <v>55678.2210921035</v>
      </c>
      <c r="AE305" s="399">
        <v>218054.28515177011</v>
      </c>
      <c r="AF305" s="399"/>
      <c r="AG305" s="399"/>
      <c r="AH305" s="399"/>
      <c r="AI305" s="399">
        <v>0</v>
      </c>
      <c r="AJ305" s="399">
        <v>0</v>
      </c>
      <c r="AK305" s="399">
        <v>0</v>
      </c>
      <c r="AL305" s="399">
        <v>803.2441049606141</v>
      </c>
      <c r="AM305" s="399"/>
      <c r="AN305" s="399">
        <v>117.00272611648256</v>
      </c>
      <c r="AO305" s="399">
        <v>0</v>
      </c>
      <c r="AP305" s="399">
        <v>0</v>
      </c>
      <c r="AQ305" s="399">
        <v>0</v>
      </c>
      <c r="AR305" s="399">
        <v>0</v>
      </c>
      <c r="AS305" s="399"/>
      <c r="AT305" s="399"/>
      <c r="AU305" s="399">
        <v>0</v>
      </c>
      <c r="AV305" s="399">
        <v>0</v>
      </c>
      <c r="AW305" s="399">
        <v>0</v>
      </c>
      <c r="AX305" s="399"/>
      <c r="AY305" s="399"/>
      <c r="AZ305" s="399">
        <v>0</v>
      </c>
      <c r="BA305" s="399"/>
      <c r="BB305" s="399">
        <v>0</v>
      </c>
      <c r="BC305" s="399">
        <v>0</v>
      </c>
      <c r="BD305" s="399">
        <v>0</v>
      </c>
      <c r="BE305" s="399">
        <v>0</v>
      </c>
      <c r="BF305" s="399"/>
      <c r="BG305" s="399">
        <v>1006.611465337294</v>
      </c>
      <c r="BH305" s="399">
        <v>0</v>
      </c>
      <c r="BI305" s="399">
        <v>0</v>
      </c>
      <c r="BJ305" s="399">
        <v>0</v>
      </c>
      <c r="BK305" s="399">
        <v>0</v>
      </c>
      <c r="BL305" s="399">
        <v>0</v>
      </c>
      <c r="BM305" s="399"/>
      <c r="BN305" s="399">
        <v>97808.297749603735</v>
      </c>
      <c r="BO305" s="399"/>
      <c r="BP305" s="399"/>
      <c r="BQ305" s="399"/>
      <c r="BR305" s="399"/>
      <c r="BS305" s="399"/>
      <c r="BT305" s="399"/>
      <c r="BU305" s="399"/>
      <c r="BV305" s="399">
        <v>1006.611465337294</v>
      </c>
      <c r="BW305" s="399"/>
      <c r="BX305" s="399"/>
      <c r="BY305" s="399"/>
      <c r="BZ305" s="399"/>
      <c r="CA305" s="399"/>
      <c r="CB305" s="399"/>
      <c r="CC305" s="399"/>
      <c r="CD305" s="399"/>
      <c r="CE305" s="399"/>
      <c r="CF305" s="399"/>
      <c r="CG305" s="399"/>
      <c r="CH305" s="399"/>
      <c r="CI305" s="399">
        <v>106261.065</v>
      </c>
      <c r="CJ305" s="399">
        <v>-40735.115044914215</v>
      </c>
      <c r="CK305" s="399"/>
      <c r="CL305" s="399"/>
      <c r="CM305" s="399"/>
      <c r="CN305" s="399"/>
      <c r="CO305" s="399">
        <v>-78254.457299999995</v>
      </c>
      <c r="CP305" s="399">
        <v>0</v>
      </c>
      <c r="CQ305" s="399">
        <v>30</v>
      </c>
      <c r="CR305" s="399">
        <v>1313.2998240537854</v>
      </c>
      <c r="CS305" s="399">
        <v>0</v>
      </c>
      <c r="CT305" s="399">
        <v>0</v>
      </c>
      <c r="CU305" s="399">
        <v>0</v>
      </c>
      <c r="CV305" s="399">
        <v>0</v>
      </c>
      <c r="CW305" s="399"/>
      <c r="CX305" s="399"/>
      <c r="CY305" s="399"/>
      <c r="CZ305" s="399">
        <v>1910.7043562575127</v>
      </c>
      <c r="DA305" s="399">
        <v>0</v>
      </c>
      <c r="DB305" s="399">
        <v>0</v>
      </c>
      <c r="DC305" s="399"/>
      <c r="DD305" s="399"/>
      <c r="DE305" s="399">
        <v>0</v>
      </c>
      <c r="DF305" s="399">
        <v>0</v>
      </c>
      <c r="DG305" s="399">
        <v>-227.82838937543227</v>
      </c>
      <c r="DH305" s="399">
        <v>0</v>
      </c>
      <c r="DI305" s="399">
        <v>-313.70330089535673</v>
      </c>
      <c r="DJ305" s="399"/>
      <c r="DK305" s="399">
        <v>0</v>
      </c>
      <c r="DL305" s="399">
        <v>0</v>
      </c>
      <c r="DM305" s="399"/>
      <c r="DN305" s="399">
        <v>0</v>
      </c>
      <c r="DO305" s="399">
        <v>-45.968293523659668</v>
      </c>
      <c r="DP305" s="399">
        <v>-9.9045484092790872</v>
      </c>
      <c r="DQ305" s="399">
        <v>0</v>
      </c>
      <c r="DR305" s="399">
        <v>0</v>
      </c>
      <c r="DS305" s="399"/>
      <c r="DT305" s="399"/>
      <c r="DU305" s="399"/>
      <c r="DV305" s="399">
        <v>218054.28515177011</v>
      </c>
      <c r="DW305" s="399">
        <v>0</v>
      </c>
      <c r="DX305" s="399">
        <v>0</v>
      </c>
      <c r="DY305" s="399">
        <v>-78254.45729999998</v>
      </c>
      <c r="DZ305" s="399"/>
      <c r="EA305" s="399">
        <v>0</v>
      </c>
      <c r="EB305" s="399"/>
      <c r="EC305" s="399">
        <v>-79568.034376162832</v>
      </c>
      <c r="ED305" s="399"/>
      <c r="EE305" s="399">
        <v>0</v>
      </c>
      <c r="EF305" s="399">
        <v>0</v>
      </c>
      <c r="EG305" s="399"/>
      <c r="EH305" s="399">
        <v>0</v>
      </c>
      <c r="EI305" s="399">
        <v>0</v>
      </c>
      <c r="EJ305" s="399">
        <v>0</v>
      </c>
      <c r="EK305" s="399">
        <v>0</v>
      </c>
      <c r="EL305" s="399">
        <v>0</v>
      </c>
      <c r="EM305" s="399"/>
      <c r="EN305" s="399"/>
      <c r="EO305" s="399">
        <v>0</v>
      </c>
      <c r="EP305" s="399">
        <v>2132.1713052414984</v>
      </c>
      <c r="EQ305" s="399"/>
      <c r="ER305" s="399">
        <v>0</v>
      </c>
      <c r="ES305" s="399"/>
      <c r="ET305" s="399">
        <v>0</v>
      </c>
      <c r="EU305" s="399"/>
      <c r="EV305" s="399">
        <v>202</v>
      </c>
      <c r="EW305" s="399"/>
      <c r="EX305" s="399"/>
      <c r="EY305" s="399"/>
      <c r="EZ305" s="399"/>
      <c r="FA305" s="399">
        <v>0</v>
      </c>
      <c r="FB305" s="399">
        <v>-17.698635468909799</v>
      </c>
      <c r="FC305" s="399"/>
      <c r="FD305" s="399">
        <v>-17.698635468909799</v>
      </c>
      <c r="FE305" s="399"/>
      <c r="FF305" s="399">
        <v>0</v>
      </c>
      <c r="FG305" s="399">
        <v>0</v>
      </c>
      <c r="FH305" s="399">
        <v>0</v>
      </c>
      <c r="FI305" s="399">
        <v>0</v>
      </c>
    </row>
    <row r="306" spans="1:165">
      <c r="A306" s="399">
        <v>304</v>
      </c>
      <c r="B306" s="399" t="s">
        <v>956</v>
      </c>
      <c r="C306" s="399" t="s">
        <v>2399</v>
      </c>
      <c r="D306" s="399" t="s">
        <v>533</v>
      </c>
      <c r="E306" s="399" t="s">
        <v>890</v>
      </c>
      <c r="F306" s="399" t="s">
        <v>1239</v>
      </c>
      <c r="G306" s="399" t="s">
        <v>2416</v>
      </c>
      <c r="H306" s="399" t="s">
        <v>1239</v>
      </c>
      <c r="I306" s="399" t="s">
        <v>2326</v>
      </c>
      <c r="J306" s="399" t="s">
        <v>2417</v>
      </c>
      <c r="K306" s="788">
        <v>44652</v>
      </c>
      <c r="L306" s="399">
        <v>0</v>
      </c>
      <c r="M306" s="399">
        <v>0</v>
      </c>
      <c r="N306" s="399">
        <v>790.26300000000003</v>
      </c>
      <c r="O306" s="399">
        <v>790.26300000000003</v>
      </c>
      <c r="P306" s="399">
        <v>0</v>
      </c>
      <c r="Q306" s="399">
        <v>0</v>
      </c>
      <c r="R306" s="399"/>
      <c r="S306" s="399">
        <v>100.48</v>
      </c>
      <c r="T306" s="399"/>
      <c r="U306" s="399"/>
      <c r="V306" s="399">
        <v>79405.626240000012</v>
      </c>
      <c r="W306" s="399">
        <v>79405.626240000012</v>
      </c>
      <c r="X306" s="399">
        <v>73873.785240000012</v>
      </c>
      <c r="Y306" s="399">
        <v>0</v>
      </c>
      <c r="Z306" s="399">
        <v>41843.965209674148</v>
      </c>
      <c r="AA306" s="399">
        <v>0</v>
      </c>
      <c r="AB306" s="399">
        <v>0</v>
      </c>
      <c r="AC306" s="399">
        <v>0</v>
      </c>
      <c r="AD306" s="399">
        <v>0</v>
      </c>
      <c r="AE306" s="399">
        <v>0</v>
      </c>
      <c r="AF306" s="399"/>
      <c r="AG306" s="399"/>
      <c r="AH306" s="399"/>
      <c r="AI306" s="399">
        <v>0</v>
      </c>
      <c r="AJ306" s="399">
        <v>0</v>
      </c>
      <c r="AK306" s="399">
        <v>0</v>
      </c>
      <c r="AL306" s="399">
        <v>7433.1260230741918</v>
      </c>
      <c r="AM306" s="399"/>
      <c r="AN306" s="399">
        <v>1082.7294005596134</v>
      </c>
      <c r="AO306" s="399">
        <v>0</v>
      </c>
      <c r="AP306" s="399">
        <v>0</v>
      </c>
      <c r="AQ306" s="399">
        <v>0</v>
      </c>
      <c r="AR306" s="399">
        <v>0</v>
      </c>
      <c r="AS306" s="399"/>
      <c r="AT306" s="399"/>
      <c r="AU306" s="399">
        <v>0</v>
      </c>
      <c r="AV306" s="399">
        <v>0</v>
      </c>
      <c r="AW306" s="399">
        <v>0</v>
      </c>
      <c r="AX306" s="399"/>
      <c r="AY306" s="399"/>
      <c r="AZ306" s="399">
        <v>0</v>
      </c>
      <c r="BA306" s="399"/>
      <c r="BB306" s="399">
        <v>0</v>
      </c>
      <c r="BC306" s="399">
        <v>0</v>
      </c>
      <c r="BD306" s="399">
        <v>0</v>
      </c>
      <c r="BE306" s="399">
        <v>0</v>
      </c>
      <c r="BF306" s="399"/>
      <c r="BG306" s="399">
        <v>9315.0635428446349</v>
      </c>
      <c r="BH306" s="399">
        <v>0</v>
      </c>
      <c r="BI306" s="399">
        <v>0</v>
      </c>
      <c r="BJ306" s="399">
        <v>0</v>
      </c>
      <c r="BK306" s="399">
        <v>0</v>
      </c>
      <c r="BL306" s="399">
        <v>0</v>
      </c>
      <c r="BM306" s="399"/>
      <c r="BN306" s="399"/>
      <c r="BO306" s="399"/>
      <c r="BP306" s="399"/>
      <c r="BQ306" s="399"/>
      <c r="BR306" s="399"/>
      <c r="BS306" s="399"/>
      <c r="BT306" s="399"/>
      <c r="BU306" s="399"/>
      <c r="BV306" s="399">
        <v>9315.0635428446349</v>
      </c>
      <c r="BW306" s="399"/>
      <c r="BX306" s="399"/>
      <c r="BY306" s="399"/>
      <c r="BZ306" s="399"/>
      <c r="CA306" s="399"/>
      <c r="CB306" s="399"/>
      <c r="CC306" s="399"/>
      <c r="CD306" s="399"/>
      <c r="CE306" s="399"/>
      <c r="CF306" s="399"/>
      <c r="CG306" s="399"/>
      <c r="CH306" s="399"/>
      <c r="CI306" s="399">
        <v>73873.504799999995</v>
      </c>
      <c r="CJ306" s="399">
        <v>-5532.1514400000015</v>
      </c>
      <c r="CK306" s="399"/>
      <c r="CL306" s="399"/>
      <c r="CM306" s="399"/>
      <c r="CN306" s="399"/>
      <c r="CO306" s="399">
        <v>-5531.8410000000003</v>
      </c>
      <c r="CP306" s="399">
        <v>0</v>
      </c>
      <c r="CQ306" s="399">
        <v>30</v>
      </c>
      <c r="CR306" s="399">
        <v>-5528.3109420936671</v>
      </c>
      <c r="CS306" s="399">
        <v>0</v>
      </c>
      <c r="CT306" s="399">
        <v>0</v>
      </c>
      <c r="CU306" s="399">
        <v>0</v>
      </c>
      <c r="CV306" s="399">
        <v>0</v>
      </c>
      <c r="CW306" s="399"/>
      <c r="CX306" s="399"/>
      <c r="CY306" s="399"/>
      <c r="CZ306" s="399">
        <v>0</v>
      </c>
      <c r="DA306" s="399">
        <v>0</v>
      </c>
      <c r="DB306" s="399">
        <v>0</v>
      </c>
      <c r="DC306" s="399"/>
      <c r="DD306" s="399"/>
      <c r="DE306" s="399">
        <v>0</v>
      </c>
      <c r="DF306" s="399">
        <v>0</v>
      </c>
      <c r="DG306" s="399">
        <v>-2108.2969914166297</v>
      </c>
      <c r="DH306" s="399">
        <v>0</v>
      </c>
      <c r="DI306" s="399">
        <v>-2902.9732742624838</v>
      </c>
      <c r="DJ306" s="399"/>
      <c r="DK306" s="399">
        <v>0</v>
      </c>
      <c r="DL306" s="399">
        <v>0</v>
      </c>
      <c r="DM306" s="399"/>
      <c r="DN306" s="399">
        <v>0</v>
      </c>
      <c r="DO306" s="399">
        <v>-425.38515591568739</v>
      </c>
      <c r="DP306" s="399">
        <v>-91.655520498865485</v>
      </c>
      <c r="DQ306" s="399">
        <v>0</v>
      </c>
      <c r="DR306" s="399">
        <v>0</v>
      </c>
      <c r="DS306" s="399"/>
      <c r="DT306" s="399"/>
      <c r="DU306" s="399"/>
      <c r="DV306" s="399">
        <v>0</v>
      </c>
      <c r="DW306" s="399">
        <v>0</v>
      </c>
      <c r="DX306" s="399">
        <v>0</v>
      </c>
      <c r="DY306" s="399">
        <v>-5531.8410000000003</v>
      </c>
      <c r="DZ306" s="399"/>
      <c r="EA306" s="399">
        <v>0</v>
      </c>
      <c r="EB306" s="399"/>
      <c r="EC306" s="399">
        <v>0</v>
      </c>
      <c r="ED306" s="399"/>
      <c r="EE306" s="399">
        <v>0</v>
      </c>
      <c r="EF306" s="399">
        <v>0</v>
      </c>
      <c r="EG306" s="399"/>
      <c r="EH306" s="399">
        <v>0</v>
      </c>
      <c r="EI306" s="399">
        <v>0</v>
      </c>
      <c r="EJ306" s="399">
        <v>0</v>
      </c>
      <c r="EK306" s="399">
        <v>0</v>
      </c>
      <c r="EL306" s="399">
        <v>0</v>
      </c>
      <c r="EM306" s="399"/>
      <c r="EN306" s="399"/>
      <c r="EO306" s="399">
        <v>0</v>
      </c>
      <c r="EP306" s="399">
        <v>19730.861287080053</v>
      </c>
      <c r="EQ306" s="399"/>
      <c r="ER306" s="399">
        <v>0</v>
      </c>
      <c r="ES306" s="399"/>
      <c r="ET306" s="399">
        <v>0</v>
      </c>
      <c r="EU306" s="399"/>
      <c r="EV306" s="399">
        <v>202</v>
      </c>
      <c r="EW306" s="399"/>
      <c r="EX306" s="399"/>
      <c r="EY306" s="399"/>
      <c r="EZ306" s="399"/>
      <c r="FA306" s="399">
        <v>0</v>
      </c>
      <c r="FB306" s="399">
        <v>-17.698635468909799</v>
      </c>
      <c r="FC306" s="399"/>
      <c r="FD306" s="399">
        <v>-17.698635468909799</v>
      </c>
      <c r="FE306" s="399"/>
      <c r="FF306" s="399">
        <v>0</v>
      </c>
      <c r="FG306" s="399">
        <v>0</v>
      </c>
      <c r="FH306" s="399">
        <v>0</v>
      </c>
      <c r="FI306" s="399">
        <v>0</v>
      </c>
    </row>
    <row r="307" spans="1:165">
      <c r="A307" s="399">
        <v>305</v>
      </c>
      <c r="B307" s="399" t="s">
        <v>956</v>
      </c>
      <c r="C307" s="399" t="s">
        <v>2399</v>
      </c>
      <c r="D307" s="399" t="s">
        <v>533</v>
      </c>
      <c r="E307" s="399" t="s">
        <v>890</v>
      </c>
      <c r="F307" s="399" t="s">
        <v>1239</v>
      </c>
      <c r="G307" s="399" t="s">
        <v>2416</v>
      </c>
      <c r="H307" s="399" t="s">
        <v>1239</v>
      </c>
      <c r="I307" s="399" t="s">
        <v>1239</v>
      </c>
      <c r="J307" s="399" t="s">
        <v>2417</v>
      </c>
      <c r="K307" s="788">
        <v>44652</v>
      </c>
      <c r="L307" s="399">
        <v>2100</v>
      </c>
      <c r="M307" s="399">
        <v>1052.4575460000001</v>
      </c>
      <c r="N307" s="399">
        <v>0</v>
      </c>
      <c r="O307" s="399">
        <v>0</v>
      </c>
      <c r="P307" s="399">
        <v>0</v>
      </c>
      <c r="Q307" s="399">
        <v>0</v>
      </c>
      <c r="R307" s="399">
        <v>39.21</v>
      </c>
      <c r="S307" s="399"/>
      <c r="T307" s="399"/>
      <c r="U307" s="399">
        <v>82341</v>
      </c>
      <c r="V307" s="399"/>
      <c r="W307" s="399">
        <v>82341</v>
      </c>
      <c r="X307" s="399">
        <v>62664</v>
      </c>
      <c r="Y307" s="399">
        <v>0</v>
      </c>
      <c r="Z307" s="399">
        <v>0</v>
      </c>
      <c r="AA307" s="399">
        <v>0</v>
      </c>
      <c r="AB307" s="399">
        <v>0</v>
      </c>
      <c r="AC307" s="399">
        <v>0</v>
      </c>
      <c r="AD307" s="399">
        <v>25939.682920966083</v>
      </c>
      <c r="AE307" s="399">
        <v>56410.181582333462</v>
      </c>
      <c r="AF307" s="399"/>
      <c r="AG307" s="399"/>
      <c r="AH307" s="399"/>
      <c r="AI307" s="399">
        <v>0</v>
      </c>
      <c r="AJ307" s="399">
        <v>0</v>
      </c>
      <c r="AK307" s="399">
        <v>0</v>
      </c>
      <c r="AL307" s="399">
        <v>0</v>
      </c>
      <c r="AM307" s="399"/>
      <c r="AN307" s="399">
        <v>0</v>
      </c>
      <c r="AO307" s="399">
        <v>0</v>
      </c>
      <c r="AP307" s="399">
        <v>0</v>
      </c>
      <c r="AQ307" s="399">
        <v>0</v>
      </c>
      <c r="AR307" s="399">
        <v>0</v>
      </c>
      <c r="AS307" s="399"/>
      <c r="AT307" s="399"/>
      <c r="AU307" s="399">
        <v>0</v>
      </c>
      <c r="AV307" s="399">
        <v>0</v>
      </c>
      <c r="AW307" s="399">
        <v>0</v>
      </c>
      <c r="AX307" s="399"/>
      <c r="AY307" s="399"/>
      <c r="AZ307" s="399">
        <v>0</v>
      </c>
      <c r="BA307" s="399"/>
      <c r="BB307" s="399">
        <v>0</v>
      </c>
      <c r="BC307" s="399">
        <v>0</v>
      </c>
      <c r="BD307" s="399">
        <v>0</v>
      </c>
      <c r="BE307" s="399">
        <v>0</v>
      </c>
      <c r="BF307" s="399"/>
      <c r="BG307" s="399">
        <v>0</v>
      </c>
      <c r="BH307" s="399">
        <v>0</v>
      </c>
      <c r="BI307" s="399">
        <v>1581.77</v>
      </c>
      <c r="BJ307" s="399">
        <v>0</v>
      </c>
      <c r="BK307" s="399">
        <v>91629.92</v>
      </c>
      <c r="BL307" s="399">
        <v>1</v>
      </c>
      <c r="BM307" s="399"/>
      <c r="BN307" s="399">
        <v>31258.666827359997</v>
      </c>
      <c r="BO307" s="399"/>
      <c r="BP307" s="399"/>
      <c r="BQ307" s="399"/>
      <c r="BR307" s="399"/>
      <c r="BS307" s="399"/>
      <c r="BT307" s="399"/>
      <c r="BU307" s="399"/>
      <c r="BV307" s="399">
        <v>0</v>
      </c>
      <c r="BW307" s="399"/>
      <c r="BX307" s="399"/>
      <c r="BY307" s="399"/>
      <c r="BZ307" s="399"/>
      <c r="CA307" s="399"/>
      <c r="CB307" s="399"/>
      <c r="CC307" s="399"/>
      <c r="CD307" s="399"/>
      <c r="CE307" s="399"/>
      <c r="CF307" s="399"/>
      <c r="CG307" s="399"/>
      <c r="CH307" s="399"/>
      <c r="CI307" s="399">
        <v>31405.4064</v>
      </c>
      <c r="CJ307" s="399">
        <v>-9861.4839786600132</v>
      </c>
      <c r="CK307" s="399"/>
      <c r="CL307" s="399"/>
      <c r="CM307" s="399"/>
      <c r="CN307" s="399"/>
      <c r="CO307" s="399">
        <v>-19677.000000000004</v>
      </c>
      <c r="CP307" s="399">
        <v>0</v>
      </c>
      <c r="CQ307" s="399">
        <v>30</v>
      </c>
      <c r="CR307" s="399">
        <v>890.16969624512785</v>
      </c>
      <c r="CS307" s="399">
        <v>0</v>
      </c>
      <c r="CT307" s="399">
        <v>0</v>
      </c>
      <c r="CU307" s="399">
        <v>0</v>
      </c>
      <c r="CV307" s="399">
        <v>0</v>
      </c>
      <c r="CW307" s="399"/>
      <c r="CX307" s="399"/>
      <c r="CY307" s="399"/>
      <c r="CZ307" s="399">
        <v>890.16969624512785</v>
      </c>
      <c r="DA307" s="399">
        <v>0</v>
      </c>
      <c r="DB307" s="399">
        <v>0</v>
      </c>
      <c r="DC307" s="399"/>
      <c r="DD307" s="399"/>
      <c r="DE307" s="399">
        <v>0</v>
      </c>
      <c r="DF307" s="399">
        <v>0</v>
      </c>
      <c r="DG307" s="399">
        <v>0</v>
      </c>
      <c r="DH307" s="399">
        <v>0</v>
      </c>
      <c r="DI307" s="399">
        <v>0</v>
      </c>
      <c r="DJ307" s="399"/>
      <c r="DK307" s="399">
        <v>0</v>
      </c>
      <c r="DL307" s="399">
        <v>0</v>
      </c>
      <c r="DM307" s="399"/>
      <c r="DN307" s="399">
        <v>0</v>
      </c>
      <c r="DO307" s="399">
        <v>0</v>
      </c>
      <c r="DP307" s="399">
        <v>0</v>
      </c>
      <c r="DQ307" s="399">
        <v>0</v>
      </c>
      <c r="DR307" s="399">
        <v>0</v>
      </c>
      <c r="DS307" s="399"/>
      <c r="DT307" s="399"/>
      <c r="DU307" s="399">
        <v>56410.181582333462</v>
      </c>
      <c r="DV307" s="399"/>
      <c r="DW307" s="399">
        <v>0</v>
      </c>
      <c r="DX307" s="399">
        <v>0</v>
      </c>
      <c r="DY307" s="399">
        <v>-19677</v>
      </c>
      <c r="DZ307" s="399"/>
      <c r="EA307" s="399">
        <v>0</v>
      </c>
      <c r="EB307" s="399"/>
      <c r="EC307" s="399">
        <v>-20584.081914210576</v>
      </c>
      <c r="ED307" s="399"/>
      <c r="EE307" s="399">
        <v>0</v>
      </c>
      <c r="EF307" s="399">
        <v>0</v>
      </c>
      <c r="EG307" s="399"/>
      <c r="EH307" s="399">
        <v>0</v>
      </c>
      <c r="EI307" s="399">
        <v>0</v>
      </c>
      <c r="EJ307" s="399">
        <v>0</v>
      </c>
      <c r="EK307" s="399">
        <v>0</v>
      </c>
      <c r="EL307" s="399">
        <v>0</v>
      </c>
      <c r="EM307" s="399"/>
      <c r="EN307" s="399"/>
      <c r="EO307" s="399">
        <v>0</v>
      </c>
      <c r="EP307" s="399">
        <v>0</v>
      </c>
      <c r="EQ307" s="399"/>
      <c r="ER307" s="399">
        <v>0</v>
      </c>
      <c r="ES307" s="399"/>
      <c r="ET307" s="399">
        <v>0</v>
      </c>
      <c r="EU307" s="399"/>
      <c r="EV307" s="399">
        <v>202</v>
      </c>
      <c r="EW307" s="399"/>
      <c r="EX307" s="399"/>
      <c r="EY307" s="399"/>
      <c r="EZ307" s="399"/>
      <c r="FA307" s="399">
        <v>0</v>
      </c>
      <c r="FB307" s="399">
        <v>-17.698635468909799</v>
      </c>
      <c r="FC307" s="399"/>
      <c r="FD307" s="399">
        <v>-17.698635468909799</v>
      </c>
      <c r="FE307" s="399"/>
      <c r="FF307" s="399">
        <v>0</v>
      </c>
      <c r="FG307" s="399">
        <v>0</v>
      </c>
      <c r="FH307" s="399">
        <v>0</v>
      </c>
      <c r="FI307" s="399">
        <v>0</v>
      </c>
    </row>
    <row r="308" spans="1:165">
      <c r="A308" s="399">
        <v>306</v>
      </c>
      <c r="B308" s="399" t="s">
        <v>956</v>
      </c>
      <c r="C308" s="399" t="s">
        <v>2399</v>
      </c>
      <c r="D308" s="399" t="s">
        <v>533</v>
      </c>
      <c r="E308" s="399" t="s">
        <v>890</v>
      </c>
      <c r="F308" s="399" t="s">
        <v>1239</v>
      </c>
      <c r="G308" s="399" t="s">
        <v>2416</v>
      </c>
      <c r="H308" s="399" t="s">
        <v>1239</v>
      </c>
      <c r="I308" s="399" t="s">
        <v>893</v>
      </c>
      <c r="J308" s="399" t="s">
        <v>2417</v>
      </c>
      <c r="K308" s="788">
        <v>44682</v>
      </c>
      <c r="L308" s="399">
        <v>0</v>
      </c>
      <c r="M308" s="399">
        <v>0</v>
      </c>
      <c r="N308" s="399">
        <v>85.915000000000006</v>
      </c>
      <c r="O308" s="399">
        <v>44.670605579099998</v>
      </c>
      <c r="P308" s="399">
        <v>0</v>
      </c>
      <c r="Q308" s="399">
        <v>0</v>
      </c>
      <c r="R308" s="399"/>
      <c r="S308" s="399">
        <v>3305.85</v>
      </c>
      <c r="T308" s="399"/>
      <c r="U308" s="399"/>
      <c r="V308" s="399">
        <v>284022.10275000002</v>
      </c>
      <c r="W308" s="399">
        <v>284022.10275000002</v>
      </c>
      <c r="X308" s="399">
        <v>205293.89250000002</v>
      </c>
      <c r="Y308" s="399">
        <v>0</v>
      </c>
      <c r="Z308" s="399">
        <v>4549.1491705788503</v>
      </c>
      <c r="AA308" s="399">
        <v>0</v>
      </c>
      <c r="AB308" s="399">
        <v>0</v>
      </c>
      <c r="AC308" s="399">
        <v>0</v>
      </c>
      <c r="AD308" s="399">
        <v>56015.297373803522</v>
      </c>
      <c r="AE308" s="399">
        <v>219374.38709120039</v>
      </c>
      <c r="AF308" s="399"/>
      <c r="AG308" s="399"/>
      <c r="AH308" s="399"/>
      <c r="AI308" s="399">
        <v>0</v>
      </c>
      <c r="AJ308" s="399">
        <v>0</v>
      </c>
      <c r="AK308" s="399">
        <v>0</v>
      </c>
      <c r="AL308" s="399">
        <v>808.10694955023735</v>
      </c>
      <c r="AM308" s="399"/>
      <c r="AN308" s="399">
        <v>117.71106131639617</v>
      </c>
      <c r="AO308" s="399">
        <v>0</v>
      </c>
      <c r="AP308" s="399">
        <v>0</v>
      </c>
      <c r="AQ308" s="399">
        <v>0</v>
      </c>
      <c r="AR308" s="399">
        <v>0</v>
      </c>
      <c r="AS308" s="399"/>
      <c r="AT308" s="399"/>
      <c r="AU308" s="399">
        <v>0</v>
      </c>
      <c r="AV308" s="399">
        <v>0</v>
      </c>
      <c r="AW308" s="399">
        <v>0</v>
      </c>
      <c r="AX308" s="399"/>
      <c r="AY308" s="399"/>
      <c r="AZ308" s="399">
        <v>0</v>
      </c>
      <c r="BA308" s="399"/>
      <c r="BB308" s="399">
        <v>0</v>
      </c>
      <c r="BC308" s="399">
        <v>0</v>
      </c>
      <c r="BD308" s="399">
        <v>0</v>
      </c>
      <c r="BE308" s="399">
        <v>0</v>
      </c>
      <c r="BF308" s="399"/>
      <c r="BG308" s="399">
        <v>1012.7054971363923</v>
      </c>
      <c r="BH308" s="399">
        <v>0</v>
      </c>
      <c r="BI308" s="399">
        <v>0</v>
      </c>
      <c r="BJ308" s="399">
        <v>0</v>
      </c>
      <c r="BK308" s="399">
        <v>0</v>
      </c>
      <c r="BL308" s="399">
        <v>0</v>
      </c>
      <c r="BM308" s="399"/>
      <c r="BN308" s="399">
        <v>98553.48046874057</v>
      </c>
      <c r="BO308" s="399"/>
      <c r="BP308" s="399"/>
      <c r="BQ308" s="399"/>
      <c r="BR308" s="399"/>
      <c r="BS308" s="399"/>
      <c r="BT308" s="399"/>
      <c r="BU308" s="399"/>
      <c r="BV308" s="399">
        <v>1012.7054971363923</v>
      </c>
      <c r="BW308" s="399"/>
      <c r="BX308" s="399"/>
      <c r="BY308" s="399"/>
      <c r="BZ308" s="399"/>
      <c r="CA308" s="399"/>
      <c r="CB308" s="399"/>
      <c r="CC308" s="399"/>
      <c r="CD308" s="399"/>
      <c r="CE308" s="399"/>
      <c r="CF308" s="399"/>
      <c r="CG308" s="399"/>
      <c r="CH308" s="399"/>
      <c r="CI308" s="399">
        <v>106738.96500000001</v>
      </c>
      <c r="CJ308" s="399">
        <v>-40935.386453667728</v>
      </c>
      <c r="CK308" s="399"/>
      <c r="CL308" s="399"/>
      <c r="CM308" s="399"/>
      <c r="CN308" s="399"/>
      <c r="CO308" s="399">
        <v>-78728.210250000004</v>
      </c>
      <c r="CP308" s="399">
        <v>0</v>
      </c>
      <c r="CQ308" s="399">
        <v>31</v>
      </c>
      <c r="CR308" s="399">
        <v>1321.250549000928</v>
      </c>
      <c r="CS308" s="399">
        <v>0</v>
      </c>
      <c r="CT308" s="399">
        <v>0</v>
      </c>
      <c r="CU308" s="399">
        <v>0</v>
      </c>
      <c r="CV308" s="399">
        <v>0</v>
      </c>
      <c r="CW308" s="399"/>
      <c r="CX308" s="399"/>
      <c r="CY308" s="399"/>
      <c r="CZ308" s="399">
        <v>1922.2717717963387</v>
      </c>
      <c r="DA308" s="399">
        <v>0</v>
      </c>
      <c r="DB308" s="399">
        <v>0</v>
      </c>
      <c r="DC308" s="399"/>
      <c r="DD308" s="399"/>
      <c r="DE308" s="399">
        <v>0</v>
      </c>
      <c r="DF308" s="399">
        <v>0</v>
      </c>
      <c r="DG308" s="399">
        <v>-229.20766379997508</v>
      </c>
      <c r="DH308" s="399">
        <v>0</v>
      </c>
      <c r="DI308" s="399">
        <v>-315.60246254507729</v>
      </c>
      <c r="DJ308" s="399"/>
      <c r="DK308" s="399">
        <v>0</v>
      </c>
      <c r="DL308" s="399">
        <v>0</v>
      </c>
      <c r="DM308" s="399"/>
      <c r="DN308" s="399">
        <v>0</v>
      </c>
      <c r="DO308" s="399">
        <v>-46.24658584609972</v>
      </c>
      <c r="DP308" s="399">
        <v>-9.9645106042672182</v>
      </c>
      <c r="DQ308" s="399">
        <v>0</v>
      </c>
      <c r="DR308" s="399">
        <v>0</v>
      </c>
      <c r="DS308" s="399"/>
      <c r="DT308" s="399"/>
      <c r="DU308" s="399"/>
      <c r="DV308" s="399">
        <v>219374.38709120039</v>
      </c>
      <c r="DW308" s="399">
        <v>0</v>
      </c>
      <c r="DX308" s="399">
        <v>0</v>
      </c>
      <c r="DY308" s="399">
        <v>-78728.210250000004</v>
      </c>
      <c r="DZ308" s="399"/>
      <c r="EA308" s="399">
        <v>0</v>
      </c>
      <c r="EB308" s="399"/>
      <c r="EC308" s="399">
        <v>-80049.739729595894</v>
      </c>
      <c r="ED308" s="399"/>
      <c r="EE308" s="399">
        <v>0</v>
      </c>
      <c r="EF308" s="399">
        <v>0</v>
      </c>
      <c r="EG308" s="399"/>
      <c r="EH308" s="399">
        <v>0</v>
      </c>
      <c r="EI308" s="399">
        <v>0</v>
      </c>
      <c r="EJ308" s="399">
        <v>0</v>
      </c>
      <c r="EK308" s="399">
        <v>0</v>
      </c>
      <c r="EL308" s="399">
        <v>0</v>
      </c>
      <c r="EM308" s="399"/>
      <c r="EN308" s="399"/>
      <c r="EO308" s="399">
        <v>0</v>
      </c>
      <c r="EP308" s="399">
        <v>2145.0794830069012</v>
      </c>
      <c r="EQ308" s="399"/>
      <c r="ER308" s="399">
        <v>0</v>
      </c>
      <c r="ES308" s="399"/>
      <c r="ET308" s="399">
        <v>0</v>
      </c>
      <c r="EU308" s="399"/>
      <c r="EV308" s="399">
        <v>202</v>
      </c>
      <c r="EW308" s="399"/>
      <c r="EX308" s="399"/>
      <c r="EY308" s="399"/>
      <c r="EZ308" s="399"/>
      <c r="FA308" s="399">
        <v>0</v>
      </c>
      <c r="FB308" s="399">
        <v>-17.698635468909799</v>
      </c>
      <c r="FC308" s="399"/>
      <c r="FD308" s="399">
        <v>-17.698635468909799</v>
      </c>
      <c r="FE308" s="399"/>
      <c r="FF308" s="399">
        <v>0</v>
      </c>
      <c r="FG308" s="399">
        <v>0</v>
      </c>
      <c r="FH308" s="399">
        <v>0</v>
      </c>
      <c r="FI308" s="399">
        <v>0</v>
      </c>
    </row>
    <row r="309" spans="1:165">
      <c r="A309" s="399">
        <v>307</v>
      </c>
      <c r="B309" s="399" t="s">
        <v>956</v>
      </c>
      <c r="C309" s="399" t="s">
        <v>2399</v>
      </c>
      <c r="D309" s="399" t="s">
        <v>533</v>
      </c>
      <c r="E309" s="399" t="s">
        <v>890</v>
      </c>
      <c r="F309" s="399" t="s">
        <v>1239</v>
      </c>
      <c r="G309" s="399" t="s">
        <v>2416</v>
      </c>
      <c r="H309" s="399" t="s">
        <v>1239</v>
      </c>
      <c r="I309" s="399" t="s">
        <v>2326</v>
      </c>
      <c r="J309" s="399" t="s">
        <v>2417</v>
      </c>
      <c r="K309" s="788">
        <v>44682</v>
      </c>
      <c r="L309" s="399">
        <v>0</v>
      </c>
      <c r="M309" s="399">
        <v>0</v>
      </c>
      <c r="N309" s="399">
        <v>822.077</v>
      </c>
      <c r="O309" s="399">
        <v>822.077</v>
      </c>
      <c r="P309" s="399">
        <v>0</v>
      </c>
      <c r="Q309" s="399">
        <v>0</v>
      </c>
      <c r="R309" s="399"/>
      <c r="S309" s="399">
        <v>100.48</v>
      </c>
      <c r="T309" s="399"/>
      <c r="U309" s="399"/>
      <c r="V309" s="399">
        <v>82602.296960000007</v>
      </c>
      <c r="W309" s="399">
        <v>82602.296960000007</v>
      </c>
      <c r="X309" s="399">
        <v>76847.757960000003</v>
      </c>
      <c r="Y309" s="399">
        <v>0</v>
      </c>
      <c r="Z309" s="399">
        <v>43528.497965453644</v>
      </c>
      <c r="AA309" s="399">
        <v>0</v>
      </c>
      <c r="AB309" s="399">
        <v>0</v>
      </c>
      <c r="AC309" s="399">
        <v>0</v>
      </c>
      <c r="AD309" s="399">
        <v>0</v>
      </c>
      <c r="AE309" s="399">
        <v>0</v>
      </c>
      <c r="AF309" s="399"/>
      <c r="AG309" s="399"/>
      <c r="AH309" s="399"/>
      <c r="AI309" s="399">
        <v>0</v>
      </c>
      <c r="AJ309" s="399">
        <v>0</v>
      </c>
      <c r="AK309" s="399">
        <v>0</v>
      </c>
      <c r="AL309" s="399">
        <v>7732.3649742816788</v>
      </c>
      <c r="AM309" s="399"/>
      <c r="AN309" s="399">
        <v>1126.3173619717047</v>
      </c>
      <c r="AO309" s="399">
        <v>0</v>
      </c>
      <c r="AP309" s="399">
        <v>0</v>
      </c>
      <c r="AQ309" s="399">
        <v>0</v>
      </c>
      <c r="AR309" s="399">
        <v>0</v>
      </c>
      <c r="AS309" s="399"/>
      <c r="AT309" s="399"/>
      <c r="AU309" s="399">
        <v>0</v>
      </c>
      <c r="AV309" s="399">
        <v>0</v>
      </c>
      <c r="AW309" s="399">
        <v>0</v>
      </c>
      <c r="AX309" s="399"/>
      <c r="AY309" s="399"/>
      <c r="AZ309" s="399">
        <v>0</v>
      </c>
      <c r="BA309" s="399"/>
      <c r="BB309" s="399">
        <v>0</v>
      </c>
      <c r="BC309" s="399">
        <v>0</v>
      </c>
      <c r="BD309" s="399">
        <v>0</v>
      </c>
      <c r="BE309" s="399">
        <v>0</v>
      </c>
      <c r="BF309" s="399"/>
      <c r="BG309" s="399">
        <v>9690.0645634568336</v>
      </c>
      <c r="BH309" s="399">
        <v>0</v>
      </c>
      <c r="BI309" s="399">
        <v>0</v>
      </c>
      <c r="BJ309" s="399">
        <v>0</v>
      </c>
      <c r="BK309" s="399">
        <v>0</v>
      </c>
      <c r="BL309" s="399">
        <v>0</v>
      </c>
      <c r="BM309" s="399"/>
      <c r="BN309" s="399"/>
      <c r="BO309" s="399"/>
      <c r="BP309" s="399"/>
      <c r="BQ309" s="399"/>
      <c r="BR309" s="399"/>
      <c r="BS309" s="399"/>
      <c r="BT309" s="399"/>
      <c r="BU309" s="399"/>
      <c r="BV309" s="399">
        <v>9690.0645634568336</v>
      </c>
      <c r="BW309" s="399"/>
      <c r="BX309" s="399"/>
      <c r="BY309" s="399"/>
      <c r="BZ309" s="399"/>
      <c r="CA309" s="399"/>
      <c r="CB309" s="399"/>
      <c r="CC309" s="399"/>
      <c r="CD309" s="399"/>
      <c r="CE309" s="399"/>
      <c r="CF309" s="399"/>
      <c r="CG309" s="399"/>
      <c r="CH309" s="399"/>
      <c r="CI309" s="399">
        <v>76848.038400000005</v>
      </c>
      <c r="CJ309" s="399">
        <v>-5754.2885599999863</v>
      </c>
      <c r="CK309" s="399"/>
      <c r="CL309" s="399"/>
      <c r="CM309" s="399"/>
      <c r="CN309" s="399"/>
      <c r="CO309" s="399">
        <v>-5754.5389999999998</v>
      </c>
      <c r="CP309" s="399">
        <v>0</v>
      </c>
      <c r="CQ309" s="399">
        <v>31</v>
      </c>
      <c r="CR309" s="399">
        <v>-5750.8668308443157</v>
      </c>
      <c r="CS309" s="399">
        <v>0</v>
      </c>
      <c r="CT309" s="399">
        <v>0</v>
      </c>
      <c r="CU309" s="399">
        <v>0</v>
      </c>
      <c r="CV309" s="399">
        <v>0</v>
      </c>
      <c r="CW309" s="399"/>
      <c r="CX309" s="399"/>
      <c r="CY309" s="399"/>
      <c r="CZ309" s="399">
        <v>0</v>
      </c>
      <c r="DA309" s="399">
        <v>0</v>
      </c>
      <c r="DB309" s="399">
        <v>0</v>
      </c>
      <c r="DC309" s="399"/>
      <c r="DD309" s="399"/>
      <c r="DE309" s="399">
        <v>0</v>
      </c>
      <c r="DF309" s="399">
        <v>0</v>
      </c>
      <c r="DG309" s="399">
        <v>-2193.1717236069608</v>
      </c>
      <c r="DH309" s="399">
        <v>0</v>
      </c>
      <c r="DI309" s="399">
        <v>-3019.8396741159304</v>
      </c>
      <c r="DJ309" s="399"/>
      <c r="DK309" s="399">
        <v>0</v>
      </c>
      <c r="DL309" s="399">
        <v>0</v>
      </c>
      <c r="DM309" s="399"/>
      <c r="DN309" s="399">
        <v>0</v>
      </c>
      <c r="DO309" s="399">
        <v>-442.51009198165775</v>
      </c>
      <c r="DP309" s="399">
        <v>-95.345341139779748</v>
      </c>
      <c r="DQ309" s="399">
        <v>0</v>
      </c>
      <c r="DR309" s="399">
        <v>0</v>
      </c>
      <c r="DS309" s="399"/>
      <c r="DT309" s="399"/>
      <c r="DU309" s="399"/>
      <c r="DV309" s="399">
        <v>0</v>
      </c>
      <c r="DW309" s="399">
        <v>0</v>
      </c>
      <c r="DX309" s="399">
        <v>0</v>
      </c>
      <c r="DY309" s="399">
        <v>-5754.5390000000043</v>
      </c>
      <c r="DZ309" s="399"/>
      <c r="EA309" s="399">
        <v>0</v>
      </c>
      <c r="EB309" s="399"/>
      <c r="EC309" s="399">
        <v>0</v>
      </c>
      <c r="ED309" s="399"/>
      <c r="EE309" s="399">
        <v>0</v>
      </c>
      <c r="EF309" s="399">
        <v>0</v>
      </c>
      <c r="EG309" s="399"/>
      <c r="EH309" s="399">
        <v>0</v>
      </c>
      <c r="EI309" s="399">
        <v>0</v>
      </c>
      <c r="EJ309" s="399">
        <v>0</v>
      </c>
      <c r="EK309" s="399">
        <v>0</v>
      </c>
      <c r="EL309" s="399">
        <v>0</v>
      </c>
      <c r="EM309" s="399"/>
      <c r="EN309" s="399"/>
      <c r="EO309" s="399">
        <v>0</v>
      </c>
      <c r="EP309" s="399">
        <v>20525.176117696145</v>
      </c>
      <c r="EQ309" s="399"/>
      <c r="ER309" s="399">
        <v>0</v>
      </c>
      <c r="ES309" s="399"/>
      <c r="ET309" s="399">
        <v>0</v>
      </c>
      <c r="EU309" s="399"/>
      <c r="EV309" s="399">
        <v>202</v>
      </c>
      <c r="EW309" s="399"/>
      <c r="EX309" s="399"/>
      <c r="EY309" s="399"/>
      <c r="EZ309" s="399"/>
      <c r="FA309" s="399">
        <v>0</v>
      </c>
      <c r="FB309" s="399">
        <v>-17.698635468909799</v>
      </c>
      <c r="FC309" s="399"/>
      <c r="FD309" s="399">
        <v>-17.698635468909799</v>
      </c>
      <c r="FE309" s="399"/>
      <c r="FF309" s="399">
        <v>0</v>
      </c>
      <c r="FG309" s="399">
        <v>0</v>
      </c>
      <c r="FH309" s="399">
        <v>0</v>
      </c>
      <c r="FI309" s="399">
        <v>0</v>
      </c>
    </row>
    <row r="310" spans="1:165">
      <c r="A310" s="399">
        <v>308</v>
      </c>
      <c r="B310" s="399" t="s">
        <v>956</v>
      </c>
      <c r="C310" s="399" t="s">
        <v>2399</v>
      </c>
      <c r="D310" s="399" t="s">
        <v>533</v>
      </c>
      <c r="E310" s="399" t="s">
        <v>890</v>
      </c>
      <c r="F310" s="399" t="s">
        <v>1239</v>
      </c>
      <c r="G310" s="399" t="s">
        <v>2416</v>
      </c>
      <c r="H310" s="399" t="s">
        <v>1239</v>
      </c>
      <c r="I310" s="399" t="s">
        <v>1239</v>
      </c>
      <c r="J310" s="399" t="s">
        <v>2417</v>
      </c>
      <c r="K310" s="788">
        <v>44682</v>
      </c>
      <c r="L310" s="399">
        <v>2100</v>
      </c>
      <c r="M310" s="399">
        <v>1050.8292899999999</v>
      </c>
      <c r="N310" s="399">
        <v>0</v>
      </c>
      <c r="O310" s="399">
        <v>0</v>
      </c>
      <c r="P310" s="399">
        <v>0</v>
      </c>
      <c r="Q310" s="399">
        <v>0</v>
      </c>
      <c r="R310" s="399">
        <v>39.21</v>
      </c>
      <c r="S310" s="399"/>
      <c r="T310" s="399"/>
      <c r="U310" s="399">
        <v>82341</v>
      </c>
      <c r="V310" s="399"/>
      <c r="W310" s="399">
        <v>82341</v>
      </c>
      <c r="X310" s="399">
        <v>62664</v>
      </c>
      <c r="Y310" s="399">
        <v>0</v>
      </c>
      <c r="Z310" s="399">
        <v>0</v>
      </c>
      <c r="AA310" s="399">
        <v>0</v>
      </c>
      <c r="AB310" s="399">
        <v>0</v>
      </c>
      <c r="AC310" s="399">
        <v>0</v>
      </c>
      <c r="AD310" s="399">
        <v>25939.682920966083</v>
      </c>
      <c r="AE310" s="399">
        <v>56410.181582333462</v>
      </c>
      <c r="AF310" s="399"/>
      <c r="AG310" s="399"/>
      <c r="AH310" s="399"/>
      <c r="AI310" s="399">
        <v>0</v>
      </c>
      <c r="AJ310" s="399">
        <v>0</v>
      </c>
      <c r="AK310" s="399">
        <v>0</v>
      </c>
      <c r="AL310" s="399">
        <v>0</v>
      </c>
      <c r="AM310" s="399"/>
      <c r="AN310" s="399">
        <v>0</v>
      </c>
      <c r="AO310" s="399">
        <v>0</v>
      </c>
      <c r="AP310" s="399">
        <v>0</v>
      </c>
      <c r="AQ310" s="399">
        <v>0</v>
      </c>
      <c r="AR310" s="399">
        <v>0</v>
      </c>
      <c r="AS310" s="399"/>
      <c r="AT310" s="399"/>
      <c r="AU310" s="399">
        <v>0</v>
      </c>
      <c r="AV310" s="399">
        <v>0</v>
      </c>
      <c r="AW310" s="399">
        <v>0</v>
      </c>
      <c r="AX310" s="399"/>
      <c r="AY310" s="399"/>
      <c r="AZ310" s="399">
        <v>0</v>
      </c>
      <c r="BA310" s="399"/>
      <c r="BB310" s="399">
        <v>0</v>
      </c>
      <c r="BC310" s="399">
        <v>0</v>
      </c>
      <c r="BD310" s="399">
        <v>0</v>
      </c>
      <c r="BE310" s="399">
        <v>0</v>
      </c>
      <c r="BF310" s="399"/>
      <c r="BG310" s="399">
        <v>0</v>
      </c>
      <c r="BH310" s="399">
        <v>0</v>
      </c>
      <c r="BI310" s="399">
        <v>3530.99</v>
      </c>
      <c r="BJ310" s="399">
        <v>0</v>
      </c>
      <c r="BK310" s="399">
        <v>50945.29</v>
      </c>
      <c r="BL310" s="399">
        <v>1</v>
      </c>
      <c r="BM310" s="399"/>
      <c r="BN310" s="399">
        <v>31307.253986400003</v>
      </c>
      <c r="BO310" s="399"/>
      <c r="BP310" s="399"/>
      <c r="BQ310" s="399"/>
      <c r="BR310" s="399"/>
      <c r="BS310" s="399"/>
      <c r="BT310" s="399"/>
      <c r="BU310" s="399"/>
      <c r="BV310" s="399">
        <v>0</v>
      </c>
      <c r="BW310" s="399"/>
      <c r="BX310" s="399"/>
      <c r="BY310" s="399"/>
      <c r="BZ310" s="399"/>
      <c r="CA310" s="399"/>
      <c r="CB310" s="399"/>
      <c r="CC310" s="399"/>
      <c r="CD310" s="399"/>
      <c r="CE310" s="399"/>
      <c r="CF310" s="399"/>
      <c r="CG310" s="399"/>
      <c r="CH310" s="399"/>
      <c r="CI310" s="399">
        <v>31356.767199999998</v>
      </c>
      <c r="CJ310" s="399">
        <v>-9846.2792609000062</v>
      </c>
      <c r="CK310" s="399"/>
      <c r="CL310" s="399"/>
      <c r="CM310" s="399"/>
      <c r="CN310" s="399"/>
      <c r="CO310" s="399">
        <v>-19677.000000000004</v>
      </c>
      <c r="CP310" s="399">
        <v>0</v>
      </c>
      <c r="CQ310" s="399">
        <v>31</v>
      </c>
      <c r="CR310" s="399">
        <v>890.16969624512785</v>
      </c>
      <c r="CS310" s="399">
        <v>0</v>
      </c>
      <c r="CT310" s="399">
        <v>0</v>
      </c>
      <c r="CU310" s="399">
        <v>0</v>
      </c>
      <c r="CV310" s="399">
        <v>0</v>
      </c>
      <c r="CW310" s="399"/>
      <c r="CX310" s="399"/>
      <c r="CY310" s="399"/>
      <c r="CZ310" s="399">
        <v>890.16969624512785</v>
      </c>
      <c r="DA310" s="399">
        <v>0</v>
      </c>
      <c r="DB310" s="399">
        <v>0</v>
      </c>
      <c r="DC310" s="399"/>
      <c r="DD310" s="399"/>
      <c r="DE310" s="399">
        <v>0</v>
      </c>
      <c r="DF310" s="399">
        <v>0</v>
      </c>
      <c r="DG310" s="399">
        <v>0</v>
      </c>
      <c r="DH310" s="399">
        <v>0</v>
      </c>
      <c r="DI310" s="399">
        <v>0</v>
      </c>
      <c r="DJ310" s="399"/>
      <c r="DK310" s="399">
        <v>0</v>
      </c>
      <c r="DL310" s="399">
        <v>0</v>
      </c>
      <c r="DM310" s="399"/>
      <c r="DN310" s="399">
        <v>0</v>
      </c>
      <c r="DO310" s="399">
        <v>0</v>
      </c>
      <c r="DP310" s="399">
        <v>0</v>
      </c>
      <c r="DQ310" s="399">
        <v>0</v>
      </c>
      <c r="DR310" s="399">
        <v>0</v>
      </c>
      <c r="DS310" s="399"/>
      <c r="DT310" s="399"/>
      <c r="DU310" s="399">
        <v>56410.181582333462</v>
      </c>
      <c r="DV310" s="399"/>
      <c r="DW310" s="399">
        <v>0</v>
      </c>
      <c r="DX310" s="399">
        <v>0</v>
      </c>
      <c r="DY310" s="399">
        <v>-19677</v>
      </c>
      <c r="DZ310" s="399"/>
      <c r="EA310" s="399">
        <v>0</v>
      </c>
      <c r="EB310" s="399"/>
      <c r="EC310" s="399">
        <v>-20584.081914210576</v>
      </c>
      <c r="ED310" s="399"/>
      <c r="EE310" s="399">
        <v>0</v>
      </c>
      <c r="EF310" s="399">
        <v>0</v>
      </c>
      <c r="EG310" s="399"/>
      <c r="EH310" s="399">
        <v>0</v>
      </c>
      <c r="EI310" s="399">
        <v>0</v>
      </c>
      <c r="EJ310" s="399">
        <v>0</v>
      </c>
      <c r="EK310" s="399">
        <v>0</v>
      </c>
      <c r="EL310" s="399">
        <v>0</v>
      </c>
      <c r="EM310" s="399"/>
      <c r="EN310" s="399"/>
      <c r="EO310" s="399">
        <v>0</v>
      </c>
      <c r="EP310" s="399">
        <v>0</v>
      </c>
      <c r="EQ310" s="399"/>
      <c r="ER310" s="399">
        <v>0</v>
      </c>
      <c r="ES310" s="399"/>
      <c r="ET310" s="399">
        <v>0</v>
      </c>
      <c r="EU310" s="399"/>
      <c r="EV310" s="399">
        <v>202</v>
      </c>
      <c r="EW310" s="399"/>
      <c r="EX310" s="399"/>
      <c r="EY310" s="399"/>
      <c r="EZ310" s="399"/>
      <c r="FA310" s="399">
        <v>0</v>
      </c>
      <c r="FB310" s="399">
        <v>-17.698635468909799</v>
      </c>
      <c r="FC310" s="399"/>
      <c r="FD310" s="399">
        <v>-17.698635468909799</v>
      </c>
      <c r="FE310" s="399"/>
      <c r="FF310" s="399">
        <v>0</v>
      </c>
      <c r="FG310" s="399">
        <v>0</v>
      </c>
      <c r="FH310" s="399">
        <v>0</v>
      </c>
      <c r="FI310" s="399">
        <v>0</v>
      </c>
    </row>
    <row r="311" spans="1:165">
      <c r="A311" s="399">
        <v>309</v>
      </c>
      <c r="B311" s="399" t="s">
        <v>956</v>
      </c>
      <c r="C311" s="399" t="s">
        <v>2399</v>
      </c>
      <c r="D311" s="399" t="s">
        <v>533</v>
      </c>
      <c r="E311" s="399" t="s">
        <v>890</v>
      </c>
      <c r="F311" s="399" t="s">
        <v>1239</v>
      </c>
      <c r="G311" s="399" t="s">
        <v>2416</v>
      </c>
      <c r="H311" s="399" t="s">
        <v>1239</v>
      </c>
      <c r="I311" s="399" t="s">
        <v>893</v>
      </c>
      <c r="J311" s="399" t="s">
        <v>2417</v>
      </c>
      <c r="K311" s="788">
        <v>44713</v>
      </c>
      <c r="L311" s="399">
        <v>0</v>
      </c>
      <c r="M311" s="399">
        <v>0</v>
      </c>
      <c r="N311" s="399">
        <v>86.504000000000005</v>
      </c>
      <c r="O311" s="399">
        <v>44.964743733360002</v>
      </c>
      <c r="P311" s="399">
        <v>0</v>
      </c>
      <c r="Q311" s="399">
        <v>0</v>
      </c>
      <c r="R311" s="399"/>
      <c r="S311" s="399">
        <v>3305.85</v>
      </c>
      <c r="T311" s="399"/>
      <c r="U311" s="399"/>
      <c r="V311" s="399">
        <v>285969.24839999998</v>
      </c>
      <c r="W311" s="399">
        <v>285969.24839999998</v>
      </c>
      <c r="X311" s="399">
        <v>206701.30800000002</v>
      </c>
      <c r="Y311" s="399">
        <v>0</v>
      </c>
      <c r="Z311" s="399">
        <v>4580.336377253715</v>
      </c>
      <c r="AA311" s="399">
        <v>0</v>
      </c>
      <c r="AB311" s="399">
        <v>0</v>
      </c>
      <c r="AC311" s="399">
        <v>0</v>
      </c>
      <c r="AD311" s="399">
        <v>56399.316580614555</v>
      </c>
      <c r="AE311" s="399">
        <v>220878.33301445845</v>
      </c>
      <c r="AF311" s="399"/>
      <c r="AG311" s="399"/>
      <c r="AH311" s="399"/>
      <c r="AI311" s="399">
        <v>0</v>
      </c>
      <c r="AJ311" s="399">
        <v>0</v>
      </c>
      <c r="AK311" s="399">
        <v>0</v>
      </c>
      <c r="AL311" s="399">
        <v>813.64701814460489</v>
      </c>
      <c r="AM311" s="399"/>
      <c r="AN311" s="399">
        <v>118.5180428110753</v>
      </c>
      <c r="AO311" s="399">
        <v>0</v>
      </c>
      <c r="AP311" s="399">
        <v>0</v>
      </c>
      <c r="AQ311" s="399">
        <v>0</v>
      </c>
      <c r="AR311" s="399">
        <v>0</v>
      </c>
      <c r="AS311" s="399"/>
      <c r="AT311" s="399"/>
      <c r="AU311" s="399">
        <v>0</v>
      </c>
      <c r="AV311" s="399">
        <v>0</v>
      </c>
      <c r="AW311" s="399">
        <v>0</v>
      </c>
      <c r="AX311" s="399"/>
      <c r="AY311" s="399"/>
      <c r="AZ311" s="399">
        <v>0</v>
      </c>
      <c r="BA311" s="399"/>
      <c r="BB311" s="399">
        <v>0</v>
      </c>
      <c r="BC311" s="399">
        <v>0</v>
      </c>
      <c r="BD311" s="399">
        <v>0</v>
      </c>
      <c r="BE311" s="399">
        <v>0</v>
      </c>
      <c r="BF311" s="399"/>
      <c r="BG311" s="399">
        <v>1019.6482142150553</v>
      </c>
      <c r="BH311" s="399">
        <v>0</v>
      </c>
      <c r="BI311" s="399">
        <v>0</v>
      </c>
      <c r="BJ311" s="399">
        <v>0</v>
      </c>
      <c r="BK311" s="399">
        <v>0</v>
      </c>
      <c r="BL311" s="399">
        <v>0</v>
      </c>
      <c r="BM311" s="399"/>
      <c r="BN311" s="399">
        <v>99258.052849136293</v>
      </c>
      <c r="BO311" s="399"/>
      <c r="BP311" s="399"/>
      <c r="BQ311" s="399"/>
      <c r="BR311" s="399"/>
      <c r="BS311" s="399"/>
      <c r="BT311" s="399"/>
      <c r="BU311" s="399"/>
      <c r="BV311" s="399">
        <v>1019.6482142150553</v>
      </c>
      <c r="BW311" s="399"/>
      <c r="BX311" s="399"/>
      <c r="BY311" s="399"/>
      <c r="BZ311" s="399"/>
      <c r="CA311" s="399"/>
      <c r="CB311" s="399"/>
      <c r="CC311" s="399"/>
      <c r="CD311" s="399"/>
      <c r="CE311" s="399"/>
      <c r="CF311" s="399"/>
      <c r="CG311" s="399"/>
      <c r="CH311" s="399"/>
      <c r="CI311" s="399">
        <v>107431.92</v>
      </c>
      <c r="CJ311" s="399">
        <v>-41214.808070928193</v>
      </c>
      <c r="CK311" s="399"/>
      <c r="CL311" s="399"/>
      <c r="CM311" s="399"/>
      <c r="CN311" s="399"/>
      <c r="CO311" s="399">
        <v>-79267.940399999992</v>
      </c>
      <c r="CP311" s="399">
        <v>0</v>
      </c>
      <c r="CQ311" s="399">
        <v>30</v>
      </c>
      <c r="CR311" s="399">
        <v>1330.3085315809294</v>
      </c>
      <c r="CS311" s="399">
        <v>0</v>
      </c>
      <c r="CT311" s="399">
        <v>0</v>
      </c>
      <c r="CU311" s="399">
        <v>0</v>
      </c>
      <c r="CV311" s="399">
        <v>0</v>
      </c>
      <c r="CW311" s="399"/>
      <c r="CX311" s="399"/>
      <c r="CY311" s="399"/>
      <c r="CZ311" s="399">
        <v>1935.450123348317</v>
      </c>
      <c r="DA311" s="399">
        <v>0</v>
      </c>
      <c r="DB311" s="399">
        <v>0</v>
      </c>
      <c r="DC311" s="399"/>
      <c r="DD311" s="399"/>
      <c r="DE311" s="399">
        <v>0</v>
      </c>
      <c r="DF311" s="399">
        <v>0</v>
      </c>
      <c r="DG311" s="399">
        <v>-230.77902286391247</v>
      </c>
      <c r="DH311" s="399">
        <v>0</v>
      </c>
      <c r="DI311" s="399">
        <v>-317.76611092358053</v>
      </c>
      <c r="DJ311" s="399"/>
      <c r="DK311" s="399">
        <v>0</v>
      </c>
      <c r="DL311" s="399">
        <v>0</v>
      </c>
      <c r="DM311" s="399"/>
      <c r="DN311" s="399">
        <v>0</v>
      </c>
      <c r="DO311" s="399">
        <v>-46.563634546132903</v>
      </c>
      <c r="DP311" s="399">
        <v>-10.032823433760484</v>
      </c>
      <c r="DQ311" s="399">
        <v>0</v>
      </c>
      <c r="DR311" s="399">
        <v>0</v>
      </c>
      <c r="DS311" s="399"/>
      <c r="DT311" s="399"/>
      <c r="DU311" s="399"/>
      <c r="DV311" s="399">
        <v>220878.33301445845</v>
      </c>
      <c r="DW311" s="399">
        <v>0</v>
      </c>
      <c r="DX311" s="399">
        <v>0</v>
      </c>
      <c r="DY311" s="399">
        <v>-79267.940399999963</v>
      </c>
      <c r="DZ311" s="399"/>
      <c r="EA311" s="399">
        <v>0</v>
      </c>
      <c r="EB311" s="399"/>
      <c r="EC311" s="399">
        <v>-80598.529774416122</v>
      </c>
      <c r="ED311" s="399"/>
      <c r="EE311" s="399">
        <v>0</v>
      </c>
      <c r="EF311" s="399">
        <v>0</v>
      </c>
      <c r="EG311" s="399"/>
      <c r="EH311" s="399">
        <v>0</v>
      </c>
      <c r="EI311" s="399">
        <v>0</v>
      </c>
      <c r="EJ311" s="399">
        <v>0</v>
      </c>
      <c r="EK311" s="399">
        <v>0</v>
      </c>
      <c r="EL311" s="399">
        <v>0</v>
      </c>
      <c r="EM311" s="399"/>
      <c r="EN311" s="399"/>
      <c r="EO311" s="399">
        <v>0</v>
      </c>
      <c r="EP311" s="399">
        <v>2159.7853180239654</v>
      </c>
      <c r="EQ311" s="399"/>
      <c r="ER311" s="399">
        <v>0</v>
      </c>
      <c r="ES311" s="399"/>
      <c r="ET311" s="399">
        <v>0</v>
      </c>
      <c r="EU311" s="399"/>
      <c r="EV311" s="399">
        <v>202</v>
      </c>
      <c r="EW311" s="399"/>
      <c r="EX311" s="399"/>
      <c r="EY311" s="399"/>
      <c r="EZ311" s="399"/>
      <c r="FA311" s="399">
        <v>0</v>
      </c>
      <c r="FB311" s="399">
        <v>-17.698635468909799</v>
      </c>
      <c r="FC311" s="399"/>
      <c r="FD311" s="399">
        <v>-17.698635468909799</v>
      </c>
      <c r="FE311" s="399"/>
      <c r="FF311" s="399">
        <v>0</v>
      </c>
      <c r="FG311" s="399">
        <v>0</v>
      </c>
      <c r="FH311" s="399">
        <v>0</v>
      </c>
      <c r="FI311" s="399">
        <v>0</v>
      </c>
    </row>
    <row r="312" spans="1:165">
      <c r="A312" s="399">
        <v>310</v>
      </c>
      <c r="B312" s="399" t="s">
        <v>956</v>
      </c>
      <c r="C312" s="399" t="s">
        <v>2399</v>
      </c>
      <c r="D312" s="399" t="s">
        <v>533</v>
      </c>
      <c r="E312" s="399" t="s">
        <v>890</v>
      </c>
      <c r="F312" s="399" t="s">
        <v>1239</v>
      </c>
      <c r="G312" s="399" t="s">
        <v>2416</v>
      </c>
      <c r="H312" s="399" t="s">
        <v>1239</v>
      </c>
      <c r="I312" s="399" t="s">
        <v>2326</v>
      </c>
      <c r="J312" s="399" t="s">
        <v>2417</v>
      </c>
      <c r="K312" s="788">
        <v>44713</v>
      </c>
      <c r="L312" s="399">
        <v>0</v>
      </c>
      <c r="M312" s="399">
        <v>0</v>
      </c>
      <c r="N312" s="399">
        <v>778.07399999999996</v>
      </c>
      <c r="O312" s="399">
        <v>778.07399999999996</v>
      </c>
      <c r="P312" s="399">
        <v>0</v>
      </c>
      <c r="Q312" s="399">
        <v>0</v>
      </c>
      <c r="R312" s="399"/>
      <c r="S312" s="399">
        <v>100.48</v>
      </c>
      <c r="T312" s="399"/>
      <c r="U312" s="399"/>
      <c r="V312" s="399">
        <v>78180.875520000001</v>
      </c>
      <c r="W312" s="399">
        <v>78180.875520000001</v>
      </c>
      <c r="X312" s="399">
        <v>72734.357520000005</v>
      </c>
      <c r="Y312" s="399">
        <v>0</v>
      </c>
      <c r="Z312" s="399">
        <v>41198.5647645809</v>
      </c>
      <c r="AA312" s="399">
        <v>0</v>
      </c>
      <c r="AB312" s="399">
        <v>0</v>
      </c>
      <c r="AC312" s="399">
        <v>0</v>
      </c>
      <c r="AD312" s="399">
        <v>0</v>
      </c>
      <c r="AE312" s="399">
        <v>0</v>
      </c>
      <c r="AF312" s="399"/>
      <c r="AG312" s="399"/>
      <c r="AH312" s="399"/>
      <c r="AI312" s="399">
        <v>0</v>
      </c>
      <c r="AJ312" s="399">
        <v>0</v>
      </c>
      <c r="AK312" s="399">
        <v>0</v>
      </c>
      <c r="AL312" s="399">
        <v>7318.4776426043336</v>
      </c>
      <c r="AM312" s="399"/>
      <c r="AN312" s="399">
        <v>1066.0294049082654</v>
      </c>
      <c r="AO312" s="399">
        <v>0</v>
      </c>
      <c r="AP312" s="399">
        <v>0</v>
      </c>
      <c r="AQ312" s="399">
        <v>0</v>
      </c>
      <c r="AR312" s="399">
        <v>0</v>
      </c>
      <c r="AS312" s="399"/>
      <c r="AT312" s="399"/>
      <c r="AU312" s="399">
        <v>0</v>
      </c>
      <c r="AV312" s="399">
        <v>0</v>
      </c>
      <c r="AW312" s="399">
        <v>0</v>
      </c>
      <c r="AX312" s="399"/>
      <c r="AY312" s="399"/>
      <c r="AZ312" s="399">
        <v>0</v>
      </c>
      <c r="BA312" s="399"/>
      <c r="BB312" s="399">
        <v>0</v>
      </c>
      <c r="BC312" s="399">
        <v>0</v>
      </c>
      <c r="BD312" s="399">
        <v>0</v>
      </c>
      <c r="BE312" s="399">
        <v>0</v>
      </c>
      <c r="BF312" s="399"/>
      <c r="BG312" s="399">
        <v>9171.3881973916214</v>
      </c>
      <c r="BH312" s="399">
        <v>0</v>
      </c>
      <c r="BI312" s="399">
        <v>0</v>
      </c>
      <c r="BJ312" s="399">
        <v>0</v>
      </c>
      <c r="BK312" s="399">
        <v>0</v>
      </c>
      <c r="BL312" s="399">
        <v>0</v>
      </c>
      <c r="BM312" s="399"/>
      <c r="BN312" s="399"/>
      <c r="BO312" s="399"/>
      <c r="BP312" s="399"/>
      <c r="BQ312" s="399"/>
      <c r="BR312" s="399"/>
      <c r="BS312" s="399"/>
      <c r="BT312" s="399"/>
      <c r="BU312" s="399"/>
      <c r="BV312" s="399">
        <v>9171.3881973916214</v>
      </c>
      <c r="BW312" s="399"/>
      <c r="BX312" s="399"/>
      <c r="BY312" s="399"/>
      <c r="BZ312" s="399"/>
      <c r="CA312" s="399"/>
      <c r="CB312" s="399"/>
      <c r="CC312" s="399"/>
      <c r="CD312" s="399"/>
      <c r="CE312" s="399"/>
      <c r="CF312" s="399"/>
      <c r="CG312" s="399"/>
      <c r="CH312" s="399"/>
      <c r="CI312" s="399">
        <v>72733.983600000007</v>
      </c>
      <c r="CJ312" s="399">
        <v>-5446.9219199999789</v>
      </c>
      <c r="CK312" s="399"/>
      <c r="CL312" s="399"/>
      <c r="CM312" s="399"/>
      <c r="CN312" s="399"/>
      <c r="CO312" s="399">
        <v>-5446.518</v>
      </c>
      <c r="CP312" s="399">
        <v>0</v>
      </c>
      <c r="CQ312" s="399">
        <v>30</v>
      </c>
      <c r="CR312" s="399">
        <v>-5443.0423896330467</v>
      </c>
      <c r="CS312" s="399">
        <v>0</v>
      </c>
      <c r="CT312" s="399">
        <v>0</v>
      </c>
      <c r="CU312" s="399">
        <v>0</v>
      </c>
      <c r="CV312" s="399">
        <v>0</v>
      </c>
      <c r="CW312" s="399"/>
      <c r="CX312" s="399"/>
      <c r="CY312" s="399"/>
      <c r="CZ312" s="399">
        <v>0</v>
      </c>
      <c r="DA312" s="399">
        <v>0</v>
      </c>
      <c r="DB312" s="399">
        <v>0</v>
      </c>
      <c r="DC312" s="399"/>
      <c r="DD312" s="399"/>
      <c r="DE312" s="399">
        <v>0</v>
      </c>
      <c r="DF312" s="399">
        <v>0</v>
      </c>
      <c r="DG312" s="399">
        <v>-2075.7786626724292</v>
      </c>
      <c r="DH312" s="399">
        <v>0</v>
      </c>
      <c r="DI312" s="399">
        <v>-2858.1978751358765</v>
      </c>
      <c r="DJ312" s="399"/>
      <c r="DK312" s="399">
        <v>0</v>
      </c>
      <c r="DL312" s="399">
        <v>0</v>
      </c>
      <c r="DM312" s="399"/>
      <c r="DN312" s="399">
        <v>0</v>
      </c>
      <c r="DO312" s="399">
        <v>-418.82402415897286</v>
      </c>
      <c r="DP312" s="399">
        <v>-90.241827665769847</v>
      </c>
      <c r="DQ312" s="399">
        <v>0</v>
      </c>
      <c r="DR312" s="399">
        <v>0</v>
      </c>
      <c r="DS312" s="399"/>
      <c r="DT312" s="399"/>
      <c r="DU312" s="399"/>
      <c r="DV312" s="399">
        <v>0</v>
      </c>
      <c r="DW312" s="399">
        <v>0</v>
      </c>
      <c r="DX312" s="399">
        <v>0</v>
      </c>
      <c r="DY312" s="399">
        <v>-5446.5179999999964</v>
      </c>
      <c r="DZ312" s="399"/>
      <c r="EA312" s="399">
        <v>0</v>
      </c>
      <c r="EB312" s="399"/>
      <c r="EC312" s="399">
        <v>0</v>
      </c>
      <c r="ED312" s="399"/>
      <c r="EE312" s="399">
        <v>0</v>
      </c>
      <c r="EF312" s="399">
        <v>0</v>
      </c>
      <c r="EG312" s="399"/>
      <c r="EH312" s="399">
        <v>0</v>
      </c>
      <c r="EI312" s="399">
        <v>0</v>
      </c>
      <c r="EJ312" s="399">
        <v>0</v>
      </c>
      <c r="EK312" s="399">
        <v>0</v>
      </c>
      <c r="EL312" s="399">
        <v>0</v>
      </c>
      <c r="EM312" s="399"/>
      <c r="EN312" s="399"/>
      <c r="EO312" s="399">
        <v>0</v>
      </c>
      <c r="EP312" s="399">
        <v>19426.532894850858</v>
      </c>
      <c r="EQ312" s="399"/>
      <c r="ER312" s="399">
        <v>0</v>
      </c>
      <c r="ES312" s="399"/>
      <c r="ET312" s="399">
        <v>0</v>
      </c>
      <c r="EU312" s="399"/>
      <c r="EV312" s="399">
        <v>202</v>
      </c>
      <c r="EW312" s="399"/>
      <c r="EX312" s="399"/>
      <c r="EY312" s="399"/>
      <c r="EZ312" s="399"/>
      <c r="FA312" s="399">
        <v>0</v>
      </c>
      <c r="FB312" s="399">
        <v>-17.698635468909799</v>
      </c>
      <c r="FC312" s="399"/>
      <c r="FD312" s="399">
        <v>-17.698635468909799</v>
      </c>
      <c r="FE312" s="399"/>
      <c r="FF312" s="399">
        <v>0</v>
      </c>
      <c r="FG312" s="399">
        <v>0</v>
      </c>
      <c r="FH312" s="399">
        <v>0</v>
      </c>
      <c r="FI312" s="399">
        <v>0</v>
      </c>
    </row>
    <row r="313" spans="1:165">
      <c r="A313" s="399">
        <v>311</v>
      </c>
      <c r="B313" s="399" t="s">
        <v>956</v>
      </c>
      <c r="C313" s="399" t="s">
        <v>2399</v>
      </c>
      <c r="D313" s="399" t="s">
        <v>533</v>
      </c>
      <c r="E313" s="399" t="s">
        <v>890</v>
      </c>
      <c r="F313" s="399" t="s">
        <v>1239</v>
      </c>
      <c r="G313" s="399" t="s">
        <v>2416</v>
      </c>
      <c r="H313" s="399" t="s">
        <v>1239</v>
      </c>
      <c r="I313" s="399" t="s">
        <v>1239</v>
      </c>
      <c r="J313" s="399" t="s">
        <v>2417</v>
      </c>
      <c r="K313" s="788">
        <v>44713</v>
      </c>
      <c r="L313" s="399">
        <v>2100</v>
      </c>
      <c r="M313" s="399">
        <v>1050.522354</v>
      </c>
      <c r="N313" s="399">
        <v>0</v>
      </c>
      <c r="O313" s="399">
        <v>0</v>
      </c>
      <c r="P313" s="399">
        <v>0</v>
      </c>
      <c r="Q313" s="399">
        <v>0</v>
      </c>
      <c r="R313" s="399">
        <v>39.21</v>
      </c>
      <c r="S313" s="399"/>
      <c r="T313" s="399"/>
      <c r="U313" s="399">
        <v>82341</v>
      </c>
      <c r="V313" s="399"/>
      <c r="W313" s="399">
        <v>82341</v>
      </c>
      <c r="X313" s="399">
        <v>62664</v>
      </c>
      <c r="Y313" s="399">
        <v>0</v>
      </c>
      <c r="Z313" s="399">
        <v>0</v>
      </c>
      <c r="AA313" s="399">
        <v>0</v>
      </c>
      <c r="AB313" s="399">
        <v>0</v>
      </c>
      <c r="AC313" s="399">
        <v>0</v>
      </c>
      <c r="AD313" s="399">
        <v>25939.682920966083</v>
      </c>
      <c r="AE313" s="399">
        <v>56410.181582333462</v>
      </c>
      <c r="AF313" s="399"/>
      <c r="AG313" s="399"/>
      <c r="AH313" s="399"/>
      <c r="AI313" s="399">
        <v>0</v>
      </c>
      <c r="AJ313" s="399">
        <v>0</v>
      </c>
      <c r="AK313" s="399">
        <v>0</v>
      </c>
      <c r="AL313" s="399">
        <v>0</v>
      </c>
      <c r="AM313" s="399"/>
      <c r="AN313" s="399">
        <v>0</v>
      </c>
      <c r="AO313" s="399">
        <v>0</v>
      </c>
      <c r="AP313" s="399">
        <v>0</v>
      </c>
      <c r="AQ313" s="399">
        <v>0</v>
      </c>
      <c r="AR313" s="399">
        <v>0</v>
      </c>
      <c r="AS313" s="399"/>
      <c r="AT313" s="399"/>
      <c r="AU313" s="399">
        <v>0</v>
      </c>
      <c r="AV313" s="399">
        <v>0</v>
      </c>
      <c r="AW313" s="399">
        <v>0</v>
      </c>
      <c r="AX313" s="399"/>
      <c r="AY313" s="399"/>
      <c r="AZ313" s="399">
        <v>0</v>
      </c>
      <c r="BA313" s="399"/>
      <c r="BB313" s="399">
        <v>0</v>
      </c>
      <c r="BC313" s="399">
        <v>0</v>
      </c>
      <c r="BD313" s="399">
        <v>0</v>
      </c>
      <c r="BE313" s="399">
        <v>0</v>
      </c>
      <c r="BF313" s="399"/>
      <c r="BG313" s="399">
        <v>0</v>
      </c>
      <c r="BH313" s="399">
        <v>0</v>
      </c>
      <c r="BI313" s="399">
        <v>6246.18</v>
      </c>
      <c r="BJ313" s="399">
        <v>0</v>
      </c>
      <c r="BK313" s="399">
        <v>73598.12</v>
      </c>
      <c r="BL313" s="399">
        <v>1</v>
      </c>
      <c r="BM313" s="399"/>
      <c r="BN313" s="399">
        <v>31316.412956640001</v>
      </c>
      <c r="BO313" s="399"/>
      <c r="BP313" s="399"/>
      <c r="BQ313" s="399"/>
      <c r="BR313" s="399"/>
      <c r="BS313" s="399"/>
      <c r="BT313" s="399"/>
      <c r="BU313" s="399"/>
      <c r="BV313" s="399">
        <v>0</v>
      </c>
      <c r="BW313" s="399"/>
      <c r="BX313" s="399"/>
      <c r="BY313" s="399"/>
      <c r="BZ313" s="399"/>
      <c r="CA313" s="399"/>
      <c r="CB313" s="399"/>
      <c r="CC313" s="399"/>
      <c r="CD313" s="399"/>
      <c r="CE313" s="399"/>
      <c r="CF313" s="399"/>
      <c r="CG313" s="399"/>
      <c r="CH313" s="399"/>
      <c r="CI313" s="399">
        <v>31347.516799999998</v>
      </c>
      <c r="CJ313" s="399">
        <v>-9843.4947003400084</v>
      </c>
      <c r="CK313" s="399"/>
      <c r="CL313" s="399"/>
      <c r="CM313" s="399"/>
      <c r="CN313" s="399"/>
      <c r="CO313" s="399">
        <v>-19677.000000000004</v>
      </c>
      <c r="CP313" s="399">
        <v>0</v>
      </c>
      <c r="CQ313" s="399">
        <v>30</v>
      </c>
      <c r="CR313" s="399">
        <v>890.16969624512785</v>
      </c>
      <c r="CS313" s="399">
        <v>0</v>
      </c>
      <c r="CT313" s="399">
        <v>0</v>
      </c>
      <c r="CU313" s="399">
        <v>0</v>
      </c>
      <c r="CV313" s="399">
        <v>0</v>
      </c>
      <c r="CW313" s="399"/>
      <c r="CX313" s="399"/>
      <c r="CY313" s="399"/>
      <c r="CZ313" s="399">
        <v>890.16969624512785</v>
      </c>
      <c r="DA313" s="399">
        <v>0</v>
      </c>
      <c r="DB313" s="399">
        <v>0</v>
      </c>
      <c r="DC313" s="399"/>
      <c r="DD313" s="399"/>
      <c r="DE313" s="399">
        <v>0</v>
      </c>
      <c r="DF313" s="399">
        <v>0</v>
      </c>
      <c r="DG313" s="399">
        <v>0</v>
      </c>
      <c r="DH313" s="399">
        <v>0</v>
      </c>
      <c r="DI313" s="399">
        <v>0</v>
      </c>
      <c r="DJ313" s="399"/>
      <c r="DK313" s="399">
        <v>0</v>
      </c>
      <c r="DL313" s="399">
        <v>0</v>
      </c>
      <c r="DM313" s="399"/>
      <c r="DN313" s="399">
        <v>0</v>
      </c>
      <c r="DO313" s="399">
        <v>0</v>
      </c>
      <c r="DP313" s="399">
        <v>0</v>
      </c>
      <c r="DQ313" s="399">
        <v>0</v>
      </c>
      <c r="DR313" s="399">
        <v>0</v>
      </c>
      <c r="DS313" s="399"/>
      <c r="DT313" s="399"/>
      <c r="DU313" s="399">
        <v>56410.181582333462</v>
      </c>
      <c r="DV313" s="399"/>
      <c r="DW313" s="399">
        <v>0</v>
      </c>
      <c r="DX313" s="399">
        <v>0</v>
      </c>
      <c r="DY313" s="399">
        <v>-19677</v>
      </c>
      <c r="DZ313" s="399"/>
      <c r="EA313" s="399">
        <v>0</v>
      </c>
      <c r="EB313" s="399"/>
      <c r="EC313" s="399">
        <v>-20584.081914210576</v>
      </c>
      <c r="ED313" s="399"/>
      <c r="EE313" s="399">
        <v>0</v>
      </c>
      <c r="EF313" s="399">
        <v>0</v>
      </c>
      <c r="EG313" s="399"/>
      <c r="EH313" s="399">
        <v>0</v>
      </c>
      <c r="EI313" s="399">
        <v>0</v>
      </c>
      <c r="EJ313" s="399">
        <v>0</v>
      </c>
      <c r="EK313" s="399">
        <v>0</v>
      </c>
      <c r="EL313" s="399">
        <v>0</v>
      </c>
      <c r="EM313" s="399"/>
      <c r="EN313" s="399"/>
      <c r="EO313" s="399">
        <v>0</v>
      </c>
      <c r="EP313" s="399">
        <v>0</v>
      </c>
      <c r="EQ313" s="399"/>
      <c r="ER313" s="399">
        <v>0</v>
      </c>
      <c r="ES313" s="399"/>
      <c r="ET313" s="399">
        <v>0</v>
      </c>
      <c r="EU313" s="399"/>
      <c r="EV313" s="399">
        <v>202</v>
      </c>
      <c r="EW313" s="399"/>
      <c r="EX313" s="399"/>
      <c r="EY313" s="399"/>
      <c r="EZ313" s="399"/>
      <c r="FA313" s="399">
        <v>0</v>
      </c>
      <c r="FB313" s="399">
        <v>-17.698635468909799</v>
      </c>
      <c r="FC313" s="399"/>
      <c r="FD313" s="399">
        <v>-17.698635468909799</v>
      </c>
      <c r="FE313" s="399"/>
      <c r="FF313" s="399">
        <v>0</v>
      </c>
      <c r="FG313" s="399">
        <v>0</v>
      </c>
      <c r="FH313" s="399">
        <v>0</v>
      </c>
      <c r="FI313" s="399">
        <v>0</v>
      </c>
    </row>
    <row r="314" spans="1:165">
      <c r="A314" s="399">
        <v>312</v>
      </c>
      <c r="B314" s="399" t="s">
        <v>956</v>
      </c>
      <c r="C314" s="399" t="s">
        <v>2399</v>
      </c>
      <c r="D314" s="399" t="s">
        <v>533</v>
      </c>
      <c r="E314" s="399" t="s">
        <v>890</v>
      </c>
      <c r="F314" s="399" t="s">
        <v>1239</v>
      </c>
      <c r="G314" s="399" t="s">
        <v>2416</v>
      </c>
      <c r="H314" s="399" t="s">
        <v>1239</v>
      </c>
      <c r="I314" s="399" t="s">
        <v>893</v>
      </c>
      <c r="J314" s="399" t="s">
        <v>2417</v>
      </c>
      <c r="K314" s="788">
        <v>44743</v>
      </c>
      <c r="L314" s="399">
        <v>0</v>
      </c>
      <c r="M314" s="399">
        <v>0</v>
      </c>
      <c r="N314" s="399">
        <v>89.667000000000002</v>
      </c>
      <c r="O314" s="399">
        <v>44.838360848070003</v>
      </c>
      <c r="P314" s="399">
        <v>0</v>
      </c>
      <c r="Q314" s="399">
        <v>0</v>
      </c>
      <c r="R314" s="399"/>
      <c r="S314" s="399">
        <v>3305.85</v>
      </c>
      <c r="T314" s="399"/>
      <c r="U314" s="399"/>
      <c r="V314" s="399">
        <v>296425.65194999997</v>
      </c>
      <c r="W314" s="399">
        <v>296425.65194999997</v>
      </c>
      <c r="X314" s="399">
        <v>214259.2965</v>
      </c>
      <c r="Y314" s="399">
        <v>0</v>
      </c>
      <c r="Z314" s="399">
        <v>4747.8153835569319</v>
      </c>
      <c r="AA314" s="399">
        <v>0</v>
      </c>
      <c r="AB314" s="399">
        <v>0</v>
      </c>
      <c r="AC314" s="399">
        <v>0</v>
      </c>
      <c r="AD314" s="399">
        <v>58461.545360144795</v>
      </c>
      <c r="AE314" s="399">
        <v>228954.70135956077</v>
      </c>
      <c r="AF314" s="399"/>
      <c r="AG314" s="399"/>
      <c r="AH314" s="399"/>
      <c r="AI314" s="399">
        <v>0</v>
      </c>
      <c r="AJ314" s="399">
        <v>0</v>
      </c>
      <c r="AK314" s="399">
        <v>0</v>
      </c>
      <c r="AL314" s="399">
        <v>843.39784490858563</v>
      </c>
      <c r="AM314" s="399"/>
      <c r="AN314" s="399">
        <v>122.85162934362212</v>
      </c>
      <c r="AO314" s="399">
        <v>0</v>
      </c>
      <c r="AP314" s="399">
        <v>0</v>
      </c>
      <c r="AQ314" s="399">
        <v>0</v>
      </c>
      <c r="AR314" s="399">
        <v>0</v>
      </c>
      <c r="AS314" s="399"/>
      <c r="AT314" s="399"/>
      <c r="AU314" s="399">
        <v>0</v>
      </c>
      <c r="AV314" s="399">
        <v>0</v>
      </c>
      <c r="AW314" s="399">
        <v>0</v>
      </c>
      <c r="AX314" s="399"/>
      <c r="AY314" s="399"/>
      <c r="AZ314" s="399">
        <v>0</v>
      </c>
      <c r="BA314" s="399"/>
      <c r="BB314" s="399">
        <v>0</v>
      </c>
      <c r="BC314" s="399">
        <v>0</v>
      </c>
      <c r="BD314" s="399">
        <v>0</v>
      </c>
      <c r="BE314" s="399">
        <v>0</v>
      </c>
      <c r="BF314" s="399"/>
      <c r="BG314" s="399">
        <v>1056.9314300381643</v>
      </c>
      <c r="BH314" s="399">
        <v>0</v>
      </c>
      <c r="BI314" s="399">
        <v>0</v>
      </c>
      <c r="BJ314" s="399">
        <v>0</v>
      </c>
      <c r="BK314" s="399">
        <v>0</v>
      </c>
      <c r="BL314" s="399">
        <v>0</v>
      </c>
      <c r="BM314" s="399"/>
      <c r="BN314" s="399">
        <v>107118.03325353673</v>
      </c>
      <c r="BO314" s="399"/>
      <c r="BP314" s="399"/>
      <c r="BQ314" s="399"/>
      <c r="BR314" s="399"/>
      <c r="BS314" s="399"/>
      <c r="BT314" s="399"/>
      <c r="BU314" s="399"/>
      <c r="BV314" s="399">
        <v>1056.9314300381643</v>
      </c>
      <c r="BW314" s="399"/>
      <c r="BX314" s="399"/>
      <c r="BY314" s="399"/>
      <c r="BZ314" s="399"/>
      <c r="CA314" s="399"/>
      <c r="CB314" s="399"/>
      <c r="CC314" s="399"/>
      <c r="CD314" s="399"/>
      <c r="CE314" s="399"/>
      <c r="CF314" s="399"/>
      <c r="CG314" s="399"/>
      <c r="CH314" s="399"/>
      <c r="CI314" s="399">
        <v>107145.18000000001</v>
      </c>
      <c r="CJ314" s="399">
        <v>-41083.745209592234</v>
      </c>
      <c r="CK314" s="399"/>
      <c r="CL314" s="399"/>
      <c r="CM314" s="399"/>
      <c r="CN314" s="399"/>
      <c r="CO314" s="399">
        <v>-82166.355449999988</v>
      </c>
      <c r="CP314" s="399">
        <v>0</v>
      </c>
      <c r="CQ314" s="399">
        <v>31</v>
      </c>
      <c r="CR314" s="399">
        <v>1378.9509745360847</v>
      </c>
      <c r="CS314" s="399">
        <v>0</v>
      </c>
      <c r="CT314" s="399">
        <v>0</v>
      </c>
      <c r="CU314" s="399">
        <v>0</v>
      </c>
      <c r="CV314" s="399">
        <v>0</v>
      </c>
      <c r="CW314" s="399"/>
      <c r="CX314" s="399"/>
      <c r="CY314" s="399"/>
      <c r="CZ314" s="399">
        <v>2006.2194373702223</v>
      </c>
      <c r="DA314" s="399">
        <v>0</v>
      </c>
      <c r="DB314" s="399">
        <v>0</v>
      </c>
      <c r="DC314" s="399"/>
      <c r="DD314" s="399"/>
      <c r="DE314" s="399">
        <v>0</v>
      </c>
      <c r="DF314" s="399">
        <v>0</v>
      </c>
      <c r="DG314" s="399">
        <v>-239.21740778621165</v>
      </c>
      <c r="DH314" s="399">
        <v>0</v>
      </c>
      <c r="DI314" s="399">
        <v>-329.38515985601498</v>
      </c>
      <c r="DJ314" s="399"/>
      <c r="DK314" s="399">
        <v>0</v>
      </c>
      <c r="DL314" s="399">
        <v>0</v>
      </c>
      <c r="DM314" s="399"/>
      <c r="DN314" s="399">
        <v>0</v>
      </c>
      <c r="DO314" s="399">
        <v>-48.266223745122829</v>
      </c>
      <c r="DP314" s="399">
        <v>-10.399671446811723</v>
      </c>
      <c r="DQ314" s="399">
        <v>0</v>
      </c>
      <c r="DR314" s="399">
        <v>0</v>
      </c>
      <c r="DS314" s="399"/>
      <c r="DT314" s="399"/>
      <c r="DU314" s="399"/>
      <c r="DV314" s="399">
        <v>228954.70135956077</v>
      </c>
      <c r="DW314" s="399">
        <v>0</v>
      </c>
      <c r="DX314" s="399">
        <v>0</v>
      </c>
      <c r="DY314" s="399">
        <v>-82166.355449999974</v>
      </c>
      <c r="DZ314" s="399"/>
      <c r="EA314" s="399">
        <v>0</v>
      </c>
      <c r="EB314" s="399"/>
      <c r="EC314" s="399">
        <v>-83545.597536328627</v>
      </c>
      <c r="ED314" s="399"/>
      <c r="EE314" s="399">
        <v>0</v>
      </c>
      <c r="EF314" s="399">
        <v>0</v>
      </c>
      <c r="EG314" s="399"/>
      <c r="EH314" s="399">
        <v>0</v>
      </c>
      <c r="EI314" s="399">
        <v>0</v>
      </c>
      <c r="EJ314" s="399">
        <v>0</v>
      </c>
      <c r="EK314" s="399">
        <v>0</v>
      </c>
      <c r="EL314" s="399">
        <v>0</v>
      </c>
      <c r="EM314" s="399"/>
      <c r="EN314" s="399"/>
      <c r="EO314" s="399">
        <v>0</v>
      </c>
      <c r="EP314" s="399">
        <v>2238.7573997879276</v>
      </c>
      <c r="EQ314" s="399"/>
      <c r="ER314" s="399">
        <v>0</v>
      </c>
      <c r="ES314" s="399"/>
      <c r="ET314" s="399">
        <v>0</v>
      </c>
      <c r="EU314" s="399"/>
      <c r="EV314" s="399">
        <v>202</v>
      </c>
      <c r="EW314" s="399"/>
      <c r="EX314" s="399"/>
      <c r="EY314" s="399"/>
      <c r="EZ314" s="399"/>
      <c r="FA314" s="399">
        <v>0</v>
      </c>
      <c r="FB314" s="399">
        <v>-17.698635468909799</v>
      </c>
      <c r="FC314" s="399"/>
      <c r="FD314" s="399">
        <v>-17.698635468909799</v>
      </c>
      <c r="FE314" s="399"/>
      <c r="FF314" s="399">
        <v>0</v>
      </c>
      <c r="FG314" s="399">
        <v>0</v>
      </c>
      <c r="FH314" s="399">
        <v>0</v>
      </c>
      <c r="FI314" s="399">
        <v>0</v>
      </c>
    </row>
    <row r="315" spans="1:165">
      <c r="A315" s="399">
        <v>313</v>
      </c>
      <c r="B315" s="399" t="s">
        <v>956</v>
      </c>
      <c r="C315" s="399" t="s">
        <v>2399</v>
      </c>
      <c r="D315" s="399" t="s">
        <v>533</v>
      </c>
      <c r="E315" s="399" t="s">
        <v>890</v>
      </c>
      <c r="F315" s="399" t="s">
        <v>1239</v>
      </c>
      <c r="G315" s="399" t="s">
        <v>2416</v>
      </c>
      <c r="H315" s="399" t="s">
        <v>1239</v>
      </c>
      <c r="I315" s="399" t="s">
        <v>2326</v>
      </c>
      <c r="J315" s="399" t="s">
        <v>2417</v>
      </c>
      <c r="K315" s="788">
        <v>44743</v>
      </c>
      <c r="L315" s="399">
        <v>0</v>
      </c>
      <c r="M315" s="399">
        <v>0</v>
      </c>
      <c r="N315" s="399">
        <v>897.19799999999998</v>
      </c>
      <c r="O315" s="399">
        <v>897.19799999999998</v>
      </c>
      <c r="P315" s="399">
        <v>0</v>
      </c>
      <c r="Q315" s="399">
        <v>0</v>
      </c>
      <c r="R315" s="399"/>
      <c r="S315" s="399">
        <v>100.48</v>
      </c>
      <c r="T315" s="399"/>
      <c r="U315" s="399"/>
      <c r="V315" s="399">
        <v>90150.455040000001</v>
      </c>
      <c r="W315" s="399">
        <v>90150.455040000001</v>
      </c>
      <c r="X315" s="399">
        <v>83870.069040000002</v>
      </c>
      <c r="Y315" s="399">
        <v>0</v>
      </c>
      <c r="Z315" s="399">
        <v>47506.111127800774</v>
      </c>
      <c r="AA315" s="399">
        <v>0</v>
      </c>
      <c r="AB315" s="399">
        <v>0</v>
      </c>
      <c r="AC315" s="399">
        <v>0</v>
      </c>
      <c r="AD315" s="399">
        <v>0</v>
      </c>
      <c r="AE315" s="399">
        <v>0</v>
      </c>
      <c r="AF315" s="399"/>
      <c r="AG315" s="399"/>
      <c r="AH315" s="399"/>
      <c r="AI315" s="399">
        <v>0</v>
      </c>
      <c r="AJ315" s="399">
        <v>0</v>
      </c>
      <c r="AK315" s="399">
        <v>0</v>
      </c>
      <c r="AL315" s="399">
        <v>8438.9447584539812</v>
      </c>
      <c r="AM315" s="399"/>
      <c r="AN315" s="399">
        <v>1229.2396995978352</v>
      </c>
      <c r="AO315" s="399">
        <v>0</v>
      </c>
      <c r="AP315" s="399">
        <v>0</v>
      </c>
      <c r="AQ315" s="399">
        <v>0</v>
      </c>
      <c r="AR315" s="399">
        <v>0</v>
      </c>
      <c r="AS315" s="399"/>
      <c r="AT315" s="399"/>
      <c r="AU315" s="399">
        <v>0</v>
      </c>
      <c r="AV315" s="399">
        <v>0</v>
      </c>
      <c r="AW315" s="399">
        <v>0</v>
      </c>
      <c r="AX315" s="399"/>
      <c r="AY315" s="399"/>
      <c r="AZ315" s="399">
        <v>0</v>
      </c>
      <c r="BA315" s="399"/>
      <c r="BB315" s="399">
        <v>0</v>
      </c>
      <c r="BC315" s="399">
        <v>0</v>
      </c>
      <c r="BD315" s="399">
        <v>0</v>
      </c>
      <c r="BE315" s="399">
        <v>0</v>
      </c>
      <c r="BF315" s="399"/>
      <c r="BG315" s="399">
        <v>10575.537992431784</v>
      </c>
      <c r="BH315" s="399">
        <v>0</v>
      </c>
      <c r="BI315" s="399">
        <v>0</v>
      </c>
      <c r="BJ315" s="399">
        <v>0</v>
      </c>
      <c r="BK315" s="399">
        <v>0</v>
      </c>
      <c r="BL315" s="399">
        <v>0</v>
      </c>
      <c r="BM315" s="399"/>
      <c r="BN315" s="399"/>
      <c r="BO315" s="399"/>
      <c r="BP315" s="399"/>
      <c r="BQ315" s="399"/>
      <c r="BR315" s="399"/>
      <c r="BS315" s="399"/>
      <c r="BT315" s="399"/>
      <c r="BU315" s="399"/>
      <c r="BV315" s="399">
        <v>10575.537992431784</v>
      </c>
      <c r="BW315" s="399"/>
      <c r="BX315" s="399"/>
      <c r="BY315" s="399"/>
      <c r="BZ315" s="399"/>
      <c r="CA315" s="399"/>
      <c r="CB315" s="399"/>
      <c r="CC315" s="399"/>
      <c r="CD315" s="399"/>
      <c r="CE315" s="399"/>
      <c r="CF315" s="399"/>
      <c r="CG315" s="399"/>
      <c r="CH315" s="399"/>
      <c r="CI315" s="399">
        <v>83870.256000000008</v>
      </c>
      <c r="CJ315" s="399">
        <v>-6280.2290399999765</v>
      </c>
      <c r="CK315" s="399"/>
      <c r="CL315" s="399"/>
      <c r="CM315" s="399"/>
      <c r="CN315" s="399"/>
      <c r="CO315" s="399">
        <v>-6280.3859999999995</v>
      </c>
      <c r="CP315" s="399">
        <v>0</v>
      </c>
      <c r="CQ315" s="399">
        <v>31</v>
      </c>
      <c r="CR315" s="399">
        <v>-6276.3782697969582</v>
      </c>
      <c r="CS315" s="399">
        <v>0</v>
      </c>
      <c r="CT315" s="399">
        <v>0</v>
      </c>
      <c r="CU315" s="399">
        <v>0</v>
      </c>
      <c r="CV315" s="399">
        <v>0</v>
      </c>
      <c r="CW315" s="399"/>
      <c r="CX315" s="399"/>
      <c r="CY315" s="399"/>
      <c r="CZ315" s="399">
        <v>0</v>
      </c>
      <c r="DA315" s="399">
        <v>0</v>
      </c>
      <c r="DB315" s="399">
        <v>0</v>
      </c>
      <c r="DC315" s="399"/>
      <c r="DD315" s="399"/>
      <c r="DE315" s="399">
        <v>0</v>
      </c>
      <c r="DF315" s="399">
        <v>0</v>
      </c>
      <c r="DG315" s="399">
        <v>-2393.5826985510093</v>
      </c>
      <c r="DH315" s="399">
        <v>0</v>
      </c>
      <c r="DI315" s="399">
        <v>-3295.7911679045428</v>
      </c>
      <c r="DJ315" s="399"/>
      <c r="DK315" s="399">
        <v>0</v>
      </c>
      <c r="DL315" s="399">
        <v>0</v>
      </c>
      <c r="DM315" s="399"/>
      <c r="DN315" s="399">
        <v>0</v>
      </c>
      <c r="DO315" s="399">
        <v>-482.9464508869105</v>
      </c>
      <c r="DP315" s="399">
        <v>-104.05795245448803</v>
      </c>
      <c r="DQ315" s="399">
        <v>0</v>
      </c>
      <c r="DR315" s="399">
        <v>0</v>
      </c>
      <c r="DS315" s="399"/>
      <c r="DT315" s="399"/>
      <c r="DU315" s="399"/>
      <c r="DV315" s="399">
        <v>0</v>
      </c>
      <c r="DW315" s="399">
        <v>0</v>
      </c>
      <c r="DX315" s="399">
        <v>0</v>
      </c>
      <c r="DY315" s="399">
        <v>-6280.3859999999986</v>
      </c>
      <c r="DZ315" s="399"/>
      <c r="EA315" s="399">
        <v>0</v>
      </c>
      <c r="EB315" s="399"/>
      <c r="EC315" s="399">
        <v>0</v>
      </c>
      <c r="ED315" s="399"/>
      <c r="EE315" s="399">
        <v>0</v>
      </c>
      <c r="EF315" s="399">
        <v>0</v>
      </c>
      <c r="EG315" s="399"/>
      <c r="EH315" s="399">
        <v>0</v>
      </c>
      <c r="EI315" s="399">
        <v>0</v>
      </c>
      <c r="EJ315" s="399">
        <v>0</v>
      </c>
      <c r="EK315" s="399">
        <v>0</v>
      </c>
      <c r="EL315" s="399">
        <v>0</v>
      </c>
      <c r="EM315" s="399"/>
      <c r="EN315" s="399"/>
      <c r="EO315" s="399">
        <v>0</v>
      </c>
      <c r="EP315" s="399">
        <v>22400.756817724796</v>
      </c>
      <c r="EQ315" s="399"/>
      <c r="ER315" s="399">
        <v>0</v>
      </c>
      <c r="ES315" s="399"/>
      <c r="ET315" s="399">
        <v>0</v>
      </c>
      <c r="EU315" s="399"/>
      <c r="EV315" s="399">
        <v>202</v>
      </c>
      <c r="EW315" s="399"/>
      <c r="EX315" s="399"/>
      <c r="EY315" s="399"/>
      <c r="EZ315" s="399"/>
      <c r="FA315" s="399">
        <v>0</v>
      </c>
      <c r="FB315" s="399">
        <v>-17.698635468909799</v>
      </c>
      <c r="FC315" s="399"/>
      <c r="FD315" s="399">
        <v>-17.698635468909799</v>
      </c>
      <c r="FE315" s="399"/>
      <c r="FF315" s="399">
        <v>0</v>
      </c>
      <c r="FG315" s="399">
        <v>0</v>
      </c>
      <c r="FH315" s="399">
        <v>0</v>
      </c>
      <c r="FI315" s="399">
        <v>0</v>
      </c>
    </row>
    <row r="316" spans="1:165">
      <c r="A316" s="399">
        <v>314</v>
      </c>
      <c r="B316" s="399" t="s">
        <v>956</v>
      </c>
      <c r="C316" s="399" t="s">
        <v>2399</v>
      </c>
      <c r="D316" s="399" t="s">
        <v>533</v>
      </c>
      <c r="E316" s="399" t="s">
        <v>890</v>
      </c>
      <c r="F316" s="399" t="s">
        <v>1239</v>
      </c>
      <c r="G316" s="399" t="s">
        <v>2416</v>
      </c>
      <c r="H316" s="399" t="s">
        <v>1239</v>
      </c>
      <c r="I316" s="399" t="s">
        <v>1239</v>
      </c>
      <c r="J316" s="399" t="s">
        <v>2417</v>
      </c>
      <c r="K316" s="788">
        <v>44743</v>
      </c>
      <c r="L316" s="399">
        <v>2100</v>
      </c>
      <c r="M316" s="399">
        <v>1050</v>
      </c>
      <c r="N316" s="399">
        <v>0</v>
      </c>
      <c r="O316" s="399">
        <v>0</v>
      </c>
      <c r="P316" s="399">
        <v>0</v>
      </c>
      <c r="Q316" s="399">
        <v>0</v>
      </c>
      <c r="R316" s="399">
        <v>39.21</v>
      </c>
      <c r="S316" s="399"/>
      <c r="T316" s="399"/>
      <c r="U316" s="399">
        <v>82341</v>
      </c>
      <c r="V316" s="399"/>
      <c r="W316" s="399">
        <v>82341</v>
      </c>
      <c r="X316" s="399">
        <v>62664</v>
      </c>
      <c r="Y316" s="399">
        <v>0</v>
      </c>
      <c r="Z316" s="399">
        <v>0</v>
      </c>
      <c r="AA316" s="399">
        <v>0</v>
      </c>
      <c r="AB316" s="399">
        <v>0</v>
      </c>
      <c r="AC316" s="399">
        <v>0</v>
      </c>
      <c r="AD316" s="399">
        <v>25939.682920966083</v>
      </c>
      <c r="AE316" s="399">
        <v>56410.181582333462</v>
      </c>
      <c r="AF316" s="399"/>
      <c r="AG316" s="399"/>
      <c r="AH316" s="399"/>
      <c r="AI316" s="399">
        <v>0</v>
      </c>
      <c r="AJ316" s="399">
        <v>0</v>
      </c>
      <c r="AK316" s="399">
        <v>0</v>
      </c>
      <c r="AL316" s="399">
        <v>0</v>
      </c>
      <c r="AM316" s="399"/>
      <c r="AN316" s="399">
        <v>0</v>
      </c>
      <c r="AO316" s="399">
        <v>0</v>
      </c>
      <c r="AP316" s="399">
        <v>0</v>
      </c>
      <c r="AQ316" s="399">
        <v>0</v>
      </c>
      <c r="AR316" s="399">
        <v>0</v>
      </c>
      <c r="AS316" s="399"/>
      <c r="AT316" s="399"/>
      <c r="AU316" s="399">
        <v>0</v>
      </c>
      <c r="AV316" s="399">
        <v>0</v>
      </c>
      <c r="AW316" s="399">
        <v>0</v>
      </c>
      <c r="AX316" s="399"/>
      <c r="AY316" s="399"/>
      <c r="AZ316" s="399">
        <v>0</v>
      </c>
      <c r="BA316" s="399"/>
      <c r="BB316" s="399">
        <v>0</v>
      </c>
      <c r="BC316" s="399">
        <v>0</v>
      </c>
      <c r="BD316" s="399">
        <v>0</v>
      </c>
      <c r="BE316" s="399">
        <v>0</v>
      </c>
      <c r="BF316" s="399"/>
      <c r="BG316" s="399">
        <v>0</v>
      </c>
      <c r="BH316" s="399">
        <v>0</v>
      </c>
      <c r="BI316" s="399">
        <v>7136.73</v>
      </c>
      <c r="BJ316" s="399">
        <v>0</v>
      </c>
      <c r="BK316" s="399">
        <v>78220.13</v>
      </c>
      <c r="BL316" s="399">
        <v>1</v>
      </c>
      <c r="BM316" s="399"/>
      <c r="BN316" s="399">
        <v>31332</v>
      </c>
      <c r="BO316" s="399"/>
      <c r="BP316" s="399"/>
      <c r="BQ316" s="399"/>
      <c r="BR316" s="399"/>
      <c r="BS316" s="399"/>
      <c r="BT316" s="399"/>
      <c r="BU316" s="399"/>
      <c r="BV316" s="399">
        <v>0</v>
      </c>
      <c r="BW316" s="399"/>
      <c r="BX316" s="399"/>
      <c r="BY316" s="399"/>
      <c r="BZ316" s="399"/>
      <c r="CA316" s="399"/>
      <c r="CB316" s="399"/>
      <c r="CC316" s="399"/>
      <c r="CD316" s="399"/>
      <c r="CE316" s="399"/>
      <c r="CF316" s="399"/>
      <c r="CG316" s="399"/>
      <c r="CH316" s="399"/>
      <c r="CI316" s="399">
        <v>31332</v>
      </c>
      <c r="CJ316" s="399">
        <v>-9838.5300000000061</v>
      </c>
      <c r="CK316" s="399"/>
      <c r="CL316" s="399"/>
      <c r="CM316" s="399"/>
      <c r="CN316" s="399"/>
      <c r="CO316" s="399">
        <v>-19677.000000000004</v>
      </c>
      <c r="CP316" s="399">
        <v>0</v>
      </c>
      <c r="CQ316" s="399">
        <v>31</v>
      </c>
      <c r="CR316" s="399">
        <v>890.16969624512785</v>
      </c>
      <c r="CS316" s="399">
        <v>0</v>
      </c>
      <c r="CT316" s="399">
        <v>0</v>
      </c>
      <c r="CU316" s="399">
        <v>0</v>
      </c>
      <c r="CV316" s="399">
        <v>0</v>
      </c>
      <c r="CW316" s="399"/>
      <c r="CX316" s="399"/>
      <c r="CY316" s="399"/>
      <c r="CZ316" s="399">
        <v>890.16969624512785</v>
      </c>
      <c r="DA316" s="399">
        <v>0</v>
      </c>
      <c r="DB316" s="399">
        <v>0</v>
      </c>
      <c r="DC316" s="399"/>
      <c r="DD316" s="399"/>
      <c r="DE316" s="399">
        <v>0</v>
      </c>
      <c r="DF316" s="399">
        <v>0</v>
      </c>
      <c r="DG316" s="399">
        <v>0</v>
      </c>
      <c r="DH316" s="399">
        <v>0</v>
      </c>
      <c r="DI316" s="399">
        <v>0</v>
      </c>
      <c r="DJ316" s="399"/>
      <c r="DK316" s="399">
        <v>0</v>
      </c>
      <c r="DL316" s="399">
        <v>0</v>
      </c>
      <c r="DM316" s="399"/>
      <c r="DN316" s="399">
        <v>0</v>
      </c>
      <c r="DO316" s="399">
        <v>0</v>
      </c>
      <c r="DP316" s="399">
        <v>0</v>
      </c>
      <c r="DQ316" s="399">
        <v>0</v>
      </c>
      <c r="DR316" s="399">
        <v>0</v>
      </c>
      <c r="DS316" s="399"/>
      <c r="DT316" s="399"/>
      <c r="DU316" s="399">
        <v>56410.181582333462</v>
      </c>
      <c r="DV316" s="399"/>
      <c r="DW316" s="399">
        <v>0</v>
      </c>
      <c r="DX316" s="399">
        <v>0</v>
      </c>
      <c r="DY316" s="399">
        <v>-19677</v>
      </c>
      <c r="DZ316" s="399"/>
      <c r="EA316" s="399">
        <v>0</v>
      </c>
      <c r="EB316" s="399"/>
      <c r="EC316" s="399">
        <v>-20584.081914210576</v>
      </c>
      <c r="ED316" s="399"/>
      <c r="EE316" s="399">
        <v>0</v>
      </c>
      <c r="EF316" s="399">
        <v>0</v>
      </c>
      <c r="EG316" s="399"/>
      <c r="EH316" s="399">
        <v>0</v>
      </c>
      <c r="EI316" s="399">
        <v>0</v>
      </c>
      <c r="EJ316" s="399">
        <v>0</v>
      </c>
      <c r="EK316" s="399">
        <v>0</v>
      </c>
      <c r="EL316" s="399">
        <v>0</v>
      </c>
      <c r="EM316" s="399"/>
      <c r="EN316" s="399"/>
      <c r="EO316" s="399">
        <v>0</v>
      </c>
      <c r="EP316" s="399">
        <v>0</v>
      </c>
      <c r="EQ316" s="399"/>
      <c r="ER316" s="399">
        <v>0</v>
      </c>
      <c r="ES316" s="399"/>
      <c r="ET316" s="399">
        <v>0</v>
      </c>
      <c r="EU316" s="399"/>
      <c r="EV316" s="399">
        <v>202</v>
      </c>
      <c r="EW316" s="399"/>
      <c r="EX316" s="399"/>
      <c r="EY316" s="399"/>
      <c r="EZ316" s="399"/>
      <c r="FA316" s="399">
        <v>0</v>
      </c>
      <c r="FB316" s="399">
        <v>-17.698635468909799</v>
      </c>
      <c r="FC316" s="399"/>
      <c r="FD316" s="399">
        <v>-17.698635468909799</v>
      </c>
      <c r="FE316" s="399"/>
      <c r="FF316" s="399">
        <v>0</v>
      </c>
      <c r="FG316" s="399">
        <v>0</v>
      </c>
      <c r="FH316" s="399">
        <v>0</v>
      </c>
      <c r="FI316" s="399">
        <v>0</v>
      </c>
    </row>
    <row r="317" spans="1:165">
      <c r="A317" s="399">
        <v>315</v>
      </c>
      <c r="B317" s="399" t="s">
        <v>956</v>
      </c>
      <c r="C317" s="399" t="s">
        <v>2399</v>
      </c>
      <c r="D317" s="399" t="s">
        <v>533</v>
      </c>
      <c r="E317" s="399" t="s">
        <v>890</v>
      </c>
      <c r="F317" s="399" t="s">
        <v>1239</v>
      </c>
      <c r="G317" s="399" t="s">
        <v>2416</v>
      </c>
      <c r="H317" s="399" t="s">
        <v>1239</v>
      </c>
      <c r="I317" s="399" t="s">
        <v>893</v>
      </c>
      <c r="J317" s="399" t="s">
        <v>2417</v>
      </c>
      <c r="K317" s="788">
        <v>44774</v>
      </c>
      <c r="L317" s="399">
        <v>0</v>
      </c>
      <c r="M317" s="399">
        <v>0</v>
      </c>
      <c r="N317" s="399">
        <v>92.382999999999996</v>
      </c>
      <c r="O317" s="399">
        <v>47.998565062140003</v>
      </c>
      <c r="P317" s="399">
        <v>0</v>
      </c>
      <c r="Q317" s="399">
        <v>0</v>
      </c>
      <c r="R317" s="399"/>
      <c r="S317" s="399">
        <v>3305.85</v>
      </c>
      <c r="T317" s="399"/>
      <c r="U317" s="399"/>
      <c r="V317" s="399">
        <v>305404.34054999996</v>
      </c>
      <c r="W317" s="399">
        <v>305404.34054999996</v>
      </c>
      <c r="X317" s="399">
        <v>220749.17849999998</v>
      </c>
      <c r="Y317" s="399">
        <v>0</v>
      </c>
      <c r="Z317" s="399">
        <v>4891.6260004141986</v>
      </c>
      <c r="AA317" s="399">
        <v>0</v>
      </c>
      <c r="AB317" s="399">
        <v>0</v>
      </c>
      <c r="AC317" s="399">
        <v>0</v>
      </c>
      <c r="AD317" s="399">
        <v>60232.336812944071</v>
      </c>
      <c r="AE317" s="399">
        <v>235889.70497173208</v>
      </c>
      <c r="AF317" s="399"/>
      <c r="AG317" s="399"/>
      <c r="AH317" s="399"/>
      <c r="AI317" s="399">
        <v>0</v>
      </c>
      <c r="AJ317" s="399">
        <v>0</v>
      </c>
      <c r="AK317" s="399">
        <v>0</v>
      </c>
      <c r="AL317" s="399">
        <v>868.94423930977791</v>
      </c>
      <c r="AM317" s="399"/>
      <c r="AN317" s="399">
        <v>126.57278679616628</v>
      </c>
      <c r="AO317" s="399">
        <v>0</v>
      </c>
      <c r="AP317" s="399">
        <v>0</v>
      </c>
      <c r="AQ317" s="399">
        <v>0</v>
      </c>
      <c r="AR317" s="399">
        <v>0</v>
      </c>
      <c r="AS317" s="399"/>
      <c r="AT317" s="399"/>
      <c r="AU317" s="399">
        <v>0</v>
      </c>
      <c r="AV317" s="399">
        <v>0</v>
      </c>
      <c r="AW317" s="399">
        <v>0</v>
      </c>
      <c r="AX317" s="399"/>
      <c r="AY317" s="399"/>
      <c r="AZ317" s="399">
        <v>0</v>
      </c>
      <c r="BA317" s="399"/>
      <c r="BB317" s="399">
        <v>0</v>
      </c>
      <c r="BC317" s="399">
        <v>0</v>
      </c>
      <c r="BD317" s="399">
        <v>0</v>
      </c>
      <c r="BE317" s="399">
        <v>0</v>
      </c>
      <c r="BF317" s="399"/>
      <c r="BG317" s="399">
        <v>1088.9457247506409</v>
      </c>
      <c r="BH317" s="399">
        <v>0</v>
      </c>
      <c r="BI317" s="399">
        <v>0</v>
      </c>
      <c r="BJ317" s="399">
        <v>0</v>
      </c>
      <c r="BK317" s="399">
        <v>0</v>
      </c>
      <c r="BL317" s="399">
        <v>0</v>
      </c>
      <c r="BM317" s="399"/>
      <c r="BN317" s="399">
        <v>106056.60728401646</v>
      </c>
      <c r="BO317" s="399"/>
      <c r="BP317" s="399"/>
      <c r="BQ317" s="399"/>
      <c r="BR317" s="399"/>
      <c r="BS317" s="399"/>
      <c r="BT317" s="399"/>
      <c r="BU317" s="399"/>
      <c r="BV317" s="399">
        <v>1088.9457247506409</v>
      </c>
      <c r="BW317" s="399"/>
      <c r="BX317" s="399"/>
      <c r="BY317" s="399"/>
      <c r="BZ317" s="399"/>
      <c r="CA317" s="399"/>
      <c r="CB317" s="399"/>
      <c r="CC317" s="399"/>
      <c r="CD317" s="399"/>
      <c r="CE317" s="399"/>
      <c r="CF317" s="399"/>
      <c r="CG317" s="399"/>
      <c r="CH317" s="399"/>
      <c r="CI317" s="399">
        <v>114696</v>
      </c>
      <c r="CJ317" s="399">
        <v>-43980.086310675542</v>
      </c>
      <c r="CK317" s="399"/>
      <c r="CL317" s="399"/>
      <c r="CM317" s="399"/>
      <c r="CN317" s="399"/>
      <c r="CO317" s="399">
        <v>-84655.162049999984</v>
      </c>
      <c r="CP317" s="399">
        <v>0</v>
      </c>
      <c r="CQ317" s="399">
        <v>31</v>
      </c>
      <c r="CR317" s="399">
        <v>1420.7191930204717</v>
      </c>
      <c r="CS317" s="399">
        <v>0</v>
      </c>
      <c r="CT317" s="399">
        <v>0</v>
      </c>
      <c r="CU317" s="399">
        <v>0</v>
      </c>
      <c r="CV317" s="399">
        <v>0</v>
      </c>
      <c r="CW317" s="399"/>
      <c r="CX317" s="399"/>
      <c r="CY317" s="399"/>
      <c r="CZ317" s="399">
        <v>2066.9875236438529</v>
      </c>
      <c r="DA317" s="399">
        <v>0</v>
      </c>
      <c r="DB317" s="399">
        <v>0</v>
      </c>
      <c r="DC317" s="399"/>
      <c r="DD317" s="399"/>
      <c r="DE317" s="399">
        <v>0</v>
      </c>
      <c r="DF317" s="399">
        <v>0</v>
      </c>
      <c r="DG317" s="399">
        <v>-246.46326723893492</v>
      </c>
      <c r="DH317" s="399">
        <v>0</v>
      </c>
      <c r="DI317" s="399">
        <v>-339.36218701393136</v>
      </c>
      <c r="DJ317" s="399"/>
      <c r="DK317" s="399">
        <v>0</v>
      </c>
      <c r="DL317" s="399">
        <v>0</v>
      </c>
      <c r="DM317" s="399"/>
      <c r="DN317" s="399">
        <v>0</v>
      </c>
      <c r="DO317" s="399">
        <v>-49.728200433221559</v>
      </c>
      <c r="DP317" s="399">
        <v>-10.714675937310346</v>
      </c>
      <c r="DQ317" s="399">
        <v>0</v>
      </c>
      <c r="DR317" s="399">
        <v>0</v>
      </c>
      <c r="DS317" s="399"/>
      <c r="DT317" s="399"/>
      <c r="DU317" s="399"/>
      <c r="DV317" s="399">
        <v>235889.70497173208</v>
      </c>
      <c r="DW317" s="399">
        <v>0</v>
      </c>
      <c r="DX317" s="399">
        <v>0</v>
      </c>
      <c r="DY317" s="399">
        <v>-84655.162049999984</v>
      </c>
      <c r="DZ317" s="399"/>
      <c r="EA317" s="399">
        <v>0</v>
      </c>
      <c r="EB317" s="399"/>
      <c r="EC317" s="399">
        <v>-86076.181172545592</v>
      </c>
      <c r="ED317" s="399"/>
      <c r="EE317" s="399">
        <v>0</v>
      </c>
      <c r="EF317" s="399">
        <v>0</v>
      </c>
      <c r="EG317" s="399"/>
      <c r="EH317" s="399">
        <v>0</v>
      </c>
      <c r="EI317" s="399">
        <v>0</v>
      </c>
      <c r="EJ317" s="399">
        <v>0</v>
      </c>
      <c r="EK317" s="399">
        <v>0</v>
      </c>
      <c r="EL317" s="399">
        <v>0</v>
      </c>
      <c r="EM317" s="399"/>
      <c r="EN317" s="399"/>
      <c r="EO317" s="399">
        <v>0</v>
      </c>
      <c r="EP317" s="399">
        <v>2306.5690261144914</v>
      </c>
      <c r="EQ317" s="399"/>
      <c r="ER317" s="399">
        <v>0</v>
      </c>
      <c r="ES317" s="399"/>
      <c r="ET317" s="399">
        <v>0</v>
      </c>
      <c r="EU317" s="399"/>
      <c r="EV317" s="399">
        <v>202</v>
      </c>
      <c r="EW317" s="399"/>
      <c r="EX317" s="399"/>
      <c r="EY317" s="399"/>
      <c r="EZ317" s="399"/>
      <c r="FA317" s="399">
        <v>0</v>
      </c>
      <c r="FB317" s="399">
        <v>-17.698635468909799</v>
      </c>
      <c r="FC317" s="399"/>
      <c r="FD317" s="399">
        <v>-17.698635468909799</v>
      </c>
      <c r="FE317" s="399"/>
      <c r="FF317" s="399">
        <v>0</v>
      </c>
      <c r="FG317" s="399">
        <v>0</v>
      </c>
      <c r="FH317" s="399">
        <v>0</v>
      </c>
      <c r="FI317" s="399">
        <v>0</v>
      </c>
    </row>
    <row r="318" spans="1:165">
      <c r="A318" s="260">
        <v>316</v>
      </c>
      <c r="B318" s="260" t="s">
        <v>956</v>
      </c>
      <c r="C318" s="260" t="s">
        <v>2399</v>
      </c>
      <c r="D318" s="260" t="s">
        <v>533</v>
      </c>
      <c r="E318" s="260" t="s">
        <v>890</v>
      </c>
      <c r="F318" s="260" t="s">
        <v>1239</v>
      </c>
      <c r="G318" s="260" t="s">
        <v>2416</v>
      </c>
      <c r="H318" s="260" t="s">
        <v>1239</v>
      </c>
      <c r="I318" s="260" t="s">
        <v>2326</v>
      </c>
      <c r="J318" s="260" t="s">
        <v>2417</v>
      </c>
      <c r="K318" s="1770">
        <v>44774</v>
      </c>
      <c r="L318" s="260">
        <v>0</v>
      </c>
      <c r="M318" s="260">
        <v>0</v>
      </c>
      <c r="N318" s="260">
        <v>874.66499999999996</v>
      </c>
      <c r="O318" s="260">
        <v>874.66499999999996</v>
      </c>
      <c r="P318" s="260">
        <v>0</v>
      </c>
      <c r="Q318" s="260">
        <v>0</v>
      </c>
      <c r="R318" s="260"/>
      <c r="S318" s="260">
        <v>100.48</v>
      </c>
      <c r="T318" s="260"/>
      <c r="U318" s="260"/>
      <c r="V318" s="260">
        <v>87886.339200000002</v>
      </c>
      <c r="W318" s="260">
        <v>87886.339200000002</v>
      </c>
      <c r="X318" s="260">
        <v>81763.684200000003</v>
      </c>
      <c r="Y318" s="260">
        <v>0</v>
      </c>
      <c r="Z318" s="260">
        <v>46313.00191217308</v>
      </c>
      <c r="AA318" s="260">
        <v>0</v>
      </c>
      <c r="AB318" s="260">
        <v>0</v>
      </c>
      <c r="AC318" s="260">
        <v>0</v>
      </c>
      <c r="AD318" s="260">
        <v>0</v>
      </c>
      <c r="AE318" s="260">
        <v>0</v>
      </c>
      <c r="AF318" s="260"/>
      <c r="AG318" s="260"/>
      <c r="AH318" s="260"/>
      <c r="AI318" s="260">
        <v>0</v>
      </c>
      <c r="AJ318" s="260">
        <v>0</v>
      </c>
      <c r="AK318" s="260">
        <v>0</v>
      </c>
      <c r="AL318" s="260">
        <v>8227.0018626358415</v>
      </c>
      <c r="AM318" s="260"/>
      <c r="AN318" s="260">
        <v>1198.3675195985061</v>
      </c>
      <c r="AO318" s="260">
        <v>0</v>
      </c>
      <c r="AP318" s="260">
        <v>0</v>
      </c>
      <c r="AQ318" s="260">
        <v>0</v>
      </c>
      <c r="AR318" s="260">
        <v>0</v>
      </c>
      <c r="AS318" s="260"/>
      <c r="AT318" s="260"/>
      <c r="AU318" s="260">
        <v>0</v>
      </c>
      <c r="AV318" s="260">
        <v>0</v>
      </c>
      <c r="AW318" s="260">
        <v>0</v>
      </c>
      <c r="AX318" s="260"/>
      <c r="AY318" s="260"/>
      <c r="AZ318" s="260">
        <v>0</v>
      </c>
      <c r="BA318" s="260"/>
      <c r="BB318" s="260">
        <v>0</v>
      </c>
      <c r="BC318" s="260">
        <v>0</v>
      </c>
      <c r="BD318" s="260">
        <v>0</v>
      </c>
      <c r="BE318" s="260">
        <v>0</v>
      </c>
      <c r="BF318" s="260"/>
      <c r="BG318" s="260">
        <v>10309.934861814612</v>
      </c>
      <c r="BH318" s="260">
        <v>0</v>
      </c>
      <c r="BI318" s="260">
        <v>0</v>
      </c>
      <c r="BJ318" s="260">
        <v>0</v>
      </c>
      <c r="BK318" s="260">
        <v>0</v>
      </c>
      <c r="BL318" s="260">
        <v>0</v>
      </c>
      <c r="BM318" s="260"/>
      <c r="BN318" s="260"/>
      <c r="BO318" s="260"/>
      <c r="BP318" s="260"/>
      <c r="BQ318" s="260"/>
      <c r="BR318" s="260"/>
      <c r="BS318" s="260"/>
      <c r="BT318" s="260"/>
      <c r="BU318" s="260"/>
      <c r="BV318" s="260">
        <v>10309.934861814612</v>
      </c>
      <c r="BW318" s="260"/>
      <c r="BX318" s="260"/>
      <c r="BY318" s="260"/>
      <c r="BZ318" s="260"/>
      <c r="CA318" s="260"/>
      <c r="CB318" s="260"/>
      <c r="CC318" s="260"/>
      <c r="CD318" s="260"/>
      <c r="CE318" s="260"/>
      <c r="CF318" s="260"/>
      <c r="CG318" s="260"/>
      <c r="CH318" s="260"/>
      <c r="CI318" s="260">
        <v>81764.151599999997</v>
      </c>
      <c r="CJ318" s="260">
        <v>-6122.217599999989</v>
      </c>
      <c r="CK318" s="260"/>
      <c r="CL318" s="260"/>
      <c r="CM318" s="260"/>
      <c r="CN318" s="260"/>
      <c r="CO318" s="260">
        <v>-6122.6549999999997</v>
      </c>
      <c r="CP318" s="260">
        <v>0</v>
      </c>
      <c r="CQ318" s="260">
        <v>31</v>
      </c>
      <c r="CR318" s="260">
        <v>-6118.747923370247</v>
      </c>
      <c r="CS318" s="260">
        <v>0</v>
      </c>
      <c r="CT318" s="260">
        <v>0</v>
      </c>
      <c r="CU318" s="260">
        <v>0</v>
      </c>
      <c r="CV318" s="260">
        <v>0</v>
      </c>
      <c r="CW318" s="260"/>
      <c r="CX318" s="260"/>
      <c r="CY318" s="260"/>
      <c r="CZ318" s="260">
        <v>0</v>
      </c>
      <c r="DA318" s="260">
        <v>0</v>
      </c>
      <c r="DB318" s="260">
        <v>0</v>
      </c>
      <c r="DC318" s="260"/>
      <c r="DD318" s="260"/>
      <c r="DE318" s="260">
        <v>0</v>
      </c>
      <c r="DF318" s="260">
        <v>0</v>
      </c>
      <c r="DG318" s="260">
        <v>-2333.4682099471001</v>
      </c>
      <c r="DH318" s="260">
        <v>0</v>
      </c>
      <c r="DI318" s="260">
        <v>-3213.0178420763623</v>
      </c>
      <c r="DJ318" s="260"/>
      <c r="DK318" s="260">
        <v>0</v>
      </c>
      <c r="DL318" s="260">
        <v>0</v>
      </c>
      <c r="DM318" s="260"/>
      <c r="DN318" s="260">
        <v>0</v>
      </c>
      <c r="DO318" s="260">
        <v>-470.81731954930819</v>
      </c>
      <c r="DP318" s="260">
        <v>-101.44455179749048</v>
      </c>
      <c r="DQ318" s="260">
        <v>0</v>
      </c>
      <c r="DR318" s="260">
        <v>0</v>
      </c>
      <c r="DS318" s="260"/>
      <c r="DT318" s="260"/>
      <c r="DU318" s="260"/>
      <c r="DV318" s="260">
        <v>0</v>
      </c>
      <c r="DW318" s="260">
        <v>0</v>
      </c>
      <c r="DX318" s="260">
        <v>0</v>
      </c>
      <c r="DY318" s="260">
        <v>-6122.6549999999988</v>
      </c>
      <c r="DZ318" s="260"/>
      <c r="EA318" s="260">
        <v>0</v>
      </c>
      <c r="EB318" s="260"/>
      <c r="EC318" s="260">
        <v>0</v>
      </c>
      <c r="ED318" s="260"/>
      <c r="EE318" s="260">
        <v>0</v>
      </c>
      <c r="EF318" s="260">
        <v>0</v>
      </c>
      <c r="EG318" s="260"/>
      <c r="EH318" s="260">
        <v>0</v>
      </c>
      <c r="EI318" s="260">
        <v>0</v>
      </c>
      <c r="EJ318" s="260">
        <v>0</v>
      </c>
      <c r="EK318" s="260">
        <v>0</v>
      </c>
      <c r="EL318" s="260">
        <v>0</v>
      </c>
      <c r="EM318" s="260"/>
      <c r="EN318" s="260"/>
      <c r="EO318" s="260">
        <v>0</v>
      </c>
      <c r="EP318" s="260">
        <v>21838.165000340236</v>
      </c>
      <c r="EQ318" s="260"/>
      <c r="ER318" s="260">
        <v>0</v>
      </c>
      <c r="ES318" s="260"/>
      <c r="ET318" s="260">
        <v>0</v>
      </c>
      <c r="EU318" s="260"/>
      <c r="EV318" s="260">
        <v>202</v>
      </c>
      <c r="EW318" s="260"/>
      <c r="EX318" s="260"/>
      <c r="EY318" s="260"/>
      <c r="EZ318" s="260"/>
      <c r="FA318" s="260">
        <v>0</v>
      </c>
      <c r="FB318" s="260">
        <v>-17.698635468909799</v>
      </c>
      <c r="FC318" s="260"/>
      <c r="FD318" s="260">
        <v>-17.698635468909799</v>
      </c>
      <c r="FE318" s="260"/>
      <c r="FF318" s="260">
        <v>0</v>
      </c>
      <c r="FG318" s="260">
        <v>0</v>
      </c>
      <c r="FH318" s="260">
        <v>0</v>
      </c>
      <c r="FI318" s="260">
        <v>0</v>
      </c>
    </row>
    <row r="319" spans="1:165">
      <c r="A319" s="260">
        <v>317</v>
      </c>
      <c r="B319" s="260" t="s">
        <v>956</v>
      </c>
      <c r="C319" s="260" t="s">
        <v>2399</v>
      </c>
      <c r="D319" s="260" t="s">
        <v>533</v>
      </c>
      <c r="E319" s="260" t="s">
        <v>890</v>
      </c>
      <c r="F319" s="260" t="s">
        <v>1239</v>
      </c>
      <c r="G319" s="260" t="s">
        <v>2416</v>
      </c>
      <c r="H319" s="260" t="s">
        <v>1239</v>
      </c>
      <c r="I319" s="260" t="s">
        <v>1239</v>
      </c>
      <c r="J319" s="260" t="s">
        <v>2417</v>
      </c>
      <c r="K319" s="1770">
        <v>44774</v>
      </c>
      <c r="L319" s="260">
        <v>2100</v>
      </c>
      <c r="M319" s="260">
        <v>1050</v>
      </c>
      <c r="N319" s="260">
        <v>0</v>
      </c>
      <c r="O319" s="260">
        <v>0</v>
      </c>
      <c r="P319" s="260">
        <v>0</v>
      </c>
      <c r="Q319" s="260">
        <v>0</v>
      </c>
      <c r="R319" s="260">
        <v>39.21</v>
      </c>
      <c r="S319" s="260"/>
      <c r="T319" s="260"/>
      <c r="U319" s="260">
        <v>82341</v>
      </c>
      <c r="V319" s="260"/>
      <c r="W319" s="260">
        <v>82341</v>
      </c>
      <c r="X319" s="260">
        <v>62664</v>
      </c>
      <c r="Y319" s="260">
        <v>0</v>
      </c>
      <c r="Z319" s="260">
        <v>0</v>
      </c>
      <c r="AA319" s="260">
        <v>0</v>
      </c>
      <c r="AB319" s="260">
        <v>0</v>
      </c>
      <c r="AC319" s="260">
        <v>0</v>
      </c>
      <c r="AD319" s="260">
        <v>25939.682920966083</v>
      </c>
      <c r="AE319" s="260">
        <v>56410.181582333462</v>
      </c>
      <c r="AF319" s="260"/>
      <c r="AG319" s="260"/>
      <c r="AH319" s="260"/>
      <c r="AI319" s="260">
        <v>0</v>
      </c>
      <c r="AJ319" s="260">
        <v>0</v>
      </c>
      <c r="AK319" s="260">
        <v>0</v>
      </c>
      <c r="AL319" s="260">
        <v>0</v>
      </c>
      <c r="AM319" s="260"/>
      <c r="AN319" s="260">
        <v>0</v>
      </c>
      <c r="AO319" s="260">
        <v>0</v>
      </c>
      <c r="AP319" s="260">
        <v>0</v>
      </c>
      <c r="AQ319" s="260">
        <v>0</v>
      </c>
      <c r="AR319" s="260">
        <v>0</v>
      </c>
      <c r="AS319" s="260"/>
      <c r="AT319" s="260"/>
      <c r="AU319" s="260">
        <v>0</v>
      </c>
      <c r="AV319" s="260">
        <v>0</v>
      </c>
      <c r="AW319" s="260">
        <v>0</v>
      </c>
      <c r="AX319" s="260"/>
      <c r="AY319" s="260"/>
      <c r="AZ319" s="260">
        <v>0</v>
      </c>
      <c r="BA319" s="260"/>
      <c r="BB319" s="260">
        <v>0</v>
      </c>
      <c r="BC319" s="260">
        <v>0</v>
      </c>
      <c r="BD319" s="260">
        <v>0</v>
      </c>
      <c r="BE319" s="260">
        <v>0</v>
      </c>
      <c r="BF319" s="260"/>
      <c r="BG319" s="260">
        <v>0</v>
      </c>
      <c r="BH319" s="260">
        <v>0</v>
      </c>
      <c r="BI319" s="260">
        <v>7223.44</v>
      </c>
      <c r="BJ319" s="260">
        <v>0</v>
      </c>
      <c r="BK319" s="260">
        <v>79321.63</v>
      </c>
      <c r="BL319" s="260">
        <v>1</v>
      </c>
      <c r="BM319" s="260"/>
      <c r="BN319" s="260">
        <v>31332</v>
      </c>
      <c r="BO319" s="260"/>
      <c r="BP319" s="260"/>
      <c r="BQ319" s="260"/>
      <c r="BR319" s="260"/>
      <c r="BS319" s="260"/>
      <c r="BT319" s="260"/>
      <c r="BU319" s="260"/>
      <c r="BV319" s="260">
        <v>0</v>
      </c>
      <c r="BW319" s="260"/>
      <c r="BX319" s="260"/>
      <c r="BY319" s="260"/>
      <c r="BZ319" s="260"/>
      <c r="CA319" s="260"/>
      <c r="CB319" s="260"/>
      <c r="CC319" s="260"/>
      <c r="CD319" s="260"/>
      <c r="CE319" s="260"/>
      <c r="CF319" s="260"/>
      <c r="CG319" s="260"/>
      <c r="CH319" s="260"/>
      <c r="CI319" s="260">
        <v>31332</v>
      </c>
      <c r="CJ319" s="260">
        <v>-9838.5300000000061</v>
      </c>
      <c r="CK319" s="260"/>
      <c r="CL319" s="260"/>
      <c r="CM319" s="260"/>
      <c r="CN319" s="260"/>
      <c r="CO319" s="260">
        <v>-19677.000000000004</v>
      </c>
      <c r="CP319" s="260">
        <v>0</v>
      </c>
      <c r="CQ319" s="260">
        <v>31</v>
      </c>
      <c r="CR319" s="260">
        <v>890.16969624512785</v>
      </c>
      <c r="CS319" s="260">
        <v>0</v>
      </c>
      <c r="CT319" s="260">
        <v>0</v>
      </c>
      <c r="CU319" s="260">
        <v>0</v>
      </c>
      <c r="CV319" s="260">
        <v>0</v>
      </c>
      <c r="CW319" s="260"/>
      <c r="CX319" s="260"/>
      <c r="CY319" s="260"/>
      <c r="CZ319" s="260">
        <v>890.16969624512785</v>
      </c>
      <c r="DA319" s="260">
        <v>0</v>
      </c>
      <c r="DB319" s="260">
        <v>0</v>
      </c>
      <c r="DC319" s="260"/>
      <c r="DD319" s="260"/>
      <c r="DE319" s="260">
        <v>0</v>
      </c>
      <c r="DF319" s="260">
        <v>0</v>
      </c>
      <c r="DG319" s="260">
        <v>0</v>
      </c>
      <c r="DH319" s="260">
        <v>0</v>
      </c>
      <c r="DI319" s="260">
        <v>0</v>
      </c>
      <c r="DJ319" s="260"/>
      <c r="DK319" s="260">
        <v>0</v>
      </c>
      <c r="DL319" s="260">
        <v>0</v>
      </c>
      <c r="DM319" s="260"/>
      <c r="DN319" s="260">
        <v>0</v>
      </c>
      <c r="DO319" s="260">
        <v>0</v>
      </c>
      <c r="DP319" s="260">
        <v>0</v>
      </c>
      <c r="DQ319" s="260">
        <v>0</v>
      </c>
      <c r="DR319" s="260">
        <v>0</v>
      </c>
      <c r="DS319" s="260"/>
      <c r="DT319" s="260"/>
      <c r="DU319" s="260">
        <v>56410.181582333462</v>
      </c>
      <c r="DV319" s="260"/>
      <c r="DW319" s="260">
        <v>0</v>
      </c>
      <c r="DX319" s="260">
        <v>0</v>
      </c>
      <c r="DY319" s="260">
        <v>-19677</v>
      </c>
      <c r="DZ319" s="260"/>
      <c r="EA319" s="260">
        <v>0</v>
      </c>
      <c r="EB319" s="260"/>
      <c r="EC319" s="260">
        <v>-20584.081914210576</v>
      </c>
      <c r="ED319" s="260"/>
      <c r="EE319" s="260">
        <v>0</v>
      </c>
      <c r="EF319" s="260">
        <v>0</v>
      </c>
      <c r="EG319" s="260"/>
      <c r="EH319" s="260">
        <v>0</v>
      </c>
      <c r="EI319" s="260">
        <v>0</v>
      </c>
      <c r="EJ319" s="260">
        <v>0</v>
      </c>
      <c r="EK319" s="260">
        <v>0</v>
      </c>
      <c r="EL319" s="260">
        <v>0</v>
      </c>
      <c r="EM319" s="260"/>
      <c r="EN319" s="260"/>
      <c r="EO319" s="260">
        <v>0</v>
      </c>
      <c r="EP319" s="260">
        <v>0</v>
      </c>
      <c r="EQ319" s="260"/>
      <c r="ER319" s="260">
        <v>0</v>
      </c>
      <c r="ES319" s="260"/>
      <c r="ET319" s="260">
        <v>0</v>
      </c>
      <c r="EU319" s="260"/>
      <c r="EV319" s="260">
        <v>202</v>
      </c>
      <c r="EW319" s="260"/>
      <c r="EX319" s="260"/>
      <c r="EY319" s="260"/>
      <c r="EZ319" s="260"/>
      <c r="FA319" s="260">
        <v>0</v>
      </c>
      <c r="FB319" s="260">
        <v>-17.698635468909799</v>
      </c>
      <c r="FC319" s="260"/>
      <c r="FD319" s="260">
        <v>-17.698635468909799</v>
      </c>
      <c r="FE319" s="260"/>
      <c r="FF319" s="260">
        <v>0</v>
      </c>
      <c r="FG319" s="260">
        <v>0</v>
      </c>
      <c r="FH319" s="260">
        <v>0</v>
      </c>
      <c r="FI319" s="260">
        <v>0</v>
      </c>
    </row>
    <row r="320" spans="1:165">
      <c r="K320" s="261"/>
      <c r="L320" s="261"/>
      <c r="M320" s="261"/>
      <c r="N320" s="261"/>
      <c r="O320" s="261"/>
      <c r="P320" s="261"/>
      <c r="Q320" s="261"/>
      <c r="BR320" s="261"/>
      <c r="BS320" s="261"/>
      <c r="BT320" s="261"/>
      <c r="BU320" s="261"/>
      <c r="BV320" s="261"/>
      <c r="CJ320" s="261"/>
      <c r="CO320" s="261"/>
      <c r="CP320" s="261"/>
      <c r="CQ320" s="261"/>
      <c r="CR320" s="261"/>
      <c r="CS320" s="261"/>
      <c r="CT320" s="261"/>
      <c r="CU320" s="261"/>
      <c r="CV320" s="261"/>
      <c r="CW320" s="261"/>
      <c r="CX320" s="261"/>
      <c r="CY320" s="261"/>
      <c r="CZ320" s="261"/>
      <c r="DA320" s="261"/>
      <c r="DB320" s="261"/>
      <c r="DC320" s="261"/>
      <c r="DD320" s="261"/>
      <c r="DE320" s="261"/>
      <c r="DF320" s="261"/>
      <c r="DG320" s="261"/>
      <c r="DH320" s="261"/>
      <c r="DI320" s="261"/>
      <c r="DJ320" s="261"/>
      <c r="DK320" s="261"/>
      <c r="DL320" s="261"/>
      <c r="DM320" s="261"/>
      <c r="DN320" s="261"/>
      <c r="DO320" s="261"/>
      <c r="DP320" s="261"/>
      <c r="DQ320" s="261"/>
      <c r="DR320" s="261"/>
      <c r="DS320" s="261"/>
      <c r="DY320" s="261"/>
      <c r="EC320" s="261"/>
      <c r="EP320" s="261"/>
    </row>
    <row r="321" s="261" customFormat="1"/>
    <row r="322" s="261" customFormat="1"/>
    <row r="323" s="261" customFormat="1"/>
    <row r="324" s="261" customFormat="1"/>
    <row r="325" s="261" customFormat="1"/>
    <row r="326" s="261" customFormat="1"/>
    <row r="327" s="261" customFormat="1"/>
    <row r="328" s="261" customFormat="1"/>
    <row r="329" s="261" customFormat="1"/>
    <row r="330" s="261" customFormat="1"/>
    <row r="331" s="261" customFormat="1"/>
    <row r="332" s="261" customFormat="1"/>
    <row r="333" s="261" customFormat="1"/>
    <row r="334" s="261" customFormat="1"/>
    <row r="335" s="261" customFormat="1"/>
    <row r="336" s="261" customFormat="1"/>
    <row r="337" s="261" customFormat="1"/>
    <row r="338" s="261" customFormat="1"/>
    <row r="339" s="261" customFormat="1"/>
    <row r="340" s="261" customFormat="1"/>
    <row r="341" s="261" customFormat="1"/>
    <row r="342" s="261" customFormat="1"/>
    <row r="343" s="261" customFormat="1"/>
    <row r="344" s="261" customFormat="1"/>
    <row r="345" s="261" customFormat="1"/>
    <row r="346" s="261" customFormat="1"/>
    <row r="347" s="261" customFormat="1"/>
    <row r="348" s="261" customFormat="1"/>
    <row r="349" s="261" customFormat="1"/>
    <row r="350" s="261" customFormat="1"/>
    <row r="351" s="261" customFormat="1"/>
    <row r="352" s="261" customFormat="1"/>
    <row r="353" s="261" customFormat="1"/>
    <row r="354" s="261" customFormat="1"/>
    <row r="355" s="261" customFormat="1"/>
    <row r="356" s="261" customFormat="1"/>
    <row r="357" s="261" customFormat="1"/>
    <row r="358" s="261" customFormat="1"/>
    <row r="359" s="261" customFormat="1"/>
    <row r="360" s="261" customFormat="1"/>
    <row r="361" s="261" customFormat="1"/>
    <row r="362" s="261" customFormat="1"/>
    <row r="363" s="261" customFormat="1"/>
    <row r="364" s="261" customFormat="1"/>
    <row r="365" s="261" customFormat="1"/>
    <row r="366" s="261" customFormat="1"/>
    <row r="367" s="261" customFormat="1"/>
    <row r="368" s="261" customFormat="1"/>
    <row r="369" s="261" customFormat="1"/>
    <row r="370" s="261" customFormat="1"/>
    <row r="371" s="261" customFormat="1"/>
    <row r="372" s="261" customFormat="1"/>
    <row r="373" s="261" customFormat="1"/>
    <row r="374" s="261" customFormat="1"/>
    <row r="375" s="261" customFormat="1"/>
    <row r="376" s="261" customFormat="1"/>
    <row r="377" s="261" customFormat="1"/>
    <row r="378" s="261" customFormat="1"/>
    <row r="379" s="261" customFormat="1"/>
    <row r="380" s="261" customFormat="1"/>
    <row r="381" s="261" customFormat="1"/>
    <row r="382" s="261" customFormat="1"/>
    <row r="383" s="261" customFormat="1"/>
    <row r="384" s="261" customFormat="1"/>
    <row r="385" s="261" customFormat="1"/>
    <row r="386" s="261" customFormat="1"/>
    <row r="387" s="261" customFormat="1"/>
    <row r="388" s="261" customFormat="1"/>
    <row r="389" s="261" customFormat="1"/>
    <row r="390" s="261" customFormat="1"/>
    <row r="391" s="261" customFormat="1"/>
    <row r="392" s="261" customFormat="1"/>
    <row r="393" s="261" customFormat="1"/>
    <row r="394" s="261" customFormat="1"/>
    <row r="395" s="261" customFormat="1"/>
    <row r="396" s="261" customFormat="1"/>
    <row r="397" s="261" customFormat="1"/>
    <row r="398" s="261" customFormat="1"/>
    <row r="399" s="261" customFormat="1"/>
    <row r="400" s="261" customFormat="1"/>
    <row r="401" s="261" customFormat="1"/>
    <row r="402" s="261" customFormat="1"/>
    <row r="403" s="261" customFormat="1"/>
    <row r="404" s="261" customFormat="1"/>
    <row r="405" s="261" customFormat="1"/>
    <row r="406" s="261" customFormat="1"/>
    <row r="407" s="261" customFormat="1"/>
    <row r="408" s="261" customFormat="1"/>
    <row r="409" s="261" customFormat="1"/>
    <row r="410" s="261" customFormat="1"/>
    <row r="411" s="261" customFormat="1"/>
    <row r="412" s="261" customFormat="1"/>
    <row r="413" s="261" customFormat="1"/>
    <row r="414" s="261" customFormat="1"/>
    <row r="415" s="261" customFormat="1"/>
    <row r="416" s="261" customFormat="1"/>
    <row r="417" s="261" customFormat="1"/>
    <row r="418" s="261" customFormat="1"/>
    <row r="419" s="261" customFormat="1"/>
    <row r="420" s="261" customFormat="1"/>
    <row r="421" s="261" customFormat="1"/>
    <row r="422" s="261" customFormat="1"/>
    <row r="423" s="261" customFormat="1"/>
    <row r="424" s="261" customFormat="1"/>
    <row r="425" s="261" customFormat="1"/>
    <row r="426" s="261" customFormat="1"/>
    <row r="427" s="261" customFormat="1"/>
    <row r="428" s="261" customFormat="1"/>
    <row r="429" s="261" customFormat="1"/>
    <row r="430" s="261" customFormat="1"/>
    <row r="431" s="261" customFormat="1"/>
    <row r="432" s="261" customFormat="1"/>
    <row r="433" s="261" customFormat="1"/>
    <row r="434" s="261" customFormat="1"/>
    <row r="435" s="261" customFormat="1"/>
    <row r="436" s="261" customFormat="1"/>
    <row r="437" s="261" customFormat="1"/>
    <row r="438" s="261" customFormat="1"/>
    <row r="439" s="261" customFormat="1"/>
    <row r="440" s="261" customFormat="1"/>
    <row r="441" s="261" customFormat="1"/>
    <row r="442" s="261" customFormat="1"/>
    <row r="443" s="261" customFormat="1"/>
    <row r="444" s="261" customFormat="1"/>
    <row r="445" s="261" customFormat="1"/>
    <row r="446" s="261" customFormat="1"/>
    <row r="447" s="261" customFormat="1"/>
    <row r="448" s="261" customFormat="1"/>
    <row r="449" s="261" customFormat="1"/>
    <row r="450" s="261" customFormat="1"/>
    <row r="451" s="261" customFormat="1"/>
    <row r="452" s="261" customFormat="1"/>
    <row r="453" s="261" customFormat="1"/>
    <row r="454" s="261" customFormat="1"/>
    <row r="455" s="261" customFormat="1"/>
    <row r="456" s="261" customFormat="1"/>
    <row r="457" s="261" customFormat="1"/>
    <row r="458" s="261" customFormat="1"/>
    <row r="459" s="261" customFormat="1"/>
    <row r="460" s="261" customFormat="1"/>
    <row r="461" s="261" customFormat="1"/>
    <row r="462" s="261" customFormat="1"/>
    <row r="463" s="261" customFormat="1"/>
    <row r="464" s="261" customFormat="1"/>
    <row r="465" s="261" customFormat="1"/>
    <row r="466" s="261" customFormat="1"/>
    <row r="467" s="261" customFormat="1"/>
    <row r="468" s="261" customFormat="1"/>
    <row r="469" s="261" customFormat="1"/>
    <row r="470" s="261" customFormat="1"/>
    <row r="471" s="261" customFormat="1"/>
    <row r="472" s="261" customFormat="1"/>
    <row r="473" s="261" customFormat="1"/>
    <row r="474" s="261" customFormat="1"/>
    <row r="475" s="261" customFormat="1"/>
    <row r="476" s="261" customFormat="1"/>
    <row r="477" s="261" customFormat="1"/>
    <row r="478" s="261" customFormat="1"/>
    <row r="479" s="261" customFormat="1"/>
    <row r="480" s="261" customFormat="1"/>
    <row r="481" s="261" customFormat="1"/>
    <row r="482" s="261" customFormat="1"/>
    <row r="483" s="261" customFormat="1"/>
    <row r="484" s="261" customFormat="1"/>
    <row r="485" s="261" customFormat="1"/>
    <row r="486" s="261" customFormat="1"/>
    <row r="487" s="261" customFormat="1"/>
    <row r="488" s="261" customFormat="1"/>
    <row r="489" s="261" customFormat="1"/>
    <row r="490" s="261" customFormat="1"/>
    <row r="491" s="261" customFormat="1"/>
    <row r="492" s="261" customFormat="1"/>
    <row r="493" s="261" customFormat="1"/>
    <row r="494" s="261" customFormat="1"/>
    <row r="495" s="261" customFormat="1"/>
    <row r="496" s="261" customFormat="1"/>
    <row r="497" s="261" customFormat="1"/>
    <row r="498" s="261" customFormat="1"/>
    <row r="499" s="261" customFormat="1"/>
    <row r="500" s="261" customFormat="1"/>
    <row r="501" s="261" customFormat="1"/>
    <row r="502" s="261" customFormat="1"/>
    <row r="503" s="261" customFormat="1"/>
    <row r="504" s="261" customFormat="1"/>
    <row r="505" s="261" customFormat="1"/>
    <row r="506" s="261" customFormat="1"/>
    <row r="507" s="261" customFormat="1"/>
    <row r="508" s="261" customFormat="1"/>
    <row r="509" s="261" customFormat="1"/>
    <row r="510" s="261" customFormat="1"/>
    <row r="511" s="261" customFormat="1"/>
    <row r="512" s="261" customFormat="1"/>
    <row r="513" s="261" customFormat="1"/>
    <row r="514" s="261" customFormat="1"/>
    <row r="515" s="261" customFormat="1"/>
    <row r="516" s="261" customFormat="1"/>
    <row r="517" s="261" customFormat="1"/>
    <row r="518" s="261" customFormat="1"/>
    <row r="519" s="261" customFormat="1"/>
    <row r="520" s="261" customFormat="1"/>
    <row r="521" s="261" customFormat="1"/>
    <row r="522" s="261" customFormat="1"/>
    <row r="523" s="261" customFormat="1"/>
    <row r="524" s="261" customFormat="1"/>
    <row r="525" s="261" customFormat="1"/>
    <row r="526" s="261" customFormat="1"/>
    <row r="527" s="261" customFormat="1"/>
    <row r="528" s="261" customFormat="1"/>
    <row r="529" s="261" customFormat="1"/>
    <row r="530" s="261" customFormat="1"/>
    <row r="531" s="261" customFormat="1"/>
    <row r="532" s="261" customFormat="1"/>
    <row r="533" s="261" customFormat="1"/>
    <row r="534" s="261" customFormat="1"/>
    <row r="535" s="261" customFormat="1"/>
    <row r="536" s="261" customFormat="1"/>
    <row r="537" s="261" customFormat="1"/>
    <row r="538" s="261" customFormat="1"/>
    <row r="539" s="261" customFormat="1"/>
    <row r="540" s="261" customFormat="1"/>
    <row r="541" s="261" customFormat="1"/>
    <row r="542" s="261" customFormat="1"/>
    <row r="543" s="261" customFormat="1"/>
    <row r="544" s="261" customFormat="1"/>
    <row r="545" s="261" customFormat="1"/>
    <row r="546" s="261" customFormat="1"/>
    <row r="547" s="261" customFormat="1"/>
    <row r="548" s="261" customFormat="1"/>
    <row r="549" s="261" customFormat="1"/>
    <row r="550" s="261" customFormat="1"/>
    <row r="551" s="261" customFormat="1"/>
    <row r="552" s="261" customFormat="1"/>
    <row r="553" s="261" customFormat="1"/>
    <row r="554" s="261" customFormat="1"/>
    <row r="555" s="261" customFormat="1"/>
    <row r="556" s="261" customFormat="1"/>
    <row r="557" s="261" customFormat="1"/>
    <row r="558" s="261" customFormat="1"/>
    <row r="559" s="261" customFormat="1"/>
    <row r="560" s="261" customFormat="1"/>
    <row r="561" s="261" customFormat="1"/>
    <row r="562" s="261" customFormat="1"/>
    <row r="563" s="261" customFormat="1"/>
    <row r="564" s="261" customFormat="1"/>
    <row r="565" s="261" customFormat="1"/>
    <row r="566" s="261" customFormat="1"/>
    <row r="567" s="261" customFormat="1"/>
    <row r="568" s="261" customFormat="1"/>
    <row r="569" s="261" customFormat="1"/>
    <row r="570" s="261" customFormat="1"/>
    <row r="571" s="261" customFormat="1"/>
    <row r="572" s="261" customFormat="1"/>
    <row r="573" s="261" customFormat="1"/>
    <row r="574" s="261" customFormat="1"/>
    <row r="575" s="261" customFormat="1"/>
    <row r="576" s="261" customFormat="1"/>
    <row r="577" s="261" customFormat="1"/>
    <row r="578" s="261" customFormat="1"/>
    <row r="579" s="261" customFormat="1"/>
    <row r="580" s="261" customFormat="1"/>
    <row r="581" s="261" customFormat="1"/>
    <row r="582" s="261" customFormat="1"/>
    <row r="583" s="261" customFormat="1"/>
    <row r="584" s="261" customFormat="1"/>
    <row r="585" s="261" customFormat="1"/>
    <row r="586" s="261" customFormat="1"/>
    <row r="587" s="261" customFormat="1"/>
    <row r="588" s="261" customFormat="1"/>
    <row r="589" s="261" customFormat="1"/>
    <row r="590" s="261" customFormat="1"/>
    <row r="591" s="261" customFormat="1"/>
    <row r="592" s="261" customFormat="1"/>
    <row r="593" s="261" customFormat="1"/>
    <row r="594" s="261" customFormat="1"/>
    <row r="595" s="261" customFormat="1"/>
    <row r="596" s="261" customFormat="1"/>
    <row r="597" s="261" customFormat="1"/>
    <row r="598" s="261" customFormat="1"/>
    <row r="599" s="261" customFormat="1"/>
    <row r="600" s="261" customFormat="1"/>
    <row r="601" s="261" customFormat="1"/>
    <row r="602" s="261" customFormat="1"/>
    <row r="603" s="261" customFormat="1"/>
    <row r="604" s="261" customFormat="1"/>
    <row r="605" s="261" customFormat="1"/>
    <row r="606" s="261" customFormat="1"/>
    <row r="607" s="261" customFormat="1"/>
    <row r="608" s="261" customFormat="1"/>
    <row r="609" s="261" customFormat="1"/>
    <row r="610" s="261" customFormat="1"/>
    <row r="611" s="261" customFormat="1"/>
    <row r="612" s="261" customFormat="1"/>
    <row r="613" s="261" customFormat="1"/>
    <row r="614" s="261" customFormat="1"/>
    <row r="615" s="261" customFormat="1"/>
    <row r="616" s="261" customFormat="1"/>
    <row r="617" s="261" customFormat="1"/>
    <row r="618" s="261" customFormat="1"/>
    <row r="619" s="261" customFormat="1"/>
    <row r="620" s="261" customFormat="1"/>
    <row r="621" s="261" customFormat="1"/>
    <row r="622" s="261" customFormat="1"/>
    <row r="623" s="261" customFormat="1"/>
    <row r="624" s="261" customFormat="1"/>
    <row r="625" s="261" customFormat="1"/>
    <row r="626" s="261" customFormat="1"/>
    <row r="627" s="261" customFormat="1"/>
    <row r="628" s="261" customFormat="1"/>
    <row r="629" s="261" customFormat="1"/>
    <row r="630" s="261" customFormat="1"/>
    <row r="631" s="261" customFormat="1"/>
    <row r="632" s="261" customFormat="1"/>
    <row r="633" s="261" customFormat="1"/>
    <row r="634" s="261" customFormat="1"/>
    <row r="635" s="261" customFormat="1"/>
    <row r="636" s="261" customFormat="1"/>
    <row r="637" s="261" customFormat="1"/>
    <row r="638" s="261" customFormat="1"/>
    <row r="639" s="261" customFormat="1"/>
    <row r="640" s="261" customFormat="1"/>
    <row r="641" s="261" customFormat="1"/>
    <row r="642" s="261" customFormat="1"/>
    <row r="643" s="261" customFormat="1"/>
    <row r="644" s="261" customFormat="1"/>
    <row r="645" s="261" customFormat="1"/>
    <row r="646" s="261" customFormat="1"/>
    <row r="647" s="261" customFormat="1"/>
    <row r="648" s="261" customFormat="1"/>
    <row r="649" s="261" customFormat="1"/>
    <row r="650" s="261" customFormat="1"/>
    <row r="651" s="261" customFormat="1"/>
    <row r="652" s="261" customFormat="1"/>
    <row r="653" s="261" customFormat="1"/>
    <row r="654" s="261" customFormat="1"/>
    <row r="655" s="261" customFormat="1"/>
    <row r="656" s="261" customFormat="1"/>
    <row r="657" s="261" customFormat="1"/>
    <row r="658" s="261" customFormat="1"/>
    <row r="659" s="261" customFormat="1"/>
    <row r="660" s="261" customFormat="1"/>
    <row r="661" s="261" customFormat="1"/>
    <row r="662" s="261" customFormat="1"/>
    <row r="663" s="261" customFormat="1"/>
    <row r="664" s="261" customFormat="1"/>
    <row r="665" s="261" customFormat="1"/>
    <row r="666" s="261" customFormat="1"/>
    <row r="667" s="261" customFormat="1"/>
    <row r="668" s="261" customFormat="1"/>
    <row r="669" s="261" customFormat="1"/>
    <row r="670" s="261" customFormat="1"/>
    <row r="671" s="261" customFormat="1"/>
    <row r="672" s="261" customFormat="1"/>
    <row r="673" s="261" customFormat="1"/>
    <row r="674" s="261" customFormat="1"/>
    <row r="675" s="261" customFormat="1"/>
    <row r="676" s="261" customFormat="1"/>
    <row r="677" s="261" customFormat="1"/>
    <row r="678" s="261" customFormat="1"/>
    <row r="679" s="261" customFormat="1"/>
    <row r="680" s="261" customFormat="1"/>
    <row r="681" s="261" customFormat="1"/>
    <row r="682" s="261" customFormat="1"/>
    <row r="683" s="261" customFormat="1"/>
    <row r="684" s="261" customFormat="1"/>
    <row r="685" s="261" customFormat="1"/>
    <row r="686" s="261" customFormat="1"/>
    <row r="687" s="261" customFormat="1"/>
    <row r="688" s="261" customFormat="1"/>
    <row r="689" s="261" customFormat="1"/>
    <row r="690" s="261" customFormat="1"/>
    <row r="691" s="261" customFormat="1"/>
    <row r="692" s="261" customFormat="1"/>
    <row r="693" s="261" customFormat="1"/>
    <row r="694" s="261" customFormat="1"/>
    <row r="695" s="261" customFormat="1"/>
    <row r="696" s="261" customFormat="1"/>
    <row r="697" s="261" customFormat="1"/>
    <row r="698" s="261" customFormat="1"/>
    <row r="699" s="261" customFormat="1"/>
    <row r="700" s="261" customFormat="1"/>
    <row r="701" s="261" customFormat="1"/>
    <row r="702" s="261" customFormat="1"/>
    <row r="703" s="261" customFormat="1"/>
    <row r="704" s="261" customFormat="1"/>
    <row r="705" s="261" customFormat="1"/>
    <row r="706" s="261" customFormat="1"/>
    <row r="707" s="261" customFormat="1"/>
    <row r="708" s="261" customFormat="1"/>
    <row r="709" s="261" customFormat="1"/>
    <row r="710" s="261" customFormat="1"/>
    <row r="711" s="261" customFormat="1"/>
    <row r="712" s="261" customFormat="1"/>
    <row r="713" s="261" customFormat="1"/>
    <row r="714" s="261" customFormat="1"/>
    <row r="715" s="261" customFormat="1"/>
    <row r="716" s="261" customFormat="1"/>
    <row r="717" s="261" customFormat="1"/>
    <row r="718" s="261" customFormat="1"/>
    <row r="719" s="261" customFormat="1"/>
    <row r="720" s="261" customFormat="1"/>
    <row r="721" s="261" customFormat="1"/>
    <row r="722" s="261" customFormat="1"/>
    <row r="723" s="261" customFormat="1"/>
    <row r="724" s="261" customFormat="1"/>
    <row r="725" s="261" customFormat="1"/>
    <row r="726" s="261" customFormat="1"/>
    <row r="727" s="261" customFormat="1"/>
    <row r="728" s="261" customFormat="1"/>
    <row r="729" s="261" customFormat="1"/>
    <row r="730" s="261" customFormat="1"/>
    <row r="731" s="261" customFormat="1"/>
    <row r="732" s="261" customFormat="1"/>
    <row r="733" s="261" customFormat="1"/>
    <row r="734" s="261" customFormat="1"/>
    <row r="735" s="261" customFormat="1"/>
    <row r="736" s="261" customFormat="1"/>
    <row r="737" s="261" customFormat="1"/>
    <row r="738" s="261" customFormat="1"/>
    <row r="739" s="261" customFormat="1"/>
    <row r="740" s="261" customFormat="1"/>
    <row r="741" s="261" customFormat="1"/>
    <row r="742" s="261" customFormat="1"/>
    <row r="743" s="261" customFormat="1"/>
    <row r="744" s="261" customFormat="1"/>
    <row r="745" s="261" customFormat="1"/>
    <row r="746" s="261" customFormat="1"/>
    <row r="747" s="261" customFormat="1"/>
    <row r="748" s="261" customFormat="1"/>
    <row r="749" s="261" customFormat="1"/>
    <row r="750" s="261" customFormat="1"/>
    <row r="751" s="261" customFormat="1"/>
    <row r="752" s="261" customFormat="1"/>
    <row r="753" s="261" customFormat="1"/>
    <row r="754" s="261" customFormat="1"/>
    <row r="755" s="261" customFormat="1"/>
    <row r="756" s="261" customFormat="1"/>
    <row r="757" s="261" customFormat="1"/>
    <row r="758" s="261" customFormat="1"/>
    <row r="759" s="261" customFormat="1"/>
    <row r="760" s="261" customFormat="1"/>
    <row r="761" s="261" customFormat="1"/>
    <row r="762" s="261" customFormat="1"/>
    <row r="763" s="261" customFormat="1"/>
    <row r="764" s="261" customFormat="1"/>
    <row r="765" s="261" customFormat="1"/>
    <row r="766" s="261" customFormat="1"/>
    <row r="767" s="261" customFormat="1"/>
    <row r="768" s="261" customFormat="1"/>
    <row r="769" s="261" customFormat="1"/>
    <row r="770" s="261" customFormat="1"/>
    <row r="771" s="261" customFormat="1"/>
    <row r="772" s="261" customFormat="1"/>
    <row r="773" s="261" customFormat="1"/>
    <row r="774" s="261" customFormat="1"/>
    <row r="775" s="261" customFormat="1"/>
    <row r="776" s="261" customFormat="1"/>
    <row r="777" s="261" customFormat="1"/>
    <row r="778" s="261" customFormat="1"/>
    <row r="779" s="261" customFormat="1"/>
    <row r="780" s="261" customFormat="1"/>
    <row r="781" s="261" customFormat="1"/>
    <row r="782" s="261" customFormat="1"/>
    <row r="783" s="261" customFormat="1"/>
    <row r="784" s="261" customFormat="1"/>
    <row r="785" s="261" customFormat="1"/>
    <row r="786" s="261" customFormat="1"/>
    <row r="787" s="261" customFormat="1"/>
    <row r="788" s="261" customFormat="1"/>
    <row r="789" s="261" customFormat="1"/>
    <row r="790" s="261" customFormat="1"/>
    <row r="791" s="261" customFormat="1"/>
    <row r="792" s="261" customFormat="1"/>
    <row r="793" s="261" customFormat="1"/>
    <row r="794" s="261" customFormat="1"/>
    <row r="795" s="261" customFormat="1"/>
    <row r="796" s="261" customFormat="1"/>
    <row r="797" s="261" customFormat="1"/>
    <row r="798" s="261" customFormat="1"/>
    <row r="799" s="261" customFormat="1"/>
    <row r="800" s="261" customFormat="1"/>
    <row r="801" s="261" customFormat="1"/>
    <row r="802" s="261" customFormat="1"/>
    <row r="803" s="261" customFormat="1"/>
    <row r="804" s="261" customFormat="1"/>
    <row r="805" s="261" customFormat="1"/>
    <row r="806" s="261" customFormat="1"/>
    <row r="807" s="261" customFormat="1"/>
    <row r="808" s="261" customFormat="1"/>
    <row r="809" s="261" customFormat="1"/>
    <row r="810" s="261" customFormat="1"/>
    <row r="811" s="261" customFormat="1"/>
    <row r="812" s="261" customFormat="1"/>
    <row r="813" s="261" customFormat="1"/>
    <row r="814" s="261" customFormat="1"/>
    <row r="815" s="261" customFormat="1"/>
    <row r="816" s="261" customFormat="1"/>
    <row r="817" s="261" customFormat="1"/>
    <row r="818" s="261" customFormat="1"/>
    <row r="819" s="261" customFormat="1"/>
    <row r="820" s="261" customFormat="1"/>
    <row r="821" s="261" customFormat="1"/>
    <row r="822" s="261" customFormat="1"/>
    <row r="823" s="261" customFormat="1"/>
    <row r="824" s="261" customFormat="1"/>
    <row r="825" s="261" customFormat="1"/>
    <row r="826" s="261" customFormat="1"/>
    <row r="827" s="261" customFormat="1"/>
    <row r="828" s="261" customFormat="1"/>
    <row r="829" s="261" customFormat="1"/>
    <row r="830" s="261" customFormat="1"/>
    <row r="831" s="261" customFormat="1"/>
    <row r="832" s="261" customFormat="1"/>
    <row r="833" s="261" customFormat="1"/>
    <row r="834" s="261" customFormat="1"/>
    <row r="835" s="261" customFormat="1"/>
    <row r="836" s="261" customFormat="1"/>
    <row r="837" s="261" customFormat="1"/>
    <row r="838" s="261" customFormat="1"/>
    <row r="839" s="261" customFormat="1"/>
    <row r="840" s="261" customFormat="1"/>
    <row r="841" s="261" customFormat="1"/>
    <row r="842" s="261" customFormat="1"/>
    <row r="843" s="261" customFormat="1"/>
    <row r="844" s="261" customFormat="1"/>
    <row r="845" s="261" customFormat="1"/>
    <row r="846" s="261" customFormat="1"/>
    <row r="847" s="261" customFormat="1"/>
    <row r="848" s="261" customFormat="1"/>
    <row r="849" s="261" customFormat="1"/>
    <row r="850" s="261" customFormat="1"/>
    <row r="851" s="261" customFormat="1"/>
    <row r="852" s="261" customFormat="1"/>
    <row r="853" s="261" customFormat="1"/>
    <row r="854" s="261" customFormat="1"/>
    <row r="855" s="261" customFormat="1"/>
    <row r="856" s="261" customFormat="1"/>
    <row r="857" s="261" customFormat="1"/>
    <row r="858" s="261" customFormat="1"/>
    <row r="859" s="261" customFormat="1"/>
    <row r="860" s="261" customFormat="1"/>
    <row r="861" s="261" customFormat="1"/>
    <row r="862" s="261" customFormat="1"/>
    <row r="863" s="261" customFormat="1"/>
    <row r="864" s="261" customFormat="1"/>
    <row r="865" s="261" customFormat="1"/>
    <row r="866" s="261" customFormat="1"/>
    <row r="867" s="261" customFormat="1"/>
    <row r="868" s="261" customFormat="1"/>
    <row r="869" s="261" customFormat="1"/>
    <row r="870" s="261" customFormat="1"/>
    <row r="871" s="261" customFormat="1"/>
    <row r="872" s="261" customFormat="1"/>
    <row r="873" s="261" customFormat="1"/>
    <row r="874" s="261" customFormat="1"/>
    <row r="875" s="261" customFormat="1"/>
    <row r="876" s="261" customFormat="1"/>
    <row r="877" s="261" customFormat="1"/>
    <row r="878" s="261" customFormat="1"/>
    <row r="879" s="261" customFormat="1"/>
    <row r="880" s="261" customFormat="1"/>
    <row r="881" s="261" customFormat="1"/>
    <row r="882" s="261" customFormat="1"/>
    <row r="883" s="261" customFormat="1"/>
    <row r="884" s="261" customFormat="1"/>
    <row r="885" s="261" customFormat="1"/>
    <row r="886" s="261" customFormat="1"/>
    <row r="887" s="261" customFormat="1"/>
    <row r="888" s="261" customFormat="1"/>
    <row r="889" s="261" customFormat="1"/>
    <row r="890" s="261" customFormat="1"/>
    <row r="891" s="261" customFormat="1"/>
    <row r="892" s="261" customFormat="1"/>
    <row r="893" s="261" customFormat="1"/>
    <row r="894" s="261" customFormat="1"/>
    <row r="895" s="261" customFormat="1"/>
    <row r="896" s="261" customFormat="1"/>
    <row r="897" s="261" customFormat="1"/>
    <row r="898" s="261" customFormat="1"/>
    <row r="899" s="261" customFormat="1"/>
    <row r="900" s="261" customFormat="1"/>
    <row r="901" s="261" customFormat="1"/>
    <row r="902" s="261" customFormat="1"/>
    <row r="903" s="261" customFormat="1"/>
    <row r="904" s="261" customFormat="1"/>
    <row r="905" s="261" customFormat="1"/>
    <row r="906" s="261" customFormat="1"/>
    <row r="907" s="261" customFormat="1"/>
    <row r="908" s="261" customFormat="1"/>
    <row r="909" s="261" customFormat="1"/>
    <row r="910" s="261" customFormat="1"/>
    <row r="911" s="261" customFormat="1"/>
    <row r="912" s="261" customFormat="1"/>
    <row r="913" spans="11:146">
      <c r="K913" s="261"/>
      <c r="L913" s="261"/>
      <c r="M913" s="261"/>
      <c r="N913" s="261"/>
      <c r="O913" s="261"/>
      <c r="P913" s="261"/>
      <c r="Q913" s="261"/>
      <c r="BR913" s="261"/>
      <c r="BS913" s="261"/>
      <c r="BT913" s="261"/>
      <c r="BU913" s="261"/>
      <c r="BV913" s="261"/>
      <c r="CJ913" s="261"/>
      <c r="CO913" s="261"/>
      <c r="CP913" s="261"/>
      <c r="CQ913" s="261"/>
      <c r="CR913" s="261"/>
      <c r="CS913" s="261"/>
      <c r="CT913" s="261"/>
      <c r="CU913" s="261"/>
      <c r="CV913" s="261"/>
      <c r="CW913" s="261"/>
      <c r="CX913" s="261"/>
      <c r="CY913" s="261"/>
      <c r="CZ913" s="261"/>
      <c r="DA913" s="261"/>
      <c r="DB913" s="261"/>
      <c r="DC913" s="261"/>
      <c r="DD913" s="261"/>
      <c r="DE913" s="261"/>
      <c r="DF913" s="261"/>
      <c r="DG913" s="261"/>
      <c r="DH913" s="261"/>
      <c r="DI913" s="261"/>
      <c r="DJ913" s="261"/>
      <c r="DK913" s="261"/>
      <c r="DL913" s="261"/>
      <c r="DM913" s="261"/>
      <c r="DN913" s="261"/>
      <c r="DO913" s="261"/>
      <c r="DP913" s="261"/>
      <c r="DQ913" s="261"/>
      <c r="DR913" s="261"/>
      <c r="DS913" s="261"/>
      <c r="DY913" s="261"/>
      <c r="EC913" s="261"/>
      <c r="EP913" s="261"/>
    </row>
    <row r="914" spans="11:146">
      <c r="K914" s="261"/>
      <c r="L914" s="261"/>
      <c r="M914" s="261"/>
      <c r="N914" s="261"/>
      <c r="O914" s="261"/>
      <c r="P914" s="261"/>
      <c r="Q914" s="261"/>
      <c r="BR914" s="261"/>
      <c r="BS914" s="261"/>
      <c r="BT914" s="261"/>
      <c r="BU914" s="261"/>
      <c r="BV914" s="261"/>
      <c r="CJ914" s="261"/>
      <c r="CO914" s="261"/>
      <c r="CP914" s="261"/>
      <c r="CQ914" s="261"/>
      <c r="CR914" s="261"/>
      <c r="CS914" s="261"/>
      <c r="CT914" s="261"/>
      <c r="CU914" s="261"/>
      <c r="CV914" s="261"/>
      <c r="CW914" s="261"/>
      <c r="CX914" s="261"/>
      <c r="CY914" s="261"/>
      <c r="CZ914" s="261"/>
      <c r="DA914" s="261"/>
      <c r="DB914" s="261"/>
      <c r="DC914" s="261"/>
      <c r="DD914" s="261"/>
      <c r="DE914" s="261"/>
      <c r="DF914" s="261"/>
      <c r="DG914" s="261"/>
      <c r="DH914" s="261"/>
      <c r="DI914" s="261"/>
      <c r="DJ914" s="261"/>
      <c r="DK914" s="261"/>
      <c r="DL914" s="261"/>
      <c r="DM914" s="261"/>
      <c r="DN914" s="261"/>
      <c r="DO914" s="261"/>
      <c r="DP914" s="261"/>
      <c r="DQ914" s="261"/>
      <c r="DR914" s="261"/>
      <c r="DS914" s="261"/>
    </row>
    <row r="915" spans="11:146">
      <c r="K915" s="261"/>
      <c r="L915" s="261"/>
      <c r="M915" s="261"/>
      <c r="N915" s="261"/>
      <c r="O915" s="261"/>
      <c r="P915" s="261"/>
      <c r="Q915" s="261"/>
      <c r="BR915" s="261"/>
      <c r="BS915" s="261"/>
      <c r="BT915" s="261"/>
      <c r="BU915" s="261"/>
      <c r="BV915" s="261"/>
      <c r="CJ915" s="261"/>
      <c r="CO915" s="261"/>
      <c r="CP915" s="261"/>
      <c r="CQ915" s="261"/>
      <c r="CR915" s="261"/>
      <c r="CS915" s="261"/>
      <c r="CT915" s="261"/>
      <c r="CU915" s="261"/>
      <c r="CV915" s="261"/>
      <c r="CW915" s="261"/>
      <c r="CX915" s="261"/>
      <c r="CY915" s="261"/>
      <c r="CZ915" s="261"/>
      <c r="DA915" s="261"/>
      <c r="DB915" s="261"/>
      <c r="DC915" s="261"/>
      <c r="DD915" s="261"/>
      <c r="DE915" s="261"/>
      <c r="DF915" s="261"/>
      <c r="DG915" s="261"/>
      <c r="DH915" s="261"/>
      <c r="DI915" s="261"/>
      <c r="DJ915" s="261"/>
      <c r="DK915" s="261"/>
      <c r="DL915" s="261"/>
      <c r="DM915" s="261"/>
      <c r="DN915" s="261"/>
      <c r="DO915" s="261"/>
      <c r="DP915" s="261"/>
      <c r="DQ915" s="261"/>
      <c r="DR915" s="261"/>
      <c r="DS915" s="261"/>
    </row>
    <row r="916" spans="11:146">
      <c r="K916" s="261"/>
      <c r="L916" s="261"/>
      <c r="M916" s="261"/>
      <c r="N916" s="261"/>
      <c r="O916" s="261"/>
      <c r="P916" s="261"/>
      <c r="Q916" s="261"/>
      <c r="BR916" s="261"/>
      <c r="BS916" s="261"/>
      <c r="BT916" s="261"/>
      <c r="BU916" s="261"/>
      <c r="BV916" s="261"/>
      <c r="CJ916" s="261"/>
      <c r="CO916" s="261"/>
      <c r="CP916" s="261"/>
      <c r="CQ916" s="261"/>
      <c r="CR916" s="261"/>
      <c r="CS916" s="261"/>
      <c r="CT916" s="261"/>
      <c r="CU916" s="261"/>
      <c r="CV916" s="261"/>
      <c r="CW916" s="261"/>
      <c r="CX916" s="261"/>
      <c r="CY916" s="261"/>
      <c r="CZ916" s="261"/>
      <c r="DA916" s="261"/>
      <c r="DB916" s="261"/>
      <c r="DC916" s="261"/>
      <c r="DD916" s="261"/>
      <c r="DE916" s="261"/>
      <c r="DF916" s="261"/>
      <c r="DG916" s="261"/>
      <c r="DH916" s="261"/>
      <c r="DI916" s="261"/>
      <c r="DJ916" s="261"/>
      <c r="DK916" s="261"/>
      <c r="DL916" s="261"/>
      <c r="DM916" s="261"/>
      <c r="DN916" s="261"/>
      <c r="DO916" s="261"/>
      <c r="DP916" s="261"/>
      <c r="DQ916" s="261"/>
      <c r="DR916" s="261"/>
      <c r="DS916" s="261"/>
    </row>
    <row r="917" spans="11:146">
      <c r="K917" s="261"/>
      <c r="L917" s="261"/>
      <c r="M917" s="261"/>
      <c r="N917" s="261"/>
      <c r="O917" s="261"/>
      <c r="P917" s="261"/>
      <c r="Q917" s="261"/>
      <c r="BR917" s="261"/>
      <c r="BS917" s="261"/>
      <c r="BT917" s="261"/>
      <c r="BU917" s="261"/>
      <c r="BV917" s="261"/>
      <c r="CJ917" s="261"/>
      <c r="CO917" s="261"/>
      <c r="CP917" s="261"/>
      <c r="CQ917" s="261"/>
      <c r="CR917" s="261"/>
      <c r="CS917" s="261"/>
      <c r="CT917" s="261"/>
      <c r="CU917" s="261"/>
      <c r="CV917" s="261"/>
      <c r="CW917" s="261"/>
      <c r="CX917" s="261"/>
      <c r="CY917" s="261"/>
      <c r="CZ917" s="261"/>
      <c r="DA917" s="261"/>
      <c r="DB917" s="261"/>
      <c r="DC917" s="261"/>
      <c r="DD917" s="261"/>
      <c r="DE917" s="261"/>
      <c r="DF917" s="261"/>
      <c r="DG917" s="261"/>
      <c r="DH917" s="261"/>
      <c r="DI917" s="261"/>
      <c r="DJ917" s="261"/>
      <c r="DK917" s="261"/>
      <c r="DL917" s="261"/>
      <c r="DM917" s="261"/>
      <c r="DN917" s="261"/>
      <c r="DO917" s="261"/>
      <c r="DP917" s="261"/>
      <c r="DQ917" s="261"/>
      <c r="DR917" s="261"/>
      <c r="DS917" s="261"/>
    </row>
    <row r="918" spans="11:146">
      <c r="K918" s="261"/>
      <c r="L918" s="261"/>
      <c r="M918" s="261"/>
      <c r="N918" s="261"/>
      <c r="O918" s="261"/>
      <c r="P918" s="261"/>
      <c r="Q918" s="261"/>
      <c r="BR918" s="261"/>
      <c r="BS918" s="261"/>
      <c r="BT918" s="261"/>
      <c r="BU918" s="261"/>
      <c r="BV918" s="261"/>
      <c r="CJ918" s="261"/>
      <c r="CO918" s="261"/>
      <c r="CP918" s="261"/>
      <c r="CQ918" s="261"/>
      <c r="CR918" s="261"/>
      <c r="CS918" s="261"/>
      <c r="CT918" s="261"/>
      <c r="CU918" s="261"/>
      <c r="CV918" s="261"/>
      <c r="CW918" s="261"/>
      <c r="CX918" s="261"/>
      <c r="CY918" s="261"/>
      <c r="CZ918" s="261"/>
      <c r="DA918" s="261"/>
      <c r="DB918" s="261"/>
      <c r="DC918" s="261"/>
      <c r="DD918" s="261"/>
      <c r="DE918" s="261"/>
      <c r="DF918" s="261"/>
      <c r="DG918" s="261"/>
      <c r="DH918" s="261"/>
      <c r="DI918" s="261"/>
      <c r="DJ918" s="261"/>
      <c r="DK918" s="261"/>
      <c r="DL918" s="261"/>
      <c r="DM918" s="261"/>
      <c r="DN918" s="261"/>
      <c r="DO918" s="261"/>
      <c r="DP918" s="261"/>
      <c r="DQ918" s="261"/>
      <c r="DR918" s="261"/>
      <c r="DS918" s="261"/>
    </row>
    <row r="919" spans="11:146">
      <c r="K919" s="261"/>
      <c r="L919" s="261"/>
      <c r="M919" s="261"/>
      <c r="N919" s="261"/>
      <c r="O919" s="261"/>
      <c r="P919" s="261"/>
      <c r="Q919" s="261"/>
      <c r="BR919" s="261"/>
      <c r="BS919" s="261"/>
      <c r="BT919" s="261"/>
      <c r="BU919" s="261"/>
      <c r="BV919" s="261"/>
      <c r="CJ919" s="261"/>
      <c r="CO919" s="261"/>
      <c r="CP919" s="261"/>
      <c r="CQ919" s="261"/>
      <c r="CR919" s="261"/>
      <c r="CS919" s="261"/>
      <c r="CT919" s="261"/>
      <c r="CU919" s="261"/>
      <c r="CV919" s="261"/>
      <c r="CW919" s="261"/>
      <c r="CX919" s="261"/>
      <c r="CY919" s="261"/>
      <c r="CZ919" s="261"/>
      <c r="DA919" s="261"/>
      <c r="DB919" s="261"/>
      <c r="DC919" s="261"/>
      <c r="DD919" s="261"/>
      <c r="DE919" s="261"/>
      <c r="DF919" s="261"/>
      <c r="DG919" s="261"/>
      <c r="DH919" s="261"/>
      <c r="DI919" s="261"/>
      <c r="DJ919" s="261"/>
      <c r="DK919" s="261"/>
      <c r="DL919" s="261"/>
      <c r="DM919" s="261"/>
      <c r="DN919" s="261"/>
      <c r="DO919" s="261"/>
      <c r="DP919" s="261"/>
      <c r="DQ919" s="261"/>
      <c r="DR919" s="261"/>
      <c r="DS919" s="261"/>
    </row>
    <row r="920" spans="11:146">
      <c r="K920" s="261"/>
      <c r="L920" s="261"/>
      <c r="M920" s="261"/>
      <c r="N920" s="261"/>
      <c r="O920" s="261"/>
      <c r="P920" s="261"/>
      <c r="Q920" s="261"/>
      <c r="BR920" s="261"/>
      <c r="BS920" s="261"/>
      <c r="BT920" s="261"/>
      <c r="BU920" s="261"/>
      <c r="BV920" s="261"/>
      <c r="CJ920" s="261"/>
      <c r="CO920" s="261"/>
      <c r="CP920" s="261"/>
      <c r="CQ920" s="261"/>
      <c r="CR920" s="261"/>
      <c r="CS920" s="261"/>
      <c r="CT920" s="261"/>
      <c r="CU920" s="261"/>
      <c r="CV920" s="261"/>
      <c r="CW920" s="261"/>
      <c r="CX920" s="261"/>
      <c r="CY920" s="261"/>
      <c r="CZ920" s="261"/>
      <c r="DA920" s="261"/>
      <c r="DB920" s="261"/>
      <c r="DC920" s="261"/>
      <c r="DD920" s="261"/>
      <c r="DE920" s="261"/>
      <c r="DF920" s="261"/>
      <c r="DG920" s="261"/>
      <c r="DH920" s="261"/>
      <c r="DI920" s="261"/>
      <c r="DJ920" s="261"/>
      <c r="DK920" s="261"/>
      <c r="DL920" s="261"/>
      <c r="DM920" s="261"/>
      <c r="DN920" s="261"/>
      <c r="DO920" s="261"/>
      <c r="DP920" s="261"/>
      <c r="DQ920" s="261"/>
      <c r="DR920" s="261"/>
      <c r="DS920" s="261"/>
    </row>
    <row r="921" spans="11:146">
      <c r="K921" s="261"/>
      <c r="L921" s="261"/>
      <c r="M921" s="261"/>
      <c r="N921" s="261"/>
      <c r="O921" s="261"/>
      <c r="P921" s="261"/>
      <c r="Q921" s="261"/>
      <c r="BR921" s="261"/>
      <c r="BS921" s="261"/>
      <c r="BT921" s="261"/>
      <c r="BU921" s="261"/>
      <c r="BV921" s="261"/>
      <c r="CJ921" s="261"/>
      <c r="CO921" s="261"/>
      <c r="CP921" s="261"/>
      <c r="CQ921" s="261"/>
      <c r="CR921" s="261"/>
      <c r="CS921" s="261"/>
      <c r="CT921" s="261"/>
      <c r="CU921" s="261"/>
      <c r="CV921" s="261"/>
      <c r="CW921" s="261"/>
      <c r="CX921" s="261"/>
      <c r="CY921" s="261"/>
      <c r="CZ921" s="261"/>
      <c r="DA921" s="261"/>
      <c r="DB921" s="261"/>
      <c r="DC921" s="261"/>
      <c r="DD921" s="261"/>
      <c r="DE921" s="261"/>
      <c r="DF921" s="261"/>
      <c r="DG921" s="261"/>
      <c r="DH921" s="261"/>
      <c r="DI921" s="261"/>
      <c r="DJ921" s="261"/>
      <c r="DK921" s="261"/>
      <c r="DL921" s="261"/>
      <c r="DM921" s="261"/>
      <c r="DN921" s="261"/>
      <c r="DO921" s="261"/>
      <c r="DP921" s="261"/>
      <c r="DQ921" s="261"/>
      <c r="DR921" s="261"/>
      <c r="DS921" s="261"/>
    </row>
    <row r="922" spans="11:146">
      <c r="K922" s="261"/>
      <c r="L922" s="261"/>
      <c r="M922" s="261"/>
      <c r="N922" s="261"/>
      <c r="O922" s="261"/>
      <c r="P922" s="261"/>
      <c r="Q922" s="261"/>
      <c r="BR922" s="261"/>
      <c r="BS922" s="261"/>
      <c r="BT922" s="261"/>
      <c r="BU922" s="261"/>
      <c r="BV922" s="261"/>
      <c r="CJ922" s="261"/>
      <c r="CO922" s="261"/>
      <c r="CP922" s="261"/>
      <c r="CQ922" s="261"/>
      <c r="CR922" s="261"/>
      <c r="CS922" s="261"/>
      <c r="CT922" s="261"/>
      <c r="CU922" s="261"/>
      <c r="CV922" s="261"/>
      <c r="CW922" s="261"/>
      <c r="CX922" s="261"/>
      <c r="CY922" s="261"/>
      <c r="CZ922" s="261"/>
      <c r="DA922" s="261"/>
      <c r="DB922" s="261"/>
      <c r="DC922" s="261"/>
      <c r="DD922" s="261"/>
      <c r="DE922" s="261"/>
      <c r="DF922" s="261"/>
      <c r="DG922" s="261"/>
      <c r="DH922" s="261"/>
      <c r="DI922" s="261"/>
      <c r="DJ922" s="261"/>
      <c r="DK922" s="261"/>
      <c r="DL922" s="261"/>
      <c r="DM922" s="261"/>
      <c r="DN922" s="261"/>
      <c r="DO922" s="261"/>
      <c r="DP922" s="261"/>
      <c r="DQ922" s="261"/>
      <c r="DR922" s="261"/>
      <c r="DS922" s="261"/>
    </row>
    <row r="923" spans="11:146">
      <c r="K923" s="261"/>
      <c r="L923" s="261"/>
      <c r="M923" s="261"/>
      <c r="N923" s="261"/>
      <c r="O923" s="261"/>
      <c r="P923" s="261"/>
      <c r="Q923" s="261"/>
      <c r="BR923" s="261"/>
      <c r="BS923" s="261"/>
      <c r="BT923" s="261"/>
      <c r="BU923" s="261"/>
      <c r="BV923" s="261"/>
      <c r="CJ923" s="261"/>
      <c r="CO923" s="261"/>
      <c r="CP923" s="261"/>
      <c r="CQ923" s="261"/>
      <c r="CR923" s="261"/>
      <c r="CS923" s="261"/>
      <c r="CT923" s="261"/>
      <c r="CU923" s="261"/>
      <c r="CV923" s="261"/>
      <c r="CW923" s="261"/>
      <c r="CX923" s="261"/>
      <c r="CY923" s="261"/>
      <c r="CZ923" s="261"/>
      <c r="DA923" s="261"/>
      <c r="DB923" s="261"/>
      <c r="DC923" s="261"/>
      <c r="DD923" s="261"/>
      <c r="DE923" s="261"/>
      <c r="DF923" s="261"/>
      <c r="DG923" s="261"/>
      <c r="DH923" s="261"/>
      <c r="DI923" s="261"/>
      <c r="DJ923" s="261"/>
      <c r="DK923" s="261"/>
      <c r="DL923" s="261"/>
      <c r="DM923" s="261"/>
      <c r="DN923" s="261"/>
      <c r="DO923" s="261"/>
      <c r="DP923" s="261"/>
      <c r="DQ923" s="261"/>
      <c r="DR923" s="261"/>
      <c r="DS923" s="261"/>
    </row>
    <row r="924" spans="11:146">
      <c r="K924" s="261"/>
      <c r="L924" s="261"/>
      <c r="M924" s="261"/>
      <c r="N924" s="261"/>
      <c r="O924" s="261"/>
      <c r="P924" s="261"/>
      <c r="Q924" s="261"/>
      <c r="BR924" s="261"/>
      <c r="BS924" s="261"/>
      <c r="BT924" s="261"/>
      <c r="BU924" s="261"/>
      <c r="BV924" s="261"/>
      <c r="CJ924" s="261"/>
      <c r="CO924" s="261"/>
      <c r="CP924" s="261"/>
      <c r="CQ924" s="261"/>
      <c r="CR924" s="261"/>
      <c r="CS924" s="261"/>
      <c r="CT924" s="261"/>
      <c r="CU924" s="261"/>
      <c r="CV924" s="261"/>
      <c r="CW924" s="261"/>
      <c r="CX924" s="261"/>
      <c r="CY924" s="261"/>
      <c r="CZ924" s="261"/>
      <c r="DA924" s="261"/>
      <c r="DB924" s="261"/>
      <c r="DC924" s="261"/>
      <c r="DD924" s="261"/>
      <c r="DE924" s="261"/>
      <c r="DF924" s="261"/>
      <c r="DG924" s="261"/>
      <c r="DH924" s="261"/>
      <c r="DI924" s="261"/>
      <c r="DJ924" s="261"/>
      <c r="DK924" s="261"/>
      <c r="DL924" s="261"/>
      <c r="DM924" s="261"/>
      <c r="DN924" s="261"/>
      <c r="DO924" s="261"/>
      <c r="DP924" s="261"/>
      <c r="DQ924" s="261"/>
      <c r="DR924" s="261"/>
      <c r="DS924" s="261"/>
    </row>
    <row r="925" spans="11:146">
      <c r="K925" s="261"/>
      <c r="L925" s="261"/>
      <c r="M925" s="261"/>
      <c r="N925" s="261"/>
      <c r="O925" s="261"/>
      <c r="P925" s="261"/>
      <c r="Q925" s="261"/>
      <c r="BR925" s="261"/>
      <c r="BS925" s="261"/>
      <c r="BT925" s="261"/>
      <c r="BU925" s="261"/>
      <c r="BV925" s="261"/>
      <c r="CJ925" s="261"/>
      <c r="CO925" s="261"/>
      <c r="CP925" s="261"/>
      <c r="CQ925" s="261"/>
      <c r="CR925" s="261"/>
      <c r="CS925" s="261"/>
      <c r="CT925" s="261"/>
      <c r="CU925" s="261"/>
      <c r="CV925" s="261"/>
      <c r="CW925" s="261"/>
      <c r="CX925" s="261"/>
      <c r="CY925" s="261"/>
      <c r="CZ925" s="261"/>
      <c r="DA925" s="261"/>
      <c r="DB925" s="261"/>
      <c r="DC925" s="261"/>
      <c r="DD925" s="261"/>
      <c r="DE925" s="261"/>
      <c r="DF925" s="261"/>
      <c r="DG925" s="261"/>
      <c r="DH925" s="261"/>
      <c r="DI925" s="261"/>
      <c r="DJ925" s="261"/>
      <c r="DK925" s="261"/>
      <c r="DL925" s="261"/>
      <c r="DM925" s="261"/>
      <c r="DN925" s="261"/>
      <c r="DO925" s="261"/>
      <c r="DP925" s="261"/>
      <c r="DQ925" s="261"/>
      <c r="DR925" s="261"/>
      <c r="DS925" s="261"/>
    </row>
    <row r="926" spans="11:146">
      <c r="K926" s="261"/>
      <c r="L926" s="261"/>
      <c r="M926" s="261"/>
      <c r="N926" s="261"/>
      <c r="O926" s="261"/>
      <c r="P926" s="261"/>
      <c r="Q926" s="261"/>
      <c r="BR926" s="261"/>
      <c r="BS926" s="261"/>
      <c r="BT926" s="261"/>
      <c r="BU926" s="261"/>
      <c r="BV926" s="261"/>
      <c r="CJ926" s="261"/>
      <c r="CO926" s="261"/>
      <c r="CP926" s="261"/>
      <c r="CQ926" s="261"/>
      <c r="CR926" s="261"/>
      <c r="CS926" s="261"/>
      <c r="CT926" s="261"/>
      <c r="CU926" s="261"/>
      <c r="CV926" s="261"/>
      <c r="CW926" s="261"/>
      <c r="CX926" s="261"/>
      <c r="CY926" s="261"/>
      <c r="CZ926" s="261"/>
      <c r="DA926" s="261"/>
      <c r="DB926" s="261"/>
      <c r="DC926" s="261"/>
      <c r="DD926" s="261"/>
      <c r="DE926" s="261"/>
      <c r="DF926" s="261"/>
      <c r="DG926" s="261"/>
      <c r="DH926" s="261"/>
      <c r="DI926" s="261"/>
      <c r="DJ926" s="261"/>
      <c r="DK926" s="261"/>
      <c r="DL926" s="261"/>
      <c r="DM926" s="261"/>
      <c r="DN926" s="261"/>
      <c r="DO926" s="261"/>
      <c r="DP926" s="261"/>
      <c r="DQ926" s="261"/>
      <c r="DR926" s="261"/>
      <c r="DS926" s="261"/>
    </row>
    <row r="927" spans="11:146">
      <c r="K927" s="261"/>
      <c r="L927" s="261"/>
      <c r="M927" s="261"/>
      <c r="N927" s="261"/>
      <c r="O927" s="261"/>
      <c r="P927" s="261"/>
      <c r="Q927" s="261"/>
      <c r="BR927" s="261"/>
      <c r="BS927" s="261"/>
      <c r="BT927" s="261"/>
      <c r="BU927" s="261"/>
      <c r="BV927" s="261"/>
      <c r="CJ927" s="261"/>
      <c r="CO927" s="261"/>
      <c r="CP927" s="261"/>
      <c r="CQ927" s="261"/>
      <c r="CR927" s="261"/>
      <c r="CS927" s="261"/>
      <c r="CT927" s="261"/>
      <c r="CU927" s="261"/>
      <c r="CV927" s="261"/>
      <c r="CW927" s="261"/>
      <c r="CX927" s="261"/>
      <c r="CY927" s="261"/>
      <c r="CZ927" s="261"/>
      <c r="DA927" s="261"/>
      <c r="DB927" s="261"/>
      <c r="DC927" s="261"/>
      <c r="DD927" s="261"/>
      <c r="DE927" s="261"/>
      <c r="DF927" s="261"/>
      <c r="DG927" s="261"/>
      <c r="DH927" s="261"/>
      <c r="DI927" s="261"/>
      <c r="DJ927" s="261"/>
      <c r="DK927" s="261"/>
      <c r="DL927" s="261"/>
      <c r="DM927" s="261"/>
      <c r="DN927" s="261"/>
      <c r="DO927" s="261"/>
      <c r="DP927" s="261"/>
      <c r="DQ927" s="261"/>
      <c r="DR927" s="261"/>
      <c r="DS927" s="261"/>
    </row>
    <row r="928" spans="11:146">
      <c r="K928" s="261"/>
      <c r="L928" s="261"/>
      <c r="M928" s="261"/>
      <c r="N928" s="261"/>
      <c r="O928" s="261"/>
      <c r="P928" s="261"/>
      <c r="Q928" s="261"/>
      <c r="BR928" s="261"/>
      <c r="BS928" s="261"/>
      <c r="BT928" s="261"/>
      <c r="BU928" s="261"/>
      <c r="BV928" s="261"/>
      <c r="CJ928" s="261"/>
      <c r="CO928" s="261"/>
      <c r="CP928" s="261"/>
      <c r="CQ928" s="261"/>
      <c r="CR928" s="261"/>
      <c r="CS928" s="261"/>
      <c r="CT928" s="261"/>
      <c r="CU928" s="261"/>
      <c r="CV928" s="261"/>
      <c r="CW928" s="261"/>
      <c r="CX928" s="261"/>
      <c r="CY928" s="261"/>
      <c r="CZ928" s="261"/>
      <c r="DA928" s="261"/>
      <c r="DB928" s="261"/>
      <c r="DC928" s="261"/>
      <c r="DD928" s="261"/>
      <c r="DE928" s="261"/>
      <c r="DF928" s="261"/>
      <c r="DG928" s="261"/>
      <c r="DH928" s="261"/>
      <c r="DI928" s="261"/>
      <c r="DJ928" s="261"/>
      <c r="DK928" s="261"/>
      <c r="DL928" s="261"/>
      <c r="DM928" s="261"/>
      <c r="DN928" s="261"/>
      <c r="DO928" s="261"/>
      <c r="DP928" s="261"/>
      <c r="DQ928" s="261"/>
      <c r="DR928" s="261"/>
      <c r="DS928" s="261"/>
    </row>
    <row r="929" spans="129:146" s="261" customFormat="1">
      <c r="DY929" s="286"/>
      <c r="EC929" s="286"/>
      <c r="EP929" s="286"/>
    </row>
    <row r="930" spans="129:146" s="261" customFormat="1">
      <c r="DY930" s="286"/>
      <c r="EC930" s="286"/>
      <c r="EP930" s="286"/>
    </row>
    <row r="931" spans="129:146" s="261" customFormat="1">
      <c r="DY931" s="286"/>
      <c r="EC931" s="286"/>
      <c r="EP931" s="286"/>
    </row>
    <row r="932" spans="129:146" s="261" customFormat="1">
      <c r="DY932" s="286"/>
      <c r="EC932" s="286"/>
      <c r="EP932" s="286"/>
    </row>
    <row r="933" spans="129:146" s="261" customFormat="1">
      <c r="DY933" s="286"/>
      <c r="EC933" s="286"/>
      <c r="EP933" s="286"/>
    </row>
    <row r="934" spans="129:146" s="261" customFormat="1">
      <c r="DY934" s="286"/>
      <c r="EC934" s="286"/>
      <c r="EP934" s="286"/>
    </row>
    <row r="935" spans="129:146" s="261" customFormat="1">
      <c r="DY935" s="286"/>
      <c r="EC935" s="286"/>
      <c r="EP935" s="286"/>
    </row>
    <row r="936" spans="129:146" s="261" customFormat="1">
      <c r="DY936" s="286"/>
      <c r="EC936" s="286"/>
      <c r="EP936" s="286"/>
    </row>
    <row r="937" spans="129:146" s="261" customFormat="1">
      <c r="DY937" s="286"/>
      <c r="EC937" s="286"/>
      <c r="EP937" s="286"/>
    </row>
    <row r="938" spans="129:146" s="261" customFormat="1">
      <c r="DY938" s="286"/>
      <c r="EC938" s="286"/>
      <c r="EP938" s="286"/>
    </row>
    <row r="939" spans="129:146" s="261" customFormat="1">
      <c r="DY939" s="286"/>
      <c r="EC939" s="286"/>
      <c r="EP939" s="286"/>
    </row>
    <row r="940" spans="129:146" s="261" customFormat="1">
      <c r="DY940" s="286"/>
      <c r="EC940" s="286"/>
      <c r="EP940" s="286"/>
    </row>
    <row r="941" spans="129:146" s="261" customFormat="1">
      <c r="DY941" s="286"/>
      <c r="EC941" s="286"/>
      <c r="EP941" s="286"/>
    </row>
    <row r="942" spans="129:146" s="261" customFormat="1">
      <c r="DY942" s="286"/>
      <c r="EC942" s="286"/>
      <c r="EP942" s="286"/>
    </row>
    <row r="943" spans="129:146" s="261" customFormat="1">
      <c r="DY943" s="286"/>
      <c r="EC943" s="286"/>
      <c r="EP943" s="286"/>
    </row>
    <row r="944" spans="129:146" s="261" customFormat="1">
      <c r="DY944" s="286"/>
      <c r="EC944" s="286"/>
      <c r="EP944" s="286"/>
    </row>
    <row r="945" spans="129:146" s="261" customFormat="1">
      <c r="DY945" s="286"/>
      <c r="EC945" s="286"/>
      <c r="EP945" s="286"/>
    </row>
    <row r="946" spans="129:146" s="261" customFormat="1">
      <c r="DY946" s="286"/>
      <c r="EC946" s="286"/>
      <c r="EP946" s="286"/>
    </row>
    <row r="947" spans="129:146" s="261" customFormat="1">
      <c r="DY947" s="286"/>
      <c r="EC947" s="286"/>
      <c r="EP947" s="286"/>
    </row>
    <row r="948" spans="129:146" s="261" customFormat="1">
      <c r="DY948" s="286"/>
      <c r="EC948" s="286"/>
      <c r="EP948" s="286"/>
    </row>
    <row r="949" spans="129:146" s="261" customFormat="1">
      <c r="DY949" s="286"/>
      <c r="EC949" s="286"/>
      <c r="EP949" s="286"/>
    </row>
    <row r="950" spans="129:146" s="261" customFormat="1">
      <c r="DY950" s="286"/>
      <c r="EC950" s="286"/>
      <c r="EP950" s="286"/>
    </row>
    <row r="951" spans="129:146" s="261" customFormat="1">
      <c r="DY951" s="286"/>
      <c r="EC951" s="286"/>
      <c r="EP951" s="286"/>
    </row>
    <row r="952" spans="129:146" s="261" customFormat="1">
      <c r="DY952" s="286"/>
      <c r="EC952" s="286"/>
      <c r="EP952" s="286"/>
    </row>
    <row r="953" spans="129:146" s="261" customFormat="1">
      <c r="DY953" s="286"/>
      <c r="EC953" s="286"/>
      <c r="EP953" s="286"/>
    </row>
    <row r="954" spans="129:146" s="261" customFormat="1">
      <c r="DY954" s="286"/>
      <c r="EC954" s="286"/>
      <c r="EP954" s="286"/>
    </row>
    <row r="955" spans="129:146" s="261" customFormat="1">
      <c r="DY955" s="286"/>
      <c r="EC955" s="286"/>
      <c r="EP955" s="286"/>
    </row>
    <row r="956" spans="129:146" s="261" customFormat="1">
      <c r="DY956" s="286"/>
      <c r="EC956" s="286"/>
      <c r="EP956" s="286"/>
    </row>
    <row r="957" spans="129:146" s="261" customFormat="1">
      <c r="DY957" s="286"/>
      <c r="EC957" s="286"/>
      <c r="EP957" s="286"/>
    </row>
    <row r="958" spans="129:146" s="261" customFormat="1">
      <c r="DY958" s="286"/>
      <c r="EC958" s="286"/>
      <c r="EP958" s="286"/>
    </row>
    <row r="959" spans="129:146" s="261" customFormat="1">
      <c r="DY959" s="286"/>
      <c r="EC959" s="286"/>
      <c r="EP959" s="286"/>
    </row>
    <row r="960" spans="129:146" s="261" customFormat="1">
      <c r="DY960" s="286"/>
      <c r="EC960" s="286"/>
      <c r="EP960" s="286"/>
    </row>
    <row r="961" spans="129:146" s="261" customFormat="1">
      <c r="DY961" s="286"/>
      <c r="EC961" s="286"/>
      <c r="EP961" s="286"/>
    </row>
    <row r="962" spans="129:146" s="261" customFormat="1">
      <c r="DY962" s="286"/>
      <c r="EC962" s="286"/>
      <c r="EP962" s="286"/>
    </row>
    <row r="963" spans="129:146" s="261" customFormat="1">
      <c r="DY963" s="286"/>
      <c r="EC963" s="286"/>
      <c r="EP963" s="286"/>
    </row>
    <row r="964" spans="129:146" s="261" customFormat="1">
      <c r="DY964" s="286"/>
      <c r="EC964" s="286"/>
      <c r="EP964" s="286"/>
    </row>
    <row r="965" spans="129:146" s="261" customFormat="1">
      <c r="DY965" s="286"/>
      <c r="EC965" s="286"/>
      <c r="EP965" s="286"/>
    </row>
    <row r="966" spans="129:146" s="261" customFormat="1">
      <c r="DY966" s="286"/>
      <c r="EC966" s="286"/>
      <c r="EP966" s="286"/>
    </row>
    <row r="967" spans="129:146" s="261" customFormat="1">
      <c r="DY967" s="286"/>
      <c r="EC967" s="286"/>
      <c r="EP967" s="286"/>
    </row>
    <row r="968" spans="129:146" s="261" customFormat="1">
      <c r="DY968" s="286"/>
      <c r="EC968" s="286"/>
      <c r="EP968" s="286"/>
    </row>
    <row r="969" spans="129:146" s="261" customFormat="1">
      <c r="DY969" s="286"/>
      <c r="EC969" s="286"/>
      <c r="EP969" s="286"/>
    </row>
    <row r="970" spans="129:146" s="261" customFormat="1">
      <c r="DY970" s="286"/>
      <c r="EC970" s="286"/>
      <c r="EP970" s="286"/>
    </row>
    <row r="971" spans="129:146" s="261" customFormat="1">
      <c r="DY971" s="286"/>
      <c r="EC971" s="286"/>
      <c r="EP971" s="286"/>
    </row>
    <row r="972" spans="129:146" s="261" customFormat="1">
      <c r="DY972" s="286"/>
      <c r="EC972" s="286"/>
      <c r="EP972" s="286"/>
    </row>
    <row r="973" spans="129:146" s="261" customFormat="1">
      <c r="DY973" s="286"/>
      <c r="EC973" s="286"/>
      <c r="EP973" s="286"/>
    </row>
    <row r="974" spans="129:146" s="261" customFormat="1">
      <c r="DY974" s="286"/>
      <c r="EC974" s="286"/>
      <c r="EP974" s="286"/>
    </row>
    <row r="975" spans="129:146" s="261" customFormat="1">
      <c r="DY975" s="286"/>
      <c r="EC975" s="286"/>
      <c r="EP975" s="286"/>
    </row>
    <row r="976" spans="129:146" s="261" customFormat="1">
      <c r="DY976" s="286"/>
      <c r="EC976" s="286"/>
      <c r="EP976" s="286"/>
    </row>
    <row r="977" spans="129:146" s="261" customFormat="1">
      <c r="DY977" s="286"/>
      <c r="EC977" s="286"/>
      <c r="EP977" s="286"/>
    </row>
    <row r="978" spans="129:146" s="261" customFormat="1">
      <c r="DY978" s="286"/>
      <c r="EC978" s="286"/>
      <c r="EP978" s="286"/>
    </row>
    <row r="979" spans="129:146" s="261" customFormat="1">
      <c r="DY979" s="286"/>
      <c r="EC979" s="286"/>
      <c r="EP979" s="286"/>
    </row>
    <row r="980" spans="129:146" s="261" customFormat="1">
      <c r="DY980" s="286"/>
      <c r="EC980" s="286"/>
      <c r="EP980" s="286"/>
    </row>
    <row r="981" spans="129:146" s="261" customFormat="1">
      <c r="DY981" s="286"/>
      <c r="EC981" s="286"/>
      <c r="EP981" s="286"/>
    </row>
    <row r="982" spans="129:146" s="261" customFormat="1">
      <c r="DY982" s="286"/>
      <c r="EC982" s="286"/>
      <c r="EP982" s="286"/>
    </row>
    <row r="983" spans="129:146" s="261" customFormat="1">
      <c r="DY983" s="286"/>
      <c r="EC983" s="286"/>
      <c r="EP983" s="286"/>
    </row>
    <row r="984" spans="129:146" s="261" customFormat="1">
      <c r="DY984" s="286"/>
      <c r="EC984" s="286"/>
      <c r="EP984" s="286"/>
    </row>
    <row r="985" spans="129:146" s="261" customFormat="1">
      <c r="DY985" s="286"/>
      <c r="EC985" s="286"/>
      <c r="EP985" s="286"/>
    </row>
    <row r="986" spans="129:146" s="261" customFormat="1">
      <c r="DY986" s="286"/>
      <c r="EC986" s="286"/>
      <c r="EP986" s="286"/>
    </row>
    <row r="987" spans="129:146" s="261" customFormat="1">
      <c r="DY987" s="286"/>
      <c r="EC987" s="286"/>
      <c r="EP987" s="286"/>
    </row>
    <row r="988" spans="129:146" s="261" customFormat="1">
      <c r="DY988" s="286"/>
      <c r="EC988" s="286"/>
      <c r="EP988" s="286"/>
    </row>
    <row r="989" spans="129:146" s="261" customFormat="1">
      <c r="DY989" s="286"/>
      <c r="EC989" s="286"/>
      <c r="EP989" s="286"/>
    </row>
    <row r="990" spans="129:146" s="261" customFormat="1">
      <c r="DY990" s="286"/>
      <c r="EC990" s="286"/>
      <c r="EP990" s="286"/>
    </row>
    <row r="991" spans="129:146" s="261" customFormat="1">
      <c r="DY991" s="286"/>
      <c r="EC991" s="286"/>
      <c r="EP991" s="286"/>
    </row>
    <row r="992" spans="129:146" s="261" customFormat="1">
      <c r="DY992" s="286"/>
      <c r="EC992" s="286"/>
      <c r="EP992" s="286"/>
    </row>
    <row r="993" spans="129:146" s="261" customFormat="1">
      <c r="DY993" s="286"/>
      <c r="EC993" s="286"/>
      <c r="EP993" s="286"/>
    </row>
    <row r="994" spans="129:146" s="261" customFormat="1">
      <c r="DY994" s="286"/>
      <c r="EC994" s="286"/>
      <c r="EP994" s="286"/>
    </row>
    <row r="995" spans="129:146" s="261" customFormat="1">
      <c r="DY995" s="286"/>
      <c r="EC995" s="286"/>
      <c r="EP995" s="286"/>
    </row>
    <row r="996" spans="129:146" s="261" customFormat="1">
      <c r="DY996" s="286"/>
      <c r="EC996" s="286"/>
      <c r="EP996" s="286"/>
    </row>
    <row r="997" spans="129:146" s="261" customFormat="1">
      <c r="DY997" s="286"/>
      <c r="EC997" s="286"/>
      <c r="EP997" s="286"/>
    </row>
    <row r="998" spans="129:146" s="261" customFormat="1">
      <c r="DY998" s="286"/>
      <c r="EC998" s="286"/>
      <c r="EP998" s="286"/>
    </row>
    <row r="999" spans="129:146" s="261" customFormat="1">
      <c r="DY999" s="286"/>
      <c r="EC999" s="286"/>
      <c r="EP999" s="286"/>
    </row>
    <row r="1000" spans="129:146" s="261" customFormat="1">
      <c r="DY1000" s="286"/>
      <c r="EC1000" s="286"/>
      <c r="EP1000" s="286"/>
    </row>
    <row r="1001" spans="129:146" s="261" customFormat="1">
      <c r="DY1001" s="286"/>
      <c r="EC1001" s="286"/>
      <c r="EP1001" s="286"/>
    </row>
    <row r="1002" spans="129:146" s="261" customFormat="1">
      <c r="DY1002" s="286"/>
      <c r="EC1002" s="286"/>
      <c r="EP1002" s="286"/>
    </row>
    <row r="1003" spans="129:146" s="261" customFormat="1">
      <c r="DY1003" s="286"/>
      <c r="EC1003" s="286"/>
      <c r="EP1003" s="286"/>
    </row>
    <row r="1004" spans="129:146" s="261" customFormat="1">
      <c r="DY1004" s="286"/>
      <c r="EC1004" s="286"/>
      <c r="EP1004" s="286"/>
    </row>
    <row r="1005" spans="129:146" s="261" customFormat="1">
      <c r="DY1005" s="286"/>
      <c r="EC1005" s="286"/>
      <c r="EP1005" s="286"/>
    </row>
    <row r="1006" spans="129:146" s="261" customFormat="1">
      <c r="DY1006" s="286"/>
      <c r="EC1006" s="286"/>
      <c r="EP1006" s="286"/>
    </row>
    <row r="1007" spans="129:146" s="261" customFormat="1">
      <c r="DY1007" s="286"/>
      <c r="EC1007" s="286"/>
      <c r="EP1007" s="286"/>
    </row>
    <row r="1008" spans="129:146" s="261" customFormat="1">
      <c r="DY1008" s="286"/>
      <c r="EC1008" s="286"/>
      <c r="EP1008" s="286"/>
    </row>
    <row r="1009" spans="129:146" s="261" customFormat="1">
      <c r="DY1009" s="286"/>
      <c r="EC1009" s="286"/>
      <c r="EP1009" s="286"/>
    </row>
    <row r="1010" spans="129:146" s="261" customFormat="1">
      <c r="DY1010" s="286"/>
      <c r="EC1010" s="286"/>
      <c r="EP1010" s="286"/>
    </row>
    <row r="1011" spans="129:146" s="261" customFormat="1">
      <c r="DY1011" s="286"/>
      <c r="EC1011" s="286"/>
      <c r="EP1011" s="286"/>
    </row>
    <row r="1012" spans="129:146" s="261" customFormat="1">
      <c r="DY1012" s="286"/>
      <c r="EC1012" s="286"/>
      <c r="EP1012" s="286"/>
    </row>
    <row r="1013" spans="129:146" s="261" customFormat="1">
      <c r="DY1013" s="286"/>
      <c r="EC1013" s="286"/>
      <c r="EP1013" s="286"/>
    </row>
    <row r="1014" spans="129:146" s="261" customFormat="1">
      <c r="DY1014" s="286"/>
      <c r="EC1014" s="286"/>
      <c r="EP1014" s="286"/>
    </row>
    <row r="1015" spans="129:146" s="261" customFormat="1">
      <c r="DY1015" s="286"/>
      <c r="EC1015" s="286"/>
      <c r="EP1015" s="286"/>
    </row>
    <row r="1016" spans="129:146" s="261" customFormat="1">
      <c r="DY1016" s="286"/>
      <c r="EC1016" s="286"/>
      <c r="EP1016" s="286"/>
    </row>
    <row r="1017" spans="129:146" s="261" customFormat="1">
      <c r="DY1017" s="286"/>
      <c r="EC1017" s="286"/>
      <c r="EP1017" s="286"/>
    </row>
    <row r="1018" spans="129:146" s="261" customFormat="1">
      <c r="DY1018" s="286"/>
      <c r="EC1018" s="286"/>
      <c r="EP1018" s="286"/>
    </row>
    <row r="1019" spans="129:146" s="261" customFormat="1">
      <c r="DY1019" s="286"/>
      <c r="EC1019" s="286"/>
      <c r="EP1019" s="286"/>
    </row>
    <row r="1020" spans="129:146" s="261" customFormat="1">
      <c r="DY1020" s="286"/>
      <c r="EC1020" s="286"/>
      <c r="EP1020" s="286"/>
    </row>
    <row r="1021" spans="129:146" s="261" customFormat="1">
      <c r="DY1021" s="286"/>
      <c r="EC1021" s="286"/>
      <c r="EP1021" s="286"/>
    </row>
    <row r="1022" spans="129:146" s="261" customFormat="1">
      <c r="DY1022" s="286"/>
      <c r="EC1022" s="286"/>
      <c r="EP1022" s="286"/>
    </row>
    <row r="1023" spans="129:146" s="261" customFormat="1">
      <c r="DY1023" s="286"/>
      <c r="EC1023" s="286"/>
      <c r="EP1023" s="286"/>
    </row>
    <row r="1024" spans="129:146" s="261" customFormat="1">
      <c r="DY1024" s="286"/>
      <c r="EC1024" s="286"/>
      <c r="EP1024" s="286"/>
    </row>
    <row r="1025" spans="129:146" s="261" customFormat="1">
      <c r="DY1025" s="286"/>
      <c r="EC1025" s="286"/>
      <c r="EP1025" s="286"/>
    </row>
    <row r="1026" spans="129:146" s="261" customFormat="1">
      <c r="DY1026" s="286"/>
      <c r="EC1026" s="286"/>
      <c r="EP1026" s="286"/>
    </row>
    <row r="1027" spans="129:146" s="261" customFormat="1">
      <c r="DY1027" s="286"/>
      <c r="EC1027" s="286"/>
      <c r="EP1027" s="286"/>
    </row>
    <row r="1028" spans="129:146" s="261" customFormat="1">
      <c r="DY1028" s="286"/>
      <c r="EC1028" s="286"/>
      <c r="EP1028" s="286"/>
    </row>
    <row r="1029" spans="129:146" s="261" customFormat="1">
      <c r="DY1029" s="286"/>
      <c r="EC1029" s="286"/>
      <c r="EP1029" s="286"/>
    </row>
    <row r="1030" spans="129:146" s="261" customFormat="1">
      <c r="DY1030" s="286"/>
      <c r="EC1030" s="286"/>
      <c r="EP1030" s="286"/>
    </row>
    <row r="1031" spans="129:146" s="261" customFormat="1">
      <c r="DY1031" s="286"/>
      <c r="EC1031" s="286"/>
      <c r="EP1031" s="286"/>
    </row>
    <row r="1032" spans="129:146" s="261" customFormat="1">
      <c r="DY1032" s="286"/>
      <c r="EC1032" s="286"/>
      <c r="EP1032" s="286"/>
    </row>
    <row r="1033" spans="129:146" s="261" customFormat="1">
      <c r="DY1033" s="286"/>
      <c r="EC1033" s="286"/>
      <c r="EP1033" s="286"/>
    </row>
    <row r="1034" spans="129:146" s="261" customFormat="1">
      <c r="DY1034" s="286"/>
      <c r="EC1034" s="286"/>
      <c r="EP1034" s="286"/>
    </row>
    <row r="1035" spans="129:146" s="261" customFormat="1">
      <c r="DY1035" s="286"/>
      <c r="EC1035" s="286"/>
      <c r="EP1035" s="286"/>
    </row>
    <row r="1036" spans="129:146" s="261" customFormat="1">
      <c r="DY1036" s="286"/>
      <c r="EC1036" s="286"/>
      <c r="EP1036" s="286"/>
    </row>
    <row r="1037" spans="129:146" s="261" customFormat="1">
      <c r="DY1037" s="286"/>
      <c r="EC1037" s="286"/>
      <c r="EP1037" s="286"/>
    </row>
    <row r="1038" spans="129:146" s="261" customFormat="1">
      <c r="DY1038" s="286"/>
      <c r="EC1038" s="286"/>
      <c r="EP1038" s="286"/>
    </row>
    <row r="1039" spans="129:146" s="261" customFormat="1">
      <c r="DY1039" s="286"/>
      <c r="EC1039" s="286"/>
      <c r="EP1039" s="286"/>
    </row>
    <row r="1040" spans="129:146" s="261" customFormat="1">
      <c r="DY1040" s="286"/>
      <c r="EC1040" s="286"/>
      <c r="EP1040" s="286"/>
    </row>
    <row r="1041" spans="129:146" s="261" customFormat="1">
      <c r="DY1041" s="286"/>
      <c r="EC1041" s="286"/>
      <c r="EP1041" s="286"/>
    </row>
    <row r="1042" spans="129:146" s="261" customFormat="1">
      <c r="DY1042" s="286"/>
      <c r="EC1042" s="286"/>
      <c r="EP1042" s="286"/>
    </row>
    <row r="1043" spans="129:146" s="261" customFormat="1">
      <c r="DY1043" s="286"/>
      <c r="EC1043" s="286"/>
      <c r="EP1043" s="286"/>
    </row>
    <row r="1044" spans="129:146" s="261" customFormat="1">
      <c r="DY1044" s="286"/>
      <c r="EC1044" s="286"/>
      <c r="EP1044" s="286"/>
    </row>
    <row r="1045" spans="129:146" s="261" customFormat="1">
      <c r="DY1045" s="286"/>
      <c r="EC1045" s="286"/>
      <c r="EP1045" s="286"/>
    </row>
    <row r="1046" spans="129:146" s="261" customFormat="1">
      <c r="DY1046" s="286"/>
      <c r="EC1046" s="286"/>
      <c r="EP1046" s="286"/>
    </row>
    <row r="1047" spans="129:146" s="261" customFormat="1">
      <c r="DY1047" s="286"/>
      <c r="EC1047" s="286"/>
      <c r="EP1047" s="286"/>
    </row>
    <row r="1048" spans="129:146" s="261" customFormat="1">
      <c r="DY1048" s="286"/>
      <c r="EC1048" s="286"/>
      <c r="EP1048" s="286"/>
    </row>
    <row r="1049" spans="129:146" s="261" customFormat="1">
      <c r="DY1049" s="286"/>
      <c r="EC1049" s="286"/>
      <c r="EP1049" s="286"/>
    </row>
    <row r="1050" spans="129:146" s="261" customFormat="1">
      <c r="DY1050" s="286"/>
      <c r="EC1050" s="286"/>
      <c r="EP1050" s="286"/>
    </row>
    <row r="1051" spans="129:146" s="261" customFormat="1">
      <c r="DY1051" s="286"/>
      <c r="EC1051" s="286"/>
      <c r="EP1051" s="286"/>
    </row>
    <row r="1052" spans="129:146" s="261" customFormat="1">
      <c r="DY1052" s="286"/>
      <c r="EC1052" s="286"/>
      <c r="EP1052" s="286"/>
    </row>
    <row r="1053" spans="129:146" s="261" customFormat="1">
      <c r="DY1053" s="286"/>
      <c r="EC1053" s="286"/>
      <c r="EP1053" s="286"/>
    </row>
    <row r="1054" spans="129:146" s="261" customFormat="1">
      <c r="DY1054" s="286"/>
      <c r="EC1054" s="286"/>
      <c r="EP1054" s="286"/>
    </row>
    <row r="1055" spans="129:146" s="261" customFormat="1">
      <c r="DY1055" s="286"/>
      <c r="EC1055" s="286"/>
      <c r="EP1055" s="286"/>
    </row>
    <row r="1056" spans="129:146" s="261" customFormat="1">
      <c r="DY1056" s="286"/>
      <c r="EC1056" s="286"/>
      <c r="EP1056" s="286"/>
    </row>
    <row r="1057" spans="129:146" s="261" customFormat="1">
      <c r="DY1057" s="286"/>
      <c r="EC1057" s="286"/>
      <c r="EP1057" s="286"/>
    </row>
    <row r="1058" spans="129:146" s="261" customFormat="1">
      <c r="DY1058" s="286"/>
      <c r="EC1058" s="286"/>
      <c r="EP1058" s="286"/>
    </row>
    <row r="1059" spans="129:146" s="261" customFormat="1">
      <c r="DY1059" s="286"/>
      <c r="EC1059" s="286"/>
      <c r="EP1059" s="286"/>
    </row>
    <row r="1060" spans="129:146" s="261" customFormat="1">
      <c r="DY1060" s="286"/>
      <c r="EC1060" s="286"/>
      <c r="EP1060" s="286"/>
    </row>
    <row r="1061" spans="129:146" s="261" customFormat="1">
      <c r="DY1061" s="286"/>
      <c r="EC1061" s="286"/>
      <c r="EP1061" s="286"/>
    </row>
    <row r="1062" spans="129:146" s="261" customFormat="1">
      <c r="DY1062" s="286"/>
      <c r="EC1062" s="286"/>
      <c r="EP1062" s="286"/>
    </row>
    <row r="1063" spans="129:146" s="261" customFormat="1">
      <c r="DY1063" s="286"/>
      <c r="EC1063" s="286"/>
      <c r="EP1063" s="286"/>
    </row>
    <row r="1064" spans="129:146" s="261" customFormat="1">
      <c r="DY1064" s="286"/>
      <c r="EC1064" s="286"/>
      <c r="EP1064" s="286"/>
    </row>
    <row r="1065" spans="129:146" s="261" customFormat="1">
      <c r="DY1065" s="286"/>
      <c r="EC1065" s="286"/>
      <c r="EP1065" s="286"/>
    </row>
    <row r="1066" spans="129:146" s="261" customFormat="1">
      <c r="DY1066" s="286"/>
      <c r="EC1066" s="286"/>
      <c r="EP1066" s="286"/>
    </row>
    <row r="1067" spans="129:146" s="261" customFormat="1">
      <c r="DY1067" s="286"/>
      <c r="EC1067" s="286"/>
      <c r="EP1067" s="286"/>
    </row>
    <row r="1068" spans="129:146" s="261" customFormat="1">
      <c r="DY1068" s="286"/>
      <c r="EC1068" s="286"/>
      <c r="EP1068" s="286"/>
    </row>
    <row r="1069" spans="129:146" s="261" customFormat="1">
      <c r="DY1069" s="286"/>
      <c r="EC1069" s="286"/>
      <c r="EP1069" s="286"/>
    </row>
    <row r="1070" spans="129:146" s="261" customFormat="1">
      <c r="DY1070" s="286"/>
      <c r="EC1070" s="286"/>
      <c r="EP1070" s="286"/>
    </row>
    <row r="1071" spans="129:146" s="261" customFormat="1">
      <c r="DY1071" s="286"/>
      <c r="EC1071" s="286"/>
      <c r="EP1071" s="286"/>
    </row>
    <row r="1072" spans="129:146" s="261" customFormat="1">
      <c r="DY1072" s="286"/>
      <c r="EC1072" s="286"/>
      <c r="EP1072" s="286"/>
    </row>
    <row r="1073" spans="129:146" s="261" customFormat="1">
      <c r="DY1073" s="286"/>
      <c r="EC1073" s="286"/>
      <c r="EP1073" s="286"/>
    </row>
    <row r="1074" spans="129:146" s="261" customFormat="1">
      <c r="DY1074" s="286"/>
      <c r="EC1074" s="286"/>
      <c r="EP1074" s="286"/>
    </row>
    <row r="1075" spans="129:146" s="261" customFormat="1">
      <c r="DY1075" s="286"/>
      <c r="EC1075" s="286"/>
      <c r="EP1075" s="286"/>
    </row>
    <row r="1076" spans="129:146" s="261" customFormat="1">
      <c r="DY1076" s="286"/>
      <c r="EC1076" s="286"/>
      <c r="EP1076" s="286"/>
    </row>
    <row r="1077" spans="129:146" s="261" customFormat="1">
      <c r="DY1077" s="286"/>
      <c r="EC1077" s="286"/>
      <c r="EP1077" s="286"/>
    </row>
    <row r="1078" spans="129:146" s="261" customFormat="1">
      <c r="DY1078" s="286"/>
      <c r="EC1078" s="286"/>
      <c r="EP1078" s="286"/>
    </row>
    <row r="1079" spans="129:146" s="261" customFormat="1">
      <c r="DY1079" s="286"/>
      <c r="EC1079" s="286"/>
      <c r="EP1079" s="286"/>
    </row>
    <row r="1080" spans="129:146" s="261" customFormat="1">
      <c r="DY1080" s="286"/>
      <c r="EC1080" s="286"/>
      <c r="EP1080" s="286"/>
    </row>
    <row r="1081" spans="129:146" s="261" customFormat="1">
      <c r="DY1081" s="286"/>
      <c r="EC1081" s="286"/>
      <c r="EP1081" s="286"/>
    </row>
    <row r="1082" spans="129:146" s="261" customFormat="1">
      <c r="DY1082" s="286"/>
      <c r="EC1082" s="286"/>
      <c r="EP1082" s="286"/>
    </row>
    <row r="1083" spans="129:146" s="261" customFormat="1">
      <c r="DY1083" s="286"/>
      <c r="EC1083" s="286"/>
      <c r="EP1083" s="286"/>
    </row>
    <row r="1084" spans="129:146" s="261" customFormat="1">
      <c r="DY1084" s="286"/>
      <c r="EC1084" s="286"/>
      <c r="EP1084" s="286"/>
    </row>
    <row r="1085" spans="129:146" s="261" customFormat="1">
      <c r="DY1085" s="286"/>
      <c r="EC1085" s="286"/>
      <c r="EP1085" s="286"/>
    </row>
    <row r="1086" spans="129:146" s="261" customFormat="1">
      <c r="DY1086" s="286"/>
      <c r="EC1086" s="286"/>
      <c r="EP1086" s="286"/>
    </row>
    <row r="1087" spans="129:146" s="261" customFormat="1">
      <c r="DY1087" s="286"/>
      <c r="EC1087" s="286"/>
      <c r="EP1087" s="286"/>
    </row>
    <row r="1088" spans="129:146" s="261" customFormat="1">
      <c r="DY1088" s="286"/>
      <c r="EC1088" s="286"/>
      <c r="EP1088" s="286"/>
    </row>
    <row r="1089" spans="129:146" s="261" customFormat="1">
      <c r="DY1089" s="286"/>
      <c r="EC1089" s="286"/>
      <c r="EP1089" s="286"/>
    </row>
    <row r="1090" spans="129:146" s="261" customFormat="1">
      <c r="DY1090" s="286"/>
      <c r="EC1090" s="286"/>
      <c r="EP1090" s="286"/>
    </row>
    <row r="1091" spans="129:146" s="261" customFormat="1">
      <c r="DY1091" s="286"/>
      <c r="EC1091" s="286"/>
      <c r="EP1091" s="286"/>
    </row>
    <row r="1092" spans="129:146" s="261" customFormat="1">
      <c r="DY1092" s="286"/>
      <c r="EC1092" s="286"/>
      <c r="EP1092" s="286"/>
    </row>
    <row r="1093" spans="129:146" s="261" customFormat="1">
      <c r="DY1093" s="286"/>
      <c r="EC1093" s="286"/>
      <c r="EP1093" s="286"/>
    </row>
    <row r="1094" spans="129:146" s="261" customFormat="1">
      <c r="DY1094" s="286"/>
      <c r="EC1094" s="286"/>
      <c r="EP1094" s="286"/>
    </row>
    <row r="1095" spans="129:146" s="261" customFormat="1">
      <c r="DY1095" s="286"/>
      <c r="EC1095" s="286"/>
      <c r="EP1095" s="286"/>
    </row>
    <row r="1096" spans="129:146" s="261" customFormat="1">
      <c r="DY1096" s="286"/>
      <c r="EC1096" s="286"/>
      <c r="EP1096" s="286"/>
    </row>
    <row r="1097" spans="129:146" s="261" customFormat="1">
      <c r="DY1097" s="286"/>
      <c r="EC1097" s="286"/>
      <c r="EP1097" s="286"/>
    </row>
    <row r="1098" spans="129:146" s="261" customFormat="1">
      <c r="DY1098" s="286"/>
      <c r="EC1098" s="286"/>
      <c r="EP1098" s="286"/>
    </row>
    <row r="1099" spans="129:146" s="261" customFormat="1">
      <c r="DY1099" s="286"/>
      <c r="EC1099" s="286"/>
      <c r="EP1099" s="286"/>
    </row>
    <row r="1100" spans="129:146" s="261" customFormat="1">
      <c r="DY1100" s="286"/>
      <c r="EC1100" s="286"/>
      <c r="EP1100" s="286"/>
    </row>
    <row r="1101" spans="129:146" s="261" customFormat="1">
      <c r="DY1101" s="286"/>
      <c r="EC1101" s="286"/>
      <c r="EP1101" s="286"/>
    </row>
    <row r="1102" spans="129:146" s="261" customFormat="1">
      <c r="DY1102" s="286"/>
      <c r="EC1102" s="286"/>
      <c r="EP1102" s="286"/>
    </row>
    <row r="1103" spans="129:146" s="261" customFormat="1">
      <c r="DY1103" s="286"/>
      <c r="EC1103" s="286"/>
      <c r="EP1103" s="286"/>
    </row>
    <row r="1104" spans="129:146" s="261" customFormat="1">
      <c r="DY1104" s="286"/>
      <c r="EC1104" s="286"/>
      <c r="EP1104" s="286"/>
    </row>
    <row r="1105" spans="129:146" s="261" customFormat="1">
      <c r="DY1105" s="286"/>
      <c r="EC1105" s="286"/>
      <c r="EP1105" s="286"/>
    </row>
    <row r="1106" spans="129:146" s="261" customFormat="1">
      <c r="DY1106" s="286"/>
      <c r="EC1106" s="286"/>
      <c r="EP1106" s="286"/>
    </row>
    <row r="1107" spans="129:146" s="261" customFormat="1">
      <c r="DY1107" s="286"/>
      <c r="EC1107" s="286"/>
      <c r="EP1107" s="286"/>
    </row>
    <row r="1108" spans="129:146" s="261" customFormat="1">
      <c r="DY1108" s="286"/>
      <c r="EC1108" s="286"/>
      <c r="EP1108" s="286"/>
    </row>
    <row r="1109" spans="129:146" s="261" customFormat="1">
      <c r="DY1109" s="286"/>
      <c r="EC1109" s="286"/>
      <c r="EP1109" s="286"/>
    </row>
    <row r="1110" spans="129:146" s="261" customFormat="1">
      <c r="DY1110" s="286"/>
      <c r="EC1110" s="286"/>
      <c r="EP1110" s="286"/>
    </row>
    <row r="1111" spans="129:146" s="261" customFormat="1">
      <c r="DY1111" s="286"/>
      <c r="EC1111" s="286"/>
      <c r="EP1111" s="286"/>
    </row>
    <row r="1112" spans="129:146" s="261" customFormat="1">
      <c r="DY1112" s="286"/>
      <c r="EC1112" s="286"/>
      <c r="EP1112" s="286"/>
    </row>
    <row r="1113" spans="129:146" s="261" customFormat="1">
      <c r="DY1113" s="286"/>
      <c r="EC1113" s="286"/>
      <c r="EP1113" s="286"/>
    </row>
    <row r="1114" spans="129:146" s="261" customFormat="1">
      <c r="DY1114" s="286"/>
      <c r="EC1114" s="286"/>
      <c r="EP1114" s="286"/>
    </row>
    <row r="1115" spans="129:146" s="261" customFormat="1">
      <c r="DY1115" s="286"/>
      <c r="EC1115" s="286"/>
      <c r="EP1115" s="286"/>
    </row>
    <row r="1116" spans="129:146" s="261" customFormat="1">
      <c r="DY1116" s="286"/>
      <c r="EC1116" s="286"/>
      <c r="EP1116" s="286"/>
    </row>
    <row r="1117" spans="129:146" s="261" customFormat="1">
      <c r="DY1117" s="286"/>
      <c r="EC1117" s="286"/>
      <c r="EP1117" s="286"/>
    </row>
    <row r="1118" spans="129:146" s="261" customFormat="1">
      <c r="DY1118" s="286"/>
      <c r="EC1118" s="286"/>
      <c r="EP1118" s="286"/>
    </row>
    <row r="1119" spans="129:146" s="261" customFormat="1">
      <c r="DY1119" s="286"/>
      <c r="EC1119" s="286"/>
      <c r="EP1119" s="286"/>
    </row>
    <row r="1120" spans="129:146" s="261" customFormat="1">
      <c r="DY1120" s="286"/>
      <c r="EC1120" s="286"/>
      <c r="EP1120" s="286"/>
    </row>
    <row r="1121" spans="129:146" s="261" customFormat="1">
      <c r="DY1121" s="286"/>
      <c r="EC1121" s="286"/>
      <c r="EP1121" s="286"/>
    </row>
    <row r="1122" spans="129:146" s="261" customFormat="1">
      <c r="DY1122" s="286"/>
      <c r="EC1122" s="286"/>
      <c r="EP1122" s="286"/>
    </row>
    <row r="1123" spans="129:146" s="261" customFormat="1">
      <c r="DY1123" s="286"/>
      <c r="EC1123" s="286"/>
      <c r="EP1123" s="286"/>
    </row>
    <row r="1124" spans="129:146" s="261" customFormat="1">
      <c r="DY1124" s="286"/>
      <c r="EC1124" s="286"/>
      <c r="EP1124" s="286"/>
    </row>
    <row r="1125" spans="129:146" s="261" customFormat="1">
      <c r="DY1125" s="286"/>
      <c r="EC1125" s="286"/>
      <c r="EP1125" s="286"/>
    </row>
    <row r="1126" spans="129:146" s="261" customFormat="1">
      <c r="DY1126" s="286"/>
      <c r="EC1126" s="286"/>
      <c r="EP1126" s="286"/>
    </row>
    <row r="1127" spans="129:146" s="261" customFormat="1">
      <c r="DY1127" s="286"/>
      <c r="EC1127" s="286"/>
      <c r="EP1127" s="286"/>
    </row>
    <row r="1128" spans="129:146" s="261" customFormat="1">
      <c r="DY1128" s="286"/>
      <c r="EC1128" s="286"/>
      <c r="EP1128" s="286"/>
    </row>
    <row r="1129" spans="129:146" s="261" customFormat="1">
      <c r="DY1129" s="286"/>
      <c r="EC1129" s="286"/>
      <c r="EP1129" s="286"/>
    </row>
    <row r="1130" spans="129:146" s="261" customFormat="1">
      <c r="DY1130" s="286"/>
      <c r="EC1130" s="286"/>
      <c r="EP1130" s="286"/>
    </row>
    <row r="1131" spans="129:146" s="261" customFormat="1">
      <c r="DY1131" s="286"/>
      <c r="EC1131" s="286"/>
      <c r="EP1131" s="286"/>
    </row>
    <row r="1132" spans="129:146" s="261" customFormat="1">
      <c r="DY1132" s="286"/>
      <c r="EC1132" s="286"/>
      <c r="EP1132" s="286"/>
    </row>
    <row r="1133" spans="129:146" s="261" customFormat="1">
      <c r="DY1133" s="286"/>
      <c r="EC1133" s="286"/>
      <c r="EP1133" s="286"/>
    </row>
    <row r="1134" spans="129:146" s="261" customFormat="1">
      <c r="DY1134" s="286"/>
      <c r="EC1134" s="286"/>
      <c r="EP1134" s="286"/>
    </row>
    <row r="1135" spans="129:146" s="261" customFormat="1">
      <c r="DY1135" s="286"/>
      <c r="EC1135" s="286"/>
      <c r="EP1135" s="286"/>
    </row>
    <row r="1136" spans="129:146" s="261" customFormat="1">
      <c r="DY1136" s="286"/>
      <c r="EC1136" s="286"/>
      <c r="EP1136" s="286"/>
    </row>
    <row r="1137" spans="129:146" s="261" customFormat="1">
      <c r="DY1137" s="286"/>
      <c r="EC1137" s="286"/>
      <c r="EP1137" s="286"/>
    </row>
    <row r="1138" spans="129:146" s="261" customFormat="1">
      <c r="DY1138" s="286"/>
      <c r="EC1138" s="286"/>
      <c r="EP1138" s="286"/>
    </row>
    <row r="1139" spans="129:146" s="261" customFormat="1">
      <c r="DY1139" s="286"/>
      <c r="EC1139" s="286"/>
      <c r="EP1139" s="286"/>
    </row>
    <row r="1140" spans="129:146" s="261" customFormat="1">
      <c r="DY1140" s="286"/>
      <c r="EC1140" s="286"/>
      <c r="EP1140" s="286"/>
    </row>
    <row r="1141" spans="129:146" s="261" customFormat="1">
      <c r="DY1141" s="286"/>
      <c r="EC1141" s="286"/>
      <c r="EP1141" s="286"/>
    </row>
    <row r="1142" spans="129:146" s="261" customFormat="1">
      <c r="DY1142" s="286"/>
      <c r="EC1142" s="286"/>
      <c r="EP1142" s="286"/>
    </row>
    <row r="1143" spans="129:146" s="261" customFormat="1">
      <c r="DY1143" s="286"/>
      <c r="EC1143" s="286"/>
      <c r="EP1143" s="286"/>
    </row>
    <row r="1144" spans="129:146" s="261" customFormat="1">
      <c r="DY1144" s="286"/>
      <c r="EC1144" s="286"/>
      <c r="EP1144" s="286"/>
    </row>
    <row r="1145" spans="129:146" s="261" customFormat="1">
      <c r="DY1145" s="286"/>
      <c r="EC1145" s="286"/>
      <c r="EP1145" s="286"/>
    </row>
    <row r="1146" spans="129:146" s="261" customFormat="1">
      <c r="DY1146" s="286"/>
      <c r="EC1146" s="286"/>
      <c r="EP1146" s="286"/>
    </row>
    <row r="1147" spans="129:146" s="261" customFormat="1">
      <c r="DY1147" s="286"/>
      <c r="EC1147" s="286"/>
      <c r="EP1147" s="286"/>
    </row>
    <row r="1148" spans="129:146" s="261" customFormat="1">
      <c r="DY1148" s="286"/>
      <c r="EC1148" s="286"/>
      <c r="EP1148" s="286"/>
    </row>
    <row r="1149" spans="129:146" s="261" customFormat="1">
      <c r="DY1149" s="286"/>
      <c r="EC1149" s="286"/>
      <c r="EP1149" s="286"/>
    </row>
    <row r="1150" spans="129:146" s="261" customFormat="1">
      <c r="DY1150" s="286"/>
      <c r="EC1150" s="286"/>
      <c r="EP1150" s="286"/>
    </row>
    <row r="1151" spans="129:146" s="261" customFormat="1">
      <c r="DY1151" s="286"/>
      <c r="EC1151" s="286"/>
      <c r="EP1151" s="286"/>
    </row>
    <row r="1152" spans="129:146" s="261" customFormat="1">
      <c r="DY1152" s="286"/>
      <c r="EC1152" s="286"/>
      <c r="EP1152" s="286"/>
    </row>
    <row r="1153" spans="129:146" s="261" customFormat="1">
      <c r="DY1153" s="286"/>
      <c r="EC1153" s="286"/>
      <c r="EP1153" s="286"/>
    </row>
    <row r="1154" spans="129:146" s="261" customFormat="1">
      <c r="DY1154" s="286"/>
      <c r="EC1154" s="286"/>
      <c r="EP1154" s="286"/>
    </row>
    <row r="1155" spans="129:146" s="261" customFormat="1">
      <c r="DY1155" s="286"/>
      <c r="EC1155" s="286"/>
      <c r="EP1155" s="286"/>
    </row>
    <row r="1156" spans="129:146" s="261" customFormat="1">
      <c r="DY1156" s="286"/>
      <c r="EC1156" s="286"/>
      <c r="EP1156" s="286"/>
    </row>
    <row r="1157" spans="129:146" s="261" customFormat="1">
      <c r="DY1157" s="286"/>
      <c r="EC1157" s="286"/>
      <c r="EP1157" s="286"/>
    </row>
    <row r="1158" spans="129:146" s="261" customFormat="1">
      <c r="DY1158" s="286"/>
      <c r="EC1158" s="286"/>
      <c r="EP1158" s="286"/>
    </row>
    <row r="1159" spans="129:146" s="261" customFormat="1">
      <c r="DY1159" s="286"/>
      <c r="EC1159" s="286"/>
      <c r="EP1159" s="286"/>
    </row>
    <row r="1160" spans="129:146" s="261" customFormat="1">
      <c r="DY1160" s="286"/>
      <c r="EC1160" s="286"/>
      <c r="EP1160" s="286"/>
    </row>
    <row r="1161" spans="129:146" s="261" customFormat="1">
      <c r="DY1161" s="286"/>
      <c r="EC1161" s="286"/>
      <c r="EP1161" s="286"/>
    </row>
    <row r="1162" spans="129:146" s="261" customFormat="1">
      <c r="DY1162" s="286"/>
      <c r="EC1162" s="286"/>
      <c r="EP1162" s="286"/>
    </row>
    <row r="1163" spans="129:146" s="261" customFormat="1">
      <c r="DY1163" s="286"/>
      <c r="EC1163" s="286"/>
      <c r="EP1163" s="286"/>
    </row>
    <row r="1164" spans="129:146" s="261" customFormat="1">
      <c r="DY1164" s="286"/>
      <c r="EC1164" s="286"/>
      <c r="EP1164" s="286"/>
    </row>
    <row r="1165" spans="129:146" s="261" customFormat="1">
      <c r="DY1165" s="286"/>
      <c r="EC1165" s="286"/>
      <c r="EP1165" s="286"/>
    </row>
    <row r="1166" spans="129:146" s="261" customFormat="1">
      <c r="DY1166" s="286"/>
      <c r="EC1166" s="286"/>
      <c r="EP1166" s="286"/>
    </row>
    <row r="1167" spans="129:146" s="261" customFormat="1">
      <c r="DY1167" s="286"/>
      <c r="EC1167" s="286"/>
      <c r="EP1167" s="286"/>
    </row>
    <row r="1168" spans="129:146" s="261" customFormat="1">
      <c r="DY1168" s="286"/>
      <c r="EC1168" s="286"/>
      <c r="EP1168" s="286"/>
    </row>
    <row r="1169" spans="129:146" s="261" customFormat="1">
      <c r="DY1169" s="286"/>
      <c r="EC1169" s="286"/>
      <c r="EP1169" s="286"/>
    </row>
    <row r="1170" spans="129:146" s="261" customFormat="1">
      <c r="DY1170" s="286"/>
      <c r="EC1170" s="286"/>
      <c r="EP1170" s="286"/>
    </row>
    <row r="1171" spans="129:146" s="261" customFormat="1">
      <c r="DY1171" s="286"/>
      <c r="EC1171" s="286"/>
      <c r="EP1171" s="286"/>
    </row>
    <row r="1172" spans="129:146" s="261" customFormat="1">
      <c r="DY1172" s="286"/>
      <c r="EC1172" s="286"/>
      <c r="EP1172" s="286"/>
    </row>
    <row r="1173" spans="129:146" s="261" customFormat="1">
      <c r="DY1173" s="286"/>
      <c r="EC1173" s="286"/>
      <c r="EP1173" s="286"/>
    </row>
    <row r="1174" spans="129:146" s="261" customFormat="1">
      <c r="DY1174" s="286"/>
      <c r="EC1174" s="286"/>
      <c r="EP1174" s="286"/>
    </row>
    <row r="1175" spans="129:146" s="261" customFormat="1">
      <c r="DY1175" s="286"/>
      <c r="EC1175" s="286"/>
      <c r="EP1175" s="286"/>
    </row>
    <row r="1176" spans="129:146" s="261" customFormat="1">
      <c r="DY1176" s="286"/>
      <c r="EC1176" s="286"/>
      <c r="EP1176" s="286"/>
    </row>
    <row r="1177" spans="129:146" s="261" customFormat="1">
      <c r="DY1177" s="286"/>
      <c r="EC1177" s="286"/>
      <c r="EP1177" s="286"/>
    </row>
    <row r="1178" spans="129:146" s="261" customFormat="1">
      <c r="DY1178" s="286"/>
      <c r="EC1178" s="286"/>
      <c r="EP1178" s="286"/>
    </row>
    <row r="1179" spans="129:146" s="261" customFormat="1">
      <c r="DY1179" s="286"/>
      <c r="EC1179" s="286"/>
      <c r="EP1179" s="286"/>
    </row>
    <row r="1180" spans="129:146" s="261" customFormat="1">
      <c r="DY1180" s="286"/>
      <c r="EC1180" s="286"/>
      <c r="EP1180" s="286"/>
    </row>
    <row r="1181" spans="129:146" s="261" customFormat="1">
      <c r="DY1181" s="286"/>
      <c r="EC1181" s="286"/>
      <c r="EP1181" s="286"/>
    </row>
    <row r="1182" spans="129:146" s="261" customFormat="1">
      <c r="DY1182" s="286"/>
      <c r="EC1182" s="286"/>
      <c r="EP1182" s="286"/>
    </row>
    <row r="1183" spans="129:146" s="261" customFormat="1">
      <c r="DY1183" s="286"/>
      <c r="EC1183" s="286"/>
      <c r="EP1183" s="286"/>
    </row>
    <row r="1184" spans="129:146" s="261" customFormat="1">
      <c r="DY1184" s="286"/>
      <c r="EC1184" s="286"/>
      <c r="EP1184" s="286"/>
    </row>
    <row r="1185" spans="11:123">
      <c r="K1185" s="261"/>
      <c r="L1185" s="261"/>
      <c r="M1185" s="261"/>
      <c r="N1185" s="261"/>
      <c r="O1185" s="261"/>
      <c r="P1185" s="261"/>
      <c r="Q1185" s="261"/>
      <c r="BR1185" s="261"/>
      <c r="BS1185" s="261"/>
      <c r="BT1185" s="261"/>
      <c r="BU1185" s="261"/>
      <c r="BV1185" s="261"/>
      <c r="CJ1185" s="261"/>
      <c r="CO1185" s="261"/>
      <c r="CP1185" s="261"/>
      <c r="CQ1185" s="261"/>
      <c r="CR1185" s="261"/>
      <c r="CS1185" s="261"/>
      <c r="CT1185" s="261"/>
      <c r="CU1185" s="261"/>
      <c r="CV1185" s="261"/>
      <c r="CW1185" s="261"/>
      <c r="CX1185" s="261"/>
      <c r="CY1185" s="261"/>
      <c r="CZ1185" s="261"/>
      <c r="DA1185" s="261"/>
      <c r="DB1185" s="261"/>
      <c r="DC1185" s="261"/>
      <c r="DD1185" s="261"/>
      <c r="DE1185" s="261"/>
      <c r="DF1185" s="261"/>
      <c r="DG1185" s="261"/>
      <c r="DH1185" s="261"/>
      <c r="DI1185" s="261"/>
      <c r="DJ1185" s="261"/>
      <c r="DK1185" s="261"/>
      <c r="DL1185" s="261"/>
      <c r="DM1185" s="261"/>
      <c r="DN1185" s="261"/>
      <c r="DO1185" s="261"/>
      <c r="DP1185" s="261"/>
      <c r="DQ1185" s="261"/>
      <c r="DR1185" s="261"/>
      <c r="DS1185" s="261"/>
    </row>
    <row r="1186" spans="11:123">
      <c r="K1186" s="261"/>
      <c r="L1186" s="261"/>
      <c r="M1186" s="261"/>
      <c r="N1186" s="261"/>
      <c r="O1186" s="261"/>
      <c r="P1186" s="261"/>
      <c r="Q1186" s="261"/>
      <c r="BR1186" s="261"/>
      <c r="BS1186" s="261"/>
      <c r="BT1186" s="261"/>
      <c r="BU1186" s="261"/>
      <c r="BV1186" s="261"/>
      <c r="CJ1186" s="261"/>
      <c r="CO1186" s="261"/>
      <c r="CP1186" s="261"/>
      <c r="CQ1186" s="261"/>
      <c r="CR1186" s="261"/>
      <c r="CS1186" s="261"/>
      <c r="CT1186" s="261"/>
      <c r="CU1186" s="261"/>
      <c r="CV1186" s="261"/>
      <c r="CW1186" s="261"/>
      <c r="CX1186" s="261"/>
      <c r="CY1186" s="261"/>
      <c r="CZ1186" s="261"/>
      <c r="DA1186" s="261"/>
      <c r="DB1186" s="261"/>
      <c r="DC1186" s="261"/>
      <c r="DD1186" s="261"/>
      <c r="DE1186" s="261"/>
      <c r="DF1186" s="261"/>
      <c r="DG1186" s="261"/>
      <c r="DH1186" s="261"/>
      <c r="DI1186" s="261"/>
      <c r="DJ1186" s="261"/>
      <c r="DK1186" s="261"/>
      <c r="DL1186" s="261"/>
      <c r="DM1186" s="261"/>
      <c r="DN1186" s="261"/>
      <c r="DO1186" s="261"/>
      <c r="DP1186" s="261"/>
      <c r="DQ1186" s="261"/>
      <c r="DR1186" s="261"/>
      <c r="DS1186" s="261"/>
    </row>
    <row r="1187" spans="11:123">
      <c r="K1187" s="261"/>
      <c r="L1187" s="261"/>
      <c r="M1187" s="261"/>
      <c r="N1187" s="261"/>
      <c r="O1187" s="261"/>
      <c r="P1187" s="261"/>
      <c r="Q1187" s="261"/>
      <c r="BR1187" s="261"/>
      <c r="BS1187" s="261"/>
      <c r="BT1187" s="261"/>
      <c r="BU1187" s="261"/>
      <c r="BV1187" s="261"/>
      <c r="CJ1187" s="261"/>
      <c r="CO1187" s="261"/>
      <c r="CP1187" s="261"/>
      <c r="CQ1187" s="261"/>
      <c r="CR1187" s="261"/>
      <c r="CS1187" s="261"/>
      <c r="CT1187" s="261"/>
      <c r="CU1187" s="261"/>
      <c r="CV1187" s="261"/>
      <c r="CW1187" s="261"/>
      <c r="CX1187" s="261"/>
      <c r="CY1187" s="261"/>
      <c r="CZ1187" s="261"/>
      <c r="DA1187" s="261"/>
      <c r="DB1187" s="261"/>
      <c r="DC1187" s="261"/>
      <c r="DD1187" s="261"/>
      <c r="DE1187" s="261"/>
      <c r="DF1187" s="261"/>
      <c r="DG1187" s="261"/>
      <c r="DH1187" s="261"/>
      <c r="DI1187" s="261"/>
      <c r="DJ1187" s="261"/>
      <c r="DK1187" s="261"/>
      <c r="DL1187" s="261"/>
      <c r="DM1187" s="261"/>
      <c r="DN1187" s="261"/>
      <c r="DO1187" s="261"/>
      <c r="DP1187" s="261"/>
      <c r="DQ1187" s="261"/>
      <c r="DR1187" s="261"/>
      <c r="DS1187" s="261"/>
    </row>
    <row r="1188" spans="11:123">
      <c r="K1188" s="261"/>
      <c r="L1188" s="261"/>
      <c r="M1188" s="261"/>
      <c r="N1188" s="261"/>
      <c r="O1188" s="261"/>
      <c r="P1188" s="261"/>
      <c r="Q1188" s="261"/>
      <c r="BR1188" s="261"/>
      <c r="BS1188" s="261"/>
      <c r="BT1188" s="261"/>
      <c r="BU1188" s="261"/>
      <c r="BV1188" s="261"/>
      <c r="CJ1188" s="261"/>
      <c r="CO1188" s="261"/>
      <c r="CP1188" s="261"/>
      <c r="CQ1188" s="261"/>
      <c r="CR1188" s="261"/>
      <c r="CS1188" s="261"/>
      <c r="CT1188" s="261"/>
      <c r="CU1188" s="261"/>
      <c r="CV1188" s="261"/>
      <c r="CW1188" s="261"/>
      <c r="CX1188" s="261"/>
      <c r="CY1188" s="261"/>
      <c r="CZ1188" s="261"/>
      <c r="DA1188" s="261"/>
      <c r="DB1188" s="261"/>
      <c r="DC1188" s="261"/>
      <c r="DD1188" s="261"/>
      <c r="DE1188" s="261"/>
      <c r="DF1188" s="261"/>
      <c r="DG1188" s="261"/>
      <c r="DH1188" s="261"/>
      <c r="DI1188" s="261"/>
      <c r="DJ1188" s="261"/>
      <c r="DK1188" s="261"/>
      <c r="DL1188" s="261"/>
      <c r="DM1188" s="261"/>
      <c r="DN1188" s="261"/>
      <c r="DO1188" s="261"/>
      <c r="DP1188" s="261"/>
      <c r="DQ1188" s="261"/>
      <c r="DR1188" s="261"/>
      <c r="DS1188" s="261"/>
    </row>
    <row r="1189" spans="11:123">
      <c r="K1189" s="261"/>
      <c r="L1189" s="261"/>
      <c r="M1189" s="261"/>
      <c r="N1189" s="261"/>
      <c r="O1189" s="261"/>
      <c r="P1189" s="261"/>
      <c r="Q1189" s="261"/>
      <c r="BR1189" s="261"/>
      <c r="BS1189" s="261"/>
      <c r="BT1189" s="261"/>
      <c r="BU1189" s="261"/>
      <c r="BV1189" s="261"/>
      <c r="CJ1189" s="261"/>
      <c r="CO1189" s="261"/>
      <c r="CP1189" s="261"/>
      <c r="CQ1189" s="261"/>
      <c r="CR1189" s="261"/>
      <c r="CS1189" s="261"/>
      <c r="CT1189" s="261"/>
      <c r="CU1189" s="261"/>
      <c r="CV1189" s="261"/>
      <c r="CW1189" s="261"/>
      <c r="CX1189" s="261"/>
      <c r="CY1189" s="261"/>
      <c r="CZ1189" s="261"/>
      <c r="DA1189" s="261"/>
      <c r="DB1189" s="261"/>
      <c r="DC1189" s="261"/>
      <c r="DD1189" s="261"/>
      <c r="DE1189" s="261"/>
      <c r="DF1189" s="261"/>
      <c r="DG1189" s="261"/>
      <c r="DH1189" s="261"/>
      <c r="DI1189" s="261"/>
      <c r="DJ1189" s="261"/>
      <c r="DK1189" s="261"/>
      <c r="DL1189" s="261"/>
      <c r="DM1189" s="261"/>
      <c r="DN1189" s="261"/>
      <c r="DO1189" s="261"/>
      <c r="DP1189" s="261"/>
      <c r="DQ1189" s="261"/>
      <c r="DR1189" s="261"/>
      <c r="DS1189" s="261"/>
    </row>
    <row r="1190" spans="11:123">
      <c r="K1190" s="261"/>
      <c r="L1190" s="261"/>
      <c r="M1190" s="261"/>
      <c r="N1190" s="261"/>
      <c r="O1190" s="261"/>
      <c r="P1190" s="261"/>
      <c r="Q1190" s="261"/>
      <c r="BR1190" s="261"/>
      <c r="BS1190" s="261"/>
      <c r="BT1190" s="261"/>
      <c r="BU1190" s="261"/>
      <c r="BV1190" s="261"/>
      <c r="CJ1190" s="261"/>
      <c r="CO1190" s="261"/>
      <c r="CP1190" s="261"/>
      <c r="CQ1190" s="261"/>
      <c r="CR1190" s="261"/>
      <c r="CS1190" s="261"/>
      <c r="CT1190" s="261"/>
      <c r="CU1190" s="261"/>
      <c r="CV1190" s="261"/>
      <c r="CW1190" s="261"/>
      <c r="CX1190" s="261"/>
      <c r="CY1190" s="261"/>
      <c r="CZ1190" s="261"/>
      <c r="DA1190" s="261"/>
      <c r="DB1190" s="261"/>
      <c r="DC1190" s="261"/>
      <c r="DD1190" s="261"/>
      <c r="DE1190" s="261"/>
      <c r="DF1190" s="261"/>
      <c r="DG1190" s="261"/>
      <c r="DH1190" s="261"/>
      <c r="DI1190" s="261"/>
      <c r="DJ1190" s="261"/>
      <c r="DK1190" s="261"/>
      <c r="DL1190" s="261"/>
      <c r="DM1190" s="261"/>
      <c r="DN1190" s="261"/>
      <c r="DO1190" s="261"/>
      <c r="DP1190" s="261"/>
      <c r="DQ1190" s="261"/>
      <c r="DR1190" s="261"/>
      <c r="DS1190" s="261"/>
    </row>
    <row r="1191" spans="11:123">
      <c r="K1191" s="261"/>
      <c r="L1191" s="261"/>
      <c r="M1191" s="261"/>
      <c r="N1191" s="261"/>
      <c r="O1191" s="261"/>
      <c r="P1191" s="261"/>
      <c r="Q1191" s="261"/>
      <c r="BR1191" s="261"/>
      <c r="BS1191" s="261"/>
      <c r="BT1191" s="261"/>
      <c r="BU1191" s="261"/>
      <c r="BV1191" s="261"/>
      <c r="CJ1191" s="261"/>
      <c r="CO1191" s="261"/>
      <c r="CP1191" s="261"/>
      <c r="CQ1191" s="261"/>
      <c r="CR1191" s="261"/>
      <c r="CS1191" s="261"/>
      <c r="CT1191" s="261"/>
      <c r="CU1191" s="261"/>
      <c r="CV1191" s="261"/>
      <c r="CW1191" s="261"/>
      <c r="CX1191" s="261"/>
      <c r="CY1191" s="261"/>
      <c r="CZ1191" s="261"/>
      <c r="DA1191" s="261"/>
      <c r="DB1191" s="261"/>
      <c r="DC1191" s="261"/>
      <c r="DD1191" s="261"/>
      <c r="DE1191" s="261"/>
      <c r="DF1191" s="261"/>
      <c r="DG1191" s="261"/>
      <c r="DH1191" s="261"/>
      <c r="DI1191" s="261"/>
      <c r="DJ1191" s="261"/>
      <c r="DK1191" s="261"/>
      <c r="DL1191" s="261"/>
      <c r="DM1191" s="261"/>
      <c r="DN1191" s="261"/>
      <c r="DO1191" s="261"/>
      <c r="DP1191" s="261"/>
      <c r="DQ1191" s="261"/>
      <c r="DR1191" s="261"/>
      <c r="DS1191" s="261"/>
    </row>
    <row r="1192" spans="11:123">
      <c r="L1192" s="261"/>
      <c r="M1192" s="261"/>
      <c r="N1192" s="261"/>
      <c r="O1192" s="261"/>
      <c r="P1192" s="261"/>
      <c r="Q1192" s="261"/>
      <c r="BR1192" s="261"/>
      <c r="BS1192" s="261"/>
      <c r="BT1192" s="261"/>
      <c r="BU1192" s="261"/>
      <c r="BV1192" s="261"/>
    </row>
    <row r="1193" spans="11:123">
      <c r="L1193" s="261"/>
      <c r="M1193" s="261"/>
      <c r="N1193" s="261"/>
      <c r="O1193" s="261"/>
      <c r="P1193" s="261"/>
      <c r="Q1193" s="261"/>
      <c r="BR1193" s="261"/>
      <c r="BS1193" s="261"/>
      <c r="BT1193" s="261"/>
      <c r="BU1193" s="261"/>
      <c r="BV1193" s="261"/>
    </row>
    <row r="1194" spans="11:123">
      <c r="L1194" s="261"/>
      <c r="M1194" s="261"/>
      <c r="N1194" s="261"/>
      <c r="O1194" s="261"/>
      <c r="P1194" s="261"/>
      <c r="Q1194" s="261"/>
      <c r="BR1194" s="261"/>
      <c r="BS1194" s="261"/>
      <c r="BT1194" s="261"/>
      <c r="BU1194" s="261"/>
      <c r="BV1194" s="261"/>
    </row>
    <row r="1195" spans="11:123">
      <c r="L1195" s="261"/>
      <c r="M1195" s="261"/>
      <c r="N1195" s="261"/>
      <c r="O1195" s="261"/>
      <c r="P1195" s="261"/>
      <c r="Q1195" s="261"/>
      <c r="BR1195" s="261"/>
      <c r="BS1195" s="261"/>
      <c r="BT1195" s="261"/>
      <c r="BU1195" s="261"/>
      <c r="BV1195" s="261"/>
    </row>
    <row r="1196" spans="11:123">
      <c r="L1196" s="261"/>
      <c r="M1196" s="261"/>
      <c r="N1196" s="261"/>
      <c r="O1196" s="261"/>
      <c r="P1196" s="261"/>
      <c r="Q1196" s="261"/>
      <c r="BR1196" s="261"/>
      <c r="BS1196" s="261"/>
      <c r="BT1196" s="261"/>
      <c r="BU1196" s="261"/>
      <c r="BV1196" s="261"/>
    </row>
    <row r="1197" spans="11:123">
      <c r="L1197" s="261"/>
      <c r="M1197" s="261"/>
      <c r="N1197" s="261"/>
      <c r="O1197" s="261"/>
      <c r="P1197" s="261"/>
      <c r="Q1197" s="261"/>
      <c r="BR1197" s="261"/>
      <c r="BS1197" s="261"/>
      <c r="BT1197" s="261"/>
      <c r="BU1197" s="261"/>
      <c r="BV1197" s="261"/>
    </row>
    <row r="1198" spans="11:123">
      <c r="L1198" s="261"/>
      <c r="M1198" s="261"/>
      <c r="N1198" s="261"/>
      <c r="O1198" s="261"/>
      <c r="P1198" s="261"/>
      <c r="Q1198" s="261"/>
      <c r="BR1198" s="261"/>
      <c r="BS1198" s="261"/>
      <c r="BT1198" s="261"/>
      <c r="BU1198" s="261"/>
      <c r="BV1198" s="261"/>
    </row>
    <row r="1199" spans="11:123">
      <c r="L1199" s="261"/>
      <c r="M1199" s="261"/>
      <c r="N1199" s="261"/>
      <c r="O1199" s="261"/>
      <c r="P1199" s="261"/>
      <c r="Q1199" s="261"/>
      <c r="BR1199" s="261"/>
      <c r="BS1199" s="261"/>
      <c r="BT1199" s="261"/>
      <c r="BU1199" s="261"/>
      <c r="BV1199" s="261"/>
    </row>
    <row r="1200" spans="11:123">
      <c r="L1200" s="261"/>
      <c r="M1200" s="261"/>
      <c r="N1200" s="261"/>
      <c r="O1200" s="261"/>
      <c r="P1200" s="261"/>
      <c r="Q1200" s="261"/>
      <c r="BR1200" s="261"/>
      <c r="BS1200" s="261"/>
      <c r="BT1200" s="261"/>
      <c r="BU1200" s="261"/>
      <c r="BV1200" s="261"/>
    </row>
    <row r="1201" spans="12:74">
      <c r="L1201" s="261"/>
      <c r="M1201" s="261"/>
      <c r="N1201" s="261"/>
      <c r="O1201" s="261"/>
      <c r="P1201" s="261"/>
      <c r="Q1201" s="261"/>
      <c r="BR1201" s="261"/>
      <c r="BS1201" s="261"/>
      <c r="BT1201" s="261"/>
      <c r="BU1201" s="261"/>
      <c r="BV1201" s="261"/>
    </row>
    <row r="1202" spans="12:74">
      <c r="L1202" s="261"/>
      <c r="M1202" s="261"/>
      <c r="N1202" s="261"/>
      <c r="O1202" s="261"/>
      <c r="P1202" s="261"/>
      <c r="Q1202" s="261"/>
      <c r="BR1202" s="261"/>
      <c r="BS1202" s="261"/>
      <c r="BT1202" s="261"/>
      <c r="BU1202" s="261"/>
      <c r="BV1202" s="261"/>
    </row>
    <row r="1203" spans="12:74">
      <c r="L1203" s="261"/>
      <c r="M1203" s="261"/>
      <c r="N1203" s="261"/>
      <c r="O1203" s="261"/>
      <c r="P1203" s="261"/>
      <c r="Q1203" s="261"/>
      <c r="BR1203" s="261"/>
      <c r="BS1203" s="261"/>
      <c r="BT1203" s="261"/>
      <c r="BU1203" s="261"/>
      <c r="BV1203" s="261"/>
    </row>
    <row r="1204" spans="12:74">
      <c r="L1204" s="261"/>
      <c r="M1204" s="261"/>
      <c r="N1204" s="261"/>
      <c r="O1204" s="261"/>
      <c r="P1204" s="261"/>
      <c r="Q1204" s="261"/>
      <c r="BR1204" s="261"/>
      <c r="BS1204" s="261"/>
      <c r="BT1204" s="261"/>
      <c r="BU1204" s="261"/>
      <c r="BV1204" s="261"/>
    </row>
    <row r="1205" spans="12:74">
      <c r="L1205" s="261"/>
      <c r="M1205" s="261"/>
      <c r="N1205" s="261"/>
      <c r="O1205" s="261"/>
      <c r="P1205" s="261"/>
      <c r="Q1205" s="261"/>
      <c r="BR1205" s="261"/>
      <c r="BS1205" s="261"/>
      <c r="BT1205" s="261"/>
      <c r="BU1205" s="261"/>
      <c r="BV1205" s="261"/>
    </row>
    <row r="1206" spans="12:74">
      <c r="L1206" s="261"/>
      <c r="M1206" s="261"/>
      <c r="N1206" s="261"/>
      <c r="O1206" s="261"/>
      <c r="P1206" s="261"/>
      <c r="Q1206" s="261"/>
      <c r="BR1206" s="261"/>
      <c r="BS1206" s="261"/>
      <c r="BT1206" s="261"/>
      <c r="BU1206" s="261"/>
      <c r="BV1206" s="261"/>
    </row>
    <row r="1207" spans="12:74">
      <c r="L1207" s="261"/>
      <c r="M1207" s="261"/>
      <c r="N1207" s="261"/>
      <c r="O1207" s="261"/>
      <c r="P1207" s="261"/>
      <c r="Q1207" s="261"/>
      <c r="BR1207" s="261"/>
      <c r="BS1207" s="261"/>
      <c r="BT1207" s="261"/>
      <c r="BU1207" s="261"/>
      <c r="BV1207" s="261"/>
    </row>
    <row r="1208" spans="12:74">
      <c r="L1208" s="261"/>
      <c r="M1208" s="261"/>
      <c r="N1208" s="261"/>
      <c r="O1208" s="261"/>
      <c r="P1208" s="261"/>
      <c r="Q1208" s="261"/>
      <c r="BR1208" s="261"/>
      <c r="BS1208" s="261"/>
      <c r="BT1208" s="261"/>
      <c r="BU1208" s="261"/>
      <c r="BV1208" s="261"/>
    </row>
    <row r="1209" spans="12:74">
      <c r="L1209" s="261"/>
      <c r="M1209" s="261"/>
      <c r="N1209" s="261"/>
      <c r="O1209" s="261"/>
      <c r="P1209" s="261"/>
      <c r="Q1209" s="261"/>
      <c r="BR1209" s="261"/>
      <c r="BS1209" s="261"/>
      <c r="BT1209" s="261"/>
      <c r="BU1209" s="261"/>
      <c r="BV1209" s="261"/>
    </row>
    <row r="1210" spans="12:74">
      <c r="L1210" s="261"/>
      <c r="M1210" s="261"/>
      <c r="N1210" s="261"/>
      <c r="O1210" s="261"/>
      <c r="P1210" s="261"/>
      <c r="Q1210" s="261"/>
      <c r="BR1210" s="261"/>
      <c r="BS1210" s="261"/>
      <c r="BT1210" s="261"/>
      <c r="BU1210" s="261"/>
      <c r="BV1210" s="261"/>
    </row>
    <row r="1211" spans="12:74">
      <c r="L1211" s="261"/>
      <c r="M1211" s="261"/>
      <c r="N1211" s="261"/>
      <c r="O1211" s="261"/>
      <c r="P1211" s="261"/>
      <c r="Q1211" s="261"/>
      <c r="BR1211" s="261"/>
      <c r="BS1211" s="261"/>
      <c r="BT1211" s="261"/>
      <c r="BU1211" s="261"/>
      <c r="BV1211" s="261"/>
    </row>
    <row r="1212" spans="12:74">
      <c r="L1212" s="261"/>
      <c r="M1212" s="261"/>
      <c r="N1212" s="261"/>
      <c r="O1212" s="261"/>
      <c r="P1212" s="261"/>
      <c r="Q1212" s="261"/>
      <c r="BR1212" s="261"/>
      <c r="BS1212" s="261"/>
      <c r="BT1212" s="261"/>
      <c r="BU1212" s="261"/>
      <c r="BV1212" s="261"/>
    </row>
    <row r="1213" spans="12:74">
      <c r="L1213" s="261"/>
      <c r="M1213" s="261"/>
      <c r="N1213" s="261"/>
      <c r="O1213" s="261"/>
      <c r="P1213" s="261"/>
      <c r="Q1213" s="261"/>
      <c r="BR1213" s="261"/>
      <c r="BS1213" s="261"/>
      <c r="BT1213" s="261"/>
      <c r="BU1213" s="261"/>
      <c r="BV1213" s="261"/>
    </row>
    <row r="1214" spans="12:74">
      <c r="L1214" s="261"/>
      <c r="M1214" s="261"/>
      <c r="N1214" s="261"/>
      <c r="O1214" s="261"/>
      <c r="P1214" s="261"/>
      <c r="Q1214" s="261"/>
      <c r="BR1214" s="261"/>
      <c r="BS1214" s="261"/>
      <c r="BT1214" s="261"/>
      <c r="BU1214" s="261"/>
      <c r="BV1214" s="261"/>
    </row>
    <row r="1215" spans="12:74">
      <c r="L1215" s="261"/>
      <c r="M1215" s="261"/>
      <c r="N1215" s="261"/>
      <c r="O1215" s="261"/>
      <c r="P1215" s="261"/>
      <c r="Q1215" s="261"/>
      <c r="BR1215" s="261"/>
      <c r="BS1215" s="261"/>
      <c r="BT1215" s="261"/>
      <c r="BU1215" s="261"/>
      <c r="BV1215" s="261"/>
    </row>
    <row r="1216" spans="12:74">
      <c r="L1216" s="261"/>
      <c r="M1216" s="261"/>
      <c r="N1216" s="261"/>
      <c r="O1216" s="261"/>
      <c r="P1216" s="261"/>
      <c r="Q1216" s="261"/>
      <c r="BR1216" s="261"/>
      <c r="BS1216" s="261"/>
      <c r="BT1216" s="261"/>
      <c r="BU1216" s="261"/>
      <c r="BV1216" s="261"/>
    </row>
    <row r="1217" spans="12:74">
      <c r="L1217" s="261"/>
      <c r="M1217" s="261"/>
      <c r="N1217" s="261"/>
      <c r="O1217" s="261"/>
      <c r="P1217" s="261"/>
      <c r="Q1217" s="261"/>
      <c r="BR1217" s="261"/>
      <c r="BS1217" s="261"/>
      <c r="BT1217" s="261"/>
      <c r="BU1217" s="261"/>
      <c r="BV1217" s="261"/>
    </row>
    <row r="1218" spans="12:74">
      <c r="L1218" s="261"/>
      <c r="M1218" s="261"/>
      <c r="N1218" s="261"/>
      <c r="O1218" s="261"/>
      <c r="P1218" s="261"/>
      <c r="Q1218" s="261"/>
      <c r="BR1218" s="261"/>
      <c r="BS1218" s="261"/>
      <c r="BT1218" s="261"/>
      <c r="BU1218" s="261"/>
      <c r="BV1218" s="261"/>
    </row>
    <row r="1219" spans="12:74">
      <c r="L1219" s="261"/>
      <c r="M1219" s="261"/>
      <c r="N1219" s="261"/>
      <c r="O1219" s="261"/>
      <c r="P1219" s="261"/>
      <c r="Q1219" s="261"/>
      <c r="BR1219" s="261"/>
      <c r="BS1219" s="261"/>
      <c r="BT1219" s="261"/>
      <c r="BU1219" s="261"/>
      <c r="BV1219" s="261"/>
    </row>
    <row r="1220" spans="12:74">
      <c r="L1220" s="261"/>
      <c r="M1220" s="261"/>
      <c r="N1220" s="261"/>
      <c r="O1220" s="261"/>
      <c r="P1220" s="261"/>
      <c r="Q1220" s="261"/>
      <c r="BR1220" s="261"/>
      <c r="BS1220" s="261"/>
      <c r="BT1220" s="261"/>
      <c r="BU1220" s="261"/>
      <c r="BV1220" s="261"/>
    </row>
    <row r="1221" spans="12:74">
      <c r="L1221" s="261"/>
      <c r="M1221" s="261"/>
      <c r="N1221" s="261"/>
      <c r="O1221" s="261"/>
      <c r="P1221" s="261"/>
      <c r="Q1221" s="261"/>
      <c r="BR1221" s="261"/>
      <c r="BS1221" s="261"/>
      <c r="BT1221" s="261"/>
      <c r="BU1221" s="261"/>
      <c r="BV1221" s="261"/>
    </row>
    <row r="1222" spans="12:74">
      <c r="L1222" s="261"/>
      <c r="M1222" s="261"/>
      <c r="N1222" s="261"/>
      <c r="O1222" s="261"/>
      <c r="P1222" s="261"/>
      <c r="Q1222" s="261"/>
      <c r="BR1222" s="261"/>
      <c r="BS1222" s="261"/>
      <c r="BT1222" s="261"/>
      <c r="BU1222" s="261"/>
      <c r="BV1222" s="261"/>
    </row>
    <row r="1223" spans="12:74">
      <c r="L1223" s="261"/>
      <c r="M1223" s="261"/>
      <c r="N1223" s="261"/>
      <c r="O1223" s="261"/>
      <c r="P1223" s="261"/>
      <c r="Q1223" s="261"/>
      <c r="BR1223" s="261"/>
      <c r="BS1223" s="261"/>
      <c r="BT1223" s="261"/>
      <c r="BU1223" s="261"/>
      <c r="BV1223" s="261"/>
    </row>
    <row r="1224" spans="12:74">
      <c r="L1224" s="261"/>
      <c r="M1224" s="261"/>
      <c r="N1224" s="261"/>
      <c r="O1224" s="261"/>
      <c r="P1224" s="261"/>
      <c r="Q1224" s="261"/>
      <c r="BR1224" s="261"/>
      <c r="BS1224" s="261"/>
      <c r="BT1224" s="261"/>
      <c r="BU1224" s="261"/>
      <c r="BV1224" s="261"/>
    </row>
    <row r="1225" spans="12:74">
      <c r="L1225" s="261"/>
      <c r="M1225" s="261"/>
      <c r="N1225" s="261"/>
      <c r="O1225" s="261"/>
      <c r="P1225" s="261"/>
      <c r="Q1225" s="261"/>
      <c r="BR1225" s="261"/>
      <c r="BS1225" s="261"/>
      <c r="BT1225" s="261"/>
      <c r="BU1225" s="261"/>
      <c r="BV1225" s="261"/>
    </row>
    <row r="1226" spans="12:74">
      <c r="L1226" s="261"/>
      <c r="M1226" s="261"/>
      <c r="N1226" s="261"/>
      <c r="O1226" s="261"/>
      <c r="P1226" s="261"/>
      <c r="Q1226" s="261"/>
      <c r="BR1226" s="261"/>
      <c r="BS1226" s="261"/>
      <c r="BT1226" s="261"/>
      <c r="BU1226" s="261"/>
      <c r="BV1226" s="261"/>
    </row>
    <row r="1227" spans="12:74">
      <c r="L1227" s="261"/>
      <c r="M1227" s="261"/>
      <c r="N1227" s="261"/>
      <c r="O1227" s="261"/>
      <c r="P1227" s="261"/>
      <c r="Q1227" s="261"/>
      <c r="BR1227" s="261"/>
      <c r="BS1227" s="261"/>
      <c r="BT1227" s="261"/>
      <c r="BU1227" s="261"/>
      <c r="BV1227" s="261"/>
    </row>
    <row r="1228" spans="12:74">
      <c r="L1228" s="261"/>
      <c r="M1228" s="261"/>
      <c r="N1228" s="261"/>
      <c r="O1228" s="261"/>
      <c r="P1228" s="261"/>
      <c r="Q1228" s="261"/>
      <c r="BR1228" s="261"/>
      <c r="BS1228" s="261"/>
      <c r="BT1228" s="261"/>
      <c r="BU1228" s="261"/>
      <c r="BV1228" s="261"/>
    </row>
    <row r="1229" spans="12:74">
      <c r="L1229" s="261"/>
      <c r="M1229" s="261"/>
      <c r="N1229" s="261"/>
      <c r="O1229" s="261"/>
      <c r="P1229" s="261"/>
      <c r="Q1229" s="261"/>
      <c r="BR1229" s="261"/>
      <c r="BS1229" s="261"/>
      <c r="BT1229" s="261"/>
      <c r="BU1229" s="261"/>
      <c r="BV1229" s="261"/>
    </row>
    <row r="1230" spans="12:74">
      <c r="L1230" s="261"/>
      <c r="M1230" s="261"/>
      <c r="N1230" s="261"/>
      <c r="O1230" s="261"/>
      <c r="P1230" s="261"/>
      <c r="Q1230" s="261"/>
      <c r="BR1230" s="261"/>
      <c r="BS1230" s="261"/>
      <c r="BT1230" s="261"/>
      <c r="BU1230" s="261"/>
      <c r="BV1230" s="261"/>
    </row>
    <row r="1231" spans="12:74">
      <c r="L1231" s="261"/>
      <c r="M1231" s="261"/>
      <c r="N1231" s="261"/>
      <c r="O1231" s="261"/>
      <c r="P1231" s="261"/>
      <c r="Q1231" s="261"/>
      <c r="BR1231" s="261"/>
      <c r="BS1231" s="261"/>
      <c r="BT1231" s="261"/>
      <c r="BU1231" s="261"/>
      <c r="BV1231" s="261"/>
    </row>
    <row r="1232" spans="12:74">
      <c r="L1232" s="261"/>
      <c r="M1232" s="261"/>
      <c r="N1232" s="261"/>
      <c r="O1232" s="261"/>
      <c r="P1232" s="261"/>
      <c r="Q1232" s="261"/>
      <c r="BR1232" s="261"/>
      <c r="BS1232" s="261"/>
      <c r="BT1232" s="261"/>
      <c r="BU1232" s="261"/>
      <c r="BV1232" s="261"/>
    </row>
    <row r="1233" spans="12:74">
      <c r="L1233" s="261"/>
      <c r="M1233" s="261"/>
      <c r="N1233" s="261"/>
      <c r="O1233" s="261"/>
      <c r="P1233" s="261"/>
      <c r="Q1233" s="261"/>
      <c r="BR1233" s="261"/>
      <c r="BS1233" s="261"/>
      <c r="BT1233" s="261"/>
      <c r="BU1233" s="261"/>
      <c r="BV1233" s="261"/>
    </row>
    <row r="1234" spans="12:74">
      <c r="L1234" s="261"/>
      <c r="M1234" s="261"/>
      <c r="N1234" s="261"/>
      <c r="O1234" s="261"/>
      <c r="P1234" s="261"/>
      <c r="Q1234" s="261"/>
      <c r="BR1234" s="261"/>
      <c r="BS1234" s="261"/>
      <c r="BT1234" s="261"/>
      <c r="BU1234" s="261"/>
      <c r="BV1234" s="261"/>
    </row>
    <row r="1235" spans="12:74">
      <c r="L1235" s="261"/>
      <c r="M1235" s="261"/>
      <c r="N1235" s="261"/>
      <c r="O1235" s="261"/>
      <c r="P1235" s="261"/>
      <c r="Q1235" s="261"/>
      <c r="BR1235" s="261"/>
      <c r="BS1235" s="261"/>
      <c r="BT1235" s="261"/>
      <c r="BU1235" s="261"/>
      <c r="BV1235" s="261"/>
    </row>
    <row r="1236" spans="12:74">
      <c r="L1236" s="261"/>
      <c r="M1236" s="261"/>
      <c r="N1236" s="261"/>
      <c r="O1236" s="261"/>
      <c r="P1236" s="261"/>
      <c r="Q1236" s="261"/>
      <c r="BR1236" s="261"/>
      <c r="BS1236" s="261"/>
      <c r="BT1236" s="261"/>
      <c r="BU1236" s="261"/>
      <c r="BV1236" s="261"/>
    </row>
    <row r="1237" spans="12:74">
      <c r="L1237" s="261"/>
      <c r="M1237" s="261"/>
      <c r="N1237" s="261"/>
      <c r="O1237" s="261"/>
      <c r="P1237" s="261"/>
      <c r="Q1237" s="261"/>
      <c r="BR1237" s="261"/>
      <c r="BS1237" s="261"/>
      <c r="BT1237" s="261"/>
      <c r="BU1237" s="261"/>
      <c r="BV1237" s="261"/>
    </row>
    <row r="1238" spans="12:74">
      <c r="L1238" s="261"/>
      <c r="M1238" s="261"/>
      <c r="N1238" s="261"/>
      <c r="O1238" s="261"/>
      <c r="P1238" s="261"/>
      <c r="Q1238" s="261"/>
      <c r="BR1238" s="261"/>
      <c r="BS1238" s="261"/>
      <c r="BT1238" s="261"/>
      <c r="BU1238" s="261"/>
      <c r="BV1238" s="261"/>
    </row>
    <row r="1239" spans="12:74">
      <c r="L1239" s="261"/>
      <c r="M1239" s="261"/>
      <c r="N1239" s="261"/>
      <c r="O1239" s="261"/>
      <c r="P1239" s="261"/>
      <c r="Q1239" s="261"/>
      <c r="BR1239" s="261"/>
      <c r="BS1239" s="261"/>
      <c r="BT1239" s="261"/>
      <c r="BU1239" s="261"/>
      <c r="BV1239" s="261"/>
    </row>
    <row r="1240" spans="12:74">
      <c r="L1240" s="261"/>
      <c r="M1240" s="261"/>
      <c r="N1240" s="261"/>
      <c r="O1240" s="261"/>
      <c r="P1240" s="261"/>
      <c r="Q1240" s="261"/>
      <c r="BR1240" s="261"/>
      <c r="BS1240" s="261"/>
      <c r="BT1240" s="261"/>
      <c r="BU1240" s="261"/>
      <c r="BV1240" s="261"/>
    </row>
    <row r="1241" spans="12:74">
      <c r="L1241" s="261"/>
      <c r="M1241" s="261"/>
      <c r="N1241" s="261"/>
      <c r="O1241" s="261"/>
      <c r="P1241" s="261"/>
      <c r="Q1241" s="261"/>
      <c r="BR1241" s="261"/>
      <c r="BS1241" s="261"/>
      <c r="BT1241" s="261"/>
      <c r="BU1241" s="261"/>
      <c r="BV1241" s="261"/>
    </row>
    <row r="1242" spans="12:74">
      <c r="L1242" s="261"/>
      <c r="M1242" s="261"/>
      <c r="N1242" s="261"/>
      <c r="O1242" s="261"/>
      <c r="P1242" s="261"/>
      <c r="Q1242" s="261"/>
      <c r="BR1242" s="261"/>
      <c r="BS1242" s="261"/>
      <c r="BT1242" s="261"/>
      <c r="BU1242" s="261"/>
      <c r="BV1242" s="261"/>
    </row>
    <row r="1243" spans="12:74">
      <c r="L1243" s="261"/>
      <c r="M1243" s="261"/>
      <c r="N1243" s="261"/>
      <c r="O1243" s="261"/>
      <c r="P1243" s="261"/>
      <c r="Q1243" s="261"/>
      <c r="BR1243" s="261"/>
      <c r="BS1243" s="261"/>
      <c r="BT1243" s="261"/>
      <c r="BU1243" s="261"/>
      <c r="BV1243" s="261"/>
    </row>
    <row r="1244" spans="12:74">
      <c r="L1244" s="261"/>
      <c r="M1244" s="261"/>
      <c r="N1244" s="261"/>
      <c r="O1244" s="261"/>
      <c r="P1244" s="261"/>
      <c r="Q1244" s="261"/>
      <c r="BR1244" s="261"/>
      <c r="BS1244" s="261"/>
      <c r="BT1244" s="261"/>
      <c r="BU1244" s="261"/>
      <c r="BV1244" s="261"/>
    </row>
    <row r="1245" spans="12:74">
      <c r="L1245" s="261"/>
      <c r="M1245" s="261"/>
      <c r="N1245" s="261"/>
      <c r="O1245" s="261"/>
      <c r="P1245" s="261"/>
      <c r="Q1245" s="261"/>
      <c r="BR1245" s="261"/>
      <c r="BS1245" s="261"/>
      <c r="BT1245" s="261"/>
      <c r="BU1245" s="261"/>
      <c r="BV1245" s="261"/>
    </row>
    <row r="1246" spans="12:74">
      <c r="L1246" s="261"/>
      <c r="M1246" s="261"/>
      <c r="N1246" s="261"/>
      <c r="O1246" s="261"/>
      <c r="P1246" s="261"/>
      <c r="Q1246" s="261"/>
      <c r="BR1246" s="261"/>
      <c r="BS1246" s="261"/>
      <c r="BT1246" s="261"/>
      <c r="BU1246" s="261"/>
      <c r="BV1246" s="261"/>
    </row>
    <row r="1247" spans="12:74">
      <c r="L1247" s="261"/>
      <c r="M1247" s="261"/>
      <c r="N1247" s="261"/>
      <c r="O1247" s="261"/>
      <c r="P1247" s="261"/>
      <c r="Q1247" s="261"/>
      <c r="BR1247" s="261"/>
      <c r="BS1247" s="261"/>
      <c r="BT1247" s="261"/>
      <c r="BU1247" s="261"/>
      <c r="BV1247" s="261"/>
    </row>
    <row r="1248" spans="12:74">
      <c r="L1248" s="261"/>
      <c r="M1248" s="261"/>
      <c r="N1248" s="261"/>
      <c r="O1248" s="261"/>
      <c r="P1248" s="261"/>
      <c r="Q1248" s="261"/>
      <c r="BR1248" s="261"/>
      <c r="BS1248" s="261"/>
      <c r="BT1248" s="261"/>
      <c r="BU1248" s="261"/>
      <c r="BV1248" s="261"/>
    </row>
    <row r="1249" spans="12:74">
      <c r="L1249" s="261"/>
      <c r="M1249" s="261"/>
      <c r="N1249" s="261"/>
      <c r="O1249" s="261"/>
      <c r="P1249" s="261"/>
      <c r="Q1249" s="261"/>
      <c r="BR1249" s="261"/>
      <c r="BS1249" s="261"/>
      <c r="BT1249" s="261"/>
      <c r="BU1249" s="261"/>
      <c r="BV1249" s="261"/>
    </row>
    <row r="1250" spans="12:74">
      <c r="L1250" s="261"/>
      <c r="M1250" s="261"/>
      <c r="N1250" s="261"/>
      <c r="O1250" s="261"/>
      <c r="P1250" s="261"/>
      <c r="Q1250" s="261"/>
      <c r="BR1250" s="261"/>
      <c r="BS1250" s="261"/>
      <c r="BT1250" s="261"/>
      <c r="BU1250" s="261"/>
      <c r="BV1250" s="261"/>
    </row>
    <row r="1251" spans="12:74">
      <c r="L1251" s="261"/>
      <c r="M1251" s="261"/>
      <c r="N1251" s="261"/>
      <c r="O1251" s="261"/>
      <c r="P1251" s="261"/>
      <c r="Q1251" s="261"/>
      <c r="BR1251" s="261"/>
      <c r="BS1251" s="261"/>
      <c r="BT1251" s="261"/>
      <c r="BU1251" s="261"/>
      <c r="BV1251" s="261"/>
    </row>
    <row r="1252" spans="12:74">
      <c r="L1252" s="261"/>
      <c r="M1252" s="261"/>
      <c r="N1252" s="261"/>
      <c r="O1252" s="261"/>
      <c r="P1252" s="261"/>
      <c r="Q1252" s="261"/>
      <c r="BR1252" s="261"/>
      <c r="BS1252" s="261"/>
      <c r="BT1252" s="261"/>
      <c r="BU1252" s="261"/>
      <c r="BV1252" s="261"/>
    </row>
    <row r="1253" spans="12:74">
      <c r="L1253" s="261"/>
      <c r="M1253" s="261"/>
      <c r="N1253" s="261"/>
      <c r="O1253" s="261"/>
      <c r="P1253" s="261"/>
      <c r="Q1253" s="261"/>
      <c r="BR1253" s="261"/>
      <c r="BS1253" s="261"/>
      <c r="BT1253" s="261"/>
      <c r="BU1253" s="261"/>
      <c r="BV1253" s="261"/>
    </row>
    <row r="1254" spans="12:74">
      <c r="L1254" s="261"/>
      <c r="M1254" s="261"/>
      <c r="N1254" s="261"/>
      <c r="O1254" s="261"/>
      <c r="P1254" s="261"/>
      <c r="Q1254" s="261"/>
      <c r="BR1254" s="261"/>
      <c r="BS1254" s="261"/>
      <c r="BT1254" s="261"/>
      <c r="BU1254" s="261"/>
      <c r="BV1254" s="261"/>
    </row>
    <row r="1255" spans="12:74">
      <c r="L1255" s="261"/>
      <c r="M1255" s="261"/>
      <c r="N1255" s="261"/>
      <c r="O1255" s="261"/>
      <c r="P1255" s="261"/>
      <c r="Q1255" s="261"/>
      <c r="BR1255" s="261"/>
      <c r="BS1255" s="261"/>
      <c r="BT1255" s="261"/>
      <c r="BU1255" s="261"/>
      <c r="BV1255" s="261"/>
    </row>
    <row r="1256" spans="12:74">
      <c r="L1256" s="261"/>
      <c r="M1256" s="261"/>
      <c r="N1256" s="261"/>
      <c r="O1256" s="261"/>
      <c r="P1256" s="261"/>
      <c r="Q1256" s="261"/>
      <c r="BR1256" s="261"/>
      <c r="BS1256" s="261"/>
      <c r="BT1256" s="261"/>
      <c r="BU1256" s="261"/>
      <c r="BV1256" s="261"/>
    </row>
    <row r="1257" spans="12:74">
      <c r="L1257" s="261"/>
      <c r="M1257" s="261"/>
      <c r="N1257" s="261"/>
      <c r="O1257" s="261"/>
      <c r="P1257" s="261"/>
      <c r="Q1257" s="261"/>
      <c r="BR1257" s="261"/>
      <c r="BS1257" s="261"/>
      <c r="BT1257" s="261"/>
      <c r="BU1257" s="261"/>
      <c r="BV1257" s="261"/>
    </row>
    <row r="1258" spans="12:74">
      <c r="L1258" s="261"/>
      <c r="M1258" s="261"/>
      <c r="N1258" s="261"/>
      <c r="O1258" s="261"/>
      <c r="P1258" s="261"/>
      <c r="Q1258" s="261"/>
      <c r="BR1258" s="261"/>
      <c r="BS1258" s="261"/>
      <c r="BT1258" s="261"/>
      <c r="BU1258" s="261"/>
      <c r="BV1258" s="261"/>
    </row>
    <row r="1259" spans="12:74">
      <c r="L1259" s="261"/>
      <c r="M1259" s="261"/>
      <c r="N1259" s="261"/>
      <c r="O1259" s="261"/>
      <c r="P1259" s="261"/>
      <c r="Q1259" s="261"/>
      <c r="BR1259" s="261"/>
      <c r="BS1259" s="261"/>
      <c r="BT1259" s="261"/>
      <c r="BU1259" s="261"/>
      <c r="BV1259" s="261"/>
    </row>
    <row r="1260" spans="12:74">
      <c r="L1260" s="261"/>
      <c r="M1260" s="261"/>
      <c r="N1260" s="261"/>
      <c r="O1260" s="261"/>
      <c r="P1260" s="261"/>
      <c r="Q1260" s="261"/>
      <c r="BR1260" s="261"/>
      <c r="BS1260" s="261"/>
      <c r="BT1260" s="261"/>
      <c r="BU1260" s="261"/>
      <c r="BV1260" s="261"/>
    </row>
    <row r="1261" spans="12:74">
      <c r="L1261" s="261"/>
      <c r="M1261" s="261"/>
      <c r="N1261" s="261"/>
      <c r="O1261" s="261"/>
      <c r="P1261" s="261"/>
      <c r="Q1261" s="261"/>
      <c r="BR1261" s="261"/>
      <c r="BS1261" s="261"/>
      <c r="BT1261" s="261"/>
      <c r="BU1261" s="261"/>
      <c r="BV1261" s="261"/>
    </row>
    <row r="1262" spans="12:74">
      <c r="L1262" s="261"/>
      <c r="M1262" s="261"/>
      <c r="N1262" s="261"/>
      <c r="O1262" s="261"/>
      <c r="P1262" s="261"/>
      <c r="Q1262" s="261"/>
      <c r="BR1262" s="261"/>
      <c r="BS1262" s="261"/>
      <c r="BT1262" s="261"/>
      <c r="BU1262" s="261"/>
      <c r="BV1262" s="261"/>
    </row>
    <row r="1263" spans="12:74">
      <c r="L1263" s="261"/>
      <c r="M1263" s="261"/>
      <c r="N1263" s="261"/>
      <c r="O1263" s="261"/>
      <c r="P1263" s="261"/>
      <c r="Q1263" s="261"/>
      <c r="BR1263" s="261"/>
      <c r="BS1263" s="261"/>
      <c r="BT1263" s="261"/>
      <c r="BU1263" s="261"/>
      <c r="BV1263" s="261"/>
    </row>
    <row r="1264" spans="12:74">
      <c r="L1264" s="261"/>
      <c r="M1264" s="261"/>
      <c r="N1264" s="261"/>
      <c r="O1264" s="261"/>
      <c r="P1264" s="261"/>
      <c r="Q1264" s="261"/>
      <c r="BR1264" s="261"/>
      <c r="BS1264" s="261"/>
      <c r="BT1264" s="261"/>
      <c r="BU1264" s="261"/>
      <c r="BV1264" s="261"/>
    </row>
    <row r="1265" spans="12:74">
      <c r="L1265" s="261"/>
      <c r="M1265" s="261"/>
      <c r="N1265" s="261"/>
      <c r="O1265" s="261"/>
      <c r="P1265" s="261"/>
      <c r="Q1265" s="261"/>
      <c r="BR1265" s="261"/>
      <c r="BS1265" s="261"/>
      <c r="BT1265" s="261"/>
      <c r="BU1265" s="261"/>
      <c r="BV1265" s="261"/>
    </row>
    <row r="1266" spans="12:74">
      <c r="L1266" s="261"/>
      <c r="M1266" s="261"/>
      <c r="N1266" s="261"/>
      <c r="O1266" s="261"/>
      <c r="P1266" s="261"/>
      <c r="Q1266" s="261"/>
      <c r="BR1266" s="261"/>
      <c r="BS1266" s="261"/>
      <c r="BT1266" s="261"/>
      <c r="BU1266" s="261"/>
      <c r="BV1266" s="261"/>
    </row>
    <row r="1267" spans="12:74">
      <c r="L1267" s="261"/>
      <c r="M1267" s="261"/>
      <c r="N1267" s="261"/>
      <c r="O1267" s="261"/>
      <c r="P1267" s="261"/>
      <c r="Q1267" s="261"/>
      <c r="BR1267" s="261"/>
      <c r="BS1267" s="261"/>
      <c r="BT1267" s="261"/>
      <c r="BU1267" s="261"/>
      <c r="BV1267" s="261"/>
    </row>
    <row r="1268" spans="12:74">
      <c r="L1268" s="261"/>
      <c r="M1268" s="261"/>
      <c r="N1268" s="261"/>
      <c r="O1268" s="261"/>
      <c r="P1268" s="261"/>
      <c r="Q1268" s="261"/>
      <c r="BR1268" s="261"/>
      <c r="BS1268" s="261"/>
      <c r="BT1268" s="261"/>
      <c r="BU1268" s="261"/>
      <c r="BV1268" s="261"/>
    </row>
    <row r="1269" spans="12:74">
      <c r="L1269" s="261"/>
      <c r="M1269" s="261"/>
      <c r="N1269" s="261"/>
      <c r="O1269" s="261"/>
      <c r="P1269" s="261"/>
      <c r="Q1269" s="261"/>
      <c r="BR1269" s="261"/>
      <c r="BS1269" s="261"/>
      <c r="BT1269" s="261"/>
      <c r="BU1269" s="261"/>
      <c r="BV1269" s="261"/>
    </row>
    <row r="1270" spans="12:74">
      <c r="L1270" s="261"/>
      <c r="M1270" s="261"/>
      <c r="N1270" s="261"/>
      <c r="O1270" s="261"/>
      <c r="P1270" s="261"/>
      <c r="Q1270" s="261"/>
      <c r="BR1270" s="261"/>
      <c r="BS1270" s="261"/>
      <c r="BT1270" s="261"/>
      <c r="BU1270" s="261"/>
      <c r="BV1270" s="261"/>
    </row>
    <row r="1271" spans="12:74">
      <c r="L1271" s="261"/>
      <c r="M1271" s="261"/>
      <c r="N1271" s="261"/>
      <c r="O1271" s="261"/>
      <c r="P1271" s="261"/>
      <c r="Q1271" s="261"/>
      <c r="BR1271" s="261"/>
      <c r="BS1271" s="261"/>
      <c r="BT1271" s="261"/>
      <c r="BU1271" s="261"/>
      <c r="BV1271" s="261"/>
    </row>
    <row r="1272" spans="12:74">
      <c r="L1272" s="261"/>
      <c r="M1272" s="261"/>
      <c r="N1272" s="261"/>
      <c r="O1272" s="261"/>
      <c r="P1272" s="261"/>
      <c r="Q1272" s="261"/>
      <c r="BR1272" s="261"/>
      <c r="BS1272" s="261"/>
      <c r="BT1272" s="261"/>
      <c r="BU1272" s="261"/>
      <c r="BV1272" s="261"/>
    </row>
    <row r="1273" spans="12:74">
      <c r="L1273" s="261"/>
      <c r="M1273" s="261"/>
      <c r="N1273" s="261"/>
      <c r="O1273" s="261"/>
      <c r="P1273" s="261"/>
      <c r="Q1273" s="261"/>
      <c r="BR1273" s="261"/>
      <c r="BS1273" s="261"/>
      <c r="BT1273" s="261"/>
      <c r="BU1273" s="261"/>
      <c r="BV1273" s="261"/>
    </row>
    <row r="1274" spans="12:74">
      <c r="L1274" s="261"/>
      <c r="M1274" s="261"/>
      <c r="N1274" s="261"/>
      <c r="O1274" s="261"/>
      <c r="P1274" s="261"/>
      <c r="Q1274" s="261"/>
      <c r="BR1274" s="261"/>
      <c r="BS1274" s="261"/>
      <c r="BT1274" s="261"/>
      <c r="BU1274" s="261"/>
      <c r="BV1274" s="261"/>
    </row>
    <row r="1275" spans="12:74">
      <c r="L1275" s="261"/>
      <c r="M1275" s="261"/>
      <c r="N1275" s="261"/>
      <c r="O1275" s="261"/>
      <c r="P1275" s="261"/>
      <c r="Q1275" s="261"/>
      <c r="BR1275" s="261"/>
      <c r="BS1275" s="261"/>
      <c r="BT1275" s="261"/>
      <c r="BU1275" s="261"/>
      <c r="BV1275" s="261"/>
    </row>
    <row r="1276" spans="12:74">
      <c r="L1276" s="261"/>
      <c r="M1276" s="261"/>
      <c r="N1276" s="261"/>
      <c r="O1276" s="261"/>
      <c r="P1276" s="261"/>
      <c r="Q1276" s="261"/>
      <c r="BR1276" s="261"/>
      <c r="BS1276" s="261"/>
      <c r="BT1276" s="261"/>
      <c r="BU1276" s="261"/>
      <c r="BV1276" s="261"/>
    </row>
    <row r="1277" spans="12:74">
      <c r="L1277" s="261"/>
      <c r="M1277" s="261"/>
      <c r="N1277" s="261"/>
      <c r="O1277" s="261"/>
      <c r="P1277" s="261"/>
      <c r="Q1277" s="261"/>
      <c r="BR1277" s="261"/>
      <c r="BS1277" s="261"/>
      <c r="BT1277" s="261"/>
      <c r="BU1277" s="261"/>
      <c r="BV1277" s="261"/>
    </row>
    <row r="1278" spans="12:74">
      <c r="L1278" s="261"/>
      <c r="M1278" s="261"/>
      <c r="N1278" s="261"/>
      <c r="O1278" s="261"/>
      <c r="P1278" s="261"/>
      <c r="Q1278" s="261"/>
      <c r="BR1278" s="261"/>
      <c r="BS1278" s="261"/>
      <c r="BT1278" s="261"/>
      <c r="BU1278" s="261"/>
      <c r="BV1278" s="261"/>
    </row>
    <row r="1279" spans="12:74">
      <c r="L1279" s="261"/>
      <c r="M1279" s="261"/>
      <c r="N1279" s="261"/>
      <c r="O1279" s="261"/>
      <c r="P1279" s="261"/>
      <c r="Q1279" s="261"/>
      <c r="BR1279" s="261"/>
      <c r="BS1279" s="261"/>
      <c r="BT1279" s="261"/>
      <c r="BU1279" s="261"/>
      <c r="BV1279" s="261"/>
    </row>
    <row r="1280" spans="12:74">
      <c r="L1280" s="261"/>
      <c r="M1280" s="261"/>
      <c r="N1280" s="261"/>
      <c r="O1280" s="261"/>
      <c r="P1280" s="261"/>
      <c r="Q1280" s="261"/>
      <c r="BR1280" s="261"/>
      <c r="BS1280" s="261"/>
      <c r="BT1280" s="261"/>
      <c r="BU1280" s="261"/>
      <c r="BV1280" s="261"/>
    </row>
    <row r="1281" spans="12:74">
      <c r="L1281" s="261"/>
      <c r="M1281" s="261"/>
      <c r="N1281" s="261"/>
      <c r="O1281" s="261"/>
      <c r="P1281" s="261"/>
      <c r="Q1281" s="261"/>
      <c r="BR1281" s="261"/>
      <c r="BS1281" s="261"/>
      <c r="BT1281" s="261"/>
      <c r="BU1281" s="261"/>
      <c r="BV1281" s="261"/>
    </row>
    <row r="1282" spans="12:74">
      <c r="L1282" s="261"/>
      <c r="M1282" s="261"/>
      <c r="N1282" s="261"/>
      <c r="O1282" s="261"/>
      <c r="P1282" s="261"/>
      <c r="Q1282" s="261"/>
      <c r="BR1282" s="261"/>
      <c r="BS1282" s="261"/>
      <c r="BT1282" s="261"/>
      <c r="BU1282" s="261"/>
      <c r="BV1282" s="261"/>
    </row>
    <row r="1283" spans="12:74">
      <c r="L1283" s="261"/>
      <c r="M1283" s="261"/>
      <c r="N1283" s="261"/>
      <c r="O1283" s="261"/>
      <c r="P1283" s="261"/>
      <c r="Q1283" s="261"/>
      <c r="BR1283" s="261"/>
      <c r="BS1283" s="261"/>
      <c r="BT1283" s="261"/>
      <c r="BU1283" s="261"/>
      <c r="BV1283" s="261"/>
    </row>
    <row r="1284" spans="12:74">
      <c r="L1284" s="261"/>
      <c r="M1284" s="261"/>
      <c r="N1284" s="261"/>
      <c r="O1284" s="261"/>
      <c r="P1284" s="261"/>
      <c r="Q1284" s="261"/>
      <c r="BR1284" s="261"/>
      <c r="BS1284" s="261"/>
      <c r="BT1284" s="261"/>
      <c r="BU1284" s="261"/>
      <c r="BV1284" s="261"/>
    </row>
    <row r="1285" spans="12:74">
      <c r="L1285" s="261"/>
      <c r="M1285" s="261"/>
      <c r="N1285" s="261"/>
      <c r="O1285" s="261"/>
      <c r="P1285" s="261"/>
      <c r="Q1285" s="261"/>
      <c r="BR1285" s="261"/>
      <c r="BS1285" s="261"/>
      <c r="BT1285" s="261"/>
      <c r="BU1285" s="261"/>
      <c r="BV1285" s="261"/>
    </row>
    <row r="1286" spans="12:74">
      <c r="L1286" s="261"/>
      <c r="M1286" s="261"/>
      <c r="N1286" s="261"/>
      <c r="O1286" s="261"/>
      <c r="P1286" s="261"/>
      <c r="Q1286" s="261"/>
      <c r="BR1286" s="261"/>
      <c r="BS1286" s="261"/>
      <c r="BT1286" s="261"/>
      <c r="BU1286" s="261"/>
      <c r="BV1286" s="261"/>
    </row>
    <row r="1287" spans="12:74">
      <c r="L1287" s="261"/>
      <c r="M1287" s="261"/>
      <c r="N1287" s="261"/>
      <c r="O1287" s="261"/>
      <c r="P1287" s="261"/>
      <c r="Q1287" s="261"/>
      <c r="BR1287" s="261"/>
      <c r="BS1287" s="261"/>
      <c r="BT1287" s="261"/>
      <c r="BU1287" s="261"/>
      <c r="BV1287" s="261"/>
    </row>
    <row r="1288" spans="12:74">
      <c r="L1288" s="261"/>
      <c r="M1288" s="261"/>
      <c r="N1288" s="261"/>
      <c r="O1288" s="261"/>
      <c r="P1288" s="261"/>
      <c r="Q1288" s="261"/>
      <c r="BR1288" s="261"/>
      <c r="BS1288" s="261"/>
      <c r="BT1288" s="261"/>
      <c r="BU1288" s="261"/>
      <c r="BV1288" s="261"/>
    </row>
    <row r="1289" spans="12:74">
      <c r="L1289" s="261"/>
      <c r="M1289" s="261"/>
      <c r="N1289" s="261"/>
      <c r="O1289" s="261"/>
      <c r="P1289" s="261"/>
      <c r="Q1289" s="261"/>
      <c r="BR1289" s="261"/>
      <c r="BS1289" s="261"/>
      <c r="BT1289" s="261"/>
      <c r="BU1289" s="261"/>
      <c r="BV1289" s="261"/>
    </row>
    <row r="1290" spans="12:74">
      <c r="L1290" s="261"/>
      <c r="M1290" s="261"/>
      <c r="N1290" s="261"/>
      <c r="O1290" s="261"/>
      <c r="P1290" s="261"/>
      <c r="Q1290" s="261"/>
      <c r="BR1290" s="261"/>
      <c r="BS1290" s="261"/>
      <c r="BT1290" s="261"/>
      <c r="BU1290" s="261"/>
      <c r="BV1290" s="261"/>
    </row>
    <row r="1291" spans="12:74">
      <c r="L1291" s="261"/>
      <c r="M1291" s="261"/>
      <c r="N1291" s="261"/>
      <c r="O1291" s="261"/>
      <c r="P1291" s="261"/>
      <c r="Q1291" s="261"/>
      <c r="BR1291" s="261"/>
      <c r="BS1291" s="261"/>
      <c r="BT1291" s="261"/>
      <c r="BU1291" s="261"/>
      <c r="BV1291" s="261"/>
    </row>
    <row r="1292" spans="12:74">
      <c r="L1292" s="261"/>
      <c r="M1292" s="261"/>
      <c r="N1292" s="261"/>
      <c r="O1292" s="261"/>
      <c r="P1292" s="261"/>
      <c r="Q1292" s="261"/>
      <c r="BR1292" s="261"/>
      <c r="BS1292" s="261"/>
      <c r="BT1292" s="261"/>
      <c r="BU1292" s="261"/>
      <c r="BV1292" s="261"/>
    </row>
    <row r="1293" spans="12:74">
      <c r="L1293" s="261"/>
      <c r="M1293" s="261"/>
      <c r="N1293" s="261"/>
      <c r="O1293" s="261"/>
      <c r="P1293" s="261"/>
      <c r="Q1293" s="261"/>
      <c r="BR1293" s="261"/>
      <c r="BS1293" s="261"/>
      <c r="BT1293" s="261"/>
      <c r="BU1293" s="261"/>
      <c r="BV1293" s="261"/>
    </row>
    <row r="1294" spans="12:74">
      <c r="L1294" s="261"/>
      <c r="M1294" s="261"/>
      <c r="N1294" s="261"/>
      <c r="O1294" s="261"/>
      <c r="P1294" s="261"/>
      <c r="Q1294" s="261"/>
      <c r="BR1294" s="261"/>
      <c r="BS1294" s="261"/>
      <c r="BT1294" s="261"/>
      <c r="BU1294" s="261"/>
      <c r="BV1294" s="261"/>
    </row>
    <row r="1295" spans="12:74">
      <c r="L1295" s="261"/>
      <c r="M1295" s="261"/>
      <c r="N1295" s="261"/>
      <c r="O1295" s="261"/>
      <c r="P1295" s="261"/>
      <c r="Q1295" s="261"/>
      <c r="BR1295" s="261"/>
      <c r="BS1295" s="261"/>
      <c r="BT1295" s="261"/>
      <c r="BU1295" s="261"/>
      <c r="BV1295" s="261"/>
    </row>
    <row r="1296" spans="12:74">
      <c r="L1296" s="261"/>
      <c r="M1296" s="261"/>
      <c r="N1296" s="261"/>
      <c r="O1296" s="261"/>
      <c r="P1296" s="261"/>
      <c r="Q1296" s="261"/>
      <c r="BR1296" s="261"/>
      <c r="BS1296" s="261"/>
      <c r="BT1296" s="261"/>
      <c r="BU1296" s="261"/>
      <c r="BV1296" s="261"/>
    </row>
    <row r="1297" spans="12:74">
      <c r="L1297" s="261"/>
      <c r="M1297" s="261"/>
      <c r="N1297" s="261"/>
      <c r="O1297" s="261"/>
      <c r="P1297" s="261"/>
      <c r="Q1297" s="261"/>
      <c r="BR1297" s="261"/>
      <c r="BS1297" s="261"/>
      <c r="BT1297" s="261"/>
      <c r="BU1297" s="261"/>
      <c r="BV1297" s="261"/>
    </row>
    <row r="1298" spans="12:74">
      <c r="L1298" s="261"/>
      <c r="M1298" s="261"/>
      <c r="N1298" s="261"/>
      <c r="O1298" s="261"/>
      <c r="P1298" s="261"/>
      <c r="Q1298" s="261"/>
      <c r="BR1298" s="261"/>
      <c r="BS1298" s="261"/>
      <c r="BT1298" s="261"/>
      <c r="BU1298" s="261"/>
      <c r="BV1298" s="261"/>
    </row>
    <row r="1299" spans="12:74">
      <c r="L1299" s="261"/>
      <c r="M1299" s="261"/>
      <c r="N1299" s="261"/>
      <c r="O1299" s="261"/>
      <c r="P1299" s="261"/>
      <c r="Q1299" s="261"/>
      <c r="BR1299" s="261"/>
      <c r="BS1299" s="261"/>
      <c r="BT1299" s="261"/>
      <c r="BU1299" s="261"/>
      <c r="BV1299" s="261"/>
    </row>
    <row r="1300" spans="12:74">
      <c r="L1300" s="261"/>
      <c r="M1300" s="261"/>
      <c r="N1300" s="261"/>
      <c r="O1300" s="261"/>
      <c r="P1300" s="261"/>
      <c r="Q1300" s="261"/>
      <c r="BR1300" s="261"/>
      <c r="BS1300" s="261"/>
      <c r="BT1300" s="261"/>
      <c r="BU1300" s="261"/>
      <c r="BV1300" s="261"/>
    </row>
    <row r="1301" spans="12:74">
      <c r="L1301" s="261"/>
      <c r="M1301" s="261"/>
      <c r="N1301" s="261"/>
      <c r="O1301" s="261"/>
      <c r="P1301" s="261"/>
      <c r="Q1301" s="261"/>
      <c r="BR1301" s="261"/>
      <c r="BS1301" s="261"/>
      <c r="BT1301" s="261"/>
      <c r="BU1301" s="261"/>
      <c r="BV1301" s="261"/>
    </row>
    <row r="1302" spans="12:74">
      <c r="L1302" s="261"/>
      <c r="M1302" s="261"/>
      <c r="N1302" s="261"/>
      <c r="O1302" s="261"/>
      <c r="P1302" s="261"/>
      <c r="Q1302" s="261"/>
      <c r="BR1302" s="261"/>
      <c r="BS1302" s="261"/>
      <c r="BT1302" s="261"/>
      <c r="BU1302" s="261"/>
      <c r="BV1302" s="261"/>
    </row>
    <row r="1303" spans="12:74">
      <c r="L1303" s="261"/>
      <c r="M1303" s="261"/>
      <c r="N1303" s="261"/>
      <c r="O1303" s="261"/>
      <c r="P1303" s="261"/>
      <c r="Q1303" s="261"/>
      <c r="BR1303" s="261"/>
      <c r="BS1303" s="261"/>
      <c r="BT1303" s="261"/>
      <c r="BU1303" s="261"/>
      <c r="BV1303" s="261"/>
    </row>
    <row r="1304" spans="12:74">
      <c r="L1304" s="261"/>
      <c r="M1304" s="261"/>
      <c r="N1304" s="261"/>
      <c r="O1304" s="261"/>
      <c r="P1304" s="261"/>
      <c r="Q1304" s="261"/>
      <c r="BR1304" s="261"/>
      <c r="BS1304" s="261"/>
      <c r="BT1304" s="261"/>
      <c r="BU1304" s="261"/>
      <c r="BV1304" s="261"/>
    </row>
    <row r="1305" spans="12:74">
      <c r="L1305" s="261"/>
      <c r="M1305" s="261"/>
      <c r="N1305" s="261"/>
      <c r="O1305" s="261"/>
      <c r="P1305" s="261"/>
      <c r="Q1305" s="261"/>
      <c r="BR1305" s="261"/>
      <c r="BS1305" s="261"/>
      <c r="BT1305" s="261"/>
      <c r="BU1305" s="261"/>
      <c r="BV1305" s="261"/>
    </row>
    <row r="1306" spans="12:74">
      <c r="L1306" s="261"/>
      <c r="M1306" s="261"/>
      <c r="N1306" s="261"/>
      <c r="O1306" s="261"/>
      <c r="P1306" s="261"/>
      <c r="Q1306" s="261"/>
      <c r="BR1306" s="261"/>
      <c r="BS1306" s="261"/>
      <c r="BT1306" s="261"/>
      <c r="BU1306" s="261"/>
      <c r="BV1306" s="261"/>
    </row>
    <row r="1307" spans="12:74">
      <c r="L1307" s="261"/>
      <c r="M1307" s="261"/>
      <c r="N1307" s="261"/>
      <c r="O1307" s="261"/>
      <c r="P1307" s="261"/>
      <c r="Q1307" s="261"/>
      <c r="BR1307" s="261"/>
      <c r="BS1307" s="261"/>
      <c r="BT1307" s="261"/>
      <c r="BU1307" s="261"/>
      <c r="BV1307" s="261"/>
    </row>
    <row r="1308" spans="12:74">
      <c r="L1308" s="261"/>
      <c r="M1308" s="261"/>
      <c r="N1308" s="261"/>
      <c r="O1308" s="261"/>
      <c r="P1308" s="261"/>
      <c r="Q1308" s="261"/>
      <c r="BR1308" s="261"/>
      <c r="BS1308" s="261"/>
      <c r="BT1308" s="261"/>
      <c r="BU1308" s="261"/>
      <c r="BV1308" s="261"/>
    </row>
    <row r="1309" spans="12:74">
      <c r="L1309" s="261"/>
      <c r="M1309" s="261"/>
      <c r="N1309" s="261"/>
      <c r="O1309" s="261"/>
      <c r="P1309" s="261"/>
      <c r="Q1309" s="261"/>
      <c r="BR1309" s="261"/>
      <c r="BS1309" s="261"/>
      <c r="BT1309" s="261"/>
      <c r="BU1309" s="261"/>
      <c r="BV1309" s="261"/>
    </row>
    <row r="1310" spans="12:74">
      <c r="L1310" s="261"/>
      <c r="M1310" s="261"/>
      <c r="N1310" s="261"/>
      <c r="O1310" s="261"/>
      <c r="P1310" s="261"/>
      <c r="Q1310" s="261"/>
      <c r="BR1310" s="261"/>
      <c r="BS1310" s="261"/>
      <c r="BT1310" s="261"/>
      <c r="BU1310" s="261"/>
      <c r="BV1310" s="261"/>
    </row>
    <row r="1311" spans="12:74">
      <c r="L1311" s="261"/>
      <c r="M1311" s="261"/>
      <c r="N1311" s="261"/>
      <c r="O1311" s="261"/>
      <c r="P1311" s="261"/>
      <c r="Q1311" s="261"/>
      <c r="BR1311" s="261"/>
      <c r="BS1311" s="261"/>
      <c r="BT1311" s="261"/>
      <c r="BU1311" s="261"/>
      <c r="BV1311" s="261"/>
    </row>
    <row r="1312" spans="12:74">
      <c r="L1312" s="261"/>
      <c r="M1312" s="261"/>
      <c r="N1312" s="261"/>
      <c r="O1312" s="261"/>
      <c r="P1312" s="261"/>
      <c r="Q1312" s="261"/>
      <c r="BR1312" s="261"/>
      <c r="BS1312" s="261"/>
      <c r="BT1312" s="261"/>
      <c r="BU1312" s="261"/>
      <c r="BV1312" s="261"/>
    </row>
    <row r="1313" spans="12:74">
      <c r="L1313" s="261"/>
      <c r="M1313" s="261"/>
      <c r="N1313" s="261"/>
      <c r="O1313" s="261"/>
      <c r="P1313" s="261"/>
      <c r="Q1313" s="261"/>
      <c r="BR1313" s="261"/>
      <c r="BS1313" s="261"/>
      <c r="BT1313" s="261"/>
      <c r="BU1313" s="261"/>
      <c r="BV1313" s="261"/>
    </row>
    <row r="1314" spans="12:74">
      <c r="L1314" s="261"/>
      <c r="M1314" s="261"/>
      <c r="N1314" s="261"/>
      <c r="O1314" s="261"/>
      <c r="P1314" s="261"/>
      <c r="Q1314" s="261"/>
      <c r="BR1314" s="261"/>
      <c r="BS1314" s="261"/>
      <c r="BT1314" s="261"/>
      <c r="BU1314" s="261"/>
      <c r="BV1314" s="261"/>
    </row>
    <row r="1315" spans="12:74">
      <c r="L1315" s="261"/>
      <c r="M1315" s="261"/>
      <c r="N1315" s="261"/>
      <c r="O1315" s="261"/>
      <c r="P1315" s="261"/>
      <c r="Q1315" s="261"/>
      <c r="BR1315" s="261"/>
      <c r="BS1315" s="261"/>
      <c r="BT1315" s="261"/>
      <c r="BU1315" s="261"/>
      <c r="BV1315" s="261"/>
    </row>
    <row r="1316" spans="12:74">
      <c r="L1316" s="261"/>
      <c r="M1316" s="261"/>
      <c r="N1316" s="261"/>
      <c r="O1316" s="261"/>
      <c r="P1316" s="261"/>
      <c r="Q1316" s="261"/>
      <c r="BR1316" s="261"/>
      <c r="BS1316" s="261"/>
      <c r="BT1316" s="261"/>
      <c r="BU1316" s="261"/>
      <c r="BV1316" s="261"/>
    </row>
    <row r="1317" spans="12:74">
      <c r="L1317" s="261"/>
      <c r="M1317" s="261"/>
      <c r="N1317" s="261"/>
      <c r="O1317" s="261"/>
      <c r="P1317" s="261"/>
      <c r="Q1317" s="261"/>
      <c r="BR1317" s="261"/>
      <c r="BS1317" s="261"/>
      <c r="BT1317" s="261"/>
      <c r="BU1317" s="261"/>
      <c r="BV1317" s="261"/>
    </row>
    <row r="1318" spans="12:74">
      <c r="L1318" s="261"/>
      <c r="M1318" s="261"/>
      <c r="N1318" s="261"/>
      <c r="O1318" s="261"/>
      <c r="P1318" s="261"/>
      <c r="Q1318" s="261"/>
      <c r="BR1318" s="261"/>
      <c r="BS1318" s="261"/>
      <c r="BT1318" s="261"/>
      <c r="BU1318" s="261"/>
      <c r="BV1318" s="261"/>
    </row>
    <row r="1319" spans="12:74">
      <c r="L1319" s="261"/>
      <c r="M1319" s="261"/>
      <c r="N1319" s="261"/>
      <c r="O1319" s="261"/>
      <c r="P1319" s="261"/>
      <c r="Q1319" s="261"/>
      <c r="BR1319" s="261"/>
      <c r="BS1319" s="261"/>
      <c r="BT1319" s="261"/>
      <c r="BU1319" s="261"/>
      <c r="BV1319" s="261"/>
    </row>
    <row r="1320" spans="12:74">
      <c r="L1320" s="261"/>
      <c r="M1320" s="261"/>
      <c r="N1320" s="261"/>
      <c r="O1320" s="261"/>
      <c r="P1320" s="261"/>
      <c r="Q1320" s="261"/>
      <c r="BR1320" s="261"/>
      <c r="BS1320" s="261"/>
      <c r="BT1320" s="261"/>
      <c r="BU1320" s="261"/>
      <c r="BV1320" s="261"/>
    </row>
    <row r="1321" spans="12:74">
      <c r="L1321" s="261"/>
      <c r="M1321" s="261"/>
      <c r="N1321" s="261"/>
      <c r="O1321" s="261"/>
      <c r="P1321" s="261"/>
      <c r="Q1321" s="261"/>
      <c r="BR1321" s="261"/>
      <c r="BS1321" s="261"/>
      <c r="BT1321" s="261"/>
      <c r="BU1321" s="261"/>
      <c r="BV1321" s="261"/>
    </row>
    <row r="1322" spans="12:74">
      <c r="L1322" s="261"/>
      <c r="M1322" s="261"/>
      <c r="N1322" s="261"/>
      <c r="O1322" s="261"/>
      <c r="P1322" s="261"/>
      <c r="Q1322" s="261"/>
      <c r="BR1322" s="261"/>
      <c r="BS1322" s="261"/>
      <c r="BT1322" s="261"/>
      <c r="BU1322" s="261"/>
      <c r="BV1322" s="261"/>
    </row>
    <row r="1323" spans="12:74">
      <c r="L1323" s="261"/>
      <c r="M1323" s="261"/>
      <c r="N1323" s="261"/>
      <c r="O1323" s="261"/>
      <c r="P1323" s="261"/>
      <c r="Q1323" s="261"/>
      <c r="BR1323" s="261"/>
      <c r="BS1323" s="261"/>
      <c r="BT1323" s="261"/>
      <c r="BU1323" s="261"/>
      <c r="BV1323" s="261"/>
    </row>
    <row r="1324" spans="12:74">
      <c r="L1324" s="261"/>
      <c r="M1324" s="261"/>
      <c r="N1324" s="261"/>
      <c r="O1324" s="261"/>
      <c r="P1324" s="261"/>
      <c r="Q1324" s="261"/>
      <c r="BR1324" s="261"/>
      <c r="BS1324" s="261"/>
      <c r="BT1324" s="261"/>
      <c r="BU1324" s="261"/>
      <c r="BV1324" s="261"/>
    </row>
    <row r="1325" spans="12:74">
      <c r="L1325" s="261"/>
      <c r="M1325" s="261"/>
      <c r="N1325" s="261"/>
      <c r="O1325" s="261"/>
      <c r="P1325" s="261"/>
      <c r="Q1325" s="261"/>
      <c r="BR1325" s="261"/>
      <c r="BS1325" s="261"/>
      <c r="BT1325" s="261"/>
      <c r="BU1325" s="261"/>
      <c r="BV1325" s="261"/>
    </row>
    <row r="1326" spans="12:74">
      <c r="L1326" s="261"/>
      <c r="M1326" s="261"/>
      <c r="N1326" s="261"/>
      <c r="O1326" s="261"/>
      <c r="P1326" s="261"/>
      <c r="Q1326" s="261"/>
      <c r="BR1326" s="261"/>
      <c r="BS1326" s="261"/>
      <c r="BT1326" s="261"/>
      <c r="BU1326" s="261"/>
      <c r="BV1326" s="261"/>
    </row>
    <row r="1327" spans="12:74">
      <c r="L1327" s="261"/>
      <c r="M1327" s="261"/>
      <c r="N1327" s="261"/>
      <c r="O1327" s="261"/>
      <c r="P1327" s="261"/>
      <c r="Q1327" s="261"/>
      <c r="BR1327" s="261"/>
      <c r="BS1327" s="261"/>
      <c r="BT1327" s="261"/>
      <c r="BU1327" s="261"/>
      <c r="BV1327" s="261"/>
    </row>
    <row r="1328" spans="12:74">
      <c r="L1328" s="261"/>
      <c r="M1328" s="261"/>
      <c r="N1328" s="261"/>
      <c r="O1328" s="261"/>
      <c r="P1328" s="261"/>
      <c r="Q1328" s="261"/>
      <c r="BR1328" s="261"/>
      <c r="BS1328" s="261"/>
      <c r="BT1328" s="261"/>
      <c r="BU1328" s="261"/>
      <c r="BV1328" s="261"/>
    </row>
    <row r="1329" spans="12:74">
      <c r="L1329" s="261"/>
      <c r="M1329" s="261"/>
      <c r="N1329" s="261"/>
      <c r="O1329" s="261"/>
      <c r="P1329" s="261"/>
      <c r="Q1329" s="261"/>
      <c r="BR1329" s="261"/>
      <c r="BS1329" s="261"/>
      <c r="BT1329" s="261"/>
      <c r="BU1329" s="261"/>
      <c r="BV1329" s="261"/>
    </row>
    <row r="1330" spans="12:74">
      <c r="L1330" s="261"/>
      <c r="M1330" s="261"/>
      <c r="N1330" s="261"/>
      <c r="O1330" s="261"/>
      <c r="P1330" s="261"/>
      <c r="Q1330" s="261"/>
      <c r="BR1330" s="261"/>
      <c r="BS1330" s="261"/>
      <c r="BT1330" s="261"/>
      <c r="BU1330" s="261"/>
      <c r="BV1330" s="261"/>
    </row>
    <row r="1331" spans="12:74">
      <c r="L1331" s="261"/>
      <c r="M1331" s="261"/>
      <c r="N1331" s="261"/>
      <c r="O1331" s="261"/>
      <c r="P1331" s="261"/>
      <c r="Q1331" s="261"/>
      <c r="BR1331" s="261"/>
      <c r="BS1331" s="261"/>
      <c r="BT1331" s="261"/>
      <c r="BU1331" s="261"/>
      <c r="BV1331" s="261"/>
    </row>
    <row r="1332" spans="12:74">
      <c r="L1332" s="261"/>
      <c r="M1332" s="261"/>
      <c r="N1332" s="261"/>
      <c r="O1332" s="261"/>
      <c r="P1332" s="261"/>
      <c r="Q1332" s="261"/>
      <c r="BR1332" s="261"/>
      <c r="BS1332" s="261"/>
      <c r="BT1332" s="261"/>
      <c r="BU1332" s="261"/>
      <c r="BV1332" s="261"/>
    </row>
    <row r="1333" spans="12:74">
      <c r="L1333" s="261"/>
      <c r="M1333" s="261"/>
      <c r="N1333" s="261"/>
      <c r="O1333" s="261"/>
      <c r="P1333" s="261"/>
      <c r="Q1333" s="261"/>
      <c r="BR1333" s="261"/>
      <c r="BS1333" s="261"/>
      <c r="BT1333" s="261"/>
      <c r="BU1333" s="261"/>
      <c r="BV1333" s="261"/>
    </row>
    <row r="1334" spans="12:74">
      <c r="L1334" s="261"/>
      <c r="M1334" s="261"/>
      <c r="N1334" s="261"/>
      <c r="O1334" s="261"/>
      <c r="P1334" s="261"/>
      <c r="Q1334" s="261"/>
      <c r="BR1334" s="261"/>
      <c r="BS1334" s="261"/>
      <c r="BT1334" s="261"/>
      <c r="BU1334" s="261"/>
      <c r="BV1334" s="261"/>
    </row>
    <row r="1335" spans="12:74">
      <c r="L1335" s="261"/>
      <c r="M1335" s="261"/>
      <c r="N1335" s="261"/>
      <c r="O1335" s="261"/>
      <c r="P1335" s="261"/>
      <c r="Q1335" s="261"/>
      <c r="BR1335" s="261"/>
      <c r="BS1335" s="261"/>
      <c r="BT1335" s="261"/>
      <c r="BU1335" s="261"/>
      <c r="BV1335" s="261"/>
    </row>
    <row r="1336" spans="12:74">
      <c r="L1336" s="261"/>
      <c r="M1336" s="261"/>
      <c r="N1336" s="261"/>
      <c r="O1336" s="261"/>
      <c r="P1336" s="261"/>
      <c r="Q1336" s="261"/>
      <c r="BR1336" s="261"/>
      <c r="BS1336" s="261"/>
      <c r="BT1336" s="261"/>
      <c r="BU1336" s="261"/>
      <c r="BV1336" s="261"/>
    </row>
    <row r="1337" spans="12:74">
      <c r="L1337" s="261"/>
      <c r="M1337" s="261"/>
      <c r="N1337" s="261"/>
      <c r="O1337" s="261"/>
      <c r="P1337" s="261"/>
      <c r="Q1337" s="261"/>
      <c r="BR1337" s="261"/>
      <c r="BS1337" s="261"/>
      <c r="BT1337" s="261"/>
      <c r="BU1337" s="261"/>
      <c r="BV1337" s="261"/>
    </row>
    <row r="1338" spans="12:74">
      <c r="L1338" s="261"/>
      <c r="M1338" s="261"/>
      <c r="N1338" s="261"/>
      <c r="O1338" s="261"/>
      <c r="P1338" s="261"/>
      <c r="Q1338" s="261"/>
      <c r="BR1338" s="261"/>
      <c r="BS1338" s="261"/>
      <c r="BT1338" s="261"/>
      <c r="BU1338" s="261"/>
      <c r="BV1338" s="261"/>
    </row>
    <row r="1339" spans="12:74">
      <c r="L1339" s="261"/>
      <c r="M1339" s="261"/>
      <c r="N1339" s="261"/>
      <c r="O1339" s="261"/>
      <c r="P1339" s="261"/>
      <c r="Q1339" s="261"/>
      <c r="BR1339" s="261"/>
      <c r="BS1339" s="261"/>
      <c r="BT1339" s="261"/>
      <c r="BU1339" s="261"/>
      <c r="BV1339" s="261"/>
    </row>
    <row r="1340" spans="12:74">
      <c r="L1340" s="261"/>
      <c r="M1340" s="261"/>
      <c r="N1340" s="261"/>
      <c r="O1340" s="261"/>
      <c r="P1340" s="261"/>
      <c r="Q1340" s="261"/>
      <c r="BR1340" s="261"/>
      <c r="BS1340" s="261"/>
      <c r="BT1340" s="261"/>
      <c r="BU1340" s="261"/>
      <c r="BV1340" s="261"/>
    </row>
    <row r="1341" spans="12:74">
      <c r="L1341" s="261"/>
      <c r="M1341" s="261"/>
      <c r="N1341" s="261"/>
      <c r="O1341" s="261"/>
      <c r="P1341" s="261"/>
      <c r="Q1341" s="261"/>
      <c r="BR1341" s="261"/>
      <c r="BS1341" s="261"/>
      <c r="BT1341" s="261"/>
      <c r="BU1341" s="261"/>
      <c r="BV1341" s="261"/>
    </row>
    <row r="1342" spans="12:74">
      <c r="L1342" s="261"/>
      <c r="M1342" s="261"/>
      <c r="N1342" s="261"/>
      <c r="O1342" s="261"/>
      <c r="P1342" s="261"/>
      <c r="Q1342" s="261"/>
      <c r="BR1342" s="261"/>
      <c r="BS1342" s="261"/>
      <c r="BT1342" s="261"/>
      <c r="BU1342" s="261"/>
      <c r="BV1342" s="261"/>
    </row>
    <row r="1343" spans="12:74">
      <c r="L1343" s="261"/>
      <c r="M1343" s="261"/>
      <c r="N1343" s="261"/>
      <c r="O1343" s="261"/>
      <c r="P1343" s="261"/>
      <c r="Q1343" s="261"/>
      <c r="BR1343" s="261"/>
      <c r="BS1343" s="261"/>
      <c r="BT1343" s="261"/>
      <c r="BU1343" s="261"/>
      <c r="BV1343" s="261"/>
    </row>
    <row r="1344" spans="12:74">
      <c r="L1344" s="261"/>
      <c r="M1344" s="261"/>
      <c r="N1344" s="261"/>
      <c r="O1344" s="261"/>
      <c r="P1344" s="261"/>
      <c r="Q1344" s="261"/>
      <c r="BR1344" s="261"/>
      <c r="BS1344" s="261"/>
      <c r="BT1344" s="261"/>
      <c r="BU1344" s="261"/>
      <c r="BV1344" s="261"/>
    </row>
    <row r="1345" spans="12:74">
      <c r="L1345" s="261"/>
      <c r="M1345" s="261"/>
      <c r="N1345" s="261"/>
      <c r="O1345" s="261"/>
      <c r="P1345" s="261"/>
      <c r="Q1345" s="261"/>
      <c r="BR1345" s="261"/>
      <c r="BS1345" s="261"/>
      <c r="BT1345" s="261"/>
      <c r="BU1345" s="261"/>
      <c r="BV1345" s="261"/>
    </row>
    <row r="1346" spans="12:74">
      <c r="L1346" s="261"/>
      <c r="M1346" s="261"/>
      <c r="N1346" s="261"/>
      <c r="O1346" s="261"/>
      <c r="P1346" s="261"/>
      <c r="Q1346" s="261"/>
      <c r="BR1346" s="261"/>
      <c r="BS1346" s="261"/>
      <c r="BT1346" s="261"/>
      <c r="BU1346" s="261"/>
      <c r="BV1346" s="261"/>
    </row>
    <row r="1347" spans="12:74">
      <c r="L1347" s="261"/>
      <c r="M1347" s="261"/>
      <c r="N1347" s="261"/>
      <c r="O1347" s="261"/>
      <c r="P1347" s="261"/>
      <c r="Q1347" s="261"/>
      <c r="BR1347" s="261"/>
      <c r="BS1347" s="261"/>
      <c r="BT1347" s="261"/>
      <c r="BU1347" s="261"/>
      <c r="BV1347" s="261"/>
    </row>
    <row r="1348" spans="12:74">
      <c r="L1348" s="261"/>
      <c r="M1348" s="261"/>
      <c r="N1348" s="261"/>
      <c r="O1348" s="261"/>
      <c r="P1348" s="261"/>
      <c r="Q1348" s="261"/>
      <c r="BR1348" s="261"/>
      <c r="BS1348" s="261"/>
      <c r="BT1348" s="261"/>
      <c r="BU1348" s="261"/>
      <c r="BV1348" s="261"/>
    </row>
    <row r="1349" spans="12:74">
      <c r="L1349" s="261"/>
      <c r="M1349" s="261"/>
      <c r="N1349" s="261"/>
      <c r="O1349" s="261"/>
      <c r="P1349" s="261"/>
      <c r="Q1349" s="261"/>
      <c r="BR1349" s="261"/>
      <c r="BS1349" s="261"/>
      <c r="BT1349" s="261"/>
      <c r="BU1349" s="261"/>
      <c r="BV1349" s="261"/>
    </row>
    <row r="1350" spans="12:74">
      <c r="L1350" s="261"/>
      <c r="M1350" s="261"/>
      <c r="N1350" s="261"/>
      <c r="O1350" s="261"/>
      <c r="P1350" s="261"/>
      <c r="Q1350" s="261"/>
      <c r="BR1350" s="261"/>
      <c r="BS1350" s="261"/>
      <c r="BT1350" s="261"/>
      <c r="BU1350" s="261"/>
      <c r="BV1350" s="261"/>
    </row>
    <row r="1351" spans="12:74">
      <c r="L1351" s="261"/>
      <c r="M1351" s="261"/>
      <c r="N1351" s="261"/>
      <c r="O1351" s="261"/>
      <c r="P1351" s="261"/>
      <c r="Q1351" s="261"/>
      <c r="BR1351" s="261"/>
      <c r="BS1351" s="261"/>
      <c r="BT1351" s="261"/>
      <c r="BU1351" s="261"/>
      <c r="BV1351" s="261"/>
    </row>
    <row r="1352" spans="12:74">
      <c r="L1352" s="261"/>
      <c r="M1352" s="261"/>
      <c r="N1352" s="261"/>
      <c r="O1352" s="261"/>
      <c r="P1352" s="261"/>
      <c r="Q1352" s="261"/>
      <c r="BR1352" s="261"/>
      <c r="BS1352" s="261"/>
      <c r="BT1352" s="261"/>
      <c r="BU1352" s="261"/>
      <c r="BV1352" s="261"/>
    </row>
    <row r="1353" spans="12:74">
      <c r="L1353" s="261"/>
      <c r="M1353" s="261"/>
      <c r="N1353" s="261"/>
      <c r="O1353" s="261"/>
      <c r="P1353" s="261"/>
      <c r="Q1353" s="261"/>
      <c r="BR1353" s="261"/>
      <c r="BS1353" s="261"/>
      <c r="BT1353" s="261"/>
      <c r="BU1353" s="261"/>
      <c r="BV1353" s="261"/>
    </row>
    <row r="1354" spans="12:74">
      <c r="L1354" s="261"/>
      <c r="M1354" s="261"/>
      <c r="N1354" s="261"/>
      <c r="O1354" s="261"/>
      <c r="P1354" s="261"/>
      <c r="Q1354" s="261"/>
      <c r="BR1354" s="261"/>
      <c r="BS1354" s="261"/>
      <c r="BT1354" s="261"/>
      <c r="BU1354" s="261"/>
      <c r="BV1354" s="261"/>
    </row>
    <row r="1355" spans="12:74">
      <c r="L1355" s="261"/>
      <c r="M1355" s="261"/>
      <c r="N1355" s="261"/>
      <c r="O1355" s="261"/>
      <c r="P1355" s="261"/>
      <c r="Q1355" s="261"/>
      <c r="BR1355" s="261"/>
      <c r="BS1355" s="261"/>
      <c r="BT1355" s="261"/>
      <c r="BU1355" s="261"/>
      <c r="BV1355" s="261"/>
    </row>
    <row r="1356" spans="12:74">
      <c r="L1356" s="261"/>
      <c r="M1356" s="261"/>
      <c r="N1356" s="261"/>
      <c r="O1356" s="261"/>
      <c r="P1356" s="261"/>
      <c r="Q1356" s="261"/>
      <c r="BR1356" s="261"/>
      <c r="BS1356" s="261"/>
      <c r="BT1356" s="261"/>
      <c r="BU1356" s="261"/>
      <c r="BV1356" s="261"/>
    </row>
    <row r="1357" spans="12:74">
      <c r="L1357" s="261"/>
      <c r="M1357" s="261"/>
      <c r="N1357" s="261"/>
      <c r="O1357" s="261"/>
      <c r="P1357" s="261"/>
      <c r="Q1357" s="261"/>
      <c r="BR1357" s="261"/>
      <c r="BS1357" s="261"/>
      <c r="BT1357" s="261"/>
      <c r="BU1357" s="261"/>
      <c r="BV1357" s="261"/>
    </row>
    <row r="1358" spans="12:74">
      <c r="L1358" s="261"/>
      <c r="M1358" s="261"/>
      <c r="N1358" s="261"/>
      <c r="O1358" s="261"/>
      <c r="P1358" s="261"/>
      <c r="Q1358" s="261"/>
      <c r="BR1358" s="261"/>
      <c r="BS1358" s="261"/>
      <c r="BT1358" s="261"/>
      <c r="BU1358" s="261"/>
      <c r="BV1358" s="261"/>
    </row>
    <row r="1359" spans="12:74">
      <c r="L1359" s="261"/>
      <c r="M1359" s="261"/>
      <c r="N1359" s="261"/>
      <c r="O1359" s="261"/>
      <c r="P1359" s="261"/>
      <c r="Q1359" s="261"/>
      <c r="BR1359" s="261"/>
      <c r="BS1359" s="261"/>
      <c r="BT1359" s="261"/>
      <c r="BU1359" s="261"/>
      <c r="BV1359" s="261"/>
    </row>
    <row r="1360" spans="12:74">
      <c r="L1360" s="261"/>
      <c r="M1360" s="261"/>
      <c r="N1360" s="261"/>
      <c r="O1360" s="261"/>
      <c r="P1360" s="261"/>
      <c r="Q1360" s="261"/>
      <c r="BR1360" s="261"/>
      <c r="BS1360" s="261"/>
      <c r="BT1360" s="261"/>
      <c r="BU1360" s="261"/>
      <c r="BV1360" s="261"/>
    </row>
    <row r="1361" spans="12:74">
      <c r="L1361" s="261"/>
      <c r="M1361" s="261"/>
      <c r="N1361" s="261"/>
      <c r="O1361" s="261"/>
      <c r="P1361" s="261"/>
      <c r="Q1361" s="261"/>
      <c r="BR1361" s="261"/>
      <c r="BS1361" s="261"/>
      <c r="BT1361" s="261"/>
      <c r="BU1361" s="261"/>
      <c r="BV1361" s="261"/>
    </row>
    <row r="1362" spans="12:74">
      <c r="L1362" s="261"/>
      <c r="M1362" s="261"/>
      <c r="N1362" s="261"/>
      <c r="O1362" s="261"/>
      <c r="P1362" s="261"/>
      <c r="Q1362" s="261"/>
      <c r="BR1362" s="261"/>
      <c r="BS1362" s="261"/>
      <c r="BT1362" s="261"/>
      <c r="BU1362" s="261"/>
      <c r="BV1362" s="261"/>
    </row>
    <row r="1363" spans="12:74">
      <c r="L1363" s="261"/>
      <c r="M1363" s="261"/>
      <c r="N1363" s="261"/>
      <c r="O1363" s="261"/>
      <c r="P1363" s="261"/>
      <c r="Q1363" s="261"/>
      <c r="BR1363" s="261"/>
      <c r="BS1363" s="261"/>
      <c r="BT1363" s="261"/>
      <c r="BU1363" s="261"/>
      <c r="BV1363" s="261"/>
    </row>
    <row r="1364" spans="12:74">
      <c r="L1364" s="261"/>
      <c r="M1364" s="261"/>
      <c r="N1364" s="261"/>
      <c r="O1364" s="261"/>
      <c r="P1364" s="261"/>
      <c r="Q1364" s="261"/>
      <c r="BR1364" s="261"/>
      <c r="BS1364" s="261"/>
      <c r="BT1364" s="261"/>
      <c r="BU1364" s="261"/>
      <c r="BV1364" s="261"/>
    </row>
    <row r="1365" spans="12:74">
      <c r="L1365" s="261"/>
      <c r="M1365" s="261"/>
      <c r="N1365" s="261"/>
      <c r="O1365" s="261"/>
      <c r="P1365" s="261"/>
      <c r="Q1365" s="261"/>
      <c r="BR1365" s="261"/>
      <c r="BS1365" s="261"/>
      <c r="BT1365" s="261"/>
      <c r="BU1365" s="261"/>
      <c r="BV1365" s="261"/>
    </row>
    <row r="1366" spans="12:74">
      <c r="L1366" s="261"/>
      <c r="M1366" s="261"/>
      <c r="N1366" s="261"/>
      <c r="O1366" s="261"/>
      <c r="P1366" s="261"/>
      <c r="Q1366" s="261"/>
      <c r="BR1366" s="261"/>
      <c r="BS1366" s="261"/>
      <c r="BT1366" s="261"/>
      <c r="BU1366" s="261"/>
      <c r="BV1366" s="261"/>
    </row>
    <row r="1367" spans="12:74">
      <c r="L1367" s="261"/>
      <c r="M1367" s="261"/>
      <c r="N1367" s="261"/>
      <c r="O1367" s="261"/>
      <c r="P1367" s="261"/>
      <c r="Q1367" s="261"/>
      <c r="BR1367" s="261"/>
      <c r="BS1367" s="261"/>
      <c r="BT1367" s="261"/>
      <c r="BU1367" s="261"/>
      <c r="BV1367" s="261"/>
    </row>
    <row r="1368" spans="12:74">
      <c r="L1368" s="261"/>
      <c r="M1368" s="261"/>
      <c r="N1368" s="261"/>
      <c r="O1368" s="261"/>
      <c r="P1368" s="261"/>
      <c r="Q1368" s="261"/>
      <c r="BR1368" s="261"/>
      <c r="BS1368" s="261"/>
      <c r="BT1368" s="261"/>
      <c r="BU1368" s="261"/>
      <c r="BV1368" s="261"/>
    </row>
    <row r="1369" spans="12:74">
      <c r="L1369" s="261"/>
      <c r="M1369" s="261"/>
      <c r="N1369" s="261"/>
      <c r="O1369" s="261"/>
      <c r="P1369" s="261"/>
      <c r="Q1369" s="261"/>
      <c r="BR1369" s="261"/>
      <c r="BS1369" s="261"/>
      <c r="BT1369" s="261"/>
      <c r="BU1369" s="261"/>
      <c r="BV1369" s="261"/>
    </row>
    <row r="1370" spans="12:74">
      <c r="L1370" s="261"/>
      <c r="M1370" s="261"/>
      <c r="N1370" s="261"/>
      <c r="O1370" s="261"/>
      <c r="P1370" s="261"/>
      <c r="Q1370" s="261"/>
      <c r="BR1370" s="261"/>
      <c r="BS1370" s="261"/>
      <c r="BT1370" s="261"/>
      <c r="BU1370" s="261"/>
      <c r="BV1370" s="261"/>
    </row>
    <row r="1371" spans="12:74">
      <c r="L1371" s="261"/>
      <c r="M1371" s="261"/>
      <c r="N1371" s="261"/>
      <c r="O1371" s="261"/>
      <c r="P1371" s="261"/>
      <c r="Q1371" s="261"/>
      <c r="BR1371" s="261"/>
      <c r="BS1371" s="261"/>
      <c r="BT1371" s="261"/>
      <c r="BU1371" s="261"/>
      <c r="BV1371" s="261"/>
    </row>
    <row r="1372" spans="12:74">
      <c r="L1372" s="261"/>
      <c r="M1372" s="261"/>
      <c r="N1372" s="261"/>
      <c r="O1372" s="261"/>
      <c r="P1372" s="261"/>
      <c r="Q1372" s="261"/>
      <c r="BR1372" s="261"/>
      <c r="BS1372" s="261"/>
      <c r="BT1372" s="261"/>
      <c r="BU1372" s="261"/>
      <c r="BV1372" s="261"/>
    </row>
    <row r="1373" spans="12:74">
      <c r="L1373" s="261"/>
      <c r="M1373" s="261"/>
      <c r="N1373" s="261"/>
      <c r="O1373" s="261"/>
      <c r="P1373" s="261"/>
      <c r="Q1373" s="261"/>
      <c r="BR1373" s="261"/>
      <c r="BS1373" s="261"/>
      <c r="BT1373" s="261"/>
      <c r="BU1373" s="261"/>
      <c r="BV1373" s="261"/>
    </row>
    <row r="1374" spans="12:74">
      <c r="L1374" s="261"/>
      <c r="M1374" s="261"/>
      <c r="N1374" s="261"/>
      <c r="O1374" s="261"/>
      <c r="P1374" s="261"/>
      <c r="Q1374" s="261"/>
      <c r="BR1374" s="261"/>
      <c r="BS1374" s="261"/>
      <c r="BT1374" s="261"/>
      <c r="BU1374" s="261"/>
      <c r="BV1374" s="261"/>
    </row>
    <row r="1375" spans="12:74">
      <c r="L1375" s="261"/>
      <c r="M1375" s="261"/>
      <c r="N1375" s="261"/>
      <c r="O1375" s="261"/>
      <c r="P1375" s="261"/>
      <c r="Q1375" s="261"/>
      <c r="BR1375" s="261"/>
      <c r="BS1375" s="261"/>
      <c r="BT1375" s="261"/>
      <c r="BU1375" s="261"/>
      <c r="BV1375" s="261"/>
    </row>
    <row r="1376" spans="12:74">
      <c r="L1376" s="261"/>
      <c r="M1376" s="261"/>
      <c r="N1376" s="261"/>
      <c r="O1376" s="261"/>
      <c r="P1376" s="261"/>
      <c r="Q1376" s="261"/>
      <c r="BR1376" s="261"/>
      <c r="BS1376" s="261"/>
      <c r="BT1376" s="261"/>
      <c r="BU1376" s="261"/>
      <c r="BV1376" s="261"/>
    </row>
    <row r="1377" spans="12:74">
      <c r="L1377" s="261"/>
      <c r="M1377" s="261"/>
      <c r="N1377" s="261"/>
      <c r="O1377" s="261"/>
      <c r="P1377" s="261"/>
      <c r="Q1377" s="261"/>
      <c r="BR1377" s="261"/>
      <c r="BS1377" s="261"/>
      <c r="BT1377" s="261"/>
      <c r="BU1377" s="261"/>
      <c r="BV1377" s="261"/>
    </row>
    <row r="1378" spans="12:74">
      <c r="L1378" s="261"/>
      <c r="M1378" s="261"/>
      <c r="N1378" s="261"/>
      <c r="O1378" s="261"/>
      <c r="P1378" s="261"/>
      <c r="Q1378" s="261"/>
      <c r="BR1378" s="261"/>
      <c r="BS1378" s="261"/>
      <c r="BT1378" s="261"/>
      <c r="BU1378" s="261"/>
      <c r="BV1378" s="261"/>
    </row>
    <row r="1379" spans="12:74">
      <c r="L1379" s="261"/>
      <c r="M1379" s="261"/>
      <c r="N1379" s="261"/>
      <c r="O1379" s="261"/>
      <c r="P1379" s="261"/>
      <c r="Q1379" s="261"/>
      <c r="BR1379" s="261"/>
      <c r="BS1379" s="261"/>
      <c r="BT1379" s="261"/>
      <c r="BU1379" s="261"/>
      <c r="BV1379" s="261"/>
    </row>
    <row r="1380" spans="12:74">
      <c r="L1380" s="261"/>
      <c r="M1380" s="261"/>
      <c r="N1380" s="261"/>
      <c r="O1380" s="261"/>
      <c r="P1380" s="261"/>
      <c r="Q1380" s="261"/>
      <c r="BR1380" s="261"/>
      <c r="BS1380" s="261"/>
      <c r="BT1380" s="261"/>
      <c r="BU1380" s="261"/>
      <c r="BV1380" s="261"/>
    </row>
    <row r="1381" spans="12:74">
      <c r="L1381" s="261"/>
      <c r="M1381" s="261"/>
      <c r="N1381" s="261"/>
      <c r="O1381" s="261"/>
      <c r="P1381" s="261"/>
      <c r="Q1381" s="261"/>
      <c r="BR1381" s="261"/>
      <c r="BS1381" s="261"/>
      <c r="BT1381" s="261"/>
      <c r="BU1381" s="261"/>
      <c r="BV1381" s="261"/>
    </row>
    <row r="1382" spans="12:74">
      <c r="L1382" s="261"/>
      <c r="M1382" s="261"/>
      <c r="N1382" s="261"/>
      <c r="O1382" s="261"/>
      <c r="P1382" s="261"/>
      <c r="Q1382" s="261"/>
      <c r="BR1382" s="261"/>
      <c r="BS1382" s="261"/>
      <c r="BT1382" s="261"/>
      <c r="BU1382" s="261"/>
      <c r="BV1382" s="261"/>
    </row>
    <row r="1383" spans="12:74">
      <c r="L1383" s="261"/>
      <c r="M1383" s="261"/>
      <c r="N1383" s="261"/>
      <c r="O1383" s="261"/>
      <c r="P1383" s="261"/>
      <c r="Q1383" s="261"/>
      <c r="BR1383" s="261"/>
      <c r="BS1383" s="261"/>
      <c r="BT1383" s="261"/>
      <c r="BU1383" s="261"/>
      <c r="BV1383" s="261"/>
    </row>
    <row r="1384" spans="12:74">
      <c r="L1384" s="261"/>
      <c r="M1384" s="261"/>
      <c r="N1384" s="261"/>
      <c r="O1384" s="261"/>
      <c r="P1384" s="261"/>
      <c r="Q1384" s="261"/>
      <c r="BR1384" s="261"/>
      <c r="BS1384" s="261"/>
      <c r="BT1384" s="261"/>
      <c r="BU1384" s="261"/>
      <c r="BV1384" s="261"/>
    </row>
    <row r="1385" spans="12:74">
      <c r="L1385" s="261"/>
      <c r="M1385" s="261"/>
      <c r="N1385" s="261"/>
      <c r="O1385" s="261"/>
      <c r="P1385" s="261"/>
      <c r="Q1385" s="261"/>
      <c r="BR1385" s="261"/>
      <c r="BS1385" s="261"/>
      <c r="BT1385" s="261"/>
      <c r="BU1385" s="261"/>
      <c r="BV1385" s="261"/>
    </row>
    <row r="1386" spans="12:74">
      <c r="L1386" s="261"/>
      <c r="M1386" s="261"/>
      <c r="N1386" s="261"/>
      <c r="O1386" s="261"/>
      <c r="P1386" s="261"/>
      <c r="Q1386" s="261"/>
      <c r="BR1386" s="261"/>
      <c r="BS1386" s="261"/>
      <c r="BT1386" s="261"/>
      <c r="BU1386" s="261"/>
      <c r="BV1386" s="261"/>
    </row>
    <row r="1387" spans="12:74">
      <c r="L1387" s="261"/>
      <c r="M1387" s="261"/>
      <c r="N1387" s="261"/>
      <c r="O1387" s="261"/>
      <c r="P1387" s="261"/>
      <c r="Q1387" s="261"/>
      <c r="BR1387" s="261"/>
      <c r="BS1387" s="261"/>
      <c r="BT1387" s="261"/>
      <c r="BU1387" s="261"/>
      <c r="BV1387" s="261"/>
    </row>
    <row r="1388" spans="12:74">
      <c r="L1388" s="261"/>
      <c r="M1388" s="261"/>
      <c r="N1388" s="261"/>
      <c r="O1388" s="261"/>
      <c r="P1388" s="261"/>
      <c r="Q1388" s="261"/>
      <c r="BR1388" s="261"/>
      <c r="BS1388" s="261"/>
      <c r="BT1388" s="261"/>
      <c r="BU1388" s="261"/>
      <c r="BV1388" s="261"/>
    </row>
    <row r="1389" spans="12:74">
      <c r="L1389" s="261"/>
      <c r="M1389" s="261"/>
      <c r="N1389" s="261"/>
      <c r="O1389" s="261"/>
      <c r="P1389" s="261"/>
      <c r="Q1389" s="261"/>
      <c r="BR1389" s="261"/>
      <c r="BS1389" s="261"/>
      <c r="BT1389" s="261"/>
      <c r="BU1389" s="261"/>
      <c r="BV1389" s="261"/>
    </row>
    <row r="1390" spans="12:74">
      <c r="L1390" s="261"/>
      <c r="M1390" s="261"/>
      <c r="N1390" s="261"/>
      <c r="O1390" s="261"/>
      <c r="P1390" s="261"/>
      <c r="Q1390" s="261"/>
      <c r="BR1390" s="261"/>
      <c r="BS1390" s="261"/>
      <c r="BT1390" s="261"/>
      <c r="BU1390" s="261"/>
      <c r="BV1390" s="261"/>
    </row>
    <row r="1391" spans="12:74">
      <c r="L1391" s="261"/>
      <c r="M1391" s="261"/>
      <c r="N1391" s="261"/>
      <c r="O1391" s="261"/>
      <c r="P1391" s="261"/>
      <c r="Q1391" s="261"/>
      <c r="BR1391" s="261"/>
      <c r="BS1391" s="261"/>
      <c r="BT1391" s="261"/>
      <c r="BU1391" s="261"/>
      <c r="BV1391" s="261"/>
    </row>
    <row r="1392" spans="12:74">
      <c r="L1392" s="261"/>
      <c r="M1392" s="261"/>
      <c r="N1392" s="261"/>
      <c r="O1392" s="261"/>
      <c r="P1392" s="261"/>
      <c r="Q1392" s="261"/>
      <c r="BR1392" s="261"/>
      <c r="BS1392" s="261"/>
      <c r="BT1392" s="261"/>
      <c r="BU1392" s="261"/>
      <c r="BV1392" s="261"/>
    </row>
    <row r="1393" spans="12:74">
      <c r="L1393" s="261"/>
      <c r="M1393" s="261"/>
      <c r="N1393" s="261"/>
      <c r="O1393" s="261"/>
      <c r="P1393" s="261"/>
      <c r="Q1393" s="261"/>
      <c r="BR1393" s="261"/>
      <c r="BS1393" s="261"/>
      <c r="BT1393" s="261"/>
      <c r="BU1393" s="261"/>
      <c r="BV1393" s="261"/>
    </row>
    <row r="1394" spans="12:74">
      <c r="L1394" s="261"/>
      <c r="M1394" s="261"/>
      <c r="N1394" s="261"/>
      <c r="O1394" s="261"/>
      <c r="P1394" s="261"/>
      <c r="Q1394" s="261"/>
      <c r="BR1394" s="261"/>
      <c r="BS1394" s="261"/>
      <c r="BT1394" s="261"/>
      <c r="BU1394" s="261"/>
      <c r="BV1394" s="261"/>
    </row>
    <row r="1395" spans="12:74">
      <c r="L1395" s="261"/>
      <c r="M1395" s="261"/>
      <c r="N1395" s="261"/>
      <c r="O1395" s="261"/>
      <c r="P1395" s="261"/>
      <c r="Q1395" s="261"/>
      <c r="BR1395" s="261"/>
      <c r="BS1395" s="261"/>
      <c r="BT1395" s="261"/>
      <c r="BU1395" s="261"/>
      <c r="BV1395" s="261"/>
    </row>
    <row r="1396" spans="12:74">
      <c r="L1396" s="261"/>
      <c r="M1396" s="261"/>
      <c r="N1396" s="261"/>
      <c r="O1396" s="261"/>
      <c r="P1396" s="261"/>
      <c r="Q1396" s="261"/>
      <c r="BR1396" s="261"/>
      <c r="BS1396" s="261"/>
      <c r="BT1396" s="261"/>
      <c r="BU1396" s="261"/>
      <c r="BV1396" s="261"/>
    </row>
    <row r="1397" spans="12:74">
      <c r="L1397" s="261"/>
      <c r="M1397" s="261"/>
      <c r="N1397" s="261"/>
      <c r="O1397" s="261"/>
      <c r="P1397" s="261"/>
      <c r="Q1397" s="261"/>
      <c r="BR1397" s="261"/>
      <c r="BS1397" s="261"/>
      <c r="BT1397" s="261"/>
      <c r="BU1397" s="261"/>
      <c r="BV1397" s="261"/>
    </row>
    <row r="1398" spans="12:74">
      <c r="L1398" s="261"/>
      <c r="M1398" s="261"/>
      <c r="N1398" s="261"/>
      <c r="O1398" s="261"/>
      <c r="P1398" s="261"/>
      <c r="Q1398" s="261"/>
      <c r="BR1398" s="261"/>
      <c r="BS1398" s="261"/>
      <c r="BT1398" s="261"/>
      <c r="BU1398" s="261"/>
      <c r="BV1398" s="261"/>
    </row>
    <row r="1399" spans="12:74">
      <c r="L1399" s="261"/>
      <c r="M1399" s="261"/>
      <c r="N1399" s="261"/>
      <c r="O1399" s="261"/>
      <c r="P1399" s="261"/>
      <c r="Q1399" s="261"/>
      <c r="BR1399" s="261"/>
      <c r="BS1399" s="261"/>
      <c r="BT1399" s="261"/>
      <c r="BU1399" s="261"/>
      <c r="BV1399" s="261"/>
    </row>
    <row r="1400" spans="12:74">
      <c r="L1400" s="261"/>
      <c r="M1400" s="261"/>
      <c r="N1400" s="261"/>
      <c r="O1400" s="261"/>
      <c r="P1400" s="261"/>
      <c r="Q1400" s="261"/>
      <c r="BR1400" s="261"/>
      <c r="BS1400" s="261"/>
      <c r="BT1400" s="261"/>
      <c r="BU1400" s="261"/>
      <c r="BV1400" s="261"/>
    </row>
    <row r="1401" spans="12:74">
      <c r="L1401" s="261"/>
      <c r="M1401" s="261"/>
      <c r="N1401" s="261"/>
      <c r="O1401" s="261"/>
      <c r="P1401" s="261"/>
      <c r="Q1401" s="261"/>
      <c r="BR1401" s="261"/>
      <c r="BS1401" s="261"/>
      <c r="BT1401" s="261"/>
      <c r="BU1401" s="261"/>
      <c r="BV1401" s="261"/>
    </row>
    <row r="1402" spans="12:74">
      <c r="L1402" s="261"/>
      <c r="M1402" s="261"/>
      <c r="N1402" s="261"/>
      <c r="O1402" s="261"/>
      <c r="P1402" s="261"/>
      <c r="Q1402" s="261"/>
      <c r="BR1402" s="261"/>
      <c r="BS1402" s="261"/>
      <c r="BT1402" s="261"/>
      <c r="BU1402" s="261"/>
      <c r="BV1402" s="261"/>
    </row>
    <row r="1403" spans="12:74">
      <c r="L1403" s="261"/>
      <c r="M1403" s="261"/>
      <c r="N1403" s="261"/>
      <c r="O1403" s="261"/>
      <c r="P1403" s="261"/>
      <c r="Q1403" s="261"/>
      <c r="BR1403" s="261"/>
      <c r="BS1403" s="261"/>
      <c r="BT1403" s="261"/>
      <c r="BU1403" s="261"/>
      <c r="BV1403" s="261"/>
    </row>
    <row r="1404" spans="12:74">
      <c r="L1404" s="261"/>
      <c r="M1404" s="261"/>
      <c r="N1404" s="261"/>
      <c r="O1404" s="261"/>
      <c r="P1404" s="261"/>
      <c r="Q1404" s="261"/>
      <c r="BR1404" s="261"/>
      <c r="BS1404" s="261"/>
      <c r="BT1404" s="261"/>
      <c r="BU1404" s="261"/>
      <c r="BV1404" s="261"/>
    </row>
    <row r="1405" spans="12:74">
      <c r="L1405" s="261"/>
      <c r="M1405" s="261"/>
      <c r="N1405" s="261"/>
      <c r="O1405" s="261"/>
      <c r="P1405" s="261"/>
      <c r="Q1405" s="261"/>
      <c r="BR1405" s="261"/>
      <c r="BS1405" s="261"/>
      <c r="BT1405" s="261"/>
      <c r="BU1405" s="261"/>
      <c r="BV1405" s="261"/>
    </row>
    <row r="1406" spans="12:74">
      <c r="L1406" s="261"/>
      <c r="M1406" s="261"/>
      <c r="N1406" s="261"/>
      <c r="O1406" s="261"/>
      <c r="P1406" s="261"/>
      <c r="Q1406" s="261"/>
      <c r="BR1406" s="261"/>
      <c r="BS1406" s="261"/>
      <c r="BT1406" s="261"/>
      <c r="BU1406" s="261"/>
      <c r="BV1406" s="261"/>
    </row>
    <row r="1407" spans="12:74">
      <c r="L1407" s="261"/>
      <c r="M1407" s="261"/>
      <c r="N1407" s="261"/>
      <c r="O1407" s="261"/>
      <c r="P1407" s="261"/>
      <c r="Q1407" s="261"/>
      <c r="BR1407" s="261"/>
      <c r="BS1407" s="261"/>
      <c r="BT1407" s="261"/>
      <c r="BU1407" s="261"/>
      <c r="BV1407" s="261"/>
    </row>
    <row r="1408" spans="12:74">
      <c r="L1408" s="261"/>
      <c r="M1408" s="261"/>
      <c r="N1408" s="261"/>
      <c r="O1408" s="261"/>
      <c r="P1408" s="261"/>
      <c r="Q1408" s="261"/>
      <c r="BR1408" s="261"/>
      <c r="BS1408" s="261"/>
      <c r="BT1408" s="261"/>
      <c r="BU1408" s="261"/>
      <c r="BV1408" s="261"/>
    </row>
    <row r="1409" spans="12:74">
      <c r="L1409" s="261"/>
      <c r="M1409" s="261"/>
      <c r="N1409" s="261"/>
      <c r="O1409" s="261"/>
      <c r="P1409" s="261"/>
      <c r="Q1409" s="261"/>
      <c r="BR1409" s="261"/>
      <c r="BS1409" s="261"/>
      <c r="BT1409" s="261"/>
      <c r="BU1409" s="261"/>
      <c r="BV1409" s="261"/>
    </row>
    <row r="1410" spans="12:74">
      <c r="L1410" s="261"/>
      <c r="M1410" s="261"/>
      <c r="N1410" s="261"/>
      <c r="O1410" s="261"/>
      <c r="P1410" s="261"/>
      <c r="Q1410" s="261"/>
      <c r="BR1410" s="261"/>
      <c r="BS1410" s="261"/>
      <c r="BT1410" s="261"/>
      <c r="BU1410" s="261"/>
      <c r="BV1410" s="261"/>
    </row>
    <row r="1411" spans="12:74">
      <c r="L1411" s="261"/>
      <c r="M1411" s="261"/>
      <c r="N1411" s="261"/>
      <c r="O1411" s="261"/>
      <c r="P1411" s="261"/>
      <c r="Q1411" s="261"/>
      <c r="BR1411" s="261"/>
      <c r="BS1411" s="261"/>
      <c r="BT1411" s="261"/>
      <c r="BU1411" s="261"/>
      <c r="BV1411" s="261"/>
    </row>
    <row r="1412" spans="12:74">
      <c r="L1412" s="261"/>
      <c r="M1412" s="261"/>
      <c r="N1412" s="261"/>
      <c r="O1412" s="261"/>
      <c r="P1412" s="261"/>
      <c r="Q1412" s="261"/>
      <c r="BR1412" s="261"/>
      <c r="BS1412" s="261"/>
      <c r="BT1412" s="261"/>
      <c r="BU1412" s="261"/>
      <c r="BV1412" s="261"/>
    </row>
    <row r="1413" spans="12:74">
      <c r="L1413" s="261"/>
      <c r="M1413" s="261"/>
      <c r="N1413" s="261"/>
      <c r="O1413" s="261"/>
      <c r="P1413" s="261"/>
      <c r="Q1413" s="261"/>
      <c r="BR1413" s="261"/>
      <c r="BS1413" s="261"/>
      <c r="BT1413" s="261"/>
      <c r="BU1413" s="261"/>
      <c r="BV1413" s="261"/>
    </row>
    <row r="1414" spans="12:74">
      <c r="L1414" s="261"/>
      <c r="M1414" s="261"/>
      <c r="N1414" s="261"/>
      <c r="O1414" s="261"/>
      <c r="P1414" s="261"/>
      <c r="Q1414" s="261"/>
      <c r="BR1414" s="261"/>
      <c r="BS1414" s="261"/>
      <c r="BT1414" s="261"/>
      <c r="BU1414" s="261"/>
      <c r="BV1414" s="261"/>
    </row>
    <row r="1415" spans="12:74">
      <c r="L1415" s="261"/>
      <c r="M1415" s="261"/>
      <c r="N1415" s="261"/>
      <c r="O1415" s="261"/>
      <c r="P1415" s="261"/>
      <c r="Q1415" s="261"/>
      <c r="BR1415" s="261"/>
      <c r="BS1415" s="261"/>
      <c r="BT1415" s="261"/>
      <c r="BU1415" s="261"/>
      <c r="BV1415" s="261"/>
    </row>
    <row r="1416" spans="12:74">
      <c r="L1416" s="261"/>
      <c r="M1416" s="261"/>
      <c r="N1416" s="261"/>
      <c r="O1416" s="261"/>
      <c r="P1416" s="261"/>
      <c r="Q1416" s="261"/>
      <c r="BR1416" s="261"/>
      <c r="BS1416" s="261"/>
      <c r="BT1416" s="261"/>
      <c r="BU1416" s="261"/>
      <c r="BV1416" s="261"/>
    </row>
    <row r="1417" spans="12:74">
      <c r="L1417" s="261"/>
      <c r="M1417" s="261"/>
      <c r="N1417" s="261"/>
      <c r="O1417" s="261"/>
      <c r="P1417" s="261"/>
      <c r="Q1417" s="261"/>
      <c r="BR1417" s="261"/>
      <c r="BS1417" s="261"/>
      <c r="BT1417" s="261"/>
      <c r="BU1417" s="261"/>
      <c r="BV1417" s="261"/>
    </row>
    <row r="1418" spans="12:74">
      <c r="L1418" s="261"/>
      <c r="M1418" s="261"/>
      <c r="N1418" s="261"/>
      <c r="O1418" s="261"/>
      <c r="P1418" s="261"/>
      <c r="Q1418" s="261"/>
      <c r="BR1418" s="261"/>
      <c r="BS1418" s="261"/>
      <c r="BT1418" s="261"/>
      <c r="BU1418" s="261"/>
      <c r="BV1418" s="261"/>
    </row>
    <row r="1419" spans="12:74">
      <c r="L1419" s="261"/>
      <c r="M1419" s="261"/>
      <c r="N1419" s="261"/>
      <c r="O1419" s="261"/>
      <c r="P1419" s="261"/>
      <c r="Q1419" s="261"/>
      <c r="BR1419" s="261"/>
      <c r="BS1419" s="261"/>
      <c r="BT1419" s="261"/>
      <c r="BU1419" s="261"/>
      <c r="BV1419" s="261"/>
    </row>
    <row r="1420" spans="12:74">
      <c r="L1420" s="261"/>
      <c r="M1420" s="261"/>
      <c r="N1420" s="261"/>
      <c r="O1420" s="261"/>
      <c r="P1420" s="261"/>
      <c r="Q1420" s="261"/>
      <c r="BR1420" s="261"/>
      <c r="BS1420" s="261"/>
      <c r="BT1420" s="261"/>
      <c r="BU1420" s="261"/>
      <c r="BV1420" s="261"/>
    </row>
    <row r="1421" spans="12:74">
      <c r="L1421" s="261"/>
      <c r="M1421" s="261"/>
      <c r="N1421" s="261"/>
      <c r="O1421" s="261"/>
      <c r="P1421" s="261"/>
      <c r="Q1421" s="261"/>
      <c r="BR1421" s="261"/>
      <c r="BS1421" s="261"/>
      <c r="BT1421" s="261"/>
      <c r="BU1421" s="261"/>
      <c r="BV1421" s="261"/>
    </row>
    <row r="1422" spans="12:74">
      <c r="L1422" s="261"/>
      <c r="M1422" s="261"/>
      <c r="N1422" s="261"/>
      <c r="O1422" s="261"/>
      <c r="P1422" s="261"/>
      <c r="Q1422" s="261"/>
      <c r="BR1422" s="261"/>
      <c r="BS1422" s="261"/>
      <c r="BT1422" s="261"/>
      <c r="BU1422" s="261"/>
      <c r="BV1422" s="261"/>
    </row>
    <row r="1423" spans="12:74">
      <c r="L1423" s="261"/>
      <c r="M1423" s="261"/>
      <c r="N1423" s="261"/>
      <c r="O1423" s="261"/>
      <c r="P1423" s="261"/>
      <c r="Q1423" s="261"/>
      <c r="BR1423" s="261"/>
      <c r="BS1423" s="261"/>
      <c r="BT1423" s="261"/>
      <c r="BU1423" s="261"/>
      <c r="BV1423" s="261"/>
    </row>
    <row r="1424" spans="12:74">
      <c r="L1424" s="261"/>
      <c r="M1424" s="261"/>
      <c r="N1424" s="261"/>
      <c r="O1424" s="261"/>
      <c r="P1424" s="261"/>
      <c r="Q1424" s="261"/>
      <c r="BR1424" s="261"/>
      <c r="BS1424" s="261"/>
      <c r="BT1424" s="261"/>
      <c r="BU1424" s="261"/>
      <c r="BV1424" s="261"/>
    </row>
    <row r="1425" spans="12:74">
      <c r="L1425" s="261"/>
      <c r="M1425" s="261"/>
      <c r="N1425" s="261"/>
      <c r="O1425" s="261"/>
      <c r="P1425" s="261"/>
      <c r="Q1425" s="261"/>
      <c r="BR1425" s="261"/>
      <c r="BS1425" s="261"/>
      <c r="BT1425" s="261"/>
      <c r="BU1425" s="261"/>
      <c r="BV1425" s="261"/>
    </row>
    <row r="1426" spans="12:74">
      <c r="L1426" s="261"/>
      <c r="M1426" s="261"/>
      <c r="N1426" s="261"/>
      <c r="O1426" s="261"/>
      <c r="P1426" s="261"/>
      <c r="Q1426" s="261"/>
      <c r="BR1426" s="261"/>
      <c r="BS1426" s="261"/>
      <c r="BT1426" s="261"/>
      <c r="BU1426" s="261"/>
      <c r="BV1426" s="261"/>
    </row>
    <row r="1427" spans="12:74">
      <c r="L1427" s="261"/>
      <c r="M1427" s="261"/>
      <c r="N1427" s="261"/>
      <c r="O1427" s="261"/>
      <c r="P1427" s="261"/>
      <c r="Q1427" s="261"/>
      <c r="BR1427" s="261"/>
      <c r="BS1427" s="261"/>
      <c r="BT1427" s="261"/>
      <c r="BU1427" s="261"/>
      <c r="BV1427" s="261"/>
    </row>
    <row r="1428" spans="12:74">
      <c r="L1428" s="261"/>
      <c r="M1428" s="261"/>
      <c r="N1428" s="261"/>
      <c r="O1428" s="261"/>
      <c r="P1428" s="261"/>
      <c r="Q1428" s="261"/>
      <c r="BR1428" s="261"/>
      <c r="BS1428" s="261"/>
      <c r="BT1428" s="261"/>
      <c r="BU1428" s="261"/>
      <c r="BV1428" s="261"/>
    </row>
    <row r="1429" spans="12:74">
      <c r="L1429" s="261"/>
      <c r="M1429" s="261"/>
      <c r="N1429" s="261"/>
      <c r="O1429" s="261"/>
      <c r="P1429" s="261"/>
      <c r="Q1429" s="261"/>
      <c r="BR1429" s="261"/>
      <c r="BS1429" s="261"/>
      <c r="BT1429" s="261"/>
      <c r="BU1429" s="261"/>
      <c r="BV1429" s="261"/>
    </row>
    <row r="1430" spans="12:74">
      <c r="L1430" s="261"/>
      <c r="M1430" s="261"/>
      <c r="N1430" s="261"/>
      <c r="O1430" s="261"/>
      <c r="P1430" s="261"/>
      <c r="Q1430" s="261"/>
      <c r="BR1430" s="261"/>
      <c r="BS1430" s="261"/>
      <c r="BT1430" s="261"/>
      <c r="BU1430" s="261"/>
      <c r="BV1430" s="261"/>
    </row>
    <row r="1431" spans="12:74">
      <c r="L1431" s="261"/>
      <c r="M1431" s="261"/>
      <c r="N1431" s="261"/>
      <c r="O1431" s="261"/>
      <c r="P1431" s="261"/>
      <c r="Q1431" s="261"/>
      <c r="BR1431" s="261"/>
      <c r="BS1431" s="261"/>
      <c r="BT1431" s="261"/>
      <c r="BU1431" s="261"/>
      <c r="BV1431" s="261"/>
    </row>
    <row r="1432" spans="12:74">
      <c r="L1432" s="261"/>
      <c r="M1432" s="261"/>
      <c r="N1432" s="261"/>
      <c r="O1432" s="261"/>
      <c r="P1432" s="261"/>
      <c r="Q1432" s="261"/>
      <c r="BR1432" s="261"/>
      <c r="BS1432" s="261"/>
      <c r="BT1432" s="261"/>
      <c r="BU1432" s="261"/>
      <c r="BV1432" s="261"/>
    </row>
    <row r="1433" spans="12:74">
      <c r="L1433" s="261"/>
      <c r="M1433" s="261"/>
      <c r="N1433" s="261"/>
      <c r="O1433" s="261"/>
      <c r="P1433" s="261"/>
      <c r="Q1433" s="261"/>
      <c r="BR1433" s="261"/>
      <c r="BS1433" s="261"/>
      <c r="BT1433" s="261"/>
      <c r="BU1433" s="261"/>
      <c r="BV1433" s="261"/>
    </row>
    <row r="1434" spans="12:74">
      <c r="L1434" s="261"/>
      <c r="M1434" s="261"/>
      <c r="N1434" s="261"/>
      <c r="O1434" s="261"/>
      <c r="P1434" s="261"/>
      <c r="Q1434" s="261"/>
      <c r="BR1434" s="261"/>
      <c r="BS1434" s="261"/>
      <c r="BT1434" s="261"/>
      <c r="BU1434" s="261"/>
      <c r="BV1434" s="261"/>
    </row>
    <row r="1435" spans="12:74">
      <c r="L1435" s="261"/>
      <c r="M1435" s="261"/>
      <c r="N1435" s="261"/>
      <c r="O1435" s="261"/>
      <c r="P1435" s="261"/>
      <c r="Q1435" s="261"/>
      <c r="BR1435" s="261"/>
      <c r="BS1435" s="261"/>
      <c r="BT1435" s="261"/>
      <c r="BU1435" s="261"/>
      <c r="BV1435" s="261"/>
    </row>
    <row r="1436" spans="12:74">
      <c r="L1436" s="261"/>
      <c r="M1436" s="261"/>
      <c r="N1436" s="261"/>
      <c r="O1436" s="261"/>
      <c r="P1436" s="261"/>
      <c r="Q1436" s="261"/>
      <c r="BR1436" s="261"/>
      <c r="BS1436" s="261"/>
      <c r="BT1436" s="261"/>
      <c r="BU1436" s="261"/>
      <c r="BV1436" s="261"/>
    </row>
    <row r="1437" spans="12:74">
      <c r="L1437" s="261"/>
      <c r="M1437" s="261"/>
      <c r="N1437" s="261"/>
      <c r="O1437" s="261"/>
      <c r="P1437" s="261"/>
      <c r="Q1437" s="261"/>
      <c r="BR1437" s="261"/>
      <c r="BS1437" s="261"/>
      <c r="BT1437" s="261"/>
      <c r="BU1437" s="261"/>
      <c r="BV1437" s="261"/>
    </row>
    <row r="1438" spans="12:74">
      <c r="L1438" s="261"/>
      <c r="M1438" s="261"/>
      <c r="N1438" s="261"/>
      <c r="O1438" s="261"/>
      <c r="P1438" s="261"/>
      <c r="Q1438" s="261"/>
      <c r="BR1438" s="261"/>
      <c r="BS1438" s="261"/>
      <c r="BT1438" s="261"/>
      <c r="BU1438" s="261"/>
      <c r="BV1438" s="261"/>
    </row>
    <row r="1439" spans="12:74">
      <c r="L1439" s="261"/>
      <c r="M1439" s="261"/>
      <c r="N1439" s="261"/>
      <c r="O1439" s="261"/>
      <c r="P1439" s="261"/>
      <c r="Q1439" s="261"/>
      <c r="BR1439" s="261"/>
      <c r="BS1439" s="261"/>
      <c r="BT1439" s="261"/>
      <c r="BU1439" s="261"/>
      <c r="BV1439" s="261"/>
    </row>
    <row r="1440" spans="12:74">
      <c r="L1440" s="261"/>
      <c r="M1440" s="261"/>
      <c r="N1440" s="261"/>
      <c r="O1440" s="261"/>
      <c r="P1440" s="261"/>
      <c r="Q1440" s="261"/>
      <c r="BR1440" s="261"/>
      <c r="BS1440" s="261"/>
      <c r="BT1440" s="261"/>
      <c r="BU1440" s="261"/>
      <c r="BV1440" s="261"/>
    </row>
    <row r="1441" spans="12:74">
      <c r="L1441" s="261"/>
      <c r="M1441" s="261"/>
      <c r="N1441" s="261"/>
      <c r="O1441" s="261"/>
      <c r="P1441" s="261"/>
      <c r="Q1441" s="261"/>
      <c r="BR1441" s="261"/>
      <c r="BS1441" s="261"/>
      <c r="BT1441" s="261"/>
      <c r="BU1441" s="261"/>
      <c r="BV1441" s="261"/>
    </row>
    <row r="1442" spans="12:74">
      <c r="L1442" s="261"/>
      <c r="M1442" s="261"/>
      <c r="N1442" s="261"/>
      <c r="O1442" s="261"/>
      <c r="P1442" s="261"/>
      <c r="Q1442" s="261"/>
      <c r="BR1442" s="261"/>
      <c r="BS1442" s="261"/>
      <c r="BT1442" s="261"/>
      <c r="BU1442" s="261"/>
      <c r="BV1442" s="261"/>
    </row>
    <row r="1443" spans="12:74">
      <c r="L1443" s="261"/>
      <c r="M1443" s="261"/>
      <c r="N1443" s="261"/>
      <c r="O1443" s="261"/>
      <c r="P1443" s="261"/>
      <c r="Q1443" s="261"/>
      <c r="BR1443" s="261"/>
      <c r="BS1443" s="261"/>
      <c r="BT1443" s="261"/>
      <c r="BU1443" s="261"/>
      <c r="BV1443" s="261"/>
    </row>
    <row r="1444" spans="12:74">
      <c r="L1444" s="261"/>
      <c r="M1444" s="261"/>
      <c r="N1444" s="261"/>
      <c r="O1444" s="261"/>
      <c r="P1444" s="261"/>
      <c r="Q1444" s="261"/>
      <c r="BR1444" s="261"/>
      <c r="BS1444" s="261"/>
      <c r="BT1444" s="261"/>
      <c r="BU1444" s="261"/>
      <c r="BV1444" s="261"/>
    </row>
    <row r="1445" spans="12:74">
      <c r="L1445" s="261"/>
      <c r="M1445" s="261"/>
      <c r="N1445" s="261"/>
      <c r="O1445" s="261"/>
      <c r="P1445" s="261"/>
      <c r="Q1445" s="261"/>
      <c r="BR1445" s="261"/>
      <c r="BS1445" s="261"/>
      <c r="BT1445" s="261"/>
      <c r="BU1445" s="261"/>
      <c r="BV1445" s="261"/>
    </row>
    <row r="1446" spans="12:74">
      <c r="L1446" s="261"/>
      <c r="M1446" s="261"/>
      <c r="N1446" s="261"/>
      <c r="O1446" s="261"/>
      <c r="P1446" s="261"/>
      <c r="Q1446" s="261"/>
      <c r="BR1446" s="261"/>
      <c r="BS1446" s="261"/>
      <c r="BT1446" s="261"/>
      <c r="BU1446" s="261"/>
      <c r="BV1446" s="261"/>
    </row>
    <row r="1447" spans="12:74">
      <c r="L1447" s="261"/>
      <c r="M1447" s="261"/>
      <c r="N1447" s="261"/>
      <c r="O1447" s="261"/>
      <c r="P1447" s="261"/>
      <c r="Q1447" s="261"/>
      <c r="BR1447" s="261"/>
      <c r="BS1447" s="261"/>
      <c r="BT1447" s="261"/>
      <c r="BU1447" s="261"/>
      <c r="BV1447" s="261"/>
    </row>
    <row r="1448" spans="12:74">
      <c r="L1448" s="261"/>
      <c r="M1448" s="261"/>
      <c r="N1448" s="261"/>
      <c r="O1448" s="261"/>
      <c r="P1448" s="261"/>
      <c r="Q1448" s="261"/>
      <c r="BR1448" s="261"/>
      <c r="BS1448" s="261"/>
      <c r="BT1448" s="261"/>
      <c r="BU1448" s="261"/>
      <c r="BV1448" s="261"/>
    </row>
    <row r="1449" spans="12:74">
      <c r="L1449" s="261"/>
      <c r="M1449" s="261"/>
      <c r="N1449" s="261"/>
      <c r="O1449" s="261"/>
      <c r="P1449" s="261"/>
      <c r="Q1449" s="261"/>
      <c r="BR1449" s="261"/>
      <c r="BS1449" s="261"/>
      <c r="BT1449" s="261"/>
      <c r="BU1449" s="261"/>
      <c r="BV1449" s="261"/>
    </row>
    <row r="1450" spans="12:74">
      <c r="L1450" s="261"/>
      <c r="M1450" s="261"/>
      <c r="N1450" s="261"/>
      <c r="O1450" s="261"/>
      <c r="P1450" s="261"/>
      <c r="Q1450" s="261"/>
      <c r="BR1450" s="261"/>
      <c r="BS1450" s="261"/>
      <c r="BT1450" s="261"/>
      <c r="BU1450" s="261"/>
      <c r="BV1450" s="261"/>
    </row>
    <row r="1451" spans="12:74">
      <c r="L1451" s="261"/>
      <c r="M1451" s="261"/>
      <c r="N1451" s="261"/>
      <c r="O1451" s="261"/>
      <c r="P1451" s="261"/>
      <c r="Q1451" s="261"/>
      <c r="BR1451" s="261"/>
      <c r="BS1451" s="261"/>
      <c r="BT1451" s="261"/>
      <c r="BU1451" s="261"/>
      <c r="BV1451" s="261"/>
    </row>
    <row r="1452" spans="12:74">
      <c r="L1452" s="261"/>
      <c r="M1452" s="261"/>
      <c r="N1452" s="261"/>
      <c r="O1452" s="261"/>
      <c r="P1452" s="261"/>
      <c r="Q1452" s="261"/>
      <c r="BR1452" s="261"/>
      <c r="BS1452" s="261"/>
      <c r="BT1452" s="261"/>
      <c r="BU1452" s="261"/>
      <c r="BV1452" s="261"/>
    </row>
    <row r="1453" spans="12:74">
      <c r="L1453" s="261"/>
      <c r="M1453" s="261"/>
      <c r="N1453" s="261"/>
      <c r="O1453" s="261"/>
      <c r="P1453" s="261"/>
      <c r="Q1453" s="261"/>
      <c r="BR1453" s="261"/>
      <c r="BS1453" s="261"/>
      <c r="BT1453" s="261"/>
      <c r="BU1453" s="261"/>
      <c r="BV1453" s="261"/>
    </row>
    <row r="1454" spans="12:74">
      <c r="L1454" s="261"/>
      <c r="M1454" s="261"/>
      <c r="N1454" s="261"/>
      <c r="O1454" s="261"/>
      <c r="P1454" s="261"/>
      <c r="Q1454" s="261"/>
      <c r="BR1454" s="261"/>
      <c r="BS1454" s="261"/>
      <c r="BT1454" s="261"/>
      <c r="BU1454" s="261"/>
      <c r="BV1454" s="261"/>
    </row>
    <row r="1455" spans="12:74">
      <c r="L1455" s="261"/>
      <c r="M1455" s="261"/>
      <c r="N1455" s="261"/>
      <c r="O1455" s="261"/>
      <c r="P1455" s="261"/>
      <c r="Q1455" s="261"/>
      <c r="BR1455" s="261"/>
      <c r="BS1455" s="261"/>
      <c r="BT1455" s="261"/>
      <c r="BU1455" s="261"/>
      <c r="BV1455" s="261"/>
    </row>
    <row r="1456" spans="12:74">
      <c r="L1456" s="261"/>
      <c r="M1456" s="261"/>
      <c r="N1456" s="261"/>
      <c r="O1456" s="261"/>
      <c r="P1456" s="261"/>
      <c r="Q1456" s="261"/>
      <c r="BR1456" s="261"/>
      <c r="BS1456" s="261"/>
      <c r="BT1456" s="261"/>
      <c r="BU1456" s="261"/>
      <c r="BV1456" s="261"/>
    </row>
    <row r="1457" spans="12:74">
      <c r="L1457" s="261"/>
      <c r="M1457" s="261"/>
      <c r="N1457" s="261"/>
      <c r="O1457" s="261"/>
      <c r="P1457" s="261"/>
      <c r="Q1457" s="261"/>
      <c r="BR1457" s="261"/>
      <c r="BS1457" s="261"/>
      <c r="BT1457" s="261"/>
      <c r="BU1457" s="261"/>
      <c r="BV1457" s="261"/>
    </row>
    <row r="1458" spans="12:74">
      <c r="L1458" s="261"/>
      <c r="M1458" s="261"/>
      <c r="N1458" s="261"/>
      <c r="O1458" s="261"/>
      <c r="P1458" s="261"/>
      <c r="Q1458" s="261"/>
      <c r="BR1458" s="261"/>
      <c r="BS1458" s="261"/>
      <c r="BT1458" s="261"/>
      <c r="BU1458" s="261"/>
      <c r="BV1458" s="261"/>
    </row>
    <row r="1459" spans="12:74">
      <c r="L1459" s="261"/>
      <c r="M1459" s="261"/>
      <c r="N1459" s="261"/>
      <c r="O1459" s="261"/>
      <c r="P1459" s="261"/>
      <c r="Q1459" s="261"/>
      <c r="BR1459" s="261"/>
      <c r="BS1459" s="261"/>
      <c r="BT1459" s="261"/>
      <c r="BU1459" s="261"/>
      <c r="BV1459" s="261"/>
    </row>
    <row r="1460" spans="12:74">
      <c r="L1460" s="261"/>
      <c r="M1460" s="261"/>
      <c r="N1460" s="261"/>
      <c r="O1460" s="261"/>
      <c r="P1460" s="261"/>
      <c r="Q1460" s="261"/>
      <c r="BR1460" s="261"/>
      <c r="BS1460" s="261"/>
      <c r="BT1460" s="261"/>
      <c r="BU1460" s="261"/>
      <c r="BV1460" s="261"/>
    </row>
    <row r="1461" spans="12:74">
      <c r="L1461" s="261"/>
      <c r="M1461" s="261"/>
      <c r="N1461" s="261"/>
      <c r="O1461" s="261"/>
      <c r="P1461" s="261"/>
      <c r="Q1461" s="261"/>
      <c r="BR1461" s="261"/>
      <c r="BS1461" s="261"/>
      <c r="BT1461" s="261"/>
      <c r="BU1461" s="261"/>
      <c r="BV1461" s="261"/>
    </row>
    <row r="1462" spans="12:74">
      <c r="L1462" s="261"/>
      <c r="M1462" s="261"/>
      <c r="N1462" s="261"/>
      <c r="O1462" s="261"/>
      <c r="P1462" s="261"/>
      <c r="Q1462" s="261"/>
      <c r="BR1462" s="261"/>
      <c r="BS1462" s="261"/>
      <c r="BT1462" s="261"/>
      <c r="BU1462" s="261"/>
      <c r="BV1462" s="261"/>
    </row>
    <row r="1463" spans="12:74">
      <c r="L1463" s="261"/>
      <c r="M1463" s="261"/>
      <c r="N1463" s="261"/>
      <c r="O1463" s="261"/>
      <c r="P1463" s="261"/>
      <c r="Q1463" s="261"/>
      <c r="BR1463" s="261"/>
      <c r="BS1463" s="261"/>
      <c r="BT1463" s="261"/>
      <c r="BU1463" s="261"/>
      <c r="BV1463" s="261"/>
    </row>
    <row r="1464" spans="12:74">
      <c r="L1464" s="261"/>
      <c r="M1464" s="261"/>
      <c r="N1464" s="261"/>
      <c r="O1464" s="261"/>
      <c r="P1464" s="261"/>
      <c r="Q1464" s="261"/>
      <c r="BR1464" s="261"/>
      <c r="BS1464" s="261"/>
      <c r="BT1464" s="261"/>
      <c r="BU1464" s="261"/>
      <c r="BV1464" s="261"/>
    </row>
    <row r="1465" spans="12:74">
      <c r="L1465" s="261"/>
      <c r="M1465" s="261"/>
      <c r="N1465" s="261"/>
      <c r="O1465" s="261"/>
      <c r="P1465" s="261"/>
      <c r="Q1465" s="261"/>
      <c r="BR1465" s="261"/>
      <c r="BS1465" s="261"/>
      <c r="BT1465" s="261"/>
      <c r="BU1465" s="261"/>
      <c r="BV1465" s="261"/>
    </row>
    <row r="1466" spans="12:74">
      <c r="L1466" s="261"/>
      <c r="M1466" s="261"/>
      <c r="N1466" s="261"/>
      <c r="O1466" s="261"/>
      <c r="P1466" s="261"/>
      <c r="Q1466" s="261"/>
      <c r="BR1466" s="261"/>
      <c r="BS1466" s="261"/>
      <c r="BT1466" s="261"/>
      <c r="BU1466" s="261"/>
      <c r="BV1466" s="261"/>
    </row>
    <row r="1467" spans="12:74">
      <c r="L1467" s="261"/>
      <c r="M1467" s="261"/>
      <c r="N1467" s="261"/>
      <c r="O1467" s="261"/>
      <c r="P1467" s="261"/>
      <c r="Q1467" s="261"/>
      <c r="BR1467" s="261"/>
      <c r="BS1467" s="261"/>
      <c r="BT1467" s="261"/>
      <c r="BU1467" s="261"/>
      <c r="BV1467" s="261"/>
    </row>
    <row r="1468" spans="12:74">
      <c r="L1468" s="261"/>
      <c r="M1468" s="261"/>
      <c r="N1468" s="261"/>
      <c r="O1468" s="261"/>
      <c r="P1468" s="261"/>
      <c r="Q1468" s="261"/>
      <c r="BR1468" s="261"/>
      <c r="BS1468" s="261"/>
      <c r="BT1468" s="261"/>
      <c r="BU1468" s="261"/>
      <c r="BV1468" s="261"/>
    </row>
    <row r="1469" spans="12:74">
      <c r="L1469" s="261"/>
      <c r="M1469" s="261"/>
      <c r="N1469" s="261"/>
      <c r="O1469" s="261"/>
      <c r="P1469" s="261"/>
      <c r="Q1469" s="261"/>
      <c r="BR1469" s="261"/>
      <c r="BS1469" s="261"/>
      <c r="BT1469" s="261"/>
      <c r="BU1469" s="261"/>
      <c r="BV1469" s="261"/>
    </row>
    <row r="1470" spans="12:74">
      <c r="L1470" s="261"/>
      <c r="M1470" s="261"/>
      <c r="N1470" s="261"/>
      <c r="O1470" s="261"/>
      <c r="P1470" s="261"/>
      <c r="Q1470" s="261"/>
      <c r="BR1470" s="261"/>
      <c r="BS1470" s="261"/>
      <c r="BT1470" s="261"/>
      <c r="BU1470" s="261"/>
      <c r="BV1470" s="261"/>
    </row>
    <row r="1471" spans="12:74">
      <c r="L1471" s="261"/>
      <c r="M1471" s="261"/>
      <c r="N1471" s="261"/>
      <c r="O1471" s="261"/>
      <c r="P1471" s="261"/>
      <c r="Q1471" s="261"/>
      <c r="BR1471" s="261"/>
      <c r="BS1471" s="261"/>
      <c r="BT1471" s="261"/>
      <c r="BU1471" s="261"/>
      <c r="BV1471" s="261"/>
    </row>
    <row r="1472" spans="12:74">
      <c r="L1472" s="261"/>
      <c r="M1472" s="261"/>
      <c r="N1472" s="261"/>
      <c r="O1472" s="261"/>
      <c r="P1472" s="261"/>
      <c r="Q1472" s="261"/>
      <c r="BR1472" s="261"/>
      <c r="BS1472" s="261"/>
      <c r="BT1472" s="261"/>
      <c r="BU1472" s="261"/>
      <c r="BV1472" s="261"/>
    </row>
    <row r="1473" spans="12:74">
      <c r="L1473" s="261"/>
      <c r="M1473" s="261"/>
      <c r="N1473" s="261"/>
      <c r="O1473" s="261"/>
      <c r="P1473" s="261"/>
      <c r="Q1473" s="261"/>
      <c r="BR1473" s="261"/>
      <c r="BS1473" s="261"/>
      <c r="BT1473" s="261"/>
      <c r="BU1473" s="261"/>
      <c r="BV1473" s="261"/>
    </row>
    <row r="1474" spans="12:74">
      <c r="L1474" s="261"/>
      <c r="M1474" s="261"/>
      <c r="N1474" s="261"/>
      <c r="O1474" s="261"/>
      <c r="P1474" s="261"/>
      <c r="Q1474" s="261"/>
      <c r="BR1474" s="261"/>
      <c r="BS1474" s="261"/>
      <c r="BT1474" s="261"/>
      <c r="BU1474" s="261"/>
      <c r="BV1474" s="261"/>
    </row>
    <row r="1475" spans="12:74">
      <c r="L1475" s="261"/>
      <c r="M1475" s="261"/>
      <c r="N1475" s="261"/>
      <c r="O1475" s="261"/>
      <c r="P1475" s="261"/>
      <c r="Q1475" s="261"/>
      <c r="BR1475" s="261"/>
      <c r="BS1475" s="261"/>
      <c r="BT1475" s="261"/>
      <c r="BU1475" s="261"/>
      <c r="BV1475" s="261"/>
    </row>
    <row r="1476" spans="12:74">
      <c r="L1476" s="261"/>
      <c r="M1476" s="261"/>
      <c r="N1476" s="261"/>
      <c r="O1476" s="261"/>
      <c r="P1476" s="261"/>
      <c r="Q1476" s="261"/>
      <c r="BR1476" s="261"/>
      <c r="BS1476" s="261"/>
      <c r="BT1476" s="261"/>
      <c r="BU1476" s="261"/>
      <c r="BV1476" s="261"/>
    </row>
    <row r="1477" spans="12:74">
      <c r="L1477" s="261"/>
      <c r="M1477" s="261"/>
      <c r="N1477" s="261"/>
      <c r="O1477" s="261"/>
      <c r="P1477" s="261"/>
      <c r="Q1477" s="261"/>
      <c r="BR1477" s="261"/>
      <c r="BS1477" s="261"/>
      <c r="BT1477" s="261"/>
      <c r="BU1477" s="261"/>
      <c r="BV1477" s="261"/>
    </row>
    <row r="1478" spans="12:74">
      <c r="L1478" s="261"/>
      <c r="M1478" s="261"/>
      <c r="N1478" s="261"/>
      <c r="O1478" s="261"/>
      <c r="P1478" s="261"/>
      <c r="Q1478" s="261"/>
      <c r="BR1478" s="261"/>
      <c r="BS1478" s="261"/>
      <c r="BT1478" s="261"/>
      <c r="BU1478" s="261"/>
      <c r="BV1478" s="261"/>
    </row>
    <row r="1479" spans="12:74">
      <c r="L1479" s="261"/>
      <c r="M1479" s="261"/>
      <c r="N1479" s="261"/>
      <c r="O1479" s="261"/>
      <c r="P1479" s="261"/>
      <c r="Q1479" s="261"/>
      <c r="BR1479" s="261"/>
      <c r="BS1479" s="261"/>
      <c r="BT1479" s="261"/>
      <c r="BU1479" s="261"/>
      <c r="BV1479" s="261"/>
    </row>
    <row r="1480" spans="12:74">
      <c r="L1480" s="261"/>
      <c r="M1480" s="261"/>
      <c r="N1480" s="261"/>
      <c r="O1480" s="261"/>
      <c r="P1480" s="261"/>
      <c r="Q1480" s="261"/>
      <c r="BR1480" s="261"/>
      <c r="BS1480" s="261"/>
      <c r="BT1480" s="261"/>
      <c r="BU1480" s="261"/>
      <c r="BV1480" s="261"/>
    </row>
    <row r="1481" spans="12:74">
      <c r="L1481" s="261"/>
      <c r="M1481" s="261"/>
      <c r="N1481" s="261"/>
      <c r="O1481" s="261"/>
      <c r="P1481" s="261"/>
      <c r="Q1481" s="261"/>
      <c r="BR1481" s="261"/>
      <c r="BS1481" s="261"/>
      <c r="BT1481" s="261"/>
      <c r="BU1481" s="261"/>
      <c r="BV1481" s="261"/>
    </row>
    <row r="1482" spans="12:74">
      <c r="L1482" s="261"/>
      <c r="M1482" s="261"/>
      <c r="N1482" s="261"/>
      <c r="O1482" s="261"/>
      <c r="P1482" s="261"/>
      <c r="Q1482" s="261"/>
      <c r="BR1482" s="261"/>
      <c r="BS1482" s="261"/>
      <c r="BT1482" s="261"/>
      <c r="BU1482" s="261"/>
      <c r="BV1482" s="261"/>
    </row>
    <row r="1483" spans="12:74">
      <c r="L1483" s="261"/>
      <c r="M1483" s="261"/>
      <c r="N1483" s="261"/>
      <c r="O1483" s="261"/>
      <c r="P1483" s="261"/>
      <c r="Q1483" s="261"/>
      <c r="BR1483" s="261"/>
      <c r="BS1483" s="261"/>
      <c r="BT1483" s="261"/>
      <c r="BU1483" s="261"/>
      <c r="BV1483" s="261"/>
    </row>
    <row r="1484" spans="12:74">
      <c r="L1484" s="261"/>
      <c r="M1484" s="261"/>
      <c r="N1484" s="261"/>
      <c r="O1484" s="261"/>
      <c r="P1484" s="261"/>
      <c r="Q1484" s="261"/>
      <c r="BR1484" s="261"/>
      <c r="BS1484" s="261"/>
      <c r="BT1484" s="261"/>
      <c r="BU1484" s="261"/>
      <c r="BV1484" s="261"/>
    </row>
    <row r="1485" spans="12:74">
      <c r="L1485" s="261"/>
      <c r="M1485" s="261"/>
      <c r="N1485" s="261"/>
      <c r="O1485" s="261"/>
      <c r="P1485" s="261"/>
      <c r="Q1485" s="261"/>
      <c r="BR1485" s="261"/>
      <c r="BS1485" s="261"/>
      <c r="BT1485" s="261"/>
      <c r="BU1485" s="261"/>
      <c r="BV1485" s="261"/>
    </row>
    <row r="1486" spans="12:74">
      <c r="L1486" s="261"/>
      <c r="M1486" s="261"/>
      <c r="N1486" s="261"/>
      <c r="O1486" s="261"/>
      <c r="P1486" s="261"/>
      <c r="Q1486" s="261"/>
      <c r="BR1486" s="261"/>
      <c r="BS1486" s="261"/>
      <c r="BT1486" s="261"/>
      <c r="BU1486" s="261"/>
      <c r="BV1486" s="261"/>
    </row>
    <row r="1487" spans="12:74">
      <c r="L1487" s="261"/>
      <c r="M1487" s="261"/>
      <c r="N1487" s="261"/>
      <c r="O1487" s="261"/>
      <c r="P1487" s="261"/>
      <c r="Q1487" s="261"/>
      <c r="BR1487" s="261"/>
      <c r="BS1487" s="261"/>
      <c r="BT1487" s="261"/>
      <c r="BU1487" s="261"/>
      <c r="BV1487" s="261"/>
    </row>
    <row r="1488" spans="12:74">
      <c r="L1488" s="261"/>
      <c r="M1488" s="261"/>
      <c r="N1488" s="261"/>
      <c r="O1488" s="261"/>
      <c r="P1488" s="261"/>
      <c r="Q1488" s="261"/>
      <c r="BR1488" s="261"/>
      <c r="BS1488" s="261"/>
      <c r="BT1488" s="261"/>
      <c r="BU1488" s="261"/>
      <c r="BV1488" s="261"/>
    </row>
    <row r="1489" spans="12:74">
      <c r="L1489" s="261"/>
      <c r="M1489" s="261"/>
      <c r="N1489" s="261"/>
      <c r="O1489" s="261"/>
      <c r="P1489" s="261"/>
      <c r="Q1489" s="261"/>
      <c r="BR1489" s="261"/>
      <c r="BS1489" s="261"/>
      <c r="BT1489" s="261"/>
      <c r="BU1489" s="261"/>
      <c r="BV1489" s="261"/>
    </row>
    <row r="1490" spans="12:74">
      <c r="L1490" s="261"/>
      <c r="M1490" s="261"/>
      <c r="N1490" s="261"/>
      <c r="O1490" s="261"/>
      <c r="P1490" s="261"/>
      <c r="Q1490" s="261"/>
      <c r="BR1490" s="261"/>
      <c r="BS1490" s="261"/>
      <c r="BT1490" s="261"/>
      <c r="BU1490" s="261"/>
      <c r="BV1490" s="261"/>
    </row>
    <row r="1491" spans="12:74">
      <c r="L1491" s="261"/>
      <c r="M1491" s="261"/>
      <c r="N1491" s="261"/>
      <c r="O1491" s="261"/>
      <c r="P1491" s="261"/>
      <c r="Q1491" s="261"/>
      <c r="BR1491" s="261"/>
      <c r="BS1491" s="261"/>
      <c r="BT1491" s="261"/>
      <c r="BU1491" s="261"/>
      <c r="BV1491" s="261"/>
    </row>
    <row r="1492" spans="12:74">
      <c r="L1492" s="261"/>
      <c r="M1492" s="261"/>
      <c r="N1492" s="261"/>
      <c r="O1492" s="261"/>
      <c r="P1492" s="261"/>
      <c r="Q1492" s="261"/>
      <c r="BR1492" s="261"/>
      <c r="BS1492" s="261"/>
      <c r="BT1492" s="261"/>
      <c r="BU1492" s="261"/>
      <c r="BV1492" s="261"/>
    </row>
    <row r="1493" spans="12:74">
      <c r="L1493" s="261"/>
      <c r="M1493" s="261"/>
      <c r="N1493" s="261"/>
      <c r="O1493" s="261"/>
      <c r="P1493" s="261"/>
      <c r="Q1493" s="261"/>
      <c r="BR1493" s="261"/>
      <c r="BS1493" s="261"/>
      <c r="BT1493" s="261"/>
      <c r="BU1493" s="261"/>
      <c r="BV1493" s="261"/>
    </row>
    <row r="1494" spans="12:74">
      <c r="L1494" s="261"/>
      <c r="M1494" s="261"/>
      <c r="N1494" s="261"/>
      <c r="O1494" s="261"/>
      <c r="P1494" s="261"/>
      <c r="Q1494" s="261"/>
      <c r="BR1494" s="261"/>
      <c r="BS1494" s="261"/>
      <c r="BT1494" s="261"/>
      <c r="BU1494" s="261"/>
      <c r="BV1494" s="261"/>
    </row>
    <row r="1495" spans="12:74">
      <c r="L1495" s="261"/>
      <c r="M1495" s="261"/>
      <c r="N1495" s="261"/>
      <c r="O1495" s="261"/>
      <c r="P1495" s="261"/>
      <c r="Q1495" s="261"/>
      <c r="BR1495" s="261"/>
      <c r="BS1495" s="261"/>
      <c r="BT1495" s="261"/>
      <c r="BU1495" s="261"/>
      <c r="BV1495" s="261"/>
    </row>
    <row r="1496" spans="12:74">
      <c r="L1496" s="261"/>
      <c r="M1496" s="261"/>
      <c r="N1496" s="261"/>
      <c r="O1496" s="261"/>
      <c r="P1496" s="261"/>
      <c r="Q1496" s="261"/>
      <c r="BR1496" s="261"/>
      <c r="BS1496" s="261"/>
      <c r="BT1496" s="261"/>
      <c r="BU1496" s="261"/>
      <c r="BV1496" s="261"/>
    </row>
    <row r="1497" spans="12:74">
      <c r="L1497" s="261"/>
      <c r="M1497" s="261"/>
      <c r="N1497" s="261"/>
      <c r="O1497" s="261"/>
      <c r="P1497" s="261"/>
      <c r="Q1497" s="261"/>
      <c r="BR1497" s="261"/>
      <c r="BS1497" s="261"/>
      <c r="BT1497" s="261"/>
      <c r="BU1497" s="261"/>
      <c r="BV1497" s="261"/>
    </row>
    <row r="1498" spans="12:74">
      <c r="L1498" s="261"/>
      <c r="M1498" s="261"/>
      <c r="N1498" s="261"/>
      <c r="O1498" s="261"/>
      <c r="P1498" s="261"/>
      <c r="Q1498" s="261"/>
      <c r="BR1498" s="261"/>
      <c r="BS1498" s="261"/>
      <c r="BT1498" s="261"/>
      <c r="BU1498" s="261"/>
      <c r="BV1498" s="261"/>
    </row>
    <row r="1499" spans="12:74">
      <c r="L1499" s="261"/>
      <c r="M1499" s="261"/>
      <c r="N1499" s="261"/>
      <c r="O1499" s="261"/>
      <c r="P1499" s="261"/>
      <c r="Q1499" s="261"/>
      <c r="BR1499" s="261"/>
      <c r="BS1499" s="261"/>
      <c r="BT1499" s="261"/>
      <c r="BU1499" s="261"/>
      <c r="BV1499" s="261"/>
    </row>
    <row r="1500" spans="12:74">
      <c r="L1500" s="261"/>
      <c r="M1500" s="261"/>
      <c r="N1500" s="261"/>
      <c r="O1500" s="261"/>
      <c r="P1500" s="261"/>
      <c r="Q1500" s="261"/>
      <c r="BR1500" s="261"/>
      <c r="BS1500" s="261"/>
      <c r="BT1500" s="261"/>
      <c r="BU1500" s="261"/>
      <c r="BV1500" s="261"/>
    </row>
    <row r="1501" spans="12:74">
      <c r="L1501" s="261"/>
      <c r="M1501" s="261"/>
      <c r="N1501" s="261"/>
      <c r="O1501" s="261"/>
      <c r="P1501" s="261"/>
      <c r="Q1501" s="261"/>
      <c r="BR1501" s="261"/>
      <c r="BS1501" s="261"/>
      <c r="BT1501" s="261"/>
      <c r="BU1501" s="261"/>
      <c r="BV1501" s="261"/>
    </row>
    <row r="1502" spans="12:74">
      <c r="L1502" s="261"/>
      <c r="M1502" s="261"/>
      <c r="N1502" s="261"/>
      <c r="O1502" s="261"/>
      <c r="P1502" s="261"/>
      <c r="Q1502" s="261"/>
      <c r="BR1502" s="261"/>
      <c r="BS1502" s="261"/>
      <c r="BT1502" s="261"/>
      <c r="BU1502" s="261"/>
      <c r="BV1502" s="261"/>
    </row>
    <row r="1503" spans="12:74">
      <c r="L1503" s="261"/>
      <c r="M1503" s="261"/>
      <c r="N1503" s="261"/>
      <c r="O1503" s="261"/>
      <c r="P1503" s="261"/>
      <c r="Q1503" s="261"/>
      <c r="BR1503" s="261"/>
      <c r="BS1503" s="261"/>
      <c r="BT1503" s="261"/>
      <c r="BU1503" s="261"/>
      <c r="BV1503" s="261"/>
    </row>
    <row r="1504" spans="12:74">
      <c r="L1504" s="261"/>
      <c r="M1504" s="261"/>
      <c r="N1504" s="261"/>
      <c r="O1504" s="261"/>
      <c r="P1504" s="261"/>
      <c r="Q1504" s="261"/>
      <c r="BR1504" s="261"/>
      <c r="BS1504" s="261"/>
      <c r="BT1504" s="261"/>
      <c r="BU1504" s="261"/>
      <c r="BV1504" s="261"/>
    </row>
    <row r="1505" spans="12:74">
      <c r="L1505" s="261"/>
      <c r="M1505" s="261"/>
      <c r="N1505" s="261"/>
      <c r="O1505" s="261"/>
      <c r="P1505" s="261"/>
      <c r="Q1505" s="261"/>
      <c r="BR1505" s="261"/>
      <c r="BS1505" s="261"/>
      <c r="BT1505" s="261"/>
      <c r="BU1505" s="261"/>
      <c r="BV1505" s="261"/>
    </row>
    <row r="1506" spans="12:74">
      <c r="L1506" s="261"/>
      <c r="M1506" s="261"/>
      <c r="N1506" s="261"/>
      <c r="O1506" s="261"/>
      <c r="P1506" s="261"/>
      <c r="Q1506" s="261"/>
      <c r="BR1506" s="261"/>
      <c r="BS1506" s="261"/>
      <c r="BT1506" s="261"/>
      <c r="BU1506" s="261"/>
      <c r="BV1506" s="261"/>
    </row>
    <row r="1507" spans="12:74">
      <c r="L1507" s="261"/>
      <c r="M1507" s="261"/>
      <c r="N1507" s="261"/>
      <c r="O1507" s="261"/>
      <c r="P1507" s="261"/>
      <c r="Q1507" s="261"/>
      <c r="BR1507" s="261"/>
      <c r="BS1507" s="261"/>
      <c r="BT1507" s="261"/>
      <c r="BU1507" s="261"/>
      <c r="BV1507" s="261"/>
    </row>
    <row r="1508" spans="12:74">
      <c r="L1508" s="261"/>
      <c r="M1508" s="261"/>
      <c r="N1508" s="261"/>
      <c r="O1508" s="261"/>
      <c r="P1508" s="261"/>
      <c r="Q1508" s="261"/>
      <c r="BR1508" s="261"/>
      <c r="BS1508" s="261"/>
      <c r="BT1508" s="261"/>
      <c r="BU1508" s="261"/>
      <c r="BV1508" s="261"/>
    </row>
    <row r="1509" spans="12:74">
      <c r="L1509" s="261"/>
      <c r="M1509" s="261"/>
      <c r="N1509" s="261"/>
      <c r="O1509" s="261"/>
      <c r="P1509" s="261"/>
      <c r="Q1509" s="261"/>
      <c r="BR1509" s="261"/>
      <c r="BS1509" s="261"/>
      <c r="BT1509" s="261"/>
      <c r="BU1509" s="261"/>
      <c r="BV1509" s="261"/>
    </row>
    <row r="1510" spans="12:74">
      <c r="L1510" s="261"/>
      <c r="M1510" s="261"/>
      <c r="N1510" s="261"/>
      <c r="O1510" s="261"/>
      <c r="P1510" s="261"/>
      <c r="Q1510" s="261"/>
      <c r="BR1510" s="261"/>
      <c r="BS1510" s="261"/>
      <c r="BT1510" s="261"/>
      <c r="BU1510" s="261"/>
      <c r="BV1510" s="261"/>
    </row>
    <row r="1511" spans="12:74">
      <c r="L1511" s="261"/>
      <c r="M1511" s="261"/>
      <c r="N1511" s="261"/>
      <c r="O1511" s="261"/>
      <c r="P1511" s="261"/>
      <c r="Q1511" s="261"/>
      <c r="BR1511" s="261"/>
      <c r="BS1511" s="261"/>
      <c r="BT1511" s="261"/>
      <c r="BU1511" s="261"/>
      <c r="BV1511" s="261"/>
    </row>
    <row r="1512" spans="12:74">
      <c r="L1512" s="261"/>
      <c r="M1512" s="261"/>
      <c r="N1512" s="261"/>
      <c r="O1512" s="261"/>
      <c r="P1512" s="261"/>
      <c r="Q1512" s="261"/>
      <c r="BR1512" s="261"/>
      <c r="BS1512" s="261"/>
      <c r="BT1512" s="261"/>
      <c r="BU1512" s="261"/>
      <c r="BV1512" s="261"/>
    </row>
    <row r="1513" spans="12:74">
      <c r="L1513" s="261"/>
      <c r="M1513" s="261"/>
      <c r="N1513" s="261"/>
      <c r="O1513" s="261"/>
      <c r="P1513" s="261"/>
      <c r="Q1513" s="261"/>
      <c r="BR1513" s="261"/>
      <c r="BS1513" s="261"/>
      <c r="BT1513" s="261"/>
      <c r="BU1513" s="261"/>
      <c r="BV1513" s="261"/>
    </row>
    <row r="1514" spans="12:74">
      <c r="L1514" s="261"/>
      <c r="M1514" s="261"/>
      <c r="N1514" s="261"/>
      <c r="O1514" s="261"/>
      <c r="P1514" s="261"/>
      <c r="Q1514" s="261"/>
      <c r="BR1514" s="261"/>
      <c r="BS1514" s="261"/>
      <c r="BT1514" s="261"/>
      <c r="BU1514" s="261"/>
      <c r="BV1514" s="261"/>
    </row>
    <row r="1515" spans="12:74">
      <c r="L1515" s="261"/>
      <c r="M1515" s="261"/>
      <c r="N1515" s="261"/>
      <c r="O1515" s="261"/>
      <c r="P1515" s="261"/>
      <c r="Q1515" s="261"/>
      <c r="BR1515" s="261"/>
      <c r="BS1515" s="261"/>
      <c r="BT1515" s="261"/>
      <c r="BU1515" s="261"/>
      <c r="BV1515" s="261"/>
    </row>
    <row r="1516" spans="12:74">
      <c r="L1516" s="261"/>
      <c r="M1516" s="261"/>
      <c r="N1516" s="261"/>
      <c r="O1516" s="261"/>
      <c r="P1516" s="261"/>
      <c r="Q1516" s="261"/>
      <c r="BR1516" s="261"/>
      <c r="BS1516" s="261"/>
      <c r="BT1516" s="261"/>
      <c r="BU1516" s="261"/>
      <c r="BV1516" s="261"/>
    </row>
    <row r="1517" spans="12:74">
      <c r="L1517" s="261"/>
      <c r="M1517" s="261"/>
      <c r="N1517" s="261"/>
      <c r="O1517" s="261"/>
      <c r="P1517" s="261"/>
      <c r="Q1517" s="261"/>
      <c r="BR1517" s="261"/>
      <c r="BS1517" s="261"/>
      <c r="BT1517" s="261"/>
      <c r="BU1517" s="261"/>
      <c r="BV1517" s="261"/>
    </row>
    <row r="1518" spans="12:74">
      <c r="L1518" s="261"/>
      <c r="M1518" s="261"/>
      <c r="N1518" s="261"/>
      <c r="O1518" s="261"/>
      <c r="P1518" s="261"/>
      <c r="Q1518" s="261"/>
      <c r="BR1518" s="261"/>
      <c r="BS1518" s="261"/>
      <c r="BT1518" s="261"/>
      <c r="BU1518" s="261"/>
      <c r="BV1518" s="261"/>
    </row>
    <row r="1519" spans="12:74">
      <c r="L1519" s="261"/>
      <c r="M1519" s="261"/>
      <c r="N1519" s="261"/>
      <c r="O1519" s="261"/>
      <c r="P1519" s="261"/>
      <c r="Q1519" s="261"/>
      <c r="BR1519" s="261"/>
      <c r="BS1519" s="261"/>
      <c r="BT1519" s="261"/>
      <c r="BU1519" s="261"/>
      <c r="BV1519" s="261"/>
    </row>
    <row r="1520" spans="12:74">
      <c r="L1520" s="261"/>
      <c r="M1520" s="261"/>
      <c r="N1520" s="261"/>
      <c r="O1520" s="261"/>
      <c r="P1520" s="261"/>
      <c r="Q1520" s="261"/>
      <c r="BR1520" s="261"/>
      <c r="BS1520" s="261"/>
      <c r="BT1520" s="261"/>
      <c r="BU1520" s="261"/>
      <c r="BV1520" s="261"/>
    </row>
    <row r="1521" spans="12:74">
      <c r="L1521" s="261"/>
      <c r="M1521" s="261"/>
      <c r="N1521" s="261"/>
      <c r="O1521" s="261"/>
      <c r="P1521" s="261"/>
      <c r="Q1521" s="261"/>
      <c r="BR1521" s="261"/>
      <c r="BS1521" s="261"/>
      <c r="BT1521" s="261"/>
      <c r="BU1521" s="261"/>
      <c r="BV1521" s="261"/>
    </row>
    <row r="1522" spans="12:74">
      <c r="L1522" s="261"/>
      <c r="M1522" s="261"/>
      <c r="N1522" s="261"/>
      <c r="O1522" s="261"/>
      <c r="P1522" s="261"/>
      <c r="Q1522" s="261"/>
      <c r="BR1522" s="261"/>
      <c r="BS1522" s="261"/>
      <c r="BT1522" s="261"/>
      <c r="BU1522" s="261"/>
      <c r="BV1522" s="261"/>
    </row>
    <row r="1523" spans="12:74">
      <c r="L1523" s="261"/>
      <c r="M1523" s="261"/>
      <c r="N1523" s="261"/>
      <c r="O1523" s="261"/>
      <c r="P1523" s="261"/>
      <c r="Q1523" s="261"/>
      <c r="BR1523" s="261"/>
      <c r="BS1523" s="261"/>
      <c r="BT1523" s="261"/>
      <c r="BU1523" s="261"/>
      <c r="BV1523" s="261"/>
    </row>
    <row r="1524" spans="12:74">
      <c r="L1524" s="261"/>
      <c r="M1524" s="261"/>
      <c r="N1524" s="261"/>
      <c r="O1524" s="261"/>
      <c r="P1524" s="261"/>
      <c r="Q1524" s="261"/>
      <c r="BR1524" s="261"/>
      <c r="BS1524" s="261"/>
      <c r="BT1524" s="261"/>
      <c r="BU1524" s="261"/>
      <c r="BV1524" s="261"/>
    </row>
    <row r="1525" spans="12:74">
      <c r="L1525" s="261"/>
      <c r="M1525" s="261"/>
      <c r="N1525" s="261"/>
      <c r="O1525" s="261"/>
      <c r="P1525" s="261"/>
      <c r="Q1525" s="261"/>
      <c r="BR1525" s="261"/>
      <c r="BS1525" s="261"/>
      <c r="BT1525" s="261"/>
      <c r="BU1525" s="261"/>
      <c r="BV1525" s="261"/>
    </row>
    <row r="1526" spans="12:74">
      <c r="L1526" s="261"/>
      <c r="M1526" s="261"/>
      <c r="N1526" s="261"/>
      <c r="O1526" s="261"/>
      <c r="P1526" s="261"/>
      <c r="Q1526" s="261"/>
      <c r="BR1526" s="261"/>
      <c r="BS1526" s="261"/>
      <c r="BT1526" s="261"/>
      <c r="BU1526" s="261"/>
      <c r="BV1526" s="261"/>
    </row>
    <row r="1527" spans="12:74">
      <c r="L1527" s="261"/>
      <c r="M1527" s="261"/>
      <c r="N1527" s="261"/>
      <c r="O1527" s="261"/>
      <c r="P1527" s="261"/>
      <c r="Q1527" s="261"/>
      <c r="BR1527" s="261"/>
      <c r="BS1527" s="261"/>
      <c r="BT1527" s="261"/>
      <c r="BU1527" s="261"/>
      <c r="BV1527" s="261"/>
    </row>
    <row r="1528" spans="12:74">
      <c r="L1528" s="261"/>
      <c r="M1528" s="261"/>
      <c r="N1528" s="261"/>
      <c r="O1528" s="261"/>
      <c r="P1528" s="261"/>
      <c r="Q1528" s="261"/>
      <c r="BR1528" s="261"/>
      <c r="BS1528" s="261"/>
      <c r="BT1528" s="261"/>
      <c r="BU1528" s="261"/>
      <c r="BV1528" s="261"/>
    </row>
    <row r="1529" spans="12:74">
      <c r="L1529" s="261"/>
      <c r="M1529" s="261"/>
      <c r="N1529" s="261"/>
      <c r="O1529" s="261"/>
      <c r="P1529" s="261"/>
      <c r="Q1529" s="261"/>
      <c r="BR1529" s="261"/>
      <c r="BS1529" s="261"/>
      <c r="BT1529" s="261"/>
      <c r="BU1529" s="261"/>
      <c r="BV1529" s="261"/>
    </row>
    <row r="1530" spans="12:74">
      <c r="L1530" s="261"/>
      <c r="M1530" s="261"/>
      <c r="N1530" s="261"/>
      <c r="O1530" s="261"/>
      <c r="P1530" s="261"/>
      <c r="Q1530" s="261"/>
      <c r="BR1530" s="261"/>
      <c r="BS1530" s="261"/>
      <c r="BT1530" s="261"/>
      <c r="BU1530" s="261"/>
      <c r="BV1530" s="261"/>
    </row>
    <row r="1531" spans="12:74">
      <c r="L1531" s="261"/>
      <c r="M1531" s="261"/>
      <c r="N1531" s="261"/>
      <c r="O1531" s="261"/>
      <c r="P1531" s="261"/>
      <c r="Q1531" s="261"/>
      <c r="BR1531" s="261"/>
      <c r="BS1531" s="261"/>
      <c r="BT1531" s="261"/>
      <c r="BU1531" s="261"/>
      <c r="BV1531" s="261"/>
    </row>
    <row r="1532" spans="12:74">
      <c r="L1532" s="261"/>
      <c r="M1532" s="261"/>
      <c r="N1532" s="261"/>
      <c r="O1532" s="261"/>
      <c r="P1532" s="261"/>
      <c r="Q1532" s="261"/>
      <c r="BR1532" s="261"/>
      <c r="BS1532" s="261"/>
      <c r="BT1532" s="261"/>
      <c r="BU1532" s="261"/>
      <c r="BV1532" s="261"/>
    </row>
    <row r="1533" spans="12:74">
      <c r="L1533" s="261"/>
      <c r="M1533" s="261"/>
      <c r="N1533" s="261"/>
      <c r="O1533" s="261"/>
      <c r="P1533" s="261"/>
      <c r="Q1533" s="261"/>
      <c r="BR1533" s="261"/>
      <c r="BS1533" s="261"/>
      <c r="BT1533" s="261"/>
      <c r="BU1533" s="261"/>
      <c r="BV1533" s="261"/>
    </row>
    <row r="1534" spans="12:74">
      <c r="L1534" s="261"/>
      <c r="M1534" s="261"/>
      <c r="N1534" s="261"/>
      <c r="O1534" s="261"/>
      <c r="P1534" s="261"/>
      <c r="Q1534" s="261"/>
      <c r="BR1534" s="261"/>
      <c r="BS1534" s="261"/>
      <c r="BT1534" s="261"/>
      <c r="BU1534" s="261"/>
      <c r="BV1534" s="261"/>
    </row>
    <row r="1535" spans="12:74">
      <c r="L1535" s="261"/>
      <c r="M1535" s="261"/>
      <c r="N1535" s="261"/>
      <c r="O1535" s="261"/>
      <c r="P1535" s="261"/>
      <c r="Q1535" s="261"/>
      <c r="BR1535" s="261"/>
      <c r="BS1535" s="261"/>
      <c r="BT1535" s="261"/>
      <c r="BU1535" s="261"/>
      <c r="BV1535" s="261"/>
    </row>
    <row r="1536" spans="12:74">
      <c r="L1536" s="261"/>
      <c r="M1536" s="261"/>
      <c r="N1536" s="261"/>
      <c r="O1536" s="261"/>
      <c r="P1536" s="261"/>
      <c r="Q1536" s="261"/>
      <c r="BR1536" s="261"/>
      <c r="BS1536" s="261"/>
      <c r="BT1536" s="261"/>
      <c r="BU1536" s="261"/>
      <c r="BV1536" s="261"/>
    </row>
    <row r="1537" spans="12:74">
      <c r="L1537" s="261"/>
      <c r="M1537" s="261"/>
      <c r="N1537" s="261"/>
      <c r="O1537" s="261"/>
      <c r="P1537" s="261"/>
      <c r="Q1537" s="261"/>
      <c r="BR1537" s="261"/>
      <c r="BS1537" s="261"/>
      <c r="BT1537" s="261"/>
      <c r="BU1537" s="261"/>
      <c r="BV1537" s="261"/>
    </row>
    <row r="1538" spans="12:74">
      <c r="L1538" s="261"/>
      <c r="M1538" s="261"/>
      <c r="N1538" s="261"/>
      <c r="O1538" s="261"/>
      <c r="P1538" s="261"/>
      <c r="Q1538" s="261"/>
      <c r="BR1538" s="261"/>
      <c r="BS1538" s="261"/>
      <c r="BT1538" s="261"/>
      <c r="BU1538" s="261"/>
      <c r="BV1538" s="261"/>
    </row>
    <row r="1539" spans="12:74">
      <c r="L1539" s="261"/>
      <c r="M1539" s="261"/>
      <c r="N1539" s="261"/>
      <c r="O1539" s="261"/>
      <c r="P1539" s="261"/>
      <c r="Q1539" s="261"/>
      <c r="BR1539" s="261"/>
      <c r="BS1539" s="261"/>
      <c r="BT1539" s="261"/>
      <c r="BU1539" s="261"/>
      <c r="BV1539" s="261"/>
    </row>
    <row r="1540" spans="12:74">
      <c r="L1540" s="261"/>
      <c r="M1540" s="261"/>
      <c r="N1540" s="261"/>
      <c r="O1540" s="261"/>
      <c r="P1540" s="261"/>
      <c r="Q1540" s="261"/>
      <c r="BR1540" s="261"/>
      <c r="BS1540" s="261"/>
      <c r="BT1540" s="261"/>
      <c r="BU1540" s="261"/>
      <c r="BV1540" s="261"/>
    </row>
    <row r="1541" spans="12:74">
      <c r="L1541" s="261"/>
      <c r="M1541" s="261"/>
      <c r="N1541" s="261"/>
      <c r="O1541" s="261"/>
      <c r="P1541" s="261"/>
      <c r="Q1541" s="261"/>
      <c r="BR1541" s="261"/>
      <c r="BS1541" s="261"/>
      <c r="BT1541" s="261"/>
      <c r="BU1541" s="261"/>
      <c r="BV1541" s="261"/>
    </row>
    <row r="1542" spans="12:74">
      <c r="L1542" s="261"/>
      <c r="M1542" s="261"/>
      <c r="N1542" s="261"/>
      <c r="O1542" s="261"/>
      <c r="P1542" s="261"/>
      <c r="Q1542" s="261"/>
      <c r="BR1542" s="261"/>
      <c r="BS1542" s="261"/>
      <c r="BT1542" s="261"/>
      <c r="BU1542" s="261"/>
      <c r="BV1542" s="261"/>
    </row>
    <row r="1543" spans="12:74">
      <c r="L1543" s="261"/>
      <c r="M1543" s="261"/>
      <c r="N1543" s="261"/>
      <c r="O1543" s="261"/>
      <c r="P1543" s="261"/>
      <c r="Q1543" s="261"/>
      <c r="BR1543" s="261"/>
      <c r="BS1543" s="261"/>
      <c r="BT1543" s="261"/>
      <c r="BU1543" s="261"/>
      <c r="BV1543" s="261"/>
    </row>
    <row r="1544" spans="12:74">
      <c r="L1544" s="261"/>
      <c r="M1544" s="261"/>
      <c r="N1544" s="261"/>
      <c r="O1544" s="261"/>
      <c r="P1544" s="261"/>
      <c r="Q1544" s="261"/>
      <c r="BR1544" s="261"/>
      <c r="BS1544" s="261"/>
      <c r="BT1544" s="261"/>
      <c r="BU1544" s="261"/>
      <c r="BV1544" s="261"/>
    </row>
    <row r="1545" spans="12:74">
      <c r="L1545" s="261"/>
      <c r="M1545" s="261"/>
      <c r="N1545" s="261"/>
      <c r="O1545" s="261"/>
      <c r="P1545" s="261"/>
      <c r="Q1545" s="261"/>
      <c r="BR1545" s="261"/>
      <c r="BS1545" s="261"/>
      <c r="BT1545" s="261"/>
      <c r="BU1545" s="261"/>
      <c r="BV1545" s="261"/>
    </row>
    <row r="1546" spans="12:74">
      <c r="L1546" s="261"/>
      <c r="M1546" s="261"/>
      <c r="N1546" s="261"/>
      <c r="O1546" s="261"/>
      <c r="P1546" s="261"/>
      <c r="Q1546" s="261"/>
      <c r="BR1546" s="261"/>
      <c r="BS1546" s="261"/>
      <c r="BT1546" s="261"/>
      <c r="BU1546" s="261"/>
      <c r="BV1546" s="261"/>
    </row>
    <row r="1547" spans="12:74">
      <c r="L1547" s="261"/>
      <c r="M1547" s="261"/>
      <c r="N1547" s="261"/>
      <c r="O1547" s="261"/>
      <c r="P1547" s="261"/>
      <c r="Q1547" s="261"/>
      <c r="BR1547" s="261"/>
      <c r="BS1547" s="261"/>
      <c r="BT1547" s="261"/>
      <c r="BU1547" s="261"/>
      <c r="BV1547" s="261"/>
    </row>
    <row r="1548" spans="12:74">
      <c r="L1548" s="261"/>
      <c r="M1548" s="261"/>
      <c r="N1548" s="261"/>
      <c r="O1548" s="261"/>
      <c r="P1548" s="261"/>
      <c r="Q1548" s="261"/>
      <c r="BR1548" s="261"/>
      <c r="BS1548" s="261"/>
      <c r="BT1548" s="261"/>
      <c r="BU1548" s="261"/>
      <c r="BV1548" s="261"/>
    </row>
    <row r="1549" spans="12:74">
      <c r="L1549" s="261"/>
      <c r="M1549" s="261"/>
      <c r="N1549" s="261"/>
      <c r="O1549" s="261"/>
      <c r="P1549" s="261"/>
      <c r="Q1549" s="261"/>
      <c r="BR1549" s="261"/>
      <c r="BS1549" s="261"/>
      <c r="BT1549" s="261"/>
      <c r="BU1549" s="261"/>
      <c r="BV1549" s="261"/>
    </row>
    <row r="1550" spans="12:74">
      <c r="L1550" s="261"/>
      <c r="M1550" s="261"/>
      <c r="N1550" s="261"/>
      <c r="O1550" s="261"/>
      <c r="P1550" s="261"/>
      <c r="Q1550" s="261"/>
      <c r="BR1550" s="261"/>
      <c r="BS1550" s="261"/>
      <c r="BT1550" s="261"/>
      <c r="BU1550" s="261"/>
      <c r="BV1550" s="261"/>
    </row>
    <row r="1551" spans="12:74">
      <c r="L1551" s="261"/>
      <c r="M1551" s="261"/>
      <c r="N1551" s="261"/>
      <c r="O1551" s="261"/>
      <c r="P1551" s="261"/>
      <c r="Q1551" s="261"/>
      <c r="BR1551" s="261"/>
      <c r="BS1551" s="261"/>
      <c r="BT1551" s="261"/>
      <c r="BU1551" s="261"/>
      <c r="BV1551" s="261"/>
    </row>
    <row r="1552" spans="12:74">
      <c r="L1552" s="261"/>
      <c r="M1552" s="261"/>
      <c r="N1552" s="261"/>
      <c r="O1552" s="261"/>
      <c r="P1552" s="261"/>
      <c r="Q1552" s="261"/>
      <c r="BR1552" s="261"/>
      <c r="BS1552" s="261"/>
      <c r="BT1552" s="261"/>
      <c r="BU1552" s="261"/>
      <c r="BV1552" s="261"/>
    </row>
    <row r="1553" spans="12:74">
      <c r="L1553" s="261"/>
      <c r="M1553" s="261"/>
      <c r="N1553" s="261"/>
      <c r="O1553" s="261"/>
      <c r="P1553" s="261"/>
      <c r="Q1553" s="261"/>
      <c r="BR1553" s="261"/>
      <c r="BS1553" s="261"/>
      <c r="BT1553" s="261"/>
      <c r="BU1553" s="261"/>
      <c r="BV1553" s="261"/>
    </row>
    <row r="1554" spans="12:74">
      <c r="L1554" s="261"/>
      <c r="M1554" s="261"/>
      <c r="N1554" s="261"/>
      <c r="O1554" s="261"/>
      <c r="P1554" s="261"/>
      <c r="Q1554" s="261"/>
      <c r="BR1554" s="261"/>
      <c r="BS1554" s="261"/>
      <c r="BT1554" s="261"/>
      <c r="BU1554" s="261"/>
      <c r="BV1554" s="261"/>
    </row>
    <row r="1555" spans="12:74">
      <c r="L1555" s="261"/>
      <c r="M1555" s="261"/>
      <c r="N1555" s="261"/>
      <c r="O1555" s="261"/>
      <c r="P1555" s="261"/>
      <c r="Q1555" s="261"/>
      <c r="BR1555" s="261"/>
      <c r="BS1555" s="261"/>
      <c r="BT1555" s="261"/>
      <c r="BU1555" s="261"/>
      <c r="BV1555" s="261"/>
    </row>
    <row r="1556" spans="12:74">
      <c r="L1556" s="261"/>
      <c r="M1556" s="261"/>
      <c r="N1556" s="261"/>
      <c r="O1556" s="261"/>
      <c r="P1556" s="261"/>
      <c r="Q1556" s="261"/>
      <c r="BR1556" s="261"/>
      <c r="BS1556" s="261"/>
      <c r="BT1556" s="261"/>
      <c r="BU1556" s="261"/>
      <c r="BV1556" s="261"/>
    </row>
    <row r="1557" spans="12:74">
      <c r="L1557" s="261"/>
      <c r="M1557" s="261"/>
      <c r="N1557" s="261"/>
      <c r="O1557" s="261"/>
      <c r="P1557" s="261"/>
      <c r="Q1557" s="261"/>
      <c r="BR1557" s="261"/>
      <c r="BS1557" s="261"/>
      <c r="BT1557" s="261"/>
      <c r="BU1557" s="261"/>
      <c r="BV1557" s="261"/>
    </row>
    <row r="1558" spans="12:74">
      <c r="L1558" s="261"/>
      <c r="M1558" s="261"/>
      <c r="N1558" s="261"/>
      <c r="O1558" s="261"/>
      <c r="P1558" s="261"/>
      <c r="Q1558" s="261"/>
      <c r="BR1558" s="261"/>
      <c r="BS1558" s="261"/>
      <c r="BT1558" s="261"/>
      <c r="BU1558" s="261"/>
      <c r="BV1558" s="261"/>
    </row>
    <row r="1559" spans="12:74">
      <c r="L1559" s="261"/>
      <c r="M1559" s="261"/>
      <c r="N1559" s="261"/>
      <c r="O1559" s="261"/>
      <c r="P1559" s="261"/>
      <c r="Q1559" s="261"/>
      <c r="BR1559" s="261"/>
      <c r="BS1559" s="261"/>
      <c r="BT1559" s="261"/>
      <c r="BU1559" s="261"/>
      <c r="BV1559" s="261"/>
    </row>
    <row r="1560" spans="12:74">
      <c r="L1560" s="261"/>
      <c r="M1560" s="261"/>
      <c r="N1560" s="261"/>
      <c r="O1560" s="261"/>
      <c r="P1560" s="261"/>
      <c r="Q1560" s="261"/>
      <c r="BR1560" s="261"/>
      <c r="BS1560" s="261"/>
      <c r="BT1560" s="261"/>
      <c r="BU1560" s="261"/>
      <c r="BV1560" s="261"/>
    </row>
    <row r="1561" spans="12:74">
      <c r="L1561" s="261"/>
      <c r="M1561" s="261"/>
      <c r="N1561" s="261"/>
      <c r="O1561" s="261"/>
      <c r="P1561" s="261"/>
      <c r="Q1561" s="261"/>
      <c r="BR1561" s="261"/>
      <c r="BS1561" s="261"/>
      <c r="BT1561" s="261"/>
      <c r="BU1561" s="261"/>
      <c r="BV1561" s="261"/>
    </row>
    <row r="1562" spans="12:74">
      <c r="L1562" s="261"/>
      <c r="M1562" s="261"/>
      <c r="N1562" s="261"/>
      <c r="O1562" s="261"/>
      <c r="P1562" s="261"/>
      <c r="Q1562" s="261"/>
      <c r="BR1562" s="261"/>
      <c r="BS1562" s="261"/>
      <c r="BT1562" s="261"/>
      <c r="BU1562" s="261"/>
      <c r="BV1562" s="261"/>
    </row>
    <row r="1563" spans="12:74">
      <c r="L1563" s="261"/>
      <c r="M1563" s="261"/>
      <c r="N1563" s="261"/>
      <c r="O1563" s="261"/>
      <c r="P1563" s="261"/>
      <c r="Q1563" s="261"/>
      <c r="BR1563" s="261"/>
      <c r="BS1563" s="261"/>
      <c r="BT1563" s="261"/>
      <c r="BU1563" s="261"/>
      <c r="BV1563" s="261"/>
    </row>
    <row r="1564" spans="12:74">
      <c r="L1564" s="261"/>
      <c r="M1564" s="261"/>
      <c r="N1564" s="261"/>
      <c r="O1564" s="261"/>
      <c r="P1564" s="261"/>
      <c r="Q1564" s="261"/>
      <c r="BR1564" s="261"/>
      <c r="BS1564" s="261"/>
      <c r="BT1564" s="261"/>
      <c r="BU1564" s="261"/>
      <c r="BV1564" s="261"/>
    </row>
    <row r="1565" spans="12:74">
      <c r="L1565" s="261"/>
      <c r="M1565" s="261"/>
      <c r="N1565" s="261"/>
      <c r="O1565" s="261"/>
      <c r="P1565" s="261"/>
      <c r="Q1565" s="261"/>
      <c r="BR1565" s="261"/>
      <c r="BS1565" s="261"/>
      <c r="BT1565" s="261"/>
      <c r="BU1565" s="261"/>
      <c r="BV1565" s="261"/>
    </row>
    <row r="1566" spans="12:74">
      <c r="L1566" s="261"/>
      <c r="M1566" s="261"/>
      <c r="N1566" s="261"/>
      <c r="O1566" s="261"/>
      <c r="P1566" s="261"/>
      <c r="Q1566" s="261"/>
      <c r="BR1566" s="261"/>
      <c r="BS1566" s="261"/>
      <c r="BT1566" s="261"/>
      <c r="BU1566" s="261"/>
      <c r="BV1566" s="261"/>
    </row>
    <row r="1567" spans="12:74">
      <c r="L1567" s="261"/>
      <c r="M1567" s="261"/>
      <c r="N1567" s="261"/>
      <c r="O1567" s="261"/>
      <c r="P1567" s="261"/>
      <c r="Q1567" s="261"/>
      <c r="BR1567" s="261"/>
      <c r="BS1567" s="261"/>
      <c r="BT1567" s="261"/>
      <c r="BU1567" s="261"/>
      <c r="BV1567" s="261"/>
    </row>
    <row r="1568" spans="12:74">
      <c r="L1568" s="261"/>
      <c r="M1568" s="261"/>
      <c r="N1568" s="261"/>
      <c r="O1568" s="261"/>
      <c r="P1568" s="261"/>
      <c r="Q1568" s="261"/>
      <c r="BR1568" s="261"/>
      <c r="BS1568" s="261"/>
      <c r="BT1568" s="261"/>
      <c r="BU1568" s="261"/>
      <c r="BV1568" s="261"/>
    </row>
    <row r="1569" spans="12:74">
      <c r="L1569" s="261"/>
      <c r="M1569" s="261"/>
      <c r="N1569" s="261"/>
      <c r="O1569" s="261"/>
      <c r="P1569" s="261"/>
      <c r="Q1569" s="261"/>
      <c r="BR1569" s="261"/>
      <c r="BS1569" s="261"/>
      <c r="BT1569" s="261"/>
      <c r="BU1569" s="261"/>
      <c r="BV1569" s="261"/>
    </row>
    <row r="1570" spans="12:74">
      <c r="L1570" s="261"/>
      <c r="M1570" s="261"/>
      <c r="N1570" s="261"/>
      <c r="O1570" s="261"/>
      <c r="P1570" s="261"/>
      <c r="Q1570" s="261"/>
      <c r="BR1570" s="261"/>
      <c r="BS1570" s="261"/>
      <c r="BT1570" s="261"/>
      <c r="BU1570" s="261"/>
      <c r="BV1570" s="261"/>
    </row>
    <row r="1571" spans="12:74">
      <c r="L1571" s="261"/>
      <c r="M1571" s="261"/>
      <c r="N1571" s="261"/>
      <c r="O1571" s="261"/>
      <c r="P1571" s="261"/>
      <c r="Q1571" s="261"/>
      <c r="BR1571" s="261"/>
      <c r="BS1571" s="261"/>
      <c r="BT1571" s="261"/>
      <c r="BU1571" s="261"/>
      <c r="BV1571" s="261"/>
    </row>
    <row r="1572" spans="12:74">
      <c r="L1572" s="261"/>
      <c r="M1572" s="261"/>
      <c r="N1572" s="261"/>
      <c r="O1572" s="261"/>
      <c r="P1572" s="261"/>
      <c r="Q1572" s="261"/>
      <c r="BR1572" s="261"/>
      <c r="BS1572" s="261"/>
      <c r="BT1572" s="261"/>
      <c r="BU1572" s="261"/>
      <c r="BV1572" s="261"/>
    </row>
    <row r="1573" spans="12:74">
      <c r="L1573" s="261"/>
      <c r="M1573" s="261"/>
      <c r="N1573" s="261"/>
      <c r="O1573" s="261"/>
      <c r="P1573" s="261"/>
      <c r="Q1573" s="261"/>
      <c r="BR1573" s="261"/>
      <c r="BS1573" s="261"/>
      <c r="BT1573" s="261"/>
      <c r="BU1573" s="261"/>
      <c r="BV1573" s="261"/>
    </row>
    <row r="1574" spans="12:74">
      <c r="L1574" s="261"/>
      <c r="M1574" s="261"/>
      <c r="N1574" s="261"/>
      <c r="O1574" s="261"/>
      <c r="P1574" s="261"/>
      <c r="Q1574" s="261"/>
      <c r="BR1574" s="261"/>
      <c r="BS1574" s="261"/>
      <c r="BT1574" s="261"/>
      <c r="BU1574" s="261"/>
      <c r="BV1574" s="261"/>
    </row>
    <row r="1575" spans="12:74">
      <c r="L1575" s="261"/>
      <c r="M1575" s="261"/>
      <c r="N1575" s="261"/>
      <c r="O1575" s="261"/>
      <c r="P1575" s="261"/>
      <c r="Q1575" s="261"/>
      <c r="BR1575" s="261"/>
      <c r="BS1575" s="261"/>
      <c r="BT1575" s="261"/>
      <c r="BU1575" s="261"/>
      <c r="BV1575" s="261"/>
    </row>
    <row r="1576" spans="12:74">
      <c r="L1576" s="261"/>
      <c r="M1576" s="261"/>
      <c r="N1576" s="261"/>
      <c r="O1576" s="261"/>
      <c r="P1576" s="261"/>
      <c r="Q1576" s="261"/>
      <c r="BR1576" s="261"/>
      <c r="BS1576" s="261"/>
      <c r="BT1576" s="261"/>
      <c r="BU1576" s="261"/>
      <c r="BV1576" s="261"/>
    </row>
    <row r="1577" spans="12:74">
      <c r="L1577" s="261"/>
      <c r="M1577" s="261"/>
      <c r="N1577" s="261"/>
      <c r="O1577" s="261"/>
      <c r="P1577" s="261"/>
      <c r="Q1577" s="261"/>
      <c r="BR1577" s="261"/>
      <c r="BS1577" s="261"/>
      <c r="BT1577" s="261"/>
      <c r="BU1577" s="261"/>
      <c r="BV1577" s="261"/>
    </row>
    <row r="1578" spans="12:74">
      <c r="L1578" s="261"/>
      <c r="M1578" s="261"/>
      <c r="N1578" s="261"/>
      <c r="O1578" s="261"/>
      <c r="P1578" s="261"/>
      <c r="Q1578" s="261"/>
      <c r="BR1578" s="261"/>
      <c r="BS1578" s="261"/>
      <c r="BT1578" s="261"/>
      <c r="BU1578" s="261"/>
      <c r="BV1578" s="261"/>
    </row>
    <row r="1579" spans="12:74">
      <c r="L1579" s="261"/>
      <c r="M1579" s="261"/>
      <c r="N1579" s="261"/>
      <c r="O1579" s="261"/>
      <c r="P1579" s="261"/>
      <c r="Q1579" s="261"/>
      <c r="BR1579" s="261"/>
      <c r="BS1579" s="261"/>
      <c r="BT1579" s="261"/>
      <c r="BU1579" s="261"/>
      <c r="BV1579" s="261"/>
    </row>
    <row r="1580" spans="12:74">
      <c r="L1580" s="261"/>
      <c r="M1580" s="261"/>
      <c r="N1580" s="261"/>
      <c r="O1580" s="261"/>
      <c r="P1580" s="261"/>
      <c r="Q1580" s="261"/>
      <c r="BR1580" s="261"/>
      <c r="BS1580" s="261"/>
      <c r="BT1580" s="261"/>
      <c r="BU1580" s="261"/>
      <c r="BV1580" s="261"/>
    </row>
    <row r="1581" spans="12:74">
      <c r="L1581" s="261"/>
      <c r="M1581" s="261"/>
      <c r="N1581" s="261"/>
      <c r="O1581" s="261"/>
      <c r="P1581" s="261"/>
      <c r="Q1581" s="261"/>
      <c r="BR1581" s="261"/>
      <c r="BS1581" s="261"/>
      <c r="BT1581" s="261"/>
      <c r="BU1581" s="261"/>
      <c r="BV1581" s="261"/>
    </row>
    <row r="1582" spans="12:74">
      <c r="L1582" s="261"/>
      <c r="M1582" s="261"/>
      <c r="N1582" s="261"/>
      <c r="O1582" s="261"/>
      <c r="P1582" s="261"/>
      <c r="Q1582" s="261"/>
      <c r="BR1582" s="261"/>
      <c r="BS1582" s="261"/>
      <c r="BT1582" s="261"/>
      <c r="BU1582" s="261"/>
      <c r="BV1582" s="261"/>
    </row>
    <row r="1583" spans="12:74">
      <c r="L1583" s="261"/>
      <c r="M1583" s="261"/>
      <c r="N1583" s="261"/>
      <c r="O1583" s="261"/>
      <c r="P1583" s="261"/>
      <c r="Q1583" s="261"/>
      <c r="BR1583" s="261"/>
      <c r="BS1583" s="261"/>
      <c r="BT1583" s="261"/>
      <c r="BU1583" s="261"/>
      <c r="BV1583" s="261"/>
    </row>
    <row r="1584" spans="12:74">
      <c r="L1584" s="261"/>
      <c r="M1584" s="261"/>
      <c r="N1584" s="261"/>
      <c r="O1584" s="261"/>
      <c r="P1584" s="261"/>
      <c r="Q1584" s="261"/>
      <c r="BR1584" s="261"/>
      <c r="BS1584" s="261"/>
      <c r="BT1584" s="261"/>
      <c r="BU1584" s="261"/>
      <c r="BV1584" s="261"/>
    </row>
    <row r="1585" spans="12:74">
      <c r="L1585" s="261"/>
      <c r="M1585" s="261"/>
      <c r="N1585" s="261"/>
      <c r="O1585" s="261"/>
      <c r="P1585" s="261"/>
      <c r="Q1585" s="261"/>
      <c r="BR1585" s="261"/>
      <c r="BS1585" s="261"/>
      <c r="BT1585" s="261"/>
      <c r="BU1585" s="261"/>
      <c r="BV1585" s="261"/>
    </row>
    <row r="1586" spans="12:74">
      <c r="L1586" s="261"/>
      <c r="M1586" s="261"/>
      <c r="N1586" s="261"/>
      <c r="O1586" s="261"/>
      <c r="P1586" s="261"/>
      <c r="Q1586" s="261"/>
      <c r="BR1586" s="261"/>
      <c r="BS1586" s="261"/>
      <c r="BT1586" s="261"/>
      <c r="BU1586" s="261"/>
      <c r="BV1586" s="261"/>
    </row>
    <row r="1587" spans="12:74">
      <c r="L1587" s="261"/>
      <c r="M1587" s="261"/>
      <c r="N1587" s="261"/>
      <c r="O1587" s="261"/>
      <c r="P1587" s="261"/>
      <c r="Q1587" s="261"/>
      <c r="BR1587" s="261"/>
      <c r="BS1587" s="261"/>
      <c r="BT1587" s="261"/>
      <c r="BU1587" s="261"/>
      <c r="BV1587" s="261"/>
    </row>
    <row r="1588" spans="12:74">
      <c r="L1588" s="261"/>
      <c r="M1588" s="261"/>
      <c r="N1588" s="261"/>
      <c r="O1588" s="261"/>
      <c r="P1588" s="261"/>
      <c r="Q1588" s="261"/>
      <c r="BR1588" s="261"/>
      <c r="BS1588" s="261"/>
      <c r="BT1588" s="261"/>
      <c r="BU1588" s="261"/>
      <c r="BV1588" s="261"/>
    </row>
    <row r="1589" spans="12:74">
      <c r="L1589" s="261"/>
      <c r="M1589" s="261"/>
      <c r="N1589" s="261"/>
      <c r="O1589" s="261"/>
      <c r="P1589" s="261"/>
      <c r="Q1589" s="261"/>
      <c r="BR1589" s="261"/>
      <c r="BS1589" s="261"/>
      <c r="BT1589" s="261"/>
      <c r="BU1589" s="261"/>
      <c r="BV1589" s="261"/>
    </row>
    <row r="1590" spans="12:74">
      <c r="L1590" s="261"/>
      <c r="M1590" s="261"/>
      <c r="N1590" s="261"/>
      <c r="O1590" s="261"/>
      <c r="P1590" s="261"/>
      <c r="Q1590" s="261"/>
      <c r="BR1590" s="261"/>
      <c r="BS1590" s="261"/>
      <c r="BT1590" s="261"/>
      <c r="BU1590" s="261"/>
      <c r="BV1590" s="261"/>
    </row>
    <row r="1591" spans="12:74">
      <c r="L1591" s="261"/>
      <c r="M1591" s="261"/>
      <c r="N1591" s="261"/>
      <c r="O1591" s="261"/>
      <c r="P1591" s="261"/>
      <c r="Q1591" s="261"/>
      <c r="BR1591" s="261"/>
      <c r="BS1591" s="261"/>
      <c r="BT1591" s="261"/>
      <c r="BU1591" s="261"/>
      <c r="BV1591" s="261"/>
    </row>
    <row r="1592" spans="12:74">
      <c r="L1592" s="261"/>
      <c r="M1592" s="261"/>
      <c r="N1592" s="261"/>
      <c r="O1592" s="261"/>
      <c r="P1592" s="261"/>
      <c r="Q1592" s="261"/>
      <c r="BR1592" s="261"/>
      <c r="BS1592" s="261"/>
      <c r="BT1592" s="261"/>
      <c r="BU1592" s="261"/>
      <c r="BV1592" s="261"/>
    </row>
    <row r="1593" spans="12:74">
      <c r="L1593" s="261"/>
      <c r="M1593" s="261"/>
      <c r="N1593" s="261"/>
      <c r="O1593" s="261"/>
      <c r="P1593" s="261"/>
      <c r="Q1593" s="261"/>
      <c r="BR1593" s="261"/>
      <c r="BS1593" s="261"/>
      <c r="BT1593" s="261"/>
      <c r="BU1593" s="261"/>
      <c r="BV1593" s="261"/>
    </row>
    <row r="1594" spans="12:74">
      <c r="L1594" s="261"/>
      <c r="M1594" s="261"/>
      <c r="N1594" s="261"/>
      <c r="O1594" s="261"/>
      <c r="P1594" s="261"/>
      <c r="Q1594" s="261"/>
      <c r="BR1594" s="261"/>
      <c r="BS1594" s="261"/>
      <c r="BT1594" s="261"/>
      <c r="BU1594" s="261"/>
      <c r="BV1594" s="261"/>
    </row>
    <row r="1595" spans="12:74">
      <c r="L1595" s="261"/>
      <c r="M1595" s="261"/>
      <c r="N1595" s="261"/>
      <c r="O1595" s="261"/>
      <c r="P1595" s="261"/>
      <c r="Q1595" s="261"/>
      <c r="BR1595" s="261"/>
      <c r="BS1595" s="261"/>
      <c r="BT1595" s="261"/>
      <c r="BU1595" s="261"/>
      <c r="BV1595" s="261"/>
    </row>
    <row r="1596" spans="12:74">
      <c r="L1596" s="261"/>
      <c r="M1596" s="261"/>
      <c r="N1596" s="261"/>
      <c r="O1596" s="261"/>
      <c r="P1596" s="261"/>
      <c r="Q1596" s="261"/>
      <c r="BR1596" s="261"/>
      <c r="BS1596" s="261"/>
      <c r="BT1596" s="261"/>
      <c r="BU1596" s="261"/>
      <c r="BV1596" s="261"/>
    </row>
    <row r="1597" spans="12:74">
      <c r="L1597" s="261"/>
      <c r="M1597" s="261"/>
      <c r="N1597" s="261"/>
      <c r="O1597" s="261"/>
      <c r="P1597" s="261"/>
      <c r="Q1597" s="261"/>
      <c r="BR1597" s="261"/>
      <c r="BS1597" s="261"/>
      <c r="BT1597" s="261"/>
      <c r="BU1597" s="261"/>
      <c r="BV1597" s="261"/>
    </row>
    <row r="1598" spans="12:74">
      <c r="L1598" s="261"/>
      <c r="M1598" s="261"/>
      <c r="N1598" s="261"/>
      <c r="O1598" s="261"/>
      <c r="P1598" s="261"/>
      <c r="Q1598" s="261"/>
      <c r="BR1598" s="261"/>
      <c r="BS1598" s="261"/>
      <c r="BT1598" s="261"/>
      <c r="BU1598" s="261"/>
      <c r="BV1598" s="261"/>
    </row>
    <row r="1599" spans="12:74">
      <c r="L1599" s="261"/>
      <c r="M1599" s="261"/>
      <c r="N1599" s="261"/>
      <c r="O1599" s="261"/>
      <c r="P1599" s="261"/>
      <c r="Q1599" s="261"/>
      <c r="BR1599" s="261"/>
      <c r="BS1599" s="261"/>
      <c r="BT1599" s="261"/>
      <c r="BU1599" s="261"/>
      <c r="BV1599" s="261"/>
    </row>
    <row r="1600" spans="12:74">
      <c r="L1600" s="261"/>
      <c r="M1600" s="261"/>
      <c r="N1600" s="261"/>
      <c r="O1600" s="261"/>
      <c r="P1600" s="261"/>
      <c r="Q1600" s="261"/>
      <c r="BR1600" s="261"/>
      <c r="BS1600" s="261"/>
      <c r="BT1600" s="261"/>
      <c r="BU1600" s="261"/>
      <c r="BV1600" s="261"/>
    </row>
    <row r="1601" spans="12:74">
      <c r="L1601" s="261"/>
      <c r="M1601" s="261"/>
      <c r="N1601" s="261"/>
      <c r="O1601" s="261"/>
      <c r="P1601" s="261"/>
      <c r="Q1601" s="261"/>
      <c r="BR1601" s="261"/>
      <c r="BS1601" s="261"/>
      <c r="BT1601" s="261"/>
      <c r="BU1601" s="261"/>
      <c r="BV1601" s="261"/>
    </row>
    <row r="1602" spans="12:74">
      <c r="L1602" s="261"/>
      <c r="M1602" s="261"/>
      <c r="N1602" s="261"/>
      <c r="O1602" s="261"/>
      <c r="P1602" s="261"/>
      <c r="Q1602" s="261"/>
      <c r="BR1602" s="261"/>
      <c r="BS1602" s="261"/>
      <c r="BT1602" s="261"/>
      <c r="BU1602" s="261"/>
      <c r="BV1602" s="261"/>
    </row>
    <row r="1603" spans="12:74">
      <c r="L1603" s="261"/>
      <c r="M1603" s="261"/>
      <c r="N1603" s="261"/>
      <c r="O1603" s="261"/>
      <c r="P1603" s="261"/>
      <c r="Q1603" s="261"/>
      <c r="BR1603" s="261"/>
      <c r="BS1603" s="261"/>
      <c r="BT1603" s="261"/>
      <c r="BU1603" s="261"/>
      <c r="BV1603" s="261"/>
    </row>
    <row r="1604" spans="12:74">
      <c r="L1604" s="261"/>
      <c r="M1604" s="261"/>
      <c r="N1604" s="261"/>
      <c r="O1604" s="261"/>
      <c r="P1604" s="261"/>
      <c r="Q1604" s="261"/>
      <c r="BR1604" s="261"/>
      <c r="BS1604" s="261"/>
      <c r="BT1604" s="261"/>
      <c r="BU1604" s="261"/>
      <c r="BV1604" s="261"/>
    </row>
    <row r="1605" spans="12:74">
      <c r="L1605" s="261"/>
      <c r="M1605" s="261"/>
      <c r="N1605" s="261"/>
      <c r="O1605" s="261"/>
      <c r="P1605" s="261"/>
      <c r="Q1605" s="261"/>
      <c r="BR1605" s="261"/>
      <c r="BS1605" s="261"/>
      <c r="BT1605" s="261"/>
      <c r="BU1605" s="261"/>
      <c r="BV1605" s="261"/>
    </row>
    <row r="1606" spans="12:74">
      <c r="L1606" s="261"/>
      <c r="M1606" s="261"/>
      <c r="N1606" s="261"/>
      <c r="O1606" s="261"/>
      <c r="P1606" s="261"/>
      <c r="Q1606" s="261"/>
      <c r="BR1606" s="261"/>
      <c r="BS1606" s="261"/>
      <c r="BT1606" s="261"/>
      <c r="BU1606" s="261"/>
      <c r="BV1606" s="261"/>
    </row>
    <row r="1607" spans="12:74">
      <c r="L1607" s="261"/>
      <c r="M1607" s="261"/>
      <c r="N1607" s="261"/>
      <c r="O1607" s="261"/>
      <c r="P1607" s="261"/>
      <c r="Q1607" s="261"/>
      <c r="BR1607" s="261"/>
      <c r="BS1607" s="261"/>
      <c r="BT1607" s="261"/>
      <c r="BU1607" s="261"/>
      <c r="BV1607" s="261"/>
    </row>
    <row r="1608" spans="12:74">
      <c r="L1608" s="261"/>
      <c r="M1608" s="261"/>
      <c r="N1608" s="261"/>
      <c r="O1608" s="261"/>
      <c r="P1608" s="261"/>
      <c r="Q1608" s="261"/>
      <c r="BR1608" s="261"/>
      <c r="BS1608" s="261"/>
      <c r="BT1608" s="261"/>
      <c r="BU1608" s="261"/>
      <c r="BV1608" s="261"/>
    </row>
    <row r="1609" spans="12:74">
      <c r="L1609" s="261"/>
      <c r="M1609" s="261"/>
      <c r="N1609" s="261"/>
      <c r="O1609" s="261"/>
      <c r="P1609" s="261"/>
      <c r="Q1609" s="261"/>
      <c r="BR1609" s="261"/>
      <c r="BS1609" s="261"/>
      <c r="BT1609" s="261"/>
      <c r="BU1609" s="261"/>
      <c r="BV1609" s="261"/>
    </row>
    <row r="1610" spans="12:74">
      <c r="L1610" s="261"/>
      <c r="M1610" s="261"/>
      <c r="N1610" s="261"/>
      <c r="O1610" s="261"/>
      <c r="P1610" s="261"/>
      <c r="Q1610" s="261"/>
      <c r="BR1610" s="261"/>
      <c r="BS1610" s="261"/>
      <c r="BT1610" s="261"/>
      <c r="BU1610" s="261"/>
      <c r="BV1610" s="261"/>
    </row>
    <row r="1611" spans="12:74">
      <c r="L1611" s="261"/>
      <c r="M1611" s="261"/>
      <c r="N1611" s="261"/>
      <c r="O1611" s="261"/>
      <c r="P1611" s="261"/>
      <c r="Q1611" s="261"/>
      <c r="BR1611" s="261"/>
      <c r="BS1611" s="261"/>
      <c r="BT1611" s="261"/>
      <c r="BU1611" s="261"/>
      <c r="BV1611" s="261"/>
    </row>
    <row r="1612" spans="12:74">
      <c r="L1612" s="261"/>
      <c r="M1612" s="261"/>
      <c r="N1612" s="261"/>
      <c r="O1612" s="261"/>
      <c r="P1612" s="261"/>
      <c r="Q1612" s="261"/>
      <c r="BR1612" s="261"/>
      <c r="BS1612" s="261"/>
      <c r="BT1612" s="261"/>
      <c r="BU1612" s="261"/>
      <c r="BV1612" s="261"/>
    </row>
    <row r="1613" spans="12:74">
      <c r="L1613" s="261"/>
      <c r="M1613" s="261"/>
      <c r="N1613" s="261"/>
      <c r="O1613" s="261"/>
      <c r="P1613" s="261"/>
      <c r="Q1613" s="261"/>
      <c r="BR1613" s="261"/>
      <c r="BS1613" s="261"/>
      <c r="BT1613" s="261"/>
      <c r="BU1613" s="261"/>
      <c r="BV1613" s="261"/>
    </row>
    <row r="1614" spans="12:74">
      <c r="L1614" s="261"/>
      <c r="M1614" s="261"/>
      <c r="N1614" s="261"/>
      <c r="O1614" s="261"/>
      <c r="P1614" s="261"/>
      <c r="Q1614" s="261"/>
      <c r="BR1614" s="261"/>
      <c r="BS1614" s="261"/>
      <c r="BT1614" s="261"/>
      <c r="BU1614" s="261"/>
      <c r="BV1614" s="261"/>
    </row>
    <row r="1615" spans="12:74">
      <c r="L1615" s="261"/>
      <c r="M1615" s="261"/>
      <c r="N1615" s="261"/>
      <c r="O1615" s="261"/>
      <c r="P1615" s="261"/>
      <c r="Q1615" s="261"/>
      <c r="BR1615" s="261"/>
      <c r="BS1615" s="261"/>
      <c r="BT1615" s="261"/>
      <c r="BU1615" s="261"/>
      <c r="BV1615" s="261"/>
    </row>
    <row r="1616" spans="12:74">
      <c r="L1616" s="261"/>
      <c r="M1616" s="261"/>
      <c r="N1616" s="261"/>
      <c r="O1616" s="261"/>
      <c r="P1616" s="261"/>
      <c r="Q1616" s="261"/>
      <c r="BR1616" s="261"/>
      <c r="BS1616" s="261"/>
      <c r="BT1616" s="261"/>
      <c r="BU1616" s="261"/>
      <c r="BV1616" s="261"/>
    </row>
    <row r="1617" spans="12:74">
      <c r="L1617" s="261"/>
      <c r="M1617" s="261"/>
      <c r="N1617" s="261"/>
      <c r="O1617" s="261"/>
      <c r="P1617" s="261"/>
      <c r="Q1617" s="261"/>
      <c r="BR1617" s="261"/>
      <c r="BS1617" s="261"/>
      <c r="BT1617" s="261"/>
      <c r="BU1617" s="261"/>
      <c r="BV1617" s="261"/>
    </row>
    <row r="1618" spans="12:74">
      <c r="L1618" s="261"/>
      <c r="M1618" s="261"/>
      <c r="N1618" s="261"/>
      <c r="O1618" s="261"/>
      <c r="P1618" s="261"/>
      <c r="Q1618" s="261"/>
      <c r="BR1618" s="261"/>
      <c r="BS1618" s="261"/>
      <c r="BT1618" s="261"/>
      <c r="BU1618" s="261"/>
      <c r="BV1618" s="261"/>
    </row>
    <row r="1619" spans="12:74">
      <c r="L1619" s="261"/>
      <c r="M1619" s="261"/>
      <c r="N1619" s="261"/>
      <c r="O1619" s="261"/>
      <c r="P1619" s="261"/>
      <c r="Q1619" s="261"/>
      <c r="BR1619" s="261"/>
      <c r="BS1619" s="261"/>
      <c r="BT1619" s="261"/>
      <c r="BU1619" s="261"/>
      <c r="BV1619" s="261"/>
    </row>
    <row r="1620" spans="12:74">
      <c r="L1620" s="261"/>
      <c r="M1620" s="261"/>
      <c r="N1620" s="261"/>
      <c r="O1620" s="261"/>
      <c r="P1620" s="261"/>
      <c r="Q1620" s="261"/>
      <c r="BR1620" s="261"/>
      <c r="BS1620" s="261"/>
      <c r="BT1620" s="261"/>
      <c r="BU1620" s="261"/>
      <c r="BV1620" s="261"/>
    </row>
    <row r="1621" spans="12:74">
      <c r="L1621" s="261"/>
      <c r="M1621" s="261"/>
      <c r="N1621" s="261"/>
      <c r="O1621" s="261"/>
      <c r="P1621" s="261"/>
      <c r="Q1621" s="261"/>
      <c r="BR1621" s="261"/>
      <c r="BS1621" s="261"/>
      <c r="BT1621" s="261"/>
      <c r="BU1621" s="261"/>
      <c r="BV1621" s="261"/>
    </row>
    <row r="1622" spans="12:74">
      <c r="L1622" s="261"/>
      <c r="M1622" s="261"/>
      <c r="N1622" s="261"/>
      <c r="O1622" s="261"/>
      <c r="P1622" s="261"/>
      <c r="Q1622" s="261"/>
      <c r="BR1622" s="261"/>
      <c r="BS1622" s="261"/>
      <c r="BT1622" s="261"/>
      <c r="BU1622" s="261"/>
      <c r="BV1622" s="261"/>
    </row>
    <row r="1623" spans="12:74">
      <c r="L1623" s="261"/>
      <c r="M1623" s="261"/>
      <c r="N1623" s="261"/>
      <c r="O1623" s="261"/>
      <c r="P1623" s="261"/>
      <c r="Q1623" s="261"/>
      <c r="BR1623" s="261"/>
      <c r="BS1623" s="261"/>
      <c r="BT1623" s="261"/>
      <c r="BU1623" s="261"/>
      <c r="BV1623" s="261"/>
    </row>
    <row r="1624" spans="12:74">
      <c r="L1624" s="261"/>
      <c r="M1624" s="261"/>
      <c r="N1624" s="261"/>
      <c r="O1624" s="261"/>
      <c r="P1624" s="261"/>
      <c r="Q1624" s="261"/>
      <c r="BR1624" s="261"/>
      <c r="BS1624" s="261"/>
      <c r="BT1624" s="261"/>
      <c r="BU1624" s="261"/>
      <c r="BV1624" s="261"/>
    </row>
    <row r="1625" spans="12:74">
      <c r="L1625" s="261"/>
      <c r="M1625" s="261"/>
      <c r="N1625" s="261"/>
      <c r="O1625" s="261"/>
      <c r="P1625" s="261"/>
      <c r="Q1625" s="261"/>
      <c r="BR1625" s="261"/>
      <c r="BS1625" s="261"/>
      <c r="BT1625" s="261"/>
      <c r="BU1625" s="261"/>
      <c r="BV1625" s="261"/>
    </row>
    <row r="1626" spans="12:74">
      <c r="L1626" s="261"/>
      <c r="M1626" s="261"/>
      <c r="N1626" s="261"/>
      <c r="O1626" s="261"/>
      <c r="P1626" s="261"/>
      <c r="Q1626" s="261"/>
      <c r="BR1626" s="261"/>
      <c r="BS1626" s="261"/>
      <c r="BT1626" s="261"/>
      <c r="BU1626" s="261"/>
      <c r="BV1626" s="261"/>
    </row>
    <row r="1627" spans="12:74">
      <c r="L1627" s="261"/>
      <c r="M1627" s="261"/>
      <c r="N1627" s="261"/>
      <c r="O1627" s="261"/>
      <c r="P1627" s="261"/>
      <c r="Q1627" s="261"/>
      <c r="BR1627" s="261"/>
      <c r="BS1627" s="261"/>
      <c r="BT1627" s="261"/>
      <c r="BU1627" s="261"/>
      <c r="BV1627" s="261"/>
    </row>
    <row r="1628" spans="12:74">
      <c r="L1628" s="261"/>
      <c r="M1628" s="261"/>
      <c r="N1628" s="261"/>
      <c r="O1628" s="261"/>
      <c r="P1628" s="261"/>
      <c r="Q1628" s="261"/>
      <c r="BR1628" s="261"/>
      <c r="BS1628" s="261"/>
      <c r="BT1628" s="261"/>
      <c r="BU1628" s="261"/>
      <c r="BV1628" s="261"/>
    </row>
    <row r="1629" spans="12:74">
      <c r="L1629" s="261"/>
      <c r="M1629" s="261"/>
      <c r="N1629" s="261"/>
      <c r="O1629" s="261"/>
      <c r="P1629" s="261"/>
      <c r="Q1629" s="261"/>
      <c r="BR1629" s="261"/>
      <c r="BS1629" s="261"/>
      <c r="BT1629" s="261"/>
      <c r="BU1629" s="261"/>
      <c r="BV1629" s="261"/>
    </row>
    <row r="1630" spans="12:74">
      <c r="L1630" s="261"/>
      <c r="M1630" s="261"/>
      <c r="N1630" s="261"/>
      <c r="O1630" s="261"/>
      <c r="P1630" s="261"/>
      <c r="Q1630" s="261"/>
      <c r="BR1630" s="261"/>
      <c r="BS1630" s="261"/>
      <c r="BT1630" s="261"/>
      <c r="BU1630" s="261"/>
      <c r="BV1630" s="261"/>
    </row>
    <row r="1631" spans="12:74">
      <c r="L1631" s="261"/>
      <c r="M1631" s="261"/>
      <c r="N1631" s="261"/>
      <c r="O1631" s="261"/>
      <c r="P1631" s="261"/>
      <c r="Q1631" s="261"/>
      <c r="BR1631" s="261"/>
      <c r="BS1631" s="261"/>
      <c r="BT1631" s="261"/>
      <c r="BU1631" s="261"/>
      <c r="BV1631" s="261"/>
    </row>
    <row r="1632" spans="12:74">
      <c r="L1632" s="261"/>
      <c r="M1632" s="261"/>
      <c r="N1632" s="261"/>
      <c r="O1632" s="261"/>
      <c r="P1632" s="261"/>
      <c r="Q1632" s="261"/>
      <c r="BR1632" s="261"/>
      <c r="BS1632" s="261"/>
      <c r="BT1632" s="261"/>
      <c r="BU1632" s="261"/>
      <c r="BV1632" s="261"/>
    </row>
    <row r="1633" spans="12:74">
      <c r="L1633" s="261"/>
      <c r="M1633" s="261"/>
      <c r="N1633" s="261"/>
      <c r="O1633" s="261"/>
      <c r="P1633" s="261"/>
      <c r="Q1633" s="261"/>
      <c r="BR1633" s="261"/>
      <c r="BS1633" s="261"/>
      <c r="BT1633" s="261"/>
      <c r="BU1633" s="261"/>
      <c r="BV1633" s="261"/>
    </row>
    <row r="1634" spans="12:74">
      <c r="L1634" s="261"/>
      <c r="M1634" s="261"/>
      <c r="N1634" s="261"/>
      <c r="O1634" s="261"/>
      <c r="P1634" s="261"/>
      <c r="Q1634" s="261"/>
      <c r="BR1634" s="261"/>
      <c r="BS1634" s="261"/>
      <c r="BT1634" s="261"/>
      <c r="BU1634" s="261"/>
      <c r="BV1634" s="261"/>
    </row>
    <row r="1635" spans="12:74">
      <c r="L1635" s="261"/>
      <c r="M1635" s="261"/>
      <c r="N1635" s="261"/>
      <c r="O1635" s="261"/>
      <c r="P1635" s="261"/>
      <c r="Q1635" s="261"/>
      <c r="BR1635" s="261"/>
      <c r="BS1635" s="261"/>
      <c r="BT1635" s="261"/>
      <c r="BU1635" s="261"/>
      <c r="BV1635" s="261"/>
    </row>
    <row r="1636" spans="12:74">
      <c r="L1636" s="261"/>
      <c r="M1636" s="261"/>
      <c r="N1636" s="261"/>
      <c r="O1636" s="261"/>
      <c r="P1636" s="261"/>
      <c r="Q1636" s="261"/>
      <c r="BR1636" s="261"/>
      <c r="BS1636" s="261"/>
      <c r="BT1636" s="261"/>
      <c r="BU1636" s="261"/>
      <c r="BV1636" s="261"/>
    </row>
    <row r="1637" spans="12:74">
      <c r="L1637" s="261"/>
      <c r="M1637" s="261"/>
      <c r="N1637" s="261"/>
      <c r="O1637" s="261"/>
      <c r="P1637" s="261"/>
      <c r="Q1637" s="261"/>
      <c r="BR1637" s="261"/>
      <c r="BS1637" s="261"/>
      <c r="BT1637" s="261"/>
      <c r="BU1637" s="261"/>
      <c r="BV1637" s="261"/>
    </row>
    <row r="1638" spans="12:74">
      <c r="L1638" s="261"/>
      <c r="M1638" s="261"/>
      <c r="N1638" s="261"/>
      <c r="O1638" s="261"/>
      <c r="P1638" s="261"/>
      <c r="Q1638" s="261"/>
      <c r="BR1638" s="261"/>
      <c r="BS1638" s="261"/>
      <c r="BT1638" s="261"/>
      <c r="BU1638" s="261"/>
      <c r="BV1638" s="261"/>
    </row>
    <row r="1639" spans="12:74">
      <c r="L1639" s="261"/>
      <c r="M1639" s="261"/>
      <c r="N1639" s="261"/>
      <c r="O1639" s="261"/>
      <c r="P1639" s="261"/>
      <c r="Q1639" s="261"/>
      <c r="BR1639" s="261"/>
      <c r="BS1639" s="261"/>
      <c r="BT1639" s="261"/>
      <c r="BU1639" s="261"/>
      <c r="BV1639" s="261"/>
    </row>
    <row r="1640" spans="12:74">
      <c r="L1640" s="261"/>
      <c r="M1640" s="261"/>
      <c r="N1640" s="261"/>
      <c r="O1640" s="261"/>
      <c r="P1640" s="261"/>
      <c r="Q1640" s="261"/>
      <c r="BR1640" s="261"/>
      <c r="BS1640" s="261"/>
      <c r="BT1640" s="261"/>
      <c r="BU1640" s="261"/>
      <c r="BV1640" s="261"/>
    </row>
    <row r="1641" spans="12:74">
      <c r="L1641" s="261"/>
      <c r="M1641" s="261"/>
      <c r="N1641" s="261"/>
      <c r="O1641" s="261"/>
      <c r="P1641" s="261"/>
      <c r="Q1641" s="261"/>
      <c r="BR1641" s="261"/>
      <c r="BS1641" s="261"/>
      <c r="BT1641" s="261"/>
      <c r="BU1641" s="261"/>
      <c r="BV1641" s="261"/>
    </row>
    <row r="1642" spans="12:74">
      <c r="L1642" s="261"/>
      <c r="M1642" s="261"/>
      <c r="N1642" s="261"/>
      <c r="O1642" s="261"/>
      <c r="P1642" s="261"/>
      <c r="Q1642" s="261"/>
      <c r="BR1642" s="261"/>
      <c r="BS1642" s="261"/>
      <c r="BT1642" s="261"/>
      <c r="BU1642" s="261"/>
      <c r="BV1642" s="261"/>
    </row>
    <row r="1643" spans="12:74">
      <c r="L1643" s="261"/>
      <c r="M1643" s="261"/>
      <c r="N1643" s="261"/>
      <c r="O1643" s="261"/>
      <c r="P1643" s="261"/>
      <c r="Q1643" s="261"/>
      <c r="BR1643" s="261"/>
      <c r="BS1643" s="261"/>
      <c r="BT1643" s="261"/>
      <c r="BU1643" s="261"/>
      <c r="BV1643" s="261"/>
    </row>
    <row r="1644" spans="12:74">
      <c r="L1644" s="261"/>
      <c r="M1644" s="261"/>
      <c r="N1644" s="261"/>
      <c r="O1644" s="261"/>
      <c r="P1644" s="261"/>
      <c r="Q1644" s="261"/>
      <c r="BR1644" s="261"/>
      <c r="BS1644" s="261"/>
      <c r="BT1644" s="261"/>
      <c r="BU1644" s="261"/>
      <c r="BV1644" s="261"/>
    </row>
    <row r="1645" spans="12:74">
      <c r="L1645" s="261"/>
      <c r="M1645" s="261"/>
      <c r="N1645" s="261"/>
      <c r="O1645" s="261"/>
      <c r="P1645" s="261"/>
      <c r="Q1645" s="261"/>
      <c r="BR1645" s="261"/>
      <c r="BS1645" s="261"/>
      <c r="BT1645" s="261"/>
      <c r="BU1645" s="261"/>
      <c r="BV1645" s="261"/>
    </row>
    <row r="1646" spans="12:74">
      <c r="L1646" s="261"/>
      <c r="M1646" s="261"/>
      <c r="N1646" s="261"/>
      <c r="O1646" s="261"/>
      <c r="P1646" s="261"/>
      <c r="Q1646" s="261"/>
      <c r="BR1646" s="261"/>
      <c r="BS1646" s="261"/>
      <c r="BT1646" s="261"/>
      <c r="BU1646" s="261"/>
      <c r="BV1646" s="261"/>
    </row>
    <row r="1647" spans="12:74">
      <c r="L1647" s="261"/>
      <c r="M1647" s="261"/>
      <c r="N1647" s="261"/>
      <c r="O1647" s="261"/>
      <c r="P1647" s="261"/>
      <c r="Q1647" s="261"/>
      <c r="BR1647" s="261"/>
      <c r="BS1647" s="261"/>
      <c r="BT1647" s="261"/>
      <c r="BU1647" s="261"/>
      <c r="BV1647" s="261"/>
    </row>
    <row r="1648" spans="12:74">
      <c r="L1648" s="261"/>
      <c r="M1648" s="261"/>
      <c r="N1648" s="261"/>
      <c r="O1648" s="261"/>
      <c r="P1648" s="261"/>
      <c r="Q1648" s="261"/>
      <c r="BR1648" s="261"/>
      <c r="BS1648" s="261"/>
      <c r="BT1648" s="261"/>
      <c r="BU1648" s="261"/>
      <c r="BV1648" s="261"/>
    </row>
    <row r="1649" spans="12:74">
      <c r="L1649" s="261"/>
      <c r="M1649" s="261"/>
      <c r="N1649" s="261"/>
      <c r="O1649" s="261"/>
      <c r="P1649" s="261"/>
      <c r="Q1649" s="261"/>
      <c r="BR1649" s="261"/>
      <c r="BS1649" s="261"/>
      <c r="BT1649" s="261"/>
      <c r="BU1649" s="261"/>
      <c r="BV1649" s="261"/>
    </row>
    <row r="1650" spans="12:74">
      <c r="L1650" s="261"/>
      <c r="M1650" s="261"/>
      <c r="N1650" s="261"/>
      <c r="O1650" s="261"/>
      <c r="P1650" s="261"/>
      <c r="Q1650" s="261"/>
      <c r="BR1650" s="261"/>
      <c r="BS1650" s="261"/>
      <c r="BT1650" s="261"/>
      <c r="BU1650" s="261"/>
      <c r="BV1650" s="261"/>
    </row>
    <row r="1651" spans="12:74">
      <c r="L1651" s="261"/>
      <c r="M1651" s="261"/>
      <c r="N1651" s="261"/>
      <c r="O1651" s="261"/>
      <c r="P1651" s="261"/>
      <c r="Q1651" s="261"/>
      <c r="BR1651" s="261"/>
      <c r="BS1651" s="261"/>
      <c r="BT1651" s="261"/>
      <c r="BU1651" s="261"/>
      <c r="BV1651" s="261"/>
    </row>
    <row r="1652" spans="12:74">
      <c r="L1652" s="261"/>
      <c r="M1652" s="261"/>
      <c r="N1652" s="261"/>
      <c r="O1652" s="261"/>
      <c r="P1652" s="261"/>
      <c r="Q1652" s="261"/>
      <c r="BR1652" s="261"/>
      <c r="BS1652" s="261"/>
      <c r="BT1652" s="261"/>
      <c r="BU1652" s="261"/>
      <c r="BV1652" s="261"/>
    </row>
    <row r="1653" spans="12:74">
      <c r="L1653" s="261"/>
      <c r="M1653" s="261"/>
      <c r="N1653" s="261"/>
      <c r="O1653" s="261"/>
      <c r="P1653" s="261"/>
      <c r="Q1653" s="261"/>
      <c r="BR1653" s="261"/>
      <c r="BS1653" s="261"/>
      <c r="BT1653" s="261"/>
      <c r="BU1653" s="261"/>
      <c r="BV1653" s="261"/>
    </row>
    <row r="1654" spans="12:74">
      <c r="L1654" s="261"/>
      <c r="M1654" s="261"/>
      <c r="N1654" s="261"/>
      <c r="O1654" s="261"/>
      <c r="P1654" s="261"/>
      <c r="Q1654" s="261"/>
      <c r="BR1654" s="261"/>
      <c r="BS1654" s="261"/>
      <c r="BT1654" s="261"/>
      <c r="BU1654" s="261"/>
      <c r="BV1654" s="261"/>
    </row>
    <row r="1655" spans="12:74">
      <c r="L1655" s="261"/>
      <c r="M1655" s="261"/>
      <c r="N1655" s="261"/>
      <c r="O1655" s="261"/>
      <c r="P1655" s="261"/>
      <c r="Q1655" s="261"/>
      <c r="BR1655" s="261"/>
      <c r="BS1655" s="261"/>
      <c r="BT1655" s="261"/>
      <c r="BU1655" s="261"/>
      <c r="BV1655" s="261"/>
    </row>
    <row r="1656" spans="12:74">
      <c r="L1656" s="261"/>
      <c r="M1656" s="261"/>
      <c r="N1656" s="261"/>
      <c r="O1656" s="261"/>
      <c r="P1656" s="261"/>
      <c r="Q1656" s="261"/>
      <c r="BR1656" s="261"/>
      <c r="BS1656" s="261"/>
      <c r="BT1656" s="261"/>
      <c r="BU1656" s="261"/>
      <c r="BV1656" s="261"/>
    </row>
    <row r="1657" spans="12:74">
      <c r="L1657" s="261"/>
      <c r="M1657" s="261"/>
      <c r="N1657" s="261"/>
      <c r="O1657" s="261"/>
      <c r="P1657" s="261"/>
      <c r="Q1657" s="261"/>
      <c r="BR1657" s="261"/>
      <c r="BS1657" s="261"/>
      <c r="BT1657" s="261"/>
      <c r="BU1657" s="261"/>
      <c r="BV1657" s="261"/>
    </row>
    <row r="1658" spans="12:74">
      <c r="L1658" s="261"/>
      <c r="M1658" s="261"/>
      <c r="N1658" s="261"/>
      <c r="O1658" s="261"/>
      <c r="P1658" s="261"/>
      <c r="Q1658" s="261"/>
      <c r="BR1658" s="261"/>
      <c r="BS1658" s="261"/>
      <c r="BT1658" s="261"/>
      <c r="BU1658" s="261"/>
      <c r="BV1658" s="261"/>
    </row>
    <row r="1659" spans="12:74">
      <c r="L1659" s="261"/>
      <c r="M1659" s="261"/>
      <c r="N1659" s="261"/>
      <c r="O1659" s="261"/>
      <c r="P1659" s="261"/>
      <c r="Q1659" s="261"/>
      <c r="BR1659" s="261"/>
      <c r="BS1659" s="261"/>
      <c r="BT1659" s="261"/>
      <c r="BU1659" s="261"/>
      <c r="BV1659" s="261"/>
    </row>
    <row r="1660" spans="12:74">
      <c r="L1660" s="261"/>
      <c r="M1660" s="261"/>
      <c r="N1660" s="261"/>
      <c r="O1660" s="261"/>
      <c r="P1660" s="261"/>
      <c r="Q1660" s="261"/>
      <c r="BR1660" s="261"/>
      <c r="BS1660" s="261"/>
      <c r="BT1660" s="261"/>
      <c r="BU1660" s="261"/>
      <c r="BV1660" s="261"/>
    </row>
    <row r="1661" spans="12:74">
      <c r="L1661" s="261"/>
      <c r="M1661" s="261"/>
      <c r="N1661" s="261"/>
      <c r="O1661" s="261"/>
      <c r="P1661" s="261"/>
      <c r="Q1661" s="261"/>
      <c r="BR1661" s="261"/>
      <c r="BS1661" s="261"/>
      <c r="BT1661" s="261"/>
      <c r="BU1661" s="261"/>
      <c r="BV1661" s="261"/>
    </row>
    <row r="1662" spans="12:74">
      <c r="L1662" s="261"/>
      <c r="M1662" s="261"/>
      <c r="N1662" s="261"/>
      <c r="O1662" s="261"/>
      <c r="P1662" s="261"/>
      <c r="Q1662" s="261"/>
      <c r="BR1662" s="261"/>
      <c r="BS1662" s="261"/>
      <c r="BT1662" s="261"/>
      <c r="BU1662" s="261"/>
      <c r="BV1662" s="261"/>
    </row>
    <row r="1663" spans="12:74">
      <c r="L1663" s="261"/>
      <c r="M1663" s="261"/>
      <c r="N1663" s="261"/>
      <c r="O1663" s="261"/>
      <c r="P1663" s="261"/>
      <c r="Q1663" s="261"/>
      <c r="BR1663" s="261"/>
      <c r="BS1663" s="261"/>
      <c r="BT1663" s="261"/>
      <c r="BU1663" s="261"/>
      <c r="BV1663" s="261"/>
    </row>
    <row r="1664" spans="12:74">
      <c r="L1664" s="261"/>
      <c r="M1664" s="261"/>
      <c r="N1664" s="261"/>
      <c r="O1664" s="261"/>
      <c r="P1664" s="261"/>
      <c r="Q1664" s="261"/>
      <c r="BR1664" s="261"/>
      <c r="BS1664" s="261"/>
      <c r="BT1664" s="261"/>
      <c r="BU1664" s="261"/>
      <c r="BV1664" s="261"/>
    </row>
    <row r="1665" spans="12:74">
      <c r="L1665" s="261"/>
      <c r="M1665" s="261"/>
      <c r="N1665" s="261"/>
      <c r="O1665" s="261"/>
      <c r="P1665" s="261"/>
      <c r="Q1665" s="261"/>
      <c r="BR1665" s="261"/>
      <c r="BS1665" s="261"/>
      <c r="BT1665" s="261"/>
      <c r="BU1665" s="261"/>
      <c r="BV1665" s="261"/>
    </row>
    <row r="1666" spans="12:74">
      <c r="L1666" s="261"/>
      <c r="M1666" s="261"/>
      <c r="N1666" s="261"/>
      <c r="O1666" s="261"/>
      <c r="P1666" s="261"/>
      <c r="Q1666" s="261"/>
      <c r="BR1666" s="261"/>
      <c r="BS1666" s="261"/>
      <c r="BT1666" s="261"/>
      <c r="BU1666" s="261"/>
      <c r="BV1666" s="261"/>
    </row>
    <row r="1667" spans="12:74">
      <c r="L1667" s="261"/>
      <c r="M1667" s="261"/>
      <c r="N1667" s="261"/>
      <c r="O1667" s="261"/>
      <c r="P1667" s="261"/>
      <c r="Q1667" s="261"/>
      <c r="BR1667" s="261"/>
      <c r="BS1667" s="261"/>
      <c r="BT1667" s="261"/>
      <c r="BU1667" s="261"/>
      <c r="BV1667" s="261"/>
    </row>
    <row r="1668" spans="12:74">
      <c r="L1668" s="261"/>
      <c r="M1668" s="261"/>
      <c r="N1668" s="261"/>
      <c r="O1668" s="261"/>
      <c r="P1668" s="261"/>
      <c r="Q1668" s="261"/>
      <c r="BR1668" s="261"/>
      <c r="BS1668" s="261"/>
      <c r="BT1668" s="261"/>
      <c r="BU1668" s="261"/>
      <c r="BV1668" s="261"/>
    </row>
    <row r="1669" spans="12:74">
      <c r="L1669" s="261"/>
      <c r="M1669" s="261"/>
      <c r="N1669" s="261"/>
      <c r="O1669" s="261"/>
      <c r="P1669" s="261"/>
      <c r="Q1669" s="261"/>
      <c r="BR1669" s="261"/>
      <c r="BS1669" s="261"/>
      <c r="BT1669" s="261"/>
      <c r="BU1669" s="261"/>
      <c r="BV1669" s="261"/>
    </row>
    <row r="1670" spans="12:74">
      <c r="L1670" s="261"/>
      <c r="M1670" s="261"/>
      <c r="N1670" s="261"/>
      <c r="O1670" s="261"/>
      <c r="P1670" s="261"/>
      <c r="Q1670" s="261"/>
      <c r="BR1670" s="261"/>
      <c r="BS1670" s="261"/>
      <c r="BT1670" s="261"/>
      <c r="BU1670" s="261"/>
      <c r="BV1670" s="261"/>
    </row>
    <row r="1671" spans="12:74">
      <c r="L1671" s="261"/>
      <c r="M1671" s="261"/>
      <c r="N1671" s="261"/>
      <c r="O1671" s="261"/>
      <c r="P1671" s="261"/>
      <c r="Q1671" s="261"/>
      <c r="BR1671" s="261"/>
      <c r="BS1671" s="261"/>
      <c r="BT1671" s="261"/>
      <c r="BU1671" s="261"/>
      <c r="BV1671" s="261"/>
    </row>
    <row r="1672" spans="12:74">
      <c r="L1672" s="261"/>
      <c r="M1672" s="261"/>
      <c r="N1672" s="261"/>
      <c r="O1672" s="261"/>
      <c r="P1672" s="261"/>
      <c r="Q1672" s="261"/>
      <c r="BR1672" s="261"/>
      <c r="BS1672" s="261"/>
      <c r="BT1672" s="261"/>
      <c r="BU1672" s="261"/>
      <c r="BV1672" s="261"/>
    </row>
    <row r="1673" spans="12:74">
      <c r="L1673" s="261"/>
      <c r="M1673" s="261"/>
      <c r="N1673" s="261"/>
      <c r="O1673" s="261"/>
      <c r="P1673" s="261"/>
      <c r="Q1673" s="261"/>
      <c r="BR1673" s="261"/>
      <c r="BS1673" s="261"/>
      <c r="BT1673" s="261"/>
      <c r="BU1673" s="261"/>
      <c r="BV1673" s="261"/>
    </row>
    <row r="1674" spans="12:74">
      <c r="L1674" s="261"/>
      <c r="M1674" s="261"/>
      <c r="N1674" s="261"/>
      <c r="O1674" s="261"/>
      <c r="P1674" s="261"/>
      <c r="Q1674" s="261"/>
      <c r="BR1674" s="261"/>
      <c r="BS1674" s="261"/>
      <c r="BT1674" s="261"/>
      <c r="BU1674" s="261"/>
      <c r="BV1674" s="261"/>
    </row>
    <row r="1675" spans="12:74">
      <c r="L1675" s="261"/>
      <c r="M1675" s="261"/>
      <c r="N1675" s="261"/>
      <c r="O1675" s="261"/>
      <c r="P1675" s="261"/>
      <c r="Q1675" s="261"/>
      <c r="BR1675" s="261"/>
      <c r="BS1675" s="261"/>
      <c r="BT1675" s="261"/>
      <c r="BU1675" s="261"/>
      <c r="BV1675" s="261"/>
    </row>
    <row r="1676" spans="12:74">
      <c r="L1676" s="261"/>
      <c r="M1676" s="261"/>
      <c r="N1676" s="261"/>
      <c r="O1676" s="261"/>
      <c r="P1676" s="261"/>
      <c r="Q1676" s="261"/>
      <c r="BR1676" s="261"/>
      <c r="BS1676" s="261"/>
      <c r="BT1676" s="261"/>
      <c r="BU1676" s="261"/>
      <c r="BV1676" s="261"/>
    </row>
    <row r="1677" spans="12:74">
      <c r="L1677" s="261"/>
      <c r="M1677" s="261"/>
      <c r="N1677" s="261"/>
      <c r="O1677" s="261"/>
      <c r="P1677" s="261"/>
      <c r="Q1677" s="261"/>
      <c r="BR1677" s="261"/>
      <c r="BS1677" s="261"/>
      <c r="BT1677" s="261"/>
      <c r="BU1677" s="261"/>
      <c r="BV1677" s="261"/>
    </row>
    <row r="1678" spans="12:74">
      <c r="L1678" s="261"/>
      <c r="M1678" s="261"/>
      <c r="N1678" s="261"/>
      <c r="O1678" s="261"/>
      <c r="P1678" s="261"/>
      <c r="Q1678" s="261"/>
      <c r="BR1678" s="261"/>
      <c r="BS1678" s="261"/>
      <c r="BT1678" s="261"/>
      <c r="BU1678" s="261"/>
      <c r="BV1678" s="261"/>
    </row>
    <row r="1679" spans="12:74">
      <c r="L1679" s="261"/>
      <c r="M1679" s="261"/>
      <c r="N1679" s="261"/>
      <c r="O1679" s="261"/>
      <c r="P1679" s="261"/>
      <c r="Q1679" s="261"/>
      <c r="BR1679" s="261"/>
      <c r="BS1679" s="261"/>
      <c r="BT1679" s="261"/>
      <c r="BU1679" s="261"/>
      <c r="BV1679" s="261"/>
    </row>
    <row r="1680" spans="12:74">
      <c r="L1680" s="261"/>
      <c r="M1680" s="261"/>
      <c r="N1680" s="261"/>
      <c r="O1680" s="261"/>
      <c r="P1680" s="261"/>
      <c r="Q1680" s="261"/>
      <c r="BR1680" s="261"/>
      <c r="BS1680" s="261"/>
      <c r="BT1680" s="261"/>
      <c r="BU1680" s="261"/>
      <c r="BV1680" s="261"/>
    </row>
    <row r="1681" spans="12:74">
      <c r="L1681" s="261"/>
      <c r="M1681" s="261"/>
      <c r="N1681" s="261"/>
      <c r="O1681" s="261"/>
      <c r="P1681" s="261"/>
      <c r="Q1681" s="261"/>
      <c r="BR1681" s="261"/>
      <c r="BS1681" s="261"/>
      <c r="BT1681" s="261"/>
      <c r="BU1681" s="261"/>
      <c r="BV1681" s="261"/>
    </row>
    <row r="1682" spans="12:74">
      <c r="L1682" s="261"/>
      <c r="M1682" s="261"/>
      <c r="N1682" s="261"/>
      <c r="O1682" s="261"/>
      <c r="P1682" s="261"/>
      <c r="Q1682" s="261"/>
      <c r="BR1682" s="261"/>
      <c r="BS1682" s="261"/>
      <c r="BT1682" s="261"/>
      <c r="BU1682" s="261"/>
      <c r="BV1682" s="261"/>
    </row>
    <row r="1683" spans="12:74">
      <c r="L1683" s="261"/>
      <c r="M1683" s="261"/>
      <c r="N1683" s="261"/>
      <c r="O1683" s="261"/>
      <c r="P1683" s="261"/>
      <c r="Q1683" s="261"/>
      <c r="BR1683" s="261"/>
      <c r="BS1683" s="261"/>
      <c r="BT1683" s="261"/>
      <c r="BU1683" s="261"/>
      <c r="BV1683" s="261"/>
    </row>
    <row r="1684" spans="12:74">
      <c r="L1684" s="261"/>
      <c r="M1684" s="261"/>
      <c r="N1684" s="261"/>
      <c r="O1684" s="261"/>
      <c r="P1684" s="261"/>
      <c r="Q1684" s="261"/>
      <c r="BR1684" s="261"/>
      <c r="BS1684" s="261"/>
      <c r="BT1684" s="261"/>
      <c r="BU1684" s="261"/>
      <c r="BV1684" s="261"/>
    </row>
    <row r="1685" spans="12:74">
      <c r="L1685" s="261"/>
      <c r="M1685" s="261"/>
      <c r="N1685" s="261"/>
      <c r="O1685" s="261"/>
      <c r="P1685" s="261"/>
      <c r="Q1685" s="261"/>
      <c r="BR1685" s="261"/>
      <c r="BS1685" s="261"/>
      <c r="BT1685" s="261"/>
      <c r="BU1685" s="261"/>
      <c r="BV1685" s="261"/>
    </row>
    <row r="1686" spans="12:74">
      <c r="L1686" s="261"/>
      <c r="M1686" s="261"/>
      <c r="N1686" s="261"/>
      <c r="O1686" s="261"/>
      <c r="P1686" s="261"/>
      <c r="Q1686" s="261"/>
      <c r="BR1686" s="261"/>
      <c r="BS1686" s="261"/>
      <c r="BT1686" s="261"/>
      <c r="BU1686" s="261"/>
      <c r="BV1686" s="261"/>
    </row>
    <row r="1687" spans="12:74">
      <c r="L1687" s="261"/>
      <c r="M1687" s="261"/>
      <c r="N1687" s="261"/>
      <c r="O1687" s="261"/>
      <c r="P1687" s="261"/>
      <c r="Q1687" s="261"/>
      <c r="BR1687" s="261"/>
      <c r="BS1687" s="261"/>
      <c r="BT1687" s="261"/>
      <c r="BU1687" s="261"/>
      <c r="BV1687" s="261"/>
    </row>
    <row r="1688" spans="12:74">
      <c r="L1688" s="261"/>
      <c r="M1688" s="261"/>
      <c r="N1688" s="261"/>
      <c r="O1688" s="261"/>
      <c r="P1688" s="261"/>
      <c r="Q1688" s="261"/>
      <c r="BR1688" s="261"/>
      <c r="BS1688" s="261"/>
      <c r="BT1688" s="261"/>
      <c r="BU1688" s="261"/>
      <c r="BV1688" s="261"/>
    </row>
    <row r="1689" spans="12:74">
      <c r="L1689" s="261"/>
      <c r="M1689" s="261"/>
      <c r="N1689" s="261"/>
      <c r="O1689" s="261"/>
      <c r="P1689" s="261"/>
      <c r="Q1689" s="261"/>
      <c r="BR1689" s="261"/>
      <c r="BS1689" s="261"/>
      <c r="BT1689" s="261"/>
      <c r="BU1689" s="261"/>
      <c r="BV1689" s="261"/>
    </row>
    <row r="1690" spans="12:74">
      <c r="L1690" s="261"/>
      <c r="M1690" s="261"/>
      <c r="N1690" s="261"/>
      <c r="O1690" s="261"/>
      <c r="P1690" s="261"/>
      <c r="Q1690" s="261"/>
      <c r="BR1690" s="261"/>
      <c r="BS1690" s="261"/>
      <c r="BT1690" s="261"/>
      <c r="BU1690" s="261"/>
      <c r="BV1690" s="261"/>
    </row>
    <row r="1691" spans="12:74">
      <c r="L1691" s="261"/>
      <c r="M1691" s="261"/>
      <c r="N1691" s="261"/>
      <c r="O1691" s="261"/>
      <c r="P1691" s="261"/>
      <c r="Q1691" s="261"/>
      <c r="BR1691" s="261"/>
      <c r="BS1691" s="261"/>
      <c r="BT1691" s="261"/>
      <c r="BU1691" s="261"/>
      <c r="BV1691" s="261"/>
    </row>
    <row r="1692" spans="12:74">
      <c r="L1692" s="261"/>
      <c r="M1692" s="261"/>
      <c r="N1692" s="261"/>
      <c r="O1692" s="261"/>
      <c r="P1692" s="261"/>
      <c r="Q1692" s="261"/>
      <c r="BR1692" s="261"/>
      <c r="BS1692" s="261"/>
      <c r="BT1692" s="261"/>
      <c r="BU1692" s="261"/>
      <c r="BV1692" s="261"/>
    </row>
    <row r="1693" spans="12:74">
      <c r="L1693" s="261"/>
      <c r="M1693" s="261"/>
      <c r="N1693" s="261"/>
      <c r="O1693" s="261"/>
      <c r="P1693" s="261"/>
      <c r="Q1693" s="261"/>
      <c r="BR1693" s="261"/>
      <c r="BS1693" s="261"/>
      <c r="BT1693" s="261"/>
      <c r="BU1693" s="261"/>
      <c r="BV1693" s="261"/>
    </row>
    <row r="1694" spans="12:74">
      <c r="L1694" s="261"/>
      <c r="M1694" s="261"/>
      <c r="N1694" s="261"/>
      <c r="O1694" s="261"/>
      <c r="P1694" s="261"/>
      <c r="Q1694" s="261"/>
      <c r="BR1694" s="261"/>
      <c r="BS1694" s="261"/>
      <c r="BT1694" s="261"/>
      <c r="BU1694" s="261"/>
      <c r="BV1694" s="261"/>
    </row>
    <row r="1695" spans="12:74">
      <c r="L1695" s="261"/>
      <c r="M1695" s="261"/>
      <c r="N1695" s="261"/>
      <c r="O1695" s="261"/>
      <c r="P1695" s="261"/>
      <c r="Q1695" s="261"/>
      <c r="BR1695" s="261"/>
      <c r="BS1695" s="261"/>
      <c r="BT1695" s="261"/>
      <c r="BU1695" s="261"/>
      <c r="BV1695" s="261"/>
    </row>
    <row r="1696" spans="12:74">
      <c r="L1696" s="261"/>
      <c r="M1696" s="261"/>
      <c r="N1696" s="261"/>
      <c r="O1696" s="261"/>
      <c r="P1696" s="261"/>
      <c r="Q1696" s="261"/>
      <c r="BR1696" s="261"/>
      <c r="BS1696" s="261"/>
      <c r="BT1696" s="261"/>
      <c r="BU1696" s="261"/>
      <c r="BV1696" s="261"/>
    </row>
    <row r="1697" spans="12:74">
      <c r="L1697" s="261"/>
      <c r="M1697" s="261"/>
      <c r="N1697" s="261"/>
      <c r="O1697" s="261"/>
      <c r="P1697" s="261"/>
      <c r="Q1697" s="261"/>
      <c r="BR1697" s="261"/>
      <c r="BS1697" s="261"/>
      <c r="BT1697" s="261"/>
      <c r="BU1697" s="261"/>
      <c r="BV1697" s="261"/>
    </row>
    <row r="1698" spans="12:74">
      <c r="L1698" s="261"/>
      <c r="M1698" s="261"/>
      <c r="N1698" s="261"/>
      <c r="O1698" s="261"/>
      <c r="P1698" s="261"/>
      <c r="Q1698" s="261"/>
      <c r="BR1698" s="261"/>
      <c r="BS1698" s="261"/>
      <c r="BT1698" s="261"/>
      <c r="BU1698" s="261"/>
      <c r="BV1698" s="261"/>
    </row>
    <row r="1699" spans="12:74">
      <c r="L1699" s="261"/>
      <c r="M1699" s="261"/>
      <c r="N1699" s="261"/>
      <c r="O1699" s="261"/>
      <c r="P1699" s="261"/>
      <c r="Q1699" s="261"/>
      <c r="BR1699" s="261"/>
      <c r="BS1699" s="261"/>
      <c r="BT1699" s="261"/>
      <c r="BU1699" s="261"/>
      <c r="BV1699" s="261"/>
    </row>
    <row r="1700" spans="12:74">
      <c r="L1700" s="261"/>
      <c r="M1700" s="261"/>
      <c r="N1700" s="261"/>
      <c r="O1700" s="261"/>
      <c r="P1700" s="261"/>
      <c r="Q1700" s="261"/>
      <c r="BR1700" s="261"/>
      <c r="BS1700" s="261"/>
      <c r="BT1700" s="261"/>
      <c r="BU1700" s="261"/>
      <c r="BV1700" s="261"/>
    </row>
    <row r="1701" spans="12:74">
      <c r="L1701" s="261"/>
      <c r="M1701" s="261"/>
      <c r="N1701" s="261"/>
      <c r="O1701" s="261"/>
      <c r="P1701" s="261"/>
      <c r="Q1701" s="261"/>
      <c r="BR1701" s="261"/>
      <c r="BS1701" s="261"/>
      <c r="BT1701" s="261"/>
      <c r="BU1701" s="261"/>
      <c r="BV1701" s="261"/>
    </row>
    <row r="1702" spans="12:74">
      <c r="L1702" s="261"/>
      <c r="M1702" s="261"/>
      <c r="N1702" s="261"/>
      <c r="O1702" s="261"/>
      <c r="P1702" s="261"/>
      <c r="Q1702" s="261"/>
      <c r="BR1702" s="261"/>
      <c r="BS1702" s="261"/>
      <c r="BT1702" s="261"/>
      <c r="BU1702" s="261"/>
      <c r="BV1702" s="261"/>
    </row>
    <row r="1703" spans="12:74">
      <c r="L1703" s="261"/>
      <c r="M1703" s="261"/>
      <c r="N1703" s="261"/>
      <c r="O1703" s="261"/>
      <c r="P1703" s="261"/>
      <c r="Q1703" s="261"/>
      <c r="BR1703" s="261"/>
      <c r="BS1703" s="261"/>
      <c r="BT1703" s="261"/>
      <c r="BU1703" s="261"/>
      <c r="BV1703" s="261"/>
    </row>
    <row r="1704" spans="12:74">
      <c r="L1704" s="261"/>
      <c r="M1704" s="261"/>
      <c r="N1704" s="261"/>
      <c r="O1704" s="261"/>
      <c r="P1704" s="261"/>
      <c r="Q1704" s="261"/>
      <c r="BR1704" s="261"/>
      <c r="BS1704" s="261"/>
      <c r="BT1704" s="261"/>
      <c r="BU1704" s="261"/>
      <c r="BV1704" s="261"/>
    </row>
    <row r="1705" spans="12:74">
      <c r="L1705" s="261"/>
      <c r="M1705" s="261"/>
      <c r="N1705" s="261"/>
      <c r="O1705" s="261"/>
      <c r="P1705" s="261"/>
      <c r="Q1705" s="261"/>
      <c r="BR1705" s="261"/>
      <c r="BS1705" s="261"/>
      <c r="BT1705" s="261"/>
      <c r="BU1705" s="261"/>
      <c r="BV1705" s="261"/>
    </row>
    <row r="1706" spans="12:74">
      <c r="L1706" s="261"/>
      <c r="M1706" s="261"/>
      <c r="N1706" s="261"/>
      <c r="O1706" s="261"/>
      <c r="P1706" s="261"/>
      <c r="Q1706" s="261"/>
      <c r="BR1706" s="261"/>
      <c r="BS1706" s="261"/>
      <c r="BT1706" s="261"/>
      <c r="BU1706" s="261"/>
      <c r="BV1706" s="261"/>
    </row>
    <row r="1707" spans="12:74">
      <c r="L1707" s="261"/>
      <c r="M1707" s="261"/>
      <c r="N1707" s="261"/>
      <c r="O1707" s="261"/>
      <c r="P1707" s="261"/>
      <c r="Q1707" s="261"/>
      <c r="BR1707" s="261"/>
      <c r="BS1707" s="261"/>
      <c r="BT1707" s="261"/>
      <c r="BU1707" s="261"/>
      <c r="BV1707" s="261"/>
    </row>
    <row r="1708" spans="12:74">
      <c r="L1708" s="261"/>
      <c r="M1708" s="261"/>
      <c r="N1708" s="261"/>
      <c r="O1708" s="261"/>
      <c r="P1708" s="261"/>
      <c r="Q1708" s="261"/>
      <c r="BR1708" s="261"/>
      <c r="BS1708" s="261"/>
      <c r="BT1708" s="261"/>
      <c r="BU1708" s="261"/>
      <c r="BV1708" s="261"/>
    </row>
    <row r="1709" spans="12:74">
      <c r="L1709" s="261"/>
      <c r="M1709" s="261"/>
      <c r="N1709" s="261"/>
      <c r="O1709" s="261"/>
      <c r="P1709" s="261"/>
      <c r="Q1709" s="261"/>
      <c r="BR1709" s="261"/>
      <c r="BS1709" s="261"/>
      <c r="BT1709" s="261"/>
      <c r="BU1709" s="261"/>
      <c r="BV1709" s="261"/>
    </row>
    <row r="1710" spans="12:74">
      <c r="L1710" s="261"/>
      <c r="M1710" s="261"/>
      <c r="N1710" s="261"/>
      <c r="O1710" s="261"/>
      <c r="P1710" s="261"/>
      <c r="Q1710" s="261"/>
      <c r="BR1710" s="261"/>
      <c r="BS1710" s="261"/>
      <c r="BT1710" s="261"/>
      <c r="BU1710" s="261"/>
      <c r="BV1710" s="261"/>
    </row>
    <row r="1711" spans="12:74">
      <c r="L1711" s="261"/>
      <c r="M1711" s="261"/>
      <c r="N1711" s="261"/>
      <c r="O1711" s="261"/>
      <c r="P1711" s="261"/>
      <c r="Q1711" s="261"/>
      <c r="BR1711" s="261"/>
      <c r="BS1711" s="261"/>
      <c r="BT1711" s="261"/>
      <c r="BU1711" s="261"/>
      <c r="BV1711" s="261"/>
    </row>
    <row r="1712" spans="12:74">
      <c r="L1712" s="261"/>
      <c r="M1712" s="261"/>
      <c r="N1712" s="261"/>
      <c r="O1712" s="261"/>
      <c r="P1712" s="261"/>
      <c r="Q1712" s="261"/>
      <c r="BR1712" s="261"/>
      <c r="BS1712" s="261"/>
      <c r="BT1712" s="261"/>
      <c r="BU1712" s="261"/>
      <c r="BV1712" s="261"/>
    </row>
    <row r="1713" spans="12:74">
      <c r="L1713" s="261"/>
      <c r="M1713" s="261"/>
      <c r="N1713" s="261"/>
      <c r="O1713" s="261"/>
      <c r="P1713" s="261"/>
      <c r="Q1713" s="261"/>
      <c r="BR1713" s="261"/>
      <c r="BS1713" s="261"/>
      <c r="BT1713" s="261"/>
      <c r="BU1713" s="261"/>
      <c r="BV1713" s="261"/>
    </row>
    <row r="1714" spans="12:74">
      <c r="L1714" s="261"/>
      <c r="M1714" s="261"/>
      <c r="N1714" s="261"/>
      <c r="O1714" s="261"/>
      <c r="P1714" s="261"/>
      <c r="Q1714" s="261"/>
      <c r="BR1714" s="261"/>
      <c r="BS1714" s="261"/>
      <c r="BT1714" s="261"/>
      <c r="BU1714" s="261"/>
      <c r="BV1714" s="261"/>
    </row>
    <row r="1715" spans="12:74">
      <c r="L1715" s="261"/>
      <c r="M1715" s="261"/>
      <c r="N1715" s="261"/>
      <c r="O1715" s="261"/>
      <c r="P1715" s="261"/>
      <c r="Q1715" s="261"/>
      <c r="BR1715" s="261"/>
      <c r="BS1715" s="261"/>
      <c r="BT1715" s="261"/>
      <c r="BU1715" s="261"/>
      <c r="BV1715" s="261"/>
    </row>
    <row r="1716" spans="12:74">
      <c r="L1716" s="261"/>
      <c r="M1716" s="261"/>
      <c r="N1716" s="261"/>
      <c r="O1716" s="261"/>
      <c r="P1716" s="261"/>
      <c r="Q1716" s="261"/>
      <c r="BR1716" s="261"/>
      <c r="BS1716" s="261"/>
      <c r="BT1716" s="261"/>
      <c r="BU1716" s="261"/>
      <c r="BV1716" s="261"/>
    </row>
    <row r="1717" spans="12:74">
      <c r="L1717" s="261"/>
      <c r="M1717" s="261"/>
      <c r="N1717" s="261"/>
      <c r="O1717" s="261"/>
      <c r="P1717" s="261"/>
      <c r="Q1717" s="261"/>
      <c r="BR1717" s="261"/>
      <c r="BS1717" s="261"/>
      <c r="BT1717" s="261"/>
      <c r="BU1717" s="261"/>
      <c r="BV1717" s="261"/>
    </row>
    <row r="1718" spans="12:74">
      <c r="L1718" s="261"/>
      <c r="M1718" s="261"/>
      <c r="N1718" s="261"/>
      <c r="O1718" s="261"/>
      <c r="P1718" s="261"/>
      <c r="Q1718" s="261"/>
      <c r="BR1718" s="261"/>
      <c r="BS1718" s="261"/>
      <c r="BT1718" s="261"/>
      <c r="BU1718" s="261"/>
      <c r="BV1718" s="261"/>
    </row>
    <row r="1719" spans="12:74">
      <c r="L1719" s="261"/>
      <c r="M1719" s="261"/>
      <c r="N1719" s="261"/>
      <c r="O1719" s="261"/>
      <c r="P1719" s="261"/>
      <c r="Q1719" s="261"/>
      <c r="BR1719" s="261"/>
      <c r="BS1719" s="261"/>
      <c r="BT1719" s="261"/>
      <c r="BU1719" s="261"/>
      <c r="BV1719" s="261"/>
    </row>
    <row r="1720" spans="12:74">
      <c r="L1720" s="261"/>
      <c r="M1720" s="261"/>
      <c r="N1720" s="261"/>
      <c r="O1720" s="261"/>
      <c r="P1720" s="261"/>
      <c r="Q1720" s="261"/>
      <c r="BR1720" s="261"/>
      <c r="BS1720" s="261"/>
      <c r="BT1720" s="261"/>
      <c r="BU1720" s="261"/>
      <c r="BV1720" s="261"/>
    </row>
    <row r="1721" spans="12:74">
      <c r="L1721" s="261"/>
      <c r="M1721" s="261"/>
      <c r="N1721" s="261"/>
      <c r="O1721" s="261"/>
      <c r="P1721" s="261"/>
      <c r="Q1721" s="261"/>
      <c r="BR1721" s="261"/>
      <c r="BS1721" s="261"/>
      <c r="BT1721" s="261"/>
      <c r="BU1721" s="261"/>
      <c r="BV1721" s="261"/>
    </row>
    <row r="1722" spans="12:74">
      <c r="L1722" s="261"/>
      <c r="M1722" s="261"/>
      <c r="N1722" s="261"/>
      <c r="O1722" s="261"/>
      <c r="P1722" s="261"/>
      <c r="Q1722" s="261"/>
      <c r="BR1722" s="261"/>
      <c r="BS1722" s="261"/>
      <c r="BT1722" s="261"/>
      <c r="BU1722" s="261"/>
      <c r="BV1722" s="261"/>
    </row>
    <row r="1723" spans="12:74">
      <c r="L1723" s="261"/>
      <c r="M1723" s="261"/>
      <c r="N1723" s="261"/>
      <c r="O1723" s="261"/>
      <c r="P1723" s="261"/>
      <c r="Q1723" s="261"/>
      <c r="BR1723" s="261"/>
      <c r="BS1723" s="261"/>
      <c r="BT1723" s="261"/>
      <c r="BU1723" s="261"/>
      <c r="BV1723" s="261"/>
    </row>
    <row r="1724" spans="12:74">
      <c r="L1724" s="261"/>
      <c r="M1724" s="261"/>
      <c r="N1724" s="261"/>
      <c r="O1724" s="261"/>
      <c r="P1724" s="261"/>
      <c r="Q1724" s="261"/>
      <c r="BR1724" s="261"/>
      <c r="BS1724" s="261"/>
      <c r="BT1724" s="261"/>
      <c r="BU1724" s="261"/>
      <c r="BV1724" s="261"/>
    </row>
    <row r="1725" spans="12:74">
      <c r="L1725" s="261"/>
      <c r="M1725" s="261"/>
      <c r="N1725" s="261"/>
      <c r="O1725" s="261"/>
      <c r="P1725" s="261"/>
      <c r="Q1725" s="261"/>
      <c r="BR1725" s="261"/>
      <c r="BS1725" s="261"/>
      <c r="BT1725" s="261"/>
      <c r="BU1725" s="261"/>
      <c r="BV1725" s="261"/>
    </row>
    <row r="1726" spans="12:74">
      <c r="L1726" s="261"/>
      <c r="M1726" s="261"/>
      <c r="N1726" s="261"/>
      <c r="O1726" s="261"/>
      <c r="P1726" s="261"/>
      <c r="Q1726" s="261"/>
      <c r="BR1726" s="261"/>
      <c r="BS1726" s="261"/>
      <c r="BT1726" s="261"/>
      <c r="BU1726" s="261"/>
      <c r="BV1726" s="261"/>
    </row>
    <row r="1727" spans="12:74">
      <c r="L1727" s="261"/>
      <c r="M1727" s="261"/>
      <c r="N1727" s="261"/>
      <c r="O1727" s="261"/>
      <c r="P1727" s="261"/>
      <c r="Q1727" s="261"/>
      <c r="BR1727" s="261"/>
      <c r="BS1727" s="261"/>
      <c r="BT1727" s="261"/>
      <c r="BU1727" s="261"/>
      <c r="BV1727" s="261"/>
    </row>
    <row r="1728" spans="12:74">
      <c r="L1728" s="261"/>
      <c r="M1728" s="261"/>
      <c r="N1728" s="261"/>
      <c r="O1728" s="261"/>
      <c r="P1728" s="261"/>
      <c r="Q1728" s="261"/>
      <c r="BR1728" s="261"/>
      <c r="BS1728" s="261"/>
      <c r="BT1728" s="261"/>
      <c r="BU1728" s="261"/>
      <c r="BV1728" s="261"/>
    </row>
    <row r="1729" spans="12:74">
      <c r="L1729" s="261"/>
      <c r="M1729" s="261"/>
      <c r="N1729" s="261"/>
      <c r="O1729" s="261"/>
      <c r="P1729" s="261"/>
      <c r="Q1729" s="261"/>
      <c r="BR1729" s="261"/>
      <c r="BS1729" s="261"/>
      <c r="BT1729" s="261"/>
      <c r="BU1729" s="261"/>
      <c r="BV1729" s="261"/>
    </row>
    <row r="1730" spans="12:74">
      <c r="L1730" s="261"/>
      <c r="M1730" s="261"/>
      <c r="N1730" s="261"/>
      <c r="O1730" s="261"/>
      <c r="P1730" s="261"/>
      <c r="Q1730" s="261"/>
      <c r="BR1730" s="261"/>
      <c r="BS1730" s="261"/>
      <c r="BT1730" s="261"/>
      <c r="BU1730" s="261"/>
      <c r="BV1730" s="261"/>
    </row>
    <row r="1731" spans="12:74">
      <c r="L1731" s="261"/>
      <c r="M1731" s="261"/>
      <c r="N1731" s="261"/>
      <c r="O1731" s="261"/>
      <c r="P1731" s="261"/>
      <c r="Q1731" s="261"/>
      <c r="BR1731" s="261"/>
      <c r="BS1731" s="261"/>
      <c r="BT1731" s="261"/>
      <c r="BU1731" s="261"/>
      <c r="BV1731" s="261"/>
    </row>
    <row r="1732" spans="12:74">
      <c r="L1732" s="261"/>
      <c r="M1732" s="261"/>
      <c r="N1732" s="261"/>
      <c r="O1732" s="261"/>
      <c r="P1732" s="261"/>
      <c r="Q1732" s="261"/>
      <c r="BR1732" s="261"/>
      <c r="BS1732" s="261"/>
      <c r="BT1732" s="261"/>
      <c r="BU1732" s="261"/>
      <c r="BV1732" s="261"/>
    </row>
    <row r="1733" spans="12:74">
      <c r="L1733" s="261"/>
      <c r="M1733" s="261"/>
      <c r="N1733" s="261"/>
      <c r="O1733" s="261"/>
      <c r="P1733" s="261"/>
      <c r="Q1733" s="261"/>
      <c r="BR1733" s="261"/>
      <c r="BS1733" s="261"/>
      <c r="BT1733" s="261"/>
      <c r="BU1733" s="261"/>
      <c r="BV1733" s="261"/>
    </row>
    <row r="1734" spans="12:74">
      <c r="L1734" s="261"/>
      <c r="M1734" s="261"/>
      <c r="N1734" s="261"/>
      <c r="O1734" s="261"/>
      <c r="P1734" s="261"/>
      <c r="Q1734" s="261"/>
      <c r="BR1734" s="261"/>
      <c r="BS1734" s="261"/>
      <c r="BT1734" s="261"/>
      <c r="BU1734" s="261"/>
      <c r="BV1734" s="261"/>
    </row>
    <row r="1735" spans="12:74">
      <c r="L1735" s="261"/>
      <c r="M1735" s="261"/>
      <c r="N1735" s="261"/>
      <c r="O1735" s="261"/>
      <c r="P1735" s="261"/>
      <c r="Q1735" s="261"/>
      <c r="BR1735" s="261"/>
      <c r="BS1735" s="261"/>
      <c r="BT1735" s="261"/>
      <c r="BU1735" s="261"/>
      <c r="BV1735" s="261"/>
    </row>
    <row r="1736" spans="12:74">
      <c r="L1736" s="261"/>
      <c r="M1736" s="261"/>
      <c r="N1736" s="261"/>
      <c r="O1736" s="261"/>
      <c r="P1736" s="261"/>
      <c r="Q1736" s="261"/>
      <c r="BR1736" s="261"/>
      <c r="BS1736" s="261"/>
      <c r="BT1736" s="261"/>
      <c r="BU1736" s="261"/>
      <c r="BV1736" s="261"/>
    </row>
    <row r="1737" spans="12:74">
      <c r="L1737" s="261"/>
      <c r="M1737" s="261"/>
      <c r="N1737" s="261"/>
      <c r="O1737" s="261"/>
      <c r="P1737" s="261"/>
      <c r="Q1737" s="261"/>
      <c r="BR1737" s="261"/>
      <c r="BS1737" s="261"/>
      <c r="BT1737" s="261"/>
      <c r="BU1737" s="261"/>
      <c r="BV1737" s="261"/>
    </row>
    <row r="1738" spans="12:74">
      <c r="L1738" s="261"/>
      <c r="M1738" s="261"/>
      <c r="N1738" s="261"/>
      <c r="O1738" s="261"/>
      <c r="P1738" s="261"/>
      <c r="Q1738" s="261"/>
      <c r="BR1738" s="261"/>
      <c r="BS1738" s="261"/>
      <c r="BT1738" s="261"/>
      <c r="BU1738" s="261"/>
      <c r="BV1738" s="261"/>
    </row>
    <row r="1739" spans="12:74">
      <c r="L1739" s="261"/>
      <c r="M1739" s="261"/>
      <c r="N1739" s="261"/>
      <c r="O1739" s="261"/>
      <c r="P1739" s="261"/>
      <c r="Q1739" s="261"/>
      <c r="BR1739" s="261"/>
      <c r="BS1739" s="261"/>
      <c r="BT1739" s="261"/>
      <c r="BU1739" s="261"/>
      <c r="BV1739" s="261"/>
    </row>
    <row r="1740" spans="12:74">
      <c r="L1740" s="261"/>
      <c r="M1740" s="261"/>
      <c r="N1740" s="261"/>
      <c r="O1740" s="261"/>
      <c r="P1740" s="261"/>
      <c r="Q1740" s="261"/>
      <c r="BR1740" s="261"/>
      <c r="BS1740" s="261"/>
      <c r="BT1740" s="261"/>
      <c r="BU1740" s="261"/>
      <c r="BV1740" s="261"/>
    </row>
    <row r="1741" spans="12:74">
      <c r="L1741" s="261"/>
      <c r="M1741" s="261"/>
      <c r="N1741" s="261"/>
      <c r="O1741" s="261"/>
      <c r="P1741" s="261"/>
      <c r="Q1741" s="261"/>
      <c r="BR1741" s="261"/>
      <c r="BS1741" s="261"/>
      <c r="BT1741" s="261"/>
      <c r="BU1741" s="261"/>
      <c r="BV1741" s="261"/>
    </row>
    <row r="1742" spans="12:74">
      <c r="L1742" s="261"/>
      <c r="M1742" s="261"/>
      <c r="N1742" s="261"/>
      <c r="O1742" s="261"/>
      <c r="P1742" s="261"/>
      <c r="Q1742" s="261"/>
      <c r="BR1742" s="261"/>
      <c r="BS1742" s="261"/>
      <c r="BT1742" s="261"/>
      <c r="BU1742" s="261"/>
      <c r="BV1742" s="261"/>
    </row>
    <row r="1743" spans="12:74">
      <c r="L1743" s="261"/>
      <c r="M1743" s="261"/>
      <c r="N1743" s="261"/>
      <c r="O1743" s="261"/>
      <c r="P1743" s="261"/>
      <c r="Q1743" s="261"/>
      <c r="BR1743" s="261"/>
      <c r="BS1743" s="261"/>
      <c r="BT1743" s="261"/>
      <c r="BU1743" s="261"/>
      <c r="BV1743" s="261"/>
    </row>
    <row r="1744" spans="12:74">
      <c r="L1744" s="261"/>
      <c r="M1744" s="261"/>
      <c r="N1744" s="261"/>
      <c r="O1744" s="261"/>
      <c r="P1744" s="261"/>
      <c r="Q1744" s="261"/>
      <c r="BR1744" s="261"/>
      <c r="BS1744" s="261"/>
      <c r="BT1744" s="261"/>
      <c r="BU1744" s="261"/>
      <c r="BV1744" s="261"/>
    </row>
    <row r="1745" spans="12:74">
      <c r="L1745" s="261"/>
      <c r="M1745" s="261"/>
      <c r="N1745" s="261"/>
      <c r="O1745" s="261"/>
      <c r="P1745" s="261"/>
      <c r="Q1745" s="261"/>
      <c r="BR1745" s="261"/>
      <c r="BS1745" s="261"/>
      <c r="BT1745" s="261"/>
      <c r="BU1745" s="261"/>
      <c r="BV1745" s="261"/>
    </row>
    <row r="1746" spans="12:74">
      <c r="L1746" s="261"/>
      <c r="M1746" s="261"/>
      <c r="N1746" s="261"/>
      <c r="O1746" s="261"/>
      <c r="P1746" s="261"/>
      <c r="Q1746" s="261"/>
      <c r="BR1746" s="261"/>
      <c r="BS1746" s="261"/>
      <c r="BT1746" s="261"/>
      <c r="BU1746" s="261"/>
      <c r="BV1746" s="261"/>
    </row>
    <row r="1747" spans="12:74">
      <c r="L1747" s="261"/>
      <c r="M1747" s="261"/>
      <c r="N1747" s="261"/>
      <c r="O1747" s="261"/>
      <c r="P1747" s="261"/>
      <c r="Q1747" s="261"/>
      <c r="BR1747" s="261"/>
      <c r="BS1747" s="261"/>
      <c r="BT1747" s="261"/>
      <c r="BU1747" s="261"/>
      <c r="BV1747" s="261"/>
    </row>
    <row r="1748" spans="12:74">
      <c r="L1748" s="261"/>
      <c r="M1748" s="261"/>
      <c r="N1748" s="261"/>
      <c r="O1748" s="261"/>
      <c r="P1748" s="261"/>
      <c r="Q1748" s="261"/>
      <c r="BR1748" s="261"/>
      <c r="BS1748" s="261"/>
      <c r="BT1748" s="261"/>
      <c r="BU1748" s="261"/>
      <c r="BV1748" s="261"/>
    </row>
    <row r="1749" spans="12:74">
      <c r="L1749" s="261"/>
      <c r="M1749" s="261"/>
      <c r="N1749" s="261"/>
      <c r="O1749" s="261"/>
      <c r="P1749" s="261"/>
      <c r="Q1749" s="261"/>
      <c r="BR1749" s="261"/>
      <c r="BS1749" s="261"/>
      <c r="BT1749" s="261"/>
      <c r="BU1749" s="261"/>
      <c r="BV1749" s="261"/>
    </row>
    <row r="1750" spans="12:74">
      <c r="L1750" s="261"/>
      <c r="M1750" s="261"/>
      <c r="N1750" s="261"/>
      <c r="O1750" s="261"/>
      <c r="P1750" s="261"/>
      <c r="Q1750" s="261"/>
      <c r="BR1750" s="261"/>
      <c r="BS1750" s="261"/>
      <c r="BT1750" s="261"/>
      <c r="BU1750" s="261"/>
      <c r="BV1750" s="261"/>
    </row>
    <row r="1751" spans="12:74">
      <c r="L1751" s="261"/>
      <c r="M1751" s="261"/>
      <c r="N1751" s="261"/>
      <c r="O1751" s="261"/>
      <c r="P1751" s="261"/>
      <c r="Q1751" s="261"/>
      <c r="BR1751" s="261"/>
      <c r="BS1751" s="261"/>
      <c r="BT1751" s="261"/>
      <c r="BU1751" s="261"/>
      <c r="BV1751" s="261"/>
    </row>
    <row r="1752" spans="12:74">
      <c r="L1752" s="261"/>
      <c r="M1752" s="261"/>
      <c r="N1752" s="261"/>
      <c r="O1752" s="261"/>
      <c r="P1752" s="261"/>
      <c r="Q1752" s="261"/>
      <c r="BR1752" s="261"/>
      <c r="BS1752" s="261"/>
      <c r="BT1752" s="261"/>
      <c r="BU1752" s="261"/>
      <c r="BV1752" s="261"/>
    </row>
    <row r="1753" spans="12:74">
      <c r="L1753" s="261"/>
      <c r="M1753" s="261"/>
      <c r="N1753" s="261"/>
      <c r="O1753" s="261"/>
      <c r="P1753" s="261"/>
      <c r="Q1753" s="261"/>
      <c r="BR1753" s="261"/>
      <c r="BS1753" s="261"/>
      <c r="BT1753" s="261"/>
      <c r="BU1753" s="261"/>
      <c r="BV1753" s="261"/>
    </row>
    <row r="1754" spans="12:74">
      <c r="L1754" s="261"/>
      <c r="M1754" s="261"/>
      <c r="N1754" s="261"/>
      <c r="O1754" s="261"/>
      <c r="P1754" s="261"/>
      <c r="Q1754" s="261"/>
      <c r="BR1754" s="261"/>
      <c r="BS1754" s="261"/>
      <c r="BT1754" s="261"/>
      <c r="BU1754" s="261"/>
      <c r="BV1754" s="261"/>
    </row>
    <row r="1755" spans="12:74">
      <c r="L1755" s="261"/>
      <c r="M1755" s="261"/>
      <c r="N1755" s="261"/>
      <c r="O1755" s="261"/>
      <c r="P1755" s="261"/>
      <c r="Q1755" s="261"/>
      <c r="BR1755" s="261"/>
      <c r="BS1755" s="261"/>
      <c r="BT1755" s="261"/>
      <c r="BU1755" s="261"/>
      <c r="BV1755" s="261"/>
    </row>
    <row r="1756" spans="12:74">
      <c r="L1756" s="261"/>
      <c r="M1756" s="261"/>
      <c r="N1756" s="261"/>
      <c r="O1756" s="261"/>
      <c r="P1756" s="261"/>
      <c r="Q1756" s="261"/>
      <c r="BR1756" s="261"/>
      <c r="BS1756" s="261"/>
      <c r="BT1756" s="261"/>
      <c r="BU1756" s="261"/>
      <c r="BV1756" s="261"/>
    </row>
    <row r="1757" spans="12:74">
      <c r="L1757" s="261"/>
      <c r="M1757" s="261"/>
      <c r="N1757" s="261"/>
      <c r="O1757" s="261"/>
      <c r="P1757" s="261"/>
      <c r="Q1757" s="261"/>
      <c r="BR1757" s="261"/>
      <c r="BS1757" s="261"/>
      <c r="BT1757" s="261"/>
      <c r="BU1757" s="261"/>
      <c r="BV1757" s="261"/>
    </row>
    <row r="1758" spans="12:74">
      <c r="L1758" s="261"/>
      <c r="M1758" s="261"/>
      <c r="N1758" s="261"/>
      <c r="O1758" s="261"/>
      <c r="P1758" s="261"/>
      <c r="Q1758" s="261"/>
      <c r="BR1758" s="261"/>
      <c r="BS1758" s="261"/>
      <c r="BT1758" s="261"/>
      <c r="BU1758" s="261"/>
      <c r="BV1758" s="261"/>
    </row>
    <row r="1759" spans="12:74">
      <c r="L1759" s="261"/>
      <c r="M1759" s="261"/>
      <c r="N1759" s="261"/>
      <c r="O1759" s="261"/>
      <c r="P1759" s="261"/>
      <c r="Q1759" s="261"/>
      <c r="BR1759" s="261"/>
      <c r="BS1759" s="261"/>
      <c r="BT1759" s="261"/>
      <c r="BU1759" s="261"/>
      <c r="BV1759" s="261"/>
    </row>
    <row r="1760" spans="12:74">
      <c r="L1760" s="261"/>
      <c r="M1760" s="261"/>
      <c r="N1760" s="261"/>
      <c r="O1760" s="261"/>
      <c r="P1760" s="261"/>
      <c r="Q1760" s="261"/>
      <c r="BR1760" s="261"/>
      <c r="BS1760" s="261"/>
      <c r="BT1760" s="261"/>
      <c r="BU1760" s="261"/>
      <c r="BV1760" s="261"/>
    </row>
    <row r="1761" spans="12:74">
      <c r="L1761" s="261"/>
      <c r="M1761" s="261"/>
      <c r="N1761" s="261"/>
      <c r="O1761" s="261"/>
      <c r="P1761" s="261"/>
      <c r="Q1761" s="261"/>
      <c r="BR1761" s="261"/>
      <c r="BS1761" s="261"/>
      <c r="BT1761" s="261"/>
      <c r="BU1761" s="261"/>
      <c r="BV1761" s="261"/>
    </row>
    <row r="1762" spans="12:74">
      <c r="L1762" s="261"/>
      <c r="M1762" s="261"/>
      <c r="N1762" s="261"/>
      <c r="O1762" s="261"/>
      <c r="P1762" s="261"/>
      <c r="Q1762" s="261"/>
      <c r="BR1762" s="261"/>
      <c r="BS1762" s="261"/>
      <c r="BT1762" s="261"/>
      <c r="BU1762" s="261"/>
      <c r="BV1762" s="261"/>
    </row>
    <row r="1763" spans="12:74">
      <c r="L1763" s="261"/>
      <c r="M1763" s="261"/>
      <c r="N1763" s="261"/>
      <c r="O1763" s="261"/>
      <c r="P1763" s="261"/>
      <c r="Q1763" s="261"/>
      <c r="BR1763" s="261"/>
      <c r="BS1763" s="261"/>
      <c r="BT1763" s="261"/>
      <c r="BU1763" s="261"/>
      <c r="BV1763" s="261"/>
    </row>
    <row r="1764" spans="12:74">
      <c r="L1764" s="261"/>
      <c r="M1764" s="261"/>
      <c r="N1764" s="261"/>
      <c r="O1764" s="261"/>
      <c r="P1764" s="261"/>
      <c r="Q1764" s="261"/>
      <c r="BR1764" s="261"/>
      <c r="BS1764" s="261"/>
      <c r="BT1764" s="261"/>
      <c r="BU1764" s="261"/>
      <c r="BV1764" s="261"/>
    </row>
    <row r="1765" spans="12:74">
      <c r="L1765" s="261"/>
      <c r="M1765" s="261"/>
      <c r="N1765" s="261"/>
      <c r="O1765" s="261"/>
      <c r="P1765" s="261"/>
      <c r="Q1765" s="261"/>
      <c r="BR1765" s="261"/>
      <c r="BS1765" s="261"/>
      <c r="BT1765" s="261"/>
      <c r="BU1765" s="261"/>
      <c r="BV1765" s="261"/>
    </row>
    <row r="1766" spans="12:74">
      <c r="L1766" s="261"/>
      <c r="M1766" s="261"/>
      <c r="N1766" s="261"/>
      <c r="O1766" s="261"/>
      <c r="P1766" s="261"/>
      <c r="Q1766" s="261"/>
      <c r="BR1766" s="261"/>
      <c r="BS1766" s="261"/>
      <c r="BT1766" s="261"/>
      <c r="BU1766" s="261"/>
      <c r="BV1766" s="261"/>
    </row>
    <row r="1767" spans="12:74">
      <c r="L1767" s="261"/>
      <c r="M1767" s="261"/>
      <c r="N1767" s="261"/>
      <c r="O1767" s="261"/>
      <c r="P1767" s="261"/>
      <c r="Q1767" s="261"/>
      <c r="BR1767" s="261"/>
      <c r="BS1767" s="261"/>
      <c r="BT1767" s="261"/>
      <c r="BU1767" s="261"/>
      <c r="BV1767" s="261"/>
    </row>
    <row r="1768" spans="12:74">
      <c r="L1768" s="261"/>
      <c r="M1768" s="261"/>
      <c r="N1768" s="261"/>
      <c r="O1768" s="261"/>
      <c r="P1768" s="261"/>
      <c r="Q1768" s="261"/>
      <c r="BR1768" s="261"/>
      <c r="BS1768" s="261"/>
      <c r="BT1768" s="261"/>
      <c r="BU1768" s="261"/>
      <c r="BV1768" s="261"/>
    </row>
    <row r="1769" spans="12:74">
      <c r="L1769" s="261"/>
      <c r="M1769" s="261"/>
      <c r="N1769" s="261"/>
      <c r="O1769" s="261"/>
      <c r="P1769" s="261"/>
      <c r="Q1769" s="261"/>
      <c r="BR1769" s="261"/>
      <c r="BS1769" s="261"/>
      <c r="BT1769" s="261"/>
      <c r="BU1769" s="261"/>
      <c r="BV1769" s="261"/>
    </row>
    <row r="1770" spans="12:74">
      <c r="L1770" s="261"/>
      <c r="M1770" s="261"/>
      <c r="N1770" s="261"/>
      <c r="O1770" s="261"/>
      <c r="P1770" s="261"/>
      <c r="Q1770" s="261"/>
      <c r="BR1770" s="261"/>
      <c r="BS1770" s="261"/>
      <c r="BT1770" s="261"/>
      <c r="BU1770" s="261"/>
      <c r="BV1770" s="261"/>
    </row>
    <row r="1771" spans="12:74">
      <c r="L1771" s="261"/>
      <c r="M1771" s="261"/>
      <c r="N1771" s="261"/>
      <c r="O1771" s="261"/>
      <c r="P1771" s="261"/>
      <c r="Q1771" s="261"/>
      <c r="BR1771" s="261"/>
      <c r="BS1771" s="261"/>
      <c r="BT1771" s="261"/>
      <c r="BU1771" s="261"/>
      <c r="BV1771" s="261"/>
    </row>
    <row r="1772" spans="12:74">
      <c r="L1772" s="261"/>
      <c r="M1772" s="261"/>
      <c r="N1772" s="261"/>
      <c r="O1772" s="261"/>
      <c r="P1772" s="261"/>
      <c r="Q1772" s="261"/>
      <c r="BR1772" s="261"/>
      <c r="BS1772" s="261"/>
      <c r="BT1772" s="261"/>
      <c r="BU1772" s="261"/>
      <c r="BV1772" s="261"/>
    </row>
    <row r="1773" spans="12:74">
      <c r="L1773" s="261"/>
      <c r="M1773" s="261"/>
      <c r="N1773" s="261"/>
      <c r="O1773" s="261"/>
      <c r="P1773" s="261"/>
      <c r="Q1773" s="261"/>
      <c r="BR1773" s="261"/>
      <c r="BS1773" s="261"/>
      <c r="BT1773" s="261"/>
      <c r="BU1773" s="261"/>
      <c r="BV1773" s="261"/>
    </row>
    <row r="1774" spans="12:74">
      <c r="L1774" s="261"/>
      <c r="M1774" s="261"/>
      <c r="N1774" s="261"/>
      <c r="O1774" s="261"/>
      <c r="P1774" s="261"/>
      <c r="Q1774" s="261"/>
      <c r="BR1774" s="261"/>
      <c r="BS1774" s="261"/>
      <c r="BT1774" s="261"/>
      <c r="BU1774" s="261"/>
      <c r="BV1774" s="261"/>
    </row>
    <row r="1775" spans="12:74">
      <c r="L1775" s="261"/>
      <c r="M1775" s="261"/>
      <c r="N1775" s="261"/>
      <c r="O1775" s="261"/>
      <c r="P1775" s="261"/>
      <c r="Q1775" s="261"/>
      <c r="BR1775" s="261"/>
      <c r="BS1775" s="261"/>
      <c r="BT1775" s="261"/>
      <c r="BU1775" s="261"/>
      <c r="BV1775" s="261"/>
    </row>
    <row r="1776" spans="12:74">
      <c r="L1776" s="261"/>
      <c r="M1776" s="261"/>
      <c r="N1776" s="261"/>
      <c r="O1776" s="261"/>
      <c r="P1776" s="261"/>
      <c r="Q1776" s="261"/>
      <c r="BR1776" s="261"/>
      <c r="BS1776" s="261"/>
      <c r="BT1776" s="261"/>
      <c r="BU1776" s="261"/>
      <c r="BV1776" s="261"/>
    </row>
    <row r="1777" spans="12:74">
      <c r="L1777" s="261"/>
      <c r="M1777" s="261"/>
      <c r="N1777" s="261"/>
      <c r="O1777" s="261"/>
      <c r="P1777" s="261"/>
      <c r="Q1777" s="261"/>
      <c r="BR1777" s="261"/>
      <c r="BS1777" s="261"/>
      <c r="BT1777" s="261"/>
      <c r="BU1777" s="261"/>
      <c r="BV1777" s="261"/>
    </row>
    <row r="1778" spans="12:74">
      <c r="L1778" s="261"/>
      <c r="M1778" s="261"/>
      <c r="N1778" s="261"/>
      <c r="O1778" s="261"/>
      <c r="P1778" s="261"/>
      <c r="Q1778" s="261"/>
      <c r="BR1778" s="261"/>
      <c r="BS1778" s="261"/>
      <c r="BT1778" s="261"/>
      <c r="BU1778" s="261"/>
      <c r="BV1778" s="261"/>
    </row>
    <row r="1779" spans="12:74">
      <c r="L1779" s="261"/>
      <c r="M1779" s="261"/>
      <c r="N1779" s="261"/>
      <c r="O1779" s="261"/>
      <c r="P1779" s="261"/>
      <c r="Q1779" s="261"/>
      <c r="BR1779" s="261"/>
      <c r="BS1779" s="261"/>
      <c r="BT1779" s="261"/>
      <c r="BU1779" s="261"/>
      <c r="BV1779" s="261"/>
    </row>
    <row r="1780" spans="12:74">
      <c r="L1780" s="261"/>
      <c r="M1780" s="261"/>
      <c r="N1780" s="261"/>
      <c r="O1780" s="261"/>
      <c r="P1780" s="261"/>
      <c r="Q1780" s="261"/>
      <c r="BR1780" s="261"/>
      <c r="BS1780" s="261"/>
      <c r="BT1780" s="261"/>
      <c r="BU1780" s="261"/>
      <c r="BV1780" s="261"/>
    </row>
    <row r="1781" spans="12:74">
      <c r="L1781" s="261"/>
      <c r="M1781" s="261"/>
      <c r="N1781" s="261"/>
      <c r="O1781" s="261"/>
      <c r="P1781" s="261"/>
      <c r="Q1781" s="261"/>
      <c r="BR1781" s="261"/>
      <c r="BS1781" s="261"/>
      <c r="BT1781" s="261"/>
      <c r="BU1781" s="261"/>
      <c r="BV1781" s="261"/>
    </row>
    <row r="1782" spans="12:74">
      <c r="L1782" s="261"/>
      <c r="M1782" s="261"/>
      <c r="N1782" s="261"/>
      <c r="O1782" s="261"/>
      <c r="P1782" s="261"/>
      <c r="Q1782" s="261"/>
      <c r="BR1782" s="261"/>
      <c r="BS1782" s="261"/>
      <c r="BT1782" s="261"/>
      <c r="BU1782" s="261"/>
      <c r="BV1782" s="261"/>
    </row>
    <row r="1783" spans="12:74">
      <c r="L1783" s="261"/>
      <c r="M1783" s="261"/>
      <c r="N1783" s="261"/>
      <c r="O1783" s="261"/>
      <c r="P1783" s="261"/>
      <c r="Q1783" s="261"/>
      <c r="BR1783" s="261"/>
      <c r="BS1783" s="261"/>
      <c r="BT1783" s="261"/>
      <c r="BU1783" s="261"/>
      <c r="BV1783" s="261"/>
    </row>
    <row r="1784" spans="12:74">
      <c r="L1784" s="261"/>
      <c r="M1784" s="261"/>
      <c r="N1784" s="261"/>
      <c r="O1784" s="261"/>
      <c r="P1784" s="261"/>
      <c r="Q1784" s="261"/>
      <c r="BR1784" s="261"/>
      <c r="BS1784" s="261"/>
      <c r="BT1784" s="261"/>
      <c r="BU1784" s="261"/>
      <c r="BV1784" s="261"/>
    </row>
    <row r="1785" spans="12:74">
      <c r="L1785" s="261"/>
      <c r="M1785" s="261"/>
      <c r="N1785" s="261"/>
      <c r="O1785" s="261"/>
      <c r="P1785" s="261"/>
      <c r="Q1785" s="261"/>
      <c r="BR1785" s="261"/>
      <c r="BS1785" s="261"/>
      <c r="BT1785" s="261"/>
      <c r="BU1785" s="261"/>
      <c r="BV1785" s="261"/>
    </row>
    <row r="1786" spans="12:74">
      <c r="L1786" s="261"/>
      <c r="M1786" s="261"/>
      <c r="N1786" s="261"/>
      <c r="O1786" s="261"/>
      <c r="P1786" s="261"/>
      <c r="Q1786" s="261"/>
      <c r="BR1786" s="261"/>
      <c r="BS1786" s="261"/>
      <c r="BT1786" s="261"/>
      <c r="BU1786" s="261"/>
      <c r="BV1786" s="261"/>
    </row>
    <row r="1787" spans="12:74">
      <c r="L1787" s="261"/>
      <c r="M1787" s="261"/>
      <c r="N1787" s="261"/>
      <c r="O1787" s="261"/>
      <c r="P1787" s="261"/>
      <c r="Q1787" s="261"/>
      <c r="BR1787" s="261"/>
      <c r="BS1787" s="261"/>
      <c r="BT1787" s="261"/>
      <c r="BU1787" s="261"/>
      <c r="BV1787" s="261"/>
    </row>
    <row r="1788" spans="12:74">
      <c r="L1788" s="261"/>
      <c r="M1788" s="261"/>
      <c r="N1788" s="261"/>
      <c r="O1788" s="261"/>
      <c r="P1788" s="261"/>
      <c r="Q1788" s="261"/>
      <c r="BR1788" s="261"/>
      <c r="BS1788" s="261"/>
      <c r="BT1788" s="261"/>
      <c r="BU1788" s="261"/>
      <c r="BV1788" s="261"/>
    </row>
    <row r="1789" spans="12:74">
      <c r="L1789" s="261"/>
      <c r="M1789" s="261"/>
      <c r="N1789" s="261"/>
      <c r="O1789" s="261"/>
      <c r="P1789" s="261"/>
      <c r="Q1789" s="261"/>
      <c r="BR1789" s="261"/>
      <c r="BS1789" s="261"/>
      <c r="BT1789" s="261"/>
      <c r="BU1789" s="261"/>
      <c r="BV1789" s="261"/>
    </row>
    <row r="1790" spans="12:74">
      <c r="L1790" s="261"/>
      <c r="M1790" s="261"/>
      <c r="N1790" s="261"/>
      <c r="O1790" s="261"/>
      <c r="P1790" s="261"/>
      <c r="Q1790" s="261"/>
      <c r="BR1790" s="261"/>
      <c r="BS1790" s="261"/>
      <c r="BT1790" s="261"/>
      <c r="BU1790" s="261"/>
      <c r="BV1790" s="261"/>
    </row>
    <row r="1791" spans="12:74">
      <c r="L1791" s="261"/>
      <c r="M1791" s="261"/>
      <c r="N1791" s="261"/>
      <c r="O1791" s="261"/>
      <c r="P1791" s="261"/>
      <c r="Q1791" s="261"/>
      <c r="BR1791" s="261"/>
      <c r="BS1791" s="261"/>
      <c r="BT1791" s="261"/>
      <c r="BU1791" s="261"/>
      <c r="BV1791" s="261"/>
    </row>
    <row r="1792" spans="12:74">
      <c r="L1792" s="261"/>
      <c r="M1792" s="261"/>
      <c r="N1792" s="261"/>
      <c r="O1792" s="261"/>
      <c r="P1792" s="261"/>
      <c r="Q1792" s="261"/>
      <c r="BR1792" s="261"/>
      <c r="BS1792" s="261"/>
      <c r="BT1792" s="261"/>
      <c r="BU1792" s="261"/>
      <c r="BV1792" s="261"/>
    </row>
    <row r="1793" spans="12:74">
      <c r="L1793" s="261"/>
      <c r="M1793" s="261"/>
      <c r="N1793" s="261"/>
      <c r="O1793" s="261"/>
      <c r="P1793" s="261"/>
      <c r="Q1793" s="261"/>
      <c r="BR1793" s="261"/>
      <c r="BS1793" s="261"/>
      <c r="BT1793" s="261"/>
      <c r="BU1793" s="261"/>
      <c r="BV1793" s="261"/>
    </row>
    <row r="1794" spans="12:74">
      <c r="L1794" s="261"/>
      <c r="M1794" s="261"/>
      <c r="N1794" s="261"/>
      <c r="O1794" s="261"/>
      <c r="P1794" s="261"/>
      <c r="Q1794" s="261"/>
      <c r="BR1794" s="261"/>
      <c r="BS1794" s="261"/>
      <c r="BT1794" s="261"/>
      <c r="BU1794" s="261"/>
      <c r="BV1794" s="261"/>
    </row>
    <row r="1795" spans="12:74">
      <c r="L1795" s="261"/>
      <c r="M1795" s="261"/>
      <c r="N1795" s="261"/>
      <c r="O1795" s="261"/>
      <c r="P1795" s="261"/>
      <c r="Q1795" s="261"/>
      <c r="BR1795" s="261"/>
      <c r="BS1795" s="261"/>
      <c r="BT1795" s="261"/>
      <c r="BU1795" s="261"/>
      <c r="BV1795" s="261"/>
    </row>
    <row r="1796" spans="12:74">
      <c r="L1796" s="261"/>
      <c r="M1796" s="261"/>
      <c r="N1796" s="261"/>
      <c r="O1796" s="261"/>
      <c r="P1796" s="261"/>
      <c r="Q1796" s="261"/>
      <c r="BR1796" s="261"/>
      <c r="BS1796" s="261"/>
      <c r="BT1796" s="261"/>
      <c r="BU1796" s="261"/>
      <c r="BV1796" s="261"/>
    </row>
    <row r="1797" spans="12:74">
      <c r="L1797" s="261"/>
      <c r="M1797" s="261"/>
      <c r="N1797" s="261"/>
      <c r="O1797" s="261"/>
      <c r="P1797" s="261"/>
      <c r="Q1797" s="261"/>
      <c r="BR1797" s="261"/>
      <c r="BS1797" s="261"/>
      <c r="BT1797" s="261"/>
      <c r="BU1797" s="261"/>
      <c r="BV1797" s="261"/>
    </row>
    <row r="1798" spans="12:74">
      <c r="L1798" s="261"/>
      <c r="M1798" s="261"/>
      <c r="N1798" s="261"/>
      <c r="O1798" s="261"/>
      <c r="P1798" s="261"/>
      <c r="Q1798" s="261"/>
      <c r="BR1798" s="261"/>
      <c r="BS1798" s="261"/>
      <c r="BT1798" s="261"/>
      <c r="BU1798" s="261"/>
      <c r="BV1798" s="261"/>
    </row>
    <row r="1799" spans="12:74">
      <c r="L1799" s="261"/>
      <c r="M1799" s="261"/>
      <c r="N1799" s="261"/>
      <c r="O1799" s="261"/>
      <c r="P1799" s="261"/>
      <c r="Q1799" s="261"/>
      <c r="BR1799" s="261"/>
      <c r="BS1799" s="261"/>
      <c r="BT1799" s="261"/>
      <c r="BU1799" s="261"/>
      <c r="BV1799" s="261"/>
    </row>
    <row r="1800" spans="12:74">
      <c r="L1800" s="261"/>
      <c r="M1800" s="261"/>
      <c r="N1800" s="261"/>
      <c r="O1800" s="261"/>
      <c r="P1800" s="261"/>
      <c r="Q1800" s="261"/>
      <c r="BR1800" s="261"/>
      <c r="BS1800" s="261"/>
      <c r="BT1800" s="261"/>
      <c r="BU1800" s="261"/>
      <c r="BV1800" s="261"/>
    </row>
    <row r="1801" spans="12:74">
      <c r="L1801" s="261"/>
      <c r="M1801" s="261"/>
      <c r="N1801" s="261"/>
      <c r="O1801" s="261"/>
      <c r="P1801" s="261"/>
      <c r="Q1801" s="261"/>
      <c r="BR1801" s="261"/>
      <c r="BS1801" s="261"/>
      <c r="BT1801" s="261"/>
      <c r="BU1801" s="261"/>
      <c r="BV1801" s="261"/>
    </row>
    <row r="1802" spans="12:74">
      <c r="L1802" s="261"/>
      <c r="M1802" s="261"/>
      <c r="N1802" s="261"/>
      <c r="O1802" s="261"/>
      <c r="P1802" s="261"/>
      <c r="Q1802" s="261"/>
      <c r="BR1802" s="261"/>
      <c r="BS1802" s="261"/>
      <c r="BT1802" s="261"/>
      <c r="BU1802" s="261"/>
      <c r="BV1802" s="261"/>
    </row>
    <row r="1803" spans="12:74">
      <c r="L1803" s="261"/>
      <c r="M1803" s="261"/>
      <c r="N1803" s="261"/>
      <c r="O1803" s="261"/>
      <c r="P1803" s="261"/>
      <c r="Q1803" s="261"/>
      <c r="BR1803" s="261"/>
      <c r="BS1803" s="261"/>
      <c r="BT1803" s="261"/>
      <c r="BU1803" s="261"/>
      <c r="BV1803" s="261"/>
    </row>
    <row r="1804" spans="12:74">
      <c r="L1804" s="261"/>
      <c r="M1804" s="261"/>
      <c r="N1804" s="261"/>
      <c r="O1804" s="261"/>
      <c r="P1804" s="261"/>
      <c r="Q1804" s="261"/>
      <c r="BR1804" s="261"/>
      <c r="BS1804" s="261"/>
      <c r="BT1804" s="261"/>
      <c r="BU1804" s="261"/>
      <c r="BV1804" s="261"/>
    </row>
    <row r="1805" spans="12:74">
      <c r="L1805" s="261"/>
      <c r="M1805" s="261"/>
      <c r="N1805" s="261"/>
      <c r="O1805" s="261"/>
      <c r="P1805" s="261"/>
      <c r="Q1805" s="261"/>
      <c r="BR1805" s="261"/>
      <c r="BS1805" s="261"/>
      <c r="BT1805" s="261"/>
      <c r="BU1805" s="261"/>
      <c r="BV1805" s="261"/>
    </row>
    <row r="1806" spans="12:74">
      <c r="L1806" s="261"/>
      <c r="M1806" s="261"/>
      <c r="N1806" s="261"/>
      <c r="O1806" s="261"/>
      <c r="P1806" s="261"/>
      <c r="Q1806" s="261"/>
      <c r="BR1806" s="261"/>
      <c r="BS1806" s="261"/>
      <c r="BT1806" s="261"/>
      <c r="BU1806" s="261"/>
      <c r="BV1806" s="261"/>
    </row>
    <row r="1807" spans="12:74">
      <c r="L1807" s="261"/>
      <c r="M1807" s="261"/>
      <c r="N1807" s="261"/>
      <c r="O1807" s="261"/>
      <c r="P1807" s="261"/>
      <c r="Q1807" s="261"/>
      <c r="BR1807" s="261"/>
      <c r="BS1807" s="261"/>
      <c r="BT1807" s="261"/>
      <c r="BU1807" s="261"/>
      <c r="BV1807" s="261"/>
    </row>
    <row r="1808" spans="12:74">
      <c r="L1808" s="261"/>
      <c r="M1808" s="261"/>
      <c r="N1808" s="261"/>
      <c r="O1808" s="261"/>
      <c r="P1808" s="261"/>
      <c r="Q1808" s="261"/>
      <c r="BR1808" s="261"/>
      <c r="BS1808" s="261"/>
      <c r="BT1808" s="261"/>
      <c r="BU1808" s="261"/>
      <c r="BV1808" s="261"/>
    </row>
    <row r="1809" spans="12:74">
      <c r="L1809" s="261"/>
      <c r="M1809" s="261"/>
      <c r="N1809" s="261"/>
      <c r="O1809" s="261"/>
      <c r="P1809" s="261"/>
      <c r="Q1809" s="261"/>
      <c r="BR1809" s="261"/>
      <c r="BS1809" s="261"/>
      <c r="BT1809" s="261"/>
      <c r="BU1809" s="261"/>
      <c r="BV1809" s="261"/>
    </row>
    <row r="1810" spans="12:74">
      <c r="L1810" s="261"/>
      <c r="M1810" s="261"/>
      <c r="N1810" s="261"/>
      <c r="O1810" s="261"/>
      <c r="P1810" s="261"/>
      <c r="Q1810" s="261"/>
      <c r="BR1810" s="261"/>
      <c r="BS1810" s="261"/>
      <c r="BT1810" s="261"/>
      <c r="BU1810" s="261"/>
      <c r="BV1810" s="261"/>
    </row>
    <row r="1811" spans="12:74">
      <c r="L1811" s="261"/>
      <c r="M1811" s="261"/>
      <c r="N1811" s="261"/>
      <c r="O1811" s="261"/>
      <c r="P1811" s="261"/>
      <c r="Q1811" s="261"/>
      <c r="BR1811" s="261"/>
      <c r="BS1811" s="261"/>
      <c r="BT1811" s="261"/>
      <c r="BU1811" s="261"/>
      <c r="BV1811" s="261"/>
    </row>
    <row r="1812" spans="12:74">
      <c r="L1812" s="261"/>
      <c r="M1812" s="261"/>
      <c r="N1812" s="261"/>
      <c r="O1812" s="261"/>
      <c r="P1812" s="261"/>
      <c r="Q1812" s="261"/>
      <c r="BR1812" s="261"/>
      <c r="BS1812" s="261"/>
      <c r="BT1812" s="261"/>
      <c r="BU1812" s="261"/>
      <c r="BV1812" s="261"/>
    </row>
    <row r="1813" spans="12:74">
      <c r="L1813" s="261"/>
      <c r="M1813" s="261"/>
      <c r="N1813" s="261"/>
      <c r="O1813" s="261"/>
      <c r="P1813" s="261"/>
      <c r="Q1813" s="261"/>
      <c r="BR1813" s="261"/>
      <c r="BS1813" s="261"/>
      <c r="BT1813" s="261"/>
      <c r="BU1813" s="261"/>
      <c r="BV1813" s="261"/>
    </row>
    <row r="1814" spans="12:74">
      <c r="L1814" s="261"/>
      <c r="M1814" s="261"/>
      <c r="N1814" s="261"/>
      <c r="O1814" s="261"/>
      <c r="P1814" s="261"/>
      <c r="Q1814" s="261"/>
      <c r="BR1814" s="261"/>
      <c r="BS1814" s="261"/>
      <c r="BT1814" s="261"/>
      <c r="BU1814" s="261"/>
      <c r="BV1814" s="261"/>
    </row>
    <row r="1815" spans="12:74">
      <c r="L1815" s="261"/>
      <c r="M1815" s="261"/>
      <c r="N1815" s="261"/>
      <c r="O1815" s="261"/>
      <c r="P1815" s="261"/>
      <c r="Q1815" s="261"/>
      <c r="BR1815" s="261"/>
      <c r="BS1815" s="261"/>
      <c r="BT1815" s="261"/>
      <c r="BU1815" s="261"/>
      <c r="BV1815" s="261"/>
    </row>
    <row r="1816" spans="12:74">
      <c r="L1816" s="261"/>
      <c r="M1816" s="261"/>
      <c r="N1816" s="261"/>
      <c r="O1816" s="261"/>
      <c r="P1816" s="261"/>
      <c r="Q1816" s="261"/>
      <c r="BR1816" s="261"/>
      <c r="BS1816" s="261"/>
      <c r="BT1816" s="261"/>
      <c r="BU1816" s="261"/>
      <c r="BV1816" s="261"/>
    </row>
    <row r="1817" spans="12:74">
      <c r="L1817" s="261"/>
      <c r="M1817" s="261"/>
      <c r="N1817" s="261"/>
      <c r="O1817" s="261"/>
      <c r="P1817" s="261"/>
      <c r="Q1817" s="261"/>
      <c r="BR1817" s="261"/>
      <c r="BS1817" s="261"/>
      <c r="BT1817" s="261"/>
      <c r="BU1817" s="261"/>
      <c r="BV1817" s="261"/>
    </row>
    <row r="1818" spans="12:74">
      <c r="L1818" s="261"/>
      <c r="M1818" s="261"/>
      <c r="N1818" s="261"/>
      <c r="O1818" s="261"/>
      <c r="P1818" s="261"/>
      <c r="Q1818" s="261"/>
      <c r="BR1818" s="261"/>
      <c r="BS1818" s="261"/>
      <c r="BT1818" s="261"/>
      <c r="BU1818" s="261"/>
      <c r="BV1818" s="261"/>
    </row>
    <row r="1819" spans="12:74">
      <c r="L1819" s="261"/>
      <c r="M1819" s="261"/>
      <c r="N1819" s="261"/>
      <c r="O1819" s="261"/>
      <c r="P1819" s="261"/>
      <c r="Q1819" s="261"/>
      <c r="BR1819" s="261"/>
      <c r="BS1819" s="261"/>
      <c r="BT1819" s="261"/>
      <c r="BU1819" s="261"/>
      <c r="BV1819" s="261"/>
    </row>
    <row r="1820" spans="12:74">
      <c r="L1820" s="261"/>
      <c r="M1820" s="261"/>
      <c r="N1820" s="261"/>
      <c r="O1820" s="261"/>
      <c r="P1820" s="261"/>
      <c r="Q1820" s="261"/>
      <c r="BR1820" s="261"/>
      <c r="BS1820" s="261"/>
      <c r="BT1820" s="261"/>
      <c r="BU1820" s="261"/>
      <c r="BV1820" s="261"/>
    </row>
    <row r="1821" spans="12:74">
      <c r="L1821" s="261"/>
      <c r="M1821" s="261"/>
      <c r="N1821" s="261"/>
      <c r="O1821" s="261"/>
      <c r="P1821" s="261"/>
      <c r="Q1821" s="261"/>
      <c r="BR1821" s="261"/>
      <c r="BS1821" s="261"/>
      <c r="BT1821" s="261"/>
      <c r="BU1821" s="261"/>
      <c r="BV1821" s="261"/>
    </row>
    <row r="1822" spans="12:74">
      <c r="L1822" s="261"/>
      <c r="M1822" s="261"/>
      <c r="N1822" s="261"/>
      <c r="O1822" s="261"/>
      <c r="P1822" s="261"/>
      <c r="Q1822" s="261"/>
      <c r="BR1822" s="261"/>
      <c r="BS1822" s="261"/>
      <c r="BT1822" s="261"/>
      <c r="BU1822" s="261"/>
      <c r="BV1822" s="261"/>
    </row>
    <row r="1823" spans="12:74">
      <c r="L1823" s="261"/>
      <c r="M1823" s="261"/>
      <c r="N1823" s="261"/>
      <c r="O1823" s="261"/>
      <c r="P1823" s="261"/>
      <c r="Q1823" s="261"/>
      <c r="BR1823" s="261"/>
      <c r="BS1823" s="261"/>
      <c r="BT1823" s="261"/>
      <c r="BU1823" s="261"/>
      <c r="BV1823" s="261"/>
    </row>
    <row r="1824" spans="12:74">
      <c r="L1824" s="261"/>
      <c r="M1824" s="261"/>
      <c r="N1824" s="261"/>
      <c r="O1824" s="261"/>
      <c r="P1824" s="261"/>
      <c r="Q1824" s="261"/>
      <c r="BR1824" s="261"/>
      <c r="BS1824" s="261"/>
      <c r="BT1824" s="261"/>
      <c r="BU1824" s="261"/>
      <c r="BV1824" s="261"/>
    </row>
    <row r="1825" spans="12:74">
      <c r="L1825" s="261"/>
      <c r="M1825" s="261"/>
      <c r="N1825" s="261"/>
      <c r="O1825" s="261"/>
      <c r="P1825" s="261"/>
      <c r="Q1825" s="261"/>
      <c r="BR1825" s="261"/>
      <c r="BS1825" s="261"/>
      <c r="BT1825" s="261"/>
      <c r="BU1825" s="261"/>
      <c r="BV1825" s="261"/>
    </row>
    <row r="1826" spans="12:74">
      <c r="L1826" s="261"/>
      <c r="M1826" s="261"/>
      <c r="N1826" s="261"/>
      <c r="O1826" s="261"/>
      <c r="P1826" s="261"/>
      <c r="Q1826" s="261"/>
      <c r="BR1826" s="261"/>
      <c r="BS1826" s="261"/>
      <c r="BT1826" s="261"/>
      <c r="BU1826" s="261"/>
      <c r="BV1826" s="261"/>
    </row>
    <row r="1827" spans="12:74">
      <c r="L1827" s="261"/>
      <c r="M1827" s="261"/>
      <c r="N1827" s="261"/>
      <c r="O1827" s="261"/>
      <c r="P1827" s="261"/>
      <c r="Q1827" s="261"/>
      <c r="BR1827" s="261"/>
      <c r="BS1827" s="261"/>
      <c r="BT1827" s="261"/>
      <c r="BU1827" s="261"/>
      <c r="BV1827" s="261"/>
    </row>
    <row r="1828" spans="12:74">
      <c r="L1828" s="261"/>
      <c r="M1828" s="261"/>
      <c r="N1828" s="261"/>
      <c r="O1828" s="261"/>
      <c r="P1828" s="261"/>
      <c r="Q1828" s="261"/>
      <c r="BR1828" s="261"/>
      <c r="BS1828" s="261"/>
      <c r="BT1828" s="261"/>
      <c r="BU1828" s="261"/>
      <c r="BV1828" s="261"/>
    </row>
    <row r="1829" spans="12:74">
      <c r="L1829" s="261"/>
      <c r="M1829" s="261"/>
      <c r="N1829" s="261"/>
      <c r="O1829" s="261"/>
      <c r="P1829" s="261"/>
      <c r="Q1829" s="261"/>
      <c r="BR1829" s="261"/>
      <c r="BS1829" s="261"/>
      <c r="BT1829" s="261"/>
      <c r="BU1829" s="261"/>
      <c r="BV1829" s="261"/>
    </row>
    <row r="1830" spans="12:74">
      <c r="L1830" s="261"/>
      <c r="M1830" s="261"/>
      <c r="N1830" s="261"/>
      <c r="O1830" s="261"/>
      <c r="P1830" s="261"/>
      <c r="Q1830" s="261"/>
      <c r="BR1830" s="261"/>
      <c r="BS1830" s="261"/>
      <c r="BT1830" s="261"/>
      <c r="BU1830" s="261"/>
      <c r="BV1830" s="261"/>
    </row>
    <row r="1831" spans="12:74">
      <c r="L1831" s="261"/>
      <c r="M1831" s="261"/>
      <c r="N1831" s="261"/>
      <c r="O1831" s="261"/>
      <c r="P1831" s="261"/>
      <c r="Q1831" s="261"/>
      <c r="BR1831" s="261"/>
      <c r="BS1831" s="261"/>
      <c r="BT1831" s="261"/>
      <c r="BU1831" s="261"/>
      <c r="BV1831" s="261"/>
    </row>
    <row r="1832" spans="12:74">
      <c r="L1832" s="261"/>
      <c r="M1832" s="261"/>
      <c r="N1832" s="261"/>
      <c r="O1832" s="261"/>
      <c r="P1832" s="261"/>
      <c r="Q1832" s="261"/>
      <c r="BR1832" s="261"/>
      <c r="BS1832" s="261"/>
      <c r="BT1832" s="261"/>
      <c r="BU1832" s="261"/>
      <c r="BV1832" s="261"/>
    </row>
    <row r="1833" spans="12:74">
      <c r="L1833" s="261"/>
      <c r="M1833" s="261"/>
      <c r="N1833" s="261"/>
      <c r="O1833" s="261"/>
      <c r="P1833" s="261"/>
      <c r="Q1833" s="261"/>
      <c r="BR1833" s="261"/>
      <c r="BS1833" s="261"/>
      <c r="BT1833" s="261"/>
      <c r="BU1833" s="261"/>
      <c r="BV1833" s="261"/>
    </row>
    <row r="1834" spans="12:74">
      <c r="L1834" s="261"/>
      <c r="M1834" s="261"/>
      <c r="N1834" s="261"/>
      <c r="O1834" s="261"/>
      <c r="P1834" s="261"/>
      <c r="Q1834" s="261"/>
      <c r="BR1834" s="261"/>
      <c r="BS1834" s="261"/>
      <c r="BT1834" s="261"/>
      <c r="BU1834" s="261"/>
      <c r="BV1834" s="261"/>
    </row>
    <row r="1835" spans="12:74">
      <c r="L1835" s="261"/>
      <c r="M1835" s="261"/>
      <c r="N1835" s="261"/>
      <c r="O1835" s="261"/>
      <c r="P1835" s="261"/>
      <c r="Q1835" s="261"/>
      <c r="BR1835" s="261"/>
      <c r="BS1835" s="261"/>
      <c r="BT1835" s="261"/>
      <c r="BU1835" s="261"/>
      <c r="BV1835" s="261"/>
    </row>
    <row r="1836" spans="12:74">
      <c r="L1836" s="261"/>
      <c r="M1836" s="261"/>
      <c r="N1836" s="261"/>
      <c r="O1836" s="261"/>
      <c r="P1836" s="261"/>
      <c r="Q1836" s="261"/>
      <c r="BR1836" s="261"/>
      <c r="BS1836" s="261"/>
      <c r="BT1836" s="261"/>
      <c r="BU1836" s="261"/>
      <c r="BV1836" s="261"/>
    </row>
    <row r="1837" spans="12:74">
      <c r="L1837" s="261"/>
      <c r="M1837" s="261"/>
      <c r="N1837" s="261"/>
      <c r="O1837" s="261"/>
      <c r="P1837" s="261"/>
      <c r="Q1837" s="261"/>
      <c r="BR1837" s="261"/>
      <c r="BS1837" s="261"/>
      <c r="BT1837" s="261"/>
      <c r="BU1837" s="261"/>
      <c r="BV1837" s="261"/>
    </row>
    <row r="1838" spans="12:74">
      <c r="L1838" s="261"/>
      <c r="M1838" s="261"/>
      <c r="N1838" s="261"/>
      <c r="O1838" s="261"/>
      <c r="P1838" s="261"/>
      <c r="Q1838" s="261"/>
      <c r="BR1838" s="261"/>
      <c r="BS1838" s="261"/>
      <c r="BT1838" s="261"/>
      <c r="BU1838" s="261"/>
      <c r="BV1838" s="261"/>
    </row>
    <row r="1839" spans="12:74">
      <c r="L1839" s="261"/>
      <c r="M1839" s="261"/>
      <c r="N1839" s="261"/>
      <c r="O1839" s="261"/>
      <c r="P1839" s="261"/>
      <c r="Q1839" s="261"/>
      <c r="BR1839" s="261"/>
      <c r="BS1839" s="261"/>
      <c r="BT1839" s="261"/>
      <c r="BU1839" s="261"/>
      <c r="BV1839" s="261"/>
    </row>
    <row r="1840" spans="12:74">
      <c r="L1840" s="261"/>
      <c r="M1840" s="261"/>
      <c r="N1840" s="261"/>
      <c r="O1840" s="261"/>
      <c r="P1840" s="261"/>
      <c r="Q1840" s="261"/>
      <c r="BR1840" s="261"/>
      <c r="BS1840" s="261"/>
      <c r="BT1840" s="261"/>
      <c r="BU1840" s="261"/>
      <c r="BV1840" s="261"/>
    </row>
    <row r="1841" spans="12:74">
      <c r="L1841" s="261"/>
      <c r="M1841" s="261"/>
      <c r="N1841" s="261"/>
      <c r="O1841" s="261"/>
      <c r="P1841" s="261"/>
      <c r="Q1841" s="261"/>
      <c r="BR1841" s="261"/>
      <c r="BS1841" s="261"/>
      <c r="BT1841" s="261"/>
      <c r="BU1841" s="261"/>
      <c r="BV1841" s="261"/>
    </row>
    <row r="1842" spans="12:74">
      <c r="L1842" s="261"/>
      <c r="M1842" s="261"/>
      <c r="N1842" s="261"/>
      <c r="O1842" s="261"/>
      <c r="P1842" s="261"/>
      <c r="Q1842" s="261"/>
      <c r="BR1842" s="261"/>
      <c r="BS1842" s="261"/>
      <c r="BT1842" s="261"/>
      <c r="BU1842" s="261"/>
      <c r="BV1842" s="261"/>
    </row>
    <row r="1843" spans="12:74">
      <c r="L1843" s="261"/>
      <c r="M1843" s="261"/>
      <c r="N1843" s="261"/>
      <c r="O1843" s="261"/>
      <c r="P1843" s="261"/>
      <c r="Q1843" s="261"/>
      <c r="BR1843" s="261"/>
      <c r="BS1843" s="261"/>
      <c r="BT1843" s="261"/>
      <c r="BU1843" s="261"/>
      <c r="BV1843" s="261"/>
    </row>
    <row r="1844" spans="12:74">
      <c r="L1844" s="261"/>
      <c r="M1844" s="261"/>
      <c r="N1844" s="261"/>
      <c r="O1844" s="261"/>
      <c r="P1844" s="261"/>
      <c r="Q1844" s="261"/>
      <c r="BR1844" s="261"/>
      <c r="BS1844" s="261"/>
      <c r="BT1844" s="261"/>
      <c r="BU1844" s="261"/>
      <c r="BV1844" s="261"/>
    </row>
    <row r="1845" spans="12:74">
      <c r="L1845" s="261"/>
      <c r="M1845" s="261"/>
      <c r="N1845" s="261"/>
      <c r="O1845" s="261"/>
      <c r="P1845" s="261"/>
      <c r="Q1845" s="261"/>
      <c r="BR1845" s="261"/>
      <c r="BS1845" s="261"/>
      <c r="BT1845" s="261"/>
      <c r="BU1845" s="261"/>
      <c r="BV1845" s="261"/>
    </row>
    <row r="1846" spans="12:74">
      <c r="L1846" s="261"/>
      <c r="M1846" s="261"/>
      <c r="N1846" s="261"/>
      <c r="O1846" s="261"/>
      <c r="P1846" s="261"/>
      <c r="Q1846" s="261"/>
      <c r="BR1846" s="261"/>
      <c r="BS1846" s="261"/>
      <c r="BT1846" s="261"/>
      <c r="BU1846" s="261"/>
      <c r="BV1846" s="261"/>
    </row>
    <row r="1847" spans="12:74">
      <c r="L1847" s="261"/>
      <c r="M1847" s="261"/>
      <c r="N1847" s="261"/>
      <c r="O1847" s="261"/>
      <c r="P1847" s="261"/>
      <c r="Q1847" s="261"/>
      <c r="BR1847" s="261"/>
      <c r="BS1847" s="261"/>
      <c r="BT1847" s="261"/>
      <c r="BU1847" s="261"/>
      <c r="BV1847" s="261"/>
    </row>
    <row r="1848" spans="12:74">
      <c r="L1848" s="261"/>
      <c r="M1848" s="261"/>
      <c r="N1848" s="261"/>
      <c r="O1848" s="261"/>
      <c r="P1848" s="261"/>
      <c r="Q1848" s="261"/>
      <c r="BR1848" s="261"/>
      <c r="BS1848" s="261"/>
      <c r="BT1848" s="261"/>
      <c r="BU1848" s="261"/>
      <c r="BV1848" s="261"/>
    </row>
    <row r="1849" spans="12:74">
      <c r="L1849" s="261"/>
      <c r="M1849" s="261"/>
      <c r="N1849" s="261"/>
      <c r="O1849" s="261"/>
      <c r="P1849" s="261"/>
      <c r="Q1849" s="261"/>
      <c r="BR1849" s="261"/>
      <c r="BS1849" s="261"/>
      <c r="BT1849" s="261"/>
      <c r="BU1849" s="261"/>
      <c r="BV1849" s="261"/>
    </row>
    <row r="1850" spans="12:74">
      <c r="L1850" s="261"/>
      <c r="M1850" s="261"/>
      <c r="N1850" s="261"/>
      <c r="O1850" s="261"/>
      <c r="P1850" s="261"/>
      <c r="Q1850" s="261"/>
      <c r="BR1850" s="261"/>
      <c r="BS1850" s="261"/>
      <c r="BT1850" s="261"/>
      <c r="BU1850" s="261"/>
      <c r="BV1850" s="261"/>
    </row>
    <row r="1851" spans="12:74">
      <c r="L1851" s="261"/>
      <c r="M1851" s="261"/>
      <c r="N1851" s="261"/>
      <c r="O1851" s="261"/>
      <c r="P1851" s="261"/>
      <c r="Q1851" s="261"/>
      <c r="BR1851" s="261"/>
      <c r="BS1851" s="261"/>
      <c r="BT1851" s="261"/>
      <c r="BU1851" s="261"/>
      <c r="BV1851" s="261"/>
    </row>
    <row r="1852" spans="12:74">
      <c r="L1852" s="261"/>
      <c r="M1852" s="261"/>
      <c r="N1852" s="261"/>
      <c r="O1852" s="261"/>
      <c r="P1852" s="261"/>
      <c r="Q1852" s="261"/>
      <c r="BR1852" s="261"/>
      <c r="BS1852" s="261"/>
      <c r="BT1852" s="261"/>
      <c r="BU1852" s="261"/>
      <c r="BV1852" s="261"/>
    </row>
    <row r="1853" spans="12:74">
      <c r="L1853" s="261"/>
      <c r="M1853" s="261"/>
      <c r="N1853" s="261"/>
      <c r="O1853" s="261"/>
      <c r="P1853" s="261"/>
      <c r="Q1853" s="261"/>
      <c r="BR1853" s="261"/>
      <c r="BS1853" s="261"/>
      <c r="BT1853" s="261"/>
      <c r="BU1853" s="261"/>
      <c r="BV1853" s="261"/>
    </row>
    <row r="1854" spans="12:74">
      <c r="L1854" s="261"/>
      <c r="M1854" s="261"/>
      <c r="N1854" s="261"/>
      <c r="O1854" s="261"/>
      <c r="P1854" s="261"/>
      <c r="Q1854" s="261"/>
      <c r="BR1854" s="261"/>
      <c r="BS1854" s="261"/>
      <c r="BT1854" s="261"/>
      <c r="BU1854" s="261"/>
      <c r="BV1854" s="261"/>
    </row>
    <row r="1855" spans="12:74">
      <c r="L1855" s="261"/>
      <c r="M1855" s="261"/>
      <c r="N1855" s="261"/>
      <c r="O1855" s="261"/>
      <c r="P1855" s="261"/>
      <c r="Q1855" s="261"/>
      <c r="BR1855" s="261"/>
      <c r="BS1855" s="261"/>
      <c r="BT1855" s="261"/>
      <c r="BU1855" s="261"/>
      <c r="BV1855" s="261"/>
    </row>
    <row r="1856" spans="12:74">
      <c r="L1856" s="261"/>
      <c r="M1856" s="261"/>
      <c r="N1856" s="261"/>
      <c r="O1856" s="261"/>
      <c r="P1856" s="261"/>
      <c r="Q1856" s="261"/>
      <c r="BR1856" s="261"/>
      <c r="BS1856" s="261"/>
      <c r="BT1856" s="261"/>
      <c r="BU1856" s="261"/>
      <c r="BV1856" s="261"/>
    </row>
    <row r="1857" spans="12:74">
      <c r="L1857" s="261"/>
      <c r="M1857" s="261"/>
      <c r="N1857" s="261"/>
      <c r="O1857" s="261"/>
      <c r="P1857" s="261"/>
      <c r="Q1857" s="261"/>
      <c r="BR1857" s="261"/>
      <c r="BS1857" s="261"/>
      <c r="BT1857" s="261"/>
      <c r="BU1857" s="261"/>
      <c r="BV1857" s="261"/>
    </row>
    <row r="1858" spans="12:74">
      <c r="L1858" s="261"/>
      <c r="M1858" s="261"/>
      <c r="N1858" s="261"/>
      <c r="O1858" s="261"/>
      <c r="P1858" s="261"/>
      <c r="Q1858" s="261"/>
      <c r="BR1858" s="261"/>
      <c r="BS1858" s="261"/>
      <c r="BT1858" s="261"/>
      <c r="BU1858" s="261"/>
      <c r="BV1858" s="261"/>
    </row>
    <row r="1859" spans="12:74">
      <c r="L1859" s="261"/>
      <c r="M1859" s="261"/>
      <c r="N1859" s="261"/>
      <c r="O1859" s="261"/>
      <c r="P1859" s="261"/>
      <c r="Q1859" s="261"/>
      <c r="BR1859" s="261"/>
      <c r="BS1859" s="261"/>
      <c r="BT1859" s="261"/>
      <c r="BU1859" s="261"/>
      <c r="BV1859" s="261"/>
    </row>
    <row r="1860" spans="12:74">
      <c r="L1860" s="261"/>
      <c r="M1860" s="261"/>
      <c r="N1860" s="261"/>
      <c r="O1860" s="261"/>
      <c r="P1860" s="261"/>
      <c r="Q1860" s="261"/>
      <c r="BR1860" s="261"/>
      <c r="BS1860" s="261"/>
      <c r="BT1860" s="261"/>
      <c r="BU1860" s="261"/>
      <c r="BV1860" s="261"/>
    </row>
    <row r="1861" spans="12:74">
      <c r="L1861" s="261"/>
      <c r="M1861" s="261"/>
      <c r="N1861" s="261"/>
      <c r="O1861" s="261"/>
      <c r="P1861" s="261"/>
      <c r="Q1861" s="261"/>
      <c r="BR1861" s="261"/>
      <c r="BS1861" s="261"/>
      <c r="BT1861" s="261"/>
      <c r="BU1861" s="261"/>
      <c r="BV1861" s="261"/>
    </row>
    <row r="1862" spans="12:74">
      <c r="L1862" s="261"/>
      <c r="M1862" s="261"/>
      <c r="N1862" s="261"/>
      <c r="O1862" s="261"/>
      <c r="P1862" s="261"/>
      <c r="Q1862" s="261"/>
      <c r="BR1862" s="261"/>
      <c r="BS1862" s="261"/>
      <c r="BT1862" s="261"/>
      <c r="BU1862" s="261"/>
      <c r="BV1862" s="261"/>
    </row>
    <row r="1863" spans="12:74">
      <c r="L1863" s="261"/>
      <c r="M1863" s="261"/>
      <c r="N1863" s="261"/>
      <c r="O1863" s="261"/>
      <c r="P1863" s="261"/>
      <c r="Q1863" s="261"/>
      <c r="BR1863" s="261"/>
      <c r="BS1863" s="261"/>
      <c r="BT1863" s="261"/>
      <c r="BU1863" s="261"/>
      <c r="BV1863" s="261"/>
    </row>
    <row r="1864" spans="12:74">
      <c r="L1864" s="261"/>
      <c r="M1864" s="261"/>
      <c r="N1864" s="261"/>
      <c r="O1864" s="261"/>
      <c r="P1864" s="261"/>
      <c r="Q1864" s="261"/>
      <c r="BR1864" s="261"/>
      <c r="BS1864" s="261"/>
      <c r="BT1864" s="261"/>
      <c r="BU1864" s="261"/>
      <c r="BV1864" s="261"/>
    </row>
    <row r="1865" spans="12:74">
      <c r="L1865" s="261"/>
      <c r="M1865" s="261"/>
      <c r="N1865" s="261"/>
      <c r="O1865" s="261"/>
      <c r="P1865" s="261"/>
      <c r="Q1865" s="261"/>
      <c r="BR1865" s="261"/>
      <c r="BS1865" s="261"/>
      <c r="BT1865" s="261"/>
      <c r="BU1865" s="261"/>
      <c r="BV1865" s="261"/>
    </row>
    <row r="1866" spans="12:74">
      <c r="L1866" s="261"/>
      <c r="M1866" s="261"/>
      <c r="N1866" s="261"/>
      <c r="O1866" s="261"/>
      <c r="P1866" s="261"/>
      <c r="Q1866" s="261"/>
      <c r="BR1866" s="261"/>
      <c r="BS1866" s="261"/>
      <c r="BT1866" s="261"/>
      <c r="BU1866" s="261"/>
      <c r="BV1866" s="261"/>
    </row>
    <row r="1867" spans="12:74">
      <c r="L1867" s="261"/>
      <c r="M1867" s="261"/>
      <c r="N1867" s="261"/>
      <c r="O1867" s="261"/>
      <c r="P1867" s="261"/>
      <c r="Q1867" s="261"/>
      <c r="BR1867" s="261"/>
      <c r="BS1867" s="261"/>
      <c r="BT1867" s="261"/>
      <c r="BU1867" s="261"/>
      <c r="BV1867" s="261"/>
    </row>
    <row r="1868" spans="12:74">
      <c r="L1868" s="261"/>
      <c r="M1868" s="261"/>
      <c r="N1868" s="261"/>
      <c r="O1868" s="261"/>
      <c r="P1868" s="261"/>
      <c r="Q1868" s="261"/>
      <c r="BR1868" s="261"/>
      <c r="BS1868" s="261"/>
      <c r="BT1868" s="261"/>
      <c r="BU1868" s="261"/>
      <c r="BV1868" s="261"/>
    </row>
    <row r="1869" spans="12:74">
      <c r="L1869" s="261"/>
      <c r="M1869" s="261"/>
      <c r="N1869" s="261"/>
      <c r="O1869" s="261"/>
      <c r="P1869" s="261"/>
      <c r="Q1869" s="261"/>
      <c r="BR1869" s="261"/>
      <c r="BS1869" s="261"/>
      <c r="BT1869" s="261"/>
      <c r="BU1869" s="261"/>
      <c r="BV1869" s="261"/>
    </row>
    <row r="1870" spans="12:74">
      <c r="L1870" s="261"/>
      <c r="M1870" s="261"/>
      <c r="N1870" s="261"/>
      <c r="O1870" s="261"/>
      <c r="P1870" s="261"/>
      <c r="Q1870" s="261"/>
      <c r="BR1870" s="261"/>
      <c r="BS1870" s="261"/>
      <c r="BT1870" s="261"/>
      <c r="BU1870" s="261"/>
      <c r="BV1870" s="261"/>
    </row>
    <row r="1871" spans="12:74">
      <c r="L1871" s="261"/>
      <c r="M1871" s="261"/>
      <c r="N1871" s="261"/>
      <c r="O1871" s="261"/>
      <c r="P1871" s="261"/>
      <c r="Q1871" s="261"/>
      <c r="BR1871" s="261"/>
      <c r="BS1871" s="261"/>
      <c r="BT1871" s="261"/>
      <c r="BU1871" s="261"/>
      <c r="BV1871" s="261"/>
    </row>
    <row r="1872" spans="12:74">
      <c r="L1872" s="261"/>
      <c r="M1872" s="261"/>
      <c r="N1872" s="261"/>
      <c r="O1872" s="261"/>
      <c r="P1872" s="261"/>
      <c r="Q1872" s="261"/>
      <c r="BR1872" s="261"/>
      <c r="BS1872" s="261"/>
      <c r="BT1872" s="261"/>
      <c r="BU1872" s="261"/>
      <c r="BV1872" s="261"/>
    </row>
    <row r="1873" spans="12:74">
      <c r="L1873" s="261"/>
      <c r="M1873" s="261"/>
      <c r="N1873" s="261"/>
      <c r="O1873" s="261"/>
      <c r="P1873" s="261"/>
      <c r="Q1873" s="261"/>
      <c r="BR1873" s="261"/>
      <c r="BS1873" s="261"/>
      <c r="BT1873" s="261"/>
      <c r="BU1873" s="261"/>
      <c r="BV1873" s="261"/>
    </row>
    <row r="1874" spans="12:74">
      <c r="L1874" s="261"/>
      <c r="M1874" s="261"/>
      <c r="N1874" s="261"/>
      <c r="O1874" s="261"/>
      <c r="P1874" s="261"/>
      <c r="Q1874" s="261"/>
      <c r="BR1874" s="261"/>
      <c r="BS1874" s="261"/>
      <c r="BT1874" s="261"/>
      <c r="BU1874" s="261"/>
      <c r="BV1874" s="261"/>
    </row>
    <row r="1875" spans="12:74">
      <c r="L1875" s="261"/>
      <c r="M1875" s="261"/>
      <c r="N1875" s="261"/>
      <c r="O1875" s="261"/>
      <c r="P1875" s="261"/>
      <c r="Q1875" s="261"/>
      <c r="BR1875" s="261"/>
      <c r="BS1875" s="261"/>
      <c r="BT1875" s="261"/>
      <c r="BU1875" s="261"/>
      <c r="BV1875" s="261"/>
    </row>
    <row r="1876" spans="12:74">
      <c r="L1876" s="261"/>
      <c r="M1876" s="261"/>
      <c r="N1876" s="261"/>
      <c r="O1876" s="261"/>
      <c r="P1876" s="261"/>
      <c r="Q1876" s="261"/>
      <c r="BR1876" s="261"/>
      <c r="BS1876" s="261"/>
      <c r="BT1876" s="261"/>
      <c r="BU1876" s="261"/>
      <c r="BV1876" s="261"/>
    </row>
    <row r="1877" spans="12:74">
      <c r="L1877" s="261"/>
      <c r="M1877" s="261"/>
      <c r="N1877" s="261"/>
      <c r="O1877" s="261"/>
      <c r="P1877" s="261"/>
      <c r="Q1877" s="261"/>
      <c r="BR1877" s="261"/>
      <c r="BS1877" s="261"/>
      <c r="BT1877" s="261"/>
      <c r="BU1877" s="261"/>
      <c r="BV1877" s="261"/>
    </row>
    <row r="1878" spans="12:74">
      <c r="L1878" s="261"/>
      <c r="M1878" s="261"/>
      <c r="N1878" s="261"/>
      <c r="O1878" s="261"/>
      <c r="P1878" s="261"/>
      <c r="Q1878" s="261"/>
      <c r="BR1878" s="261"/>
      <c r="BS1878" s="261"/>
      <c r="BT1878" s="261"/>
      <c r="BU1878" s="261"/>
      <c r="BV1878" s="261"/>
    </row>
    <row r="1879" spans="12:74">
      <c r="L1879" s="261"/>
      <c r="M1879" s="261"/>
      <c r="N1879" s="261"/>
      <c r="O1879" s="261"/>
      <c r="P1879" s="261"/>
      <c r="Q1879" s="261"/>
      <c r="BR1879" s="261"/>
      <c r="BS1879" s="261"/>
      <c r="BT1879" s="261"/>
      <c r="BU1879" s="261"/>
      <c r="BV1879" s="261"/>
    </row>
    <row r="1880" spans="12:74">
      <c r="L1880" s="261"/>
      <c r="M1880" s="261"/>
      <c r="N1880" s="261"/>
      <c r="O1880" s="261"/>
      <c r="P1880" s="261"/>
      <c r="Q1880" s="261"/>
      <c r="BR1880" s="261"/>
      <c r="BS1880" s="261"/>
      <c r="BT1880" s="261"/>
      <c r="BU1880" s="261"/>
      <c r="BV1880" s="261"/>
    </row>
    <row r="1881" spans="12:74">
      <c r="L1881" s="261"/>
      <c r="M1881" s="261"/>
      <c r="N1881" s="261"/>
      <c r="O1881" s="261"/>
      <c r="P1881" s="261"/>
      <c r="Q1881" s="261"/>
      <c r="BR1881" s="261"/>
      <c r="BS1881" s="261"/>
      <c r="BT1881" s="261"/>
      <c r="BU1881" s="261"/>
      <c r="BV1881" s="261"/>
    </row>
    <row r="1882" spans="12:74">
      <c r="L1882" s="261"/>
      <c r="M1882" s="261"/>
      <c r="N1882" s="261"/>
      <c r="O1882" s="261"/>
      <c r="P1882" s="261"/>
      <c r="Q1882" s="261"/>
      <c r="BR1882" s="261"/>
      <c r="BS1882" s="261"/>
      <c r="BT1882" s="261"/>
      <c r="BU1882" s="261"/>
      <c r="BV1882" s="261"/>
    </row>
    <row r="1883" spans="12:74">
      <c r="L1883" s="261"/>
      <c r="M1883" s="261"/>
      <c r="N1883" s="261"/>
      <c r="O1883" s="261"/>
      <c r="P1883" s="261"/>
      <c r="Q1883" s="261"/>
      <c r="BR1883" s="261"/>
      <c r="BS1883" s="261"/>
      <c r="BT1883" s="261"/>
      <c r="BU1883" s="261"/>
      <c r="BV1883" s="261"/>
    </row>
    <row r="1884" spans="12:74">
      <c r="L1884" s="261"/>
      <c r="M1884" s="261"/>
      <c r="N1884" s="261"/>
      <c r="O1884" s="261"/>
      <c r="P1884" s="261"/>
      <c r="Q1884" s="261"/>
      <c r="BR1884" s="261"/>
      <c r="BS1884" s="261"/>
      <c r="BT1884" s="261"/>
      <c r="BU1884" s="261"/>
      <c r="BV1884" s="261"/>
    </row>
    <row r="1885" spans="12:74">
      <c r="L1885" s="261"/>
      <c r="M1885" s="261"/>
      <c r="N1885" s="261"/>
      <c r="O1885" s="261"/>
      <c r="P1885" s="261"/>
      <c r="Q1885" s="261"/>
      <c r="BR1885" s="261"/>
      <c r="BS1885" s="261"/>
      <c r="BT1885" s="261"/>
      <c r="BU1885" s="261"/>
      <c r="BV1885" s="261"/>
    </row>
    <row r="1886" spans="12:74">
      <c r="L1886" s="261"/>
      <c r="M1886" s="261"/>
      <c r="N1886" s="261"/>
      <c r="O1886" s="261"/>
      <c r="P1886" s="261"/>
      <c r="Q1886" s="261"/>
      <c r="BR1886" s="261"/>
      <c r="BS1886" s="261"/>
      <c r="BT1886" s="261"/>
      <c r="BU1886" s="261"/>
      <c r="BV1886" s="261"/>
    </row>
    <row r="1887" spans="12:74">
      <c r="L1887" s="261"/>
      <c r="M1887" s="261"/>
      <c r="N1887" s="261"/>
      <c r="O1887" s="261"/>
      <c r="P1887" s="261"/>
      <c r="Q1887" s="261"/>
      <c r="BR1887" s="261"/>
      <c r="BS1887" s="261"/>
      <c r="BT1887" s="261"/>
      <c r="BU1887" s="261"/>
      <c r="BV1887" s="261"/>
    </row>
    <row r="1888" spans="12:74">
      <c r="L1888" s="261"/>
      <c r="M1888" s="261"/>
      <c r="N1888" s="261"/>
      <c r="O1888" s="261"/>
      <c r="P1888" s="261"/>
      <c r="Q1888" s="261"/>
      <c r="BR1888" s="261"/>
      <c r="BS1888" s="261"/>
      <c r="BT1888" s="261"/>
      <c r="BU1888" s="261"/>
      <c r="BV1888" s="261"/>
    </row>
    <row r="1889" spans="12:74">
      <c r="L1889" s="261"/>
      <c r="M1889" s="261"/>
      <c r="N1889" s="261"/>
      <c r="O1889" s="261"/>
      <c r="P1889" s="261"/>
      <c r="Q1889" s="261"/>
      <c r="BR1889" s="261"/>
      <c r="BS1889" s="261"/>
      <c r="BT1889" s="261"/>
      <c r="BU1889" s="261"/>
      <c r="BV1889" s="261"/>
    </row>
    <row r="1890" spans="12:74">
      <c r="L1890" s="261"/>
      <c r="M1890" s="261"/>
      <c r="N1890" s="261"/>
      <c r="O1890" s="261"/>
      <c r="P1890" s="261"/>
      <c r="Q1890" s="261"/>
      <c r="BR1890" s="261"/>
      <c r="BS1890" s="261"/>
      <c r="BT1890" s="261"/>
      <c r="BU1890" s="261"/>
      <c r="BV1890" s="261"/>
    </row>
    <row r="1891" spans="12:74">
      <c r="L1891" s="261"/>
      <c r="M1891" s="261"/>
      <c r="N1891" s="261"/>
      <c r="O1891" s="261"/>
      <c r="P1891" s="261"/>
      <c r="Q1891" s="261"/>
      <c r="BR1891" s="261"/>
      <c r="BS1891" s="261"/>
      <c r="BT1891" s="261"/>
      <c r="BU1891" s="261"/>
      <c r="BV1891" s="261"/>
    </row>
    <row r="1892" spans="12:74">
      <c r="L1892" s="261"/>
      <c r="M1892" s="261"/>
      <c r="N1892" s="261"/>
      <c r="O1892" s="261"/>
      <c r="P1892" s="261"/>
      <c r="Q1892" s="261"/>
      <c r="BR1892" s="261"/>
      <c r="BS1892" s="261"/>
      <c r="BT1892" s="261"/>
      <c r="BU1892" s="261"/>
      <c r="BV1892" s="261"/>
    </row>
    <row r="1893" spans="12:74">
      <c r="L1893" s="261"/>
      <c r="M1893" s="261"/>
      <c r="N1893" s="261"/>
      <c r="O1893" s="261"/>
      <c r="P1893" s="261"/>
      <c r="Q1893" s="261"/>
      <c r="BR1893" s="261"/>
      <c r="BS1893" s="261"/>
      <c r="BT1893" s="261"/>
      <c r="BU1893" s="261"/>
      <c r="BV1893" s="261"/>
    </row>
    <row r="1894" spans="12:74">
      <c r="L1894" s="261"/>
      <c r="M1894" s="261"/>
      <c r="N1894" s="261"/>
      <c r="O1894" s="261"/>
      <c r="P1894" s="261"/>
      <c r="Q1894" s="261"/>
      <c r="BR1894" s="261"/>
      <c r="BS1894" s="261"/>
      <c r="BT1894" s="261"/>
      <c r="BU1894" s="261"/>
      <c r="BV1894" s="261"/>
    </row>
    <row r="1895" spans="12:74">
      <c r="L1895" s="261"/>
      <c r="M1895" s="261"/>
      <c r="N1895" s="261"/>
      <c r="O1895" s="261"/>
      <c r="P1895" s="261"/>
      <c r="Q1895" s="261"/>
      <c r="BR1895" s="261"/>
      <c r="BS1895" s="261"/>
      <c r="BT1895" s="261"/>
      <c r="BU1895" s="261"/>
      <c r="BV1895" s="261"/>
    </row>
    <row r="1896" spans="12:74">
      <c r="L1896" s="261"/>
      <c r="M1896" s="261"/>
      <c r="N1896" s="261"/>
      <c r="O1896" s="261"/>
      <c r="P1896" s="261"/>
      <c r="Q1896" s="261"/>
      <c r="BR1896" s="261"/>
      <c r="BS1896" s="261"/>
      <c r="BT1896" s="261"/>
      <c r="BU1896" s="261"/>
      <c r="BV1896" s="261"/>
    </row>
    <row r="1897" spans="12:74">
      <c r="L1897" s="261"/>
      <c r="M1897" s="261"/>
      <c r="N1897" s="261"/>
      <c r="O1897" s="261"/>
      <c r="P1897" s="261"/>
      <c r="Q1897" s="261"/>
      <c r="BR1897" s="261"/>
      <c r="BS1897" s="261"/>
      <c r="BT1897" s="261"/>
      <c r="BU1897" s="261"/>
      <c r="BV1897" s="261"/>
    </row>
    <row r="1898" spans="12:74">
      <c r="L1898" s="261"/>
      <c r="M1898" s="261"/>
      <c r="N1898" s="261"/>
      <c r="O1898" s="261"/>
      <c r="P1898" s="261"/>
      <c r="Q1898" s="261"/>
      <c r="BR1898" s="261"/>
      <c r="BS1898" s="261"/>
      <c r="BT1898" s="261"/>
      <c r="BU1898" s="261"/>
      <c r="BV1898" s="261"/>
    </row>
    <row r="1899" spans="12:74">
      <c r="L1899" s="261"/>
      <c r="M1899" s="261"/>
      <c r="N1899" s="261"/>
      <c r="O1899" s="261"/>
      <c r="P1899" s="261"/>
      <c r="Q1899" s="261"/>
      <c r="BR1899" s="261"/>
      <c r="BS1899" s="261"/>
      <c r="BT1899" s="261"/>
      <c r="BU1899" s="261"/>
      <c r="BV1899" s="261"/>
    </row>
    <row r="1900" spans="12:74">
      <c r="L1900" s="261"/>
      <c r="M1900" s="261"/>
      <c r="N1900" s="261"/>
      <c r="O1900" s="261"/>
      <c r="P1900" s="261"/>
      <c r="Q1900" s="261"/>
      <c r="BR1900" s="261"/>
      <c r="BS1900" s="261"/>
      <c r="BT1900" s="261"/>
      <c r="BU1900" s="261"/>
      <c r="BV1900" s="261"/>
    </row>
    <row r="1901" spans="12:74">
      <c r="L1901" s="261"/>
      <c r="M1901" s="261"/>
      <c r="N1901" s="261"/>
      <c r="O1901" s="261"/>
      <c r="P1901" s="261"/>
      <c r="Q1901" s="261"/>
      <c r="BR1901" s="261"/>
      <c r="BS1901" s="261"/>
      <c r="BT1901" s="261"/>
      <c r="BU1901" s="261"/>
      <c r="BV1901" s="261"/>
    </row>
    <row r="1902" spans="12:74">
      <c r="L1902" s="261"/>
      <c r="M1902" s="261"/>
      <c r="N1902" s="261"/>
      <c r="O1902" s="261"/>
      <c r="P1902" s="261"/>
      <c r="Q1902" s="261"/>
      <c r="BR1902" s="261"/>
      <c r="BS1902" s="261"/>
      <c r="BT1902" s="261"/>
      <c r="BU1902" s="261"/>
      <c r="BV1902" s="261"/>
    </row>
    <row r="1903" spans="12:74">
      <c r="L1903" s="261"/>
      <c r="M1903" s="261"/>
      <c r="N1903" s="261"/>
      <c r="O1903" s="261"/>
      <c r="P1903" s="261"/>
      <c r="Q1903" s="261"/>
      <c r="BR1903" s="261"/>
      <c r="BS1903" s="261"/>
      <c r="BT1903" s="261"/>
      <c r="BU1903" s="261"/>
      <c r="BV1903" s="261"/>
    </row>
    <row r="1904" spans="12:74">
      <c r="L1904" s="261"/>
      <c r="M1904" s="261"/>
      <c r="N1904" s="261"/>
      <c r="O1904" s="261"/>
      <c r="P1904" s="261"/>
      <c r="Q1904" s="261"/>
      <c r="BR1904" s="261"/>
      <c r="BS1904" s="261"/>
      <c r="BT1904" s="261"/>
      <c r="BU1904" s="261"/>
      <c r="BV1904" s="261"/>
    </row>
    <row r="1905" spans="12:74">
      <c r="L1905" s="261"/>
      <c r="M1905" s="261"/>
      <c r="N1905" s="261"/>
      <c r="O1905" s="261"/>
      <c r="P1905" s="261"/>
      <c r="Q1905" s="261"/>
      <c r="BR1905" s="261"/>
      <c r="BS1905" s="261"/>
      <c r="BT1905" s="261"/>
      <c r="BU1905" s="261"/>
      <c r="BV1905" s="261"/>
    </row>
    <row r="1906" spans="12:74">
      <c r="L1906" s="261"/>
      <c r="M1906" s="261"/>
      <c r="N1906" s="261"/>
      <c r="O1906" s="261"/>
      <c r="P1906" s="261"/>
      <c r="Q1906" s="261"/>
      <c r="BR1906" s="261"/>
      <c r="BS1906" s="261"/>
      <c r="BT1906" s="261"/>
      <c r="BU1906" s="261"/>
      <c r="BV1906" s="261"/>
    </row>
    <row r="1907" spans="12:74">
      <c r="L1907" s="261"/>
      <c r="M1907" s="261"/>
      <c r="N1907" s="261"/>
      <c r="O1907" s="261"/>
      <c r="P1907" s="261"/>
      <c r="Q1907" s="261"/>
      <c r="BR1907" s="261"/>
      <c r="BS1907" s="261"/>
      <c r="BT1907" s="261"/>
      <c r="BU1907" s="261"/>
      <c r="BV1907" s="261"/>
    </row>
    <row r="1908" spans="12:74">
      <c r="L1908" s="261"/>
      <c r="M1908" s="261"/>
      <c r="N1908" s="261"/>
      <c r="O1908" s="261"/>
      <c r="P1908" s="261"/>
      <c r="Q1908" s="261"/>
      <c r="BR1908" s="261"/>
      <c r="BS1908" s="261"/>
      <c r="BT1908" s="261"/>
      <c r="BU1908" s="261"/>
      <c r="BV1908" s="261"/>
    </row>
    <row r="1909" spans="12:74">
      <c r="L1909" s="261"/>
      <c r="M1909" s="261"/>
      <c r="N1909" s="261"/>
      <c r="O1909" s="261"/>
      <c r="P1909" s="261"/>
      <c r="Q1909" s="261"/>
      <c r="BR1909" s="261"/>
      <c r="BS1909" s="261"/>
      <c r="BT1909" s="261"/>
      <c r="BU1909" s="261"/>
      <c r="BV1909" s="261"/>
    </row>
    <row r="1910" spans="12:74">
      <c r="L1910" s="261"/>
      <c r="M1910" s="261"/>
      <c r="N1910" s="261"/>
      <c r="O1910" s="261"/>
      <c r="P1910" s="261"/>
      <c r="Q1910" s="261"/>
      <c r="BR1910" s="261"/>
      <c r="BS1910" s="261"/>
      <c r="BT1910" s="261"/>
      <c r="BU1910" s="261"/>
      <c r="BV1910" s="261"/>
    </row>
    <row r="1911" spans="12:74">
      <c r="L1911" s="261"/>
      <c r="M1911" s="261"/>
      <c r="N1911" s="261"/>
      <c r="O1911" s="261"/>
      <c r="P1911" s="261"/>
      <c r="Q1911" s="261"/>
      <c r="BR1911" s="261"/>
      <c r="BS1911" s="261"/>
      <c r="BT1911" s="261"/>
      <c r="BU1911" s="261"/>
      <c r="BV1911" s="261"/>
    </row>
    <row r="1912" spans="12:74">
      <c r="L1912" s="261"/>
      <c r="M1912" s="261"/>
      <c r="N1912" s="261"/>
      <c r="O1912" s="261"/>
      <c r="P1912" s="261"/>
      <c r="Q1912" s="261"/>
      <c r="BR1912" s="261"/>
      <c r="BS1912" s="261"/>
      <c r="BT1912" s="261"/>
      <c r="BU1912" s="261"/>
      <c r="BV1912" s="261"/>
    </row>
    <row r="1913" spans="12:74">
      <c r="L1913" s="261"/>
      <c r="M1913" s="261"/>
      <c r="N1913" s="261"/>
      <c r="O1913" s="261"/>
      <c r="P1913" s="261"/>
      <c r="Q1913" s="261"/>
      <c r="BR1913" s="261"/>
      <c r="BS1913" s="261"/>
      <c r="BT1913" s="261"/>
      <c r="BU1913" s="261"/>
      <c r="BV1913" s="261"/>
    </row>
    <row r="1914" spans="12:74">
      <c r="L1914" s="261"/>
      <c r="M1914" s="261"/>
      <c r="N1914" s="261"/>
      <c r="O1914" s="261"/>
      <c r="P1914" s="261"/>
      <c r="Q1914" s="261"/>
      <c r="BR1914" s="261"/>
      <c r="BS1914" s="261"/>
      <c r="BT1914" s="261"/>
      <c r="BU1914" s="261"/>
      <c r="BV1914" s="261"/>
    </row>
    <row r="1915" spans="12:74">
      <c r="L1915" s="261"/>
      <c r="M1915" s="261"/>
      <c r="N1915" s="261"/>
      <c r="O1915" s="261"/>
      <c r="P1915" s="261"/>
      <c r="Q1915" s="261"/>
      <c r="BR1915" s="261"/>
      <c r="BS1915" s="261"/>
      <c r="BT1915" s="261"/>
      <c r="BU1915" s="261"/>
      <c r="BV1915" s="261"/>
    </row>
    <row r="1916" spans="12:74">
      <c r="L1916" s="261"/>
      <c r="M1916" s="261"/>
      <c r="N1916" s="261"/>
      <c r="O1916" s="261"/>
      <c r="P1916" s="261"/>
      <c r="Q1916" s="261"/>
      <c r="BR1916" s="261"/>
      <c r="BS1916" s="261"/>
      <c r="BT1916" s="261"/>
      <c r="BU1916" s="261"/>
      <c r="BV1916" s="261"/>
    </row>
    <row r="1917" spans="12:74">
      <c r="L1917" s="261"/>
      <c r="M1917" s="261"/>
      <c r="N1917" s="261"/>
      <c r="O1917" s="261"/>
      <c r="P1917" s="261"/>
      <c r="Q1917" s="261"/>
      <c r="BR1917" s="261"/>
      <c r="BS1917" s="261"/>
      <c r="BT1917" s="261"/>
      <c r="BU1917" s="261"/>
      <c r="BV1917" s="261"/>
    </row>
    <row r="1918" spans="12:74">
      <c r="L1918" s="261"/>
      <c r="M1918" s="261"/>
      <c r="N1918" s="261"/>
      <c r="O1918" s="261"/>
      <c r="P1918" s="261"/>
      <c r="Q1918" s="261"/>
      <c r="BR1918" s="261"/>
      <c r="BS1918" s="261"/>
      <c r="BT1918" s="261"/>
      <c r="BU1918" s="261"/>
      <c r="BV1918" s="261"/>
    </row>
    <row r="1919" spans="12:74">
      <c r="L1919" s="261"/>
      <c r="M1919" s="261"/>
      <c r="N1919" s="261"/>
      <c r="O1919" s="261"/>
      <c r="P1919" s="261"/>
      <c r="Q1919" s="261"/>
      <c r="BR1919" s="261"/>
      <c r="BS1919" s="261"/>
      <c r="BT1919" s="261"/>
      <c r="BU1919" s="261"/>
      <c r="BV1919" s="261"/>
    </row>
    <row r="1920" spans="12:74">
      <c r="L1920" s="261"/>
      <c r="M1920" s="261"/>
      <c r="N1920" s="261"/>
      <c r="O1920" s="261"/>
      <c r="P1920" s="261"/>
      <c r="Q1920" s="261"/>
      <c r="BR1920" s="261"/>
      <c r="BS1920" s="261"/>
      <c r="BT1920" s="261"/>
      <c r="BU1920" s="261"/>
      <c r="BV1920" s="261"/>
    </row>
    <row r="1921" spans="12:74">
      <c r="L1921" s="261"/>
      <c r="M1921" s="261"/>
      <c r="N1921" s="261"/>
      <c r="O1921" s="261"/>
      <c r="P1921" s="261"/>
      <c r="Q1921" s="261"/>
      <c r="BR1921" s="261"/>
      <c r="BS1921" s="261"/>
      <c r="BT1921" s="261"/>
      <c r="BU1921" s="261"/>
      <c r="BV1921" s="261"/>
    </row>
    <row r="1922" spans="12:74">
      <c r="L1922" s="261"/>
      <c r="M1922" s="261"/>
      <c r="N1922" s="261"/>
      <c r="O1922" s="261"/>
      <c r="P1922" s="261"/>
      <c r="Q1922" s="261"/>
      <c r="BR1922" s="261"/>
      <c r="BS1922" s="261"/>
      <c r="BT1922" s="261"/>
      <c r="BU1922" s="261"/>
      <c r="BV1922" s="261"/>
    </row>
    <row r="1923" spans="12:74">
      <c r="L1923" s="261"/>
      <c r="M1923" s="261"/>
      <c r="N1923" s="261"/>
      <c r="O1923" s="261"/>
      <c r="P1923" s="261"/>
      <c r="Q1923" s="261"/>
      <c r="BR1923" s="261"/>
      <c r="BS1923" s="261"/>
      <c r="BT1923" s="261"/>
      <c r="BU1923" s="261"/>
      <c r="BV1923" s="261"/>
    </row>
    <row r="1924" spans="12:74">
      <c r="L1924" s="261"/>
      <c r="M1924" s="261"/>
      <c r="N1924" s="261"/>
      <c r="O1924" s="261"/>
      <c r="P1924" s="261"/>
      <c r="Q1924" s="261"/>
      <c r="BR1924" s="261"/>
      <c r="BS1924" s="261"/>
      <c r="BT1924" s="261"/>
      <c r="BU1924" s="261"/>
      <c r="BV1924" s="261"/>
    </row>
    <row r="1925" spans="12:74">
      <c r="L1925" s="261"/>
      <c r="M1925" s="261"/>
      <c r="N1925" s="261"/>
      <c r="O1925" s="261"/>
      <c r="P1925" s="261"/>
      <c r="Q1925" s="261"/>
      <c r="BR1925" s="261"/>
      <c r="BS1925" s="261"/>
      <c r="BT1925" s="261"/>
      <c r="BU1925" s="261"/>
      <c r="BV1925" s="261"/>
    </row>
    <row r="1926" spans="12:74">
      <c r="L1926" s="261"/>
      <c r="M1926" s="261"/>
      <c r="N1926" s="261"/>
      <c r="O1926" s="261"/>
      <c r="P1926" s="261"/>
      <c r="Q1926" s="261"/>
      <c r="BR1926" s="261"/>
      <c r="BS1926" s="261"/>
      <c r="BT1926" s="261"/>
      <c r="BU1926" s="261"/>
      <c r="BV1926" s="261"/>
    </row>
    <row r="1927" spans="12:74">
      <c r="L1927" s="261"/>
      <c r="M1927" s="261"/>
      <c r="N1927" s="261"/>
      <c r="O1927" s="261"/>
      <c r="P1927" s="261"/>
      <c r="Q1927" s="261"/>
      <c r="BR1927" s="261"/>
      <c r="BS1927" s="261"/>
      <c r="BT1927" s="261"/>
      <c r="BU1927" s="261"/>
      <c r="BV1927" s="261"/>
    </row>
    <row r="1928" spans="12:74">
      <c r="L1928" s="261"/>
      <c r="M1928" s="261"/>
      <c r="N1928" s="261"/>
      <c r="O1928" s="261"/>
      <c r="P1928" s="261"/>
      <c r="Q1928" s="261"/>
      <c r="BR1928" s="261"/>
      <c r="BS1928" s="261"/>
      <c r="BT1928" s="261"/>
      <c r="BU1928" s="261"/>
      <c r="BV1928" s="261"/>
    </row>
    <row r="1929" spans="12:74">
      <c r="L1929" s="261"/>
      <c r="M1929" s="261"/>
      <c r="N1929" s="261"/>
      <c r="O1929" s="261"/>
      <c r="P1929" s="261"/>
      <c r="Q1929" s="261"/>
      <c r="BR1929" s="261"/>
      <c r="BS1929" s="261"/>
      <c r="BT1929" s="261"/>
      <c r="BU1929" s="261"/>
      <c r="BV1929" s="261"/>
    </row>
    <row r="1930" spans="12:74">
      <c r="L1930" s="261"/>
      <c r="M1930" s="261"/>
      <c r="N1930" s="261"/>
      <c r="O1930" s="261"/>
      <c r="P1930" s="261"/>
      <c r="Q1930" s="261"/>
      <c r="BR1930" s="261"/>
      <c r="BS1930" s="261"/>
      <c r="BT1930" s="261"/>
      <c r="BU1930" s="261"/>
      <c r="BV1930" s="261"/>
    </row>
    <row r="1931" spans="12:74">
      <c r="L1931" s="261"/>
      <c r="M1931" s="261"/>
      <c r="N1931" s="261"/>
      <c r="O1931" s="261"/>
      <c r="P1931" s="261"/>
      <c r="Q1931" s="261"/>
      <c r="BR1931" s="261"/>
      <c r="BS1931" s="261"/>
      <c r="BT1931" s="261"/>
      <c r="BU1931" s="261"/>
      <c r="BV1931" s="261"/>
    </row>
    <row r="1932" spans="12:74">
      <c r="L1932" s="261"/>
      <c r="M1932" s="261"/>
      <c r="N1932" s="261"/>
      <c r="O1932" s="261"/>
      <c r="P1932" s="261"/>
      <c r="Q1932" s="261"/>
      <c r="BR1932" s="261"/>
      <c r="BS1932" s="261"/>
      <c r="BT1932" s="261"/>
      <c r="BU1932" s="261"/>
      <c r="BV1932" s="261"/>
    </row>
    <row r="1933" spans="12:74">
      <c r="L1933" s="261"/>
      <c r="M1933" s="261"/>
      <c r="N1933" s="261"/>
      <c r="O1933" s="261"/>
      <c r="P1933" s="261"/>
      <c r="Q1933" s="261"/>
      <c r="BR1933" s="261"/>
      <c r="BS1933" s="261"/>
      <c r="BT1933" s="261"/>
      <c r="BU1933" s="261"/>
      <c r="BV1933" s="261"/>
    </row>
    <row r="1934" spans="12:74">
      <c r="L1934" s="261"/>
      <c r="M1934" s="261"/>
      <c r="N1934" s="261"/>
      <c r="O1934" s="261"/>
      <c r="P1934" s="261"/>
      <c r="Q1934" s="261"/>
      <c r="BR1934" s="261"/>
      <c r="BS1934" s="261"/>
      <c r="BT1934" s="261"/>
      <c r="BU1934" s="261"/>
      <c r="BV1934" s="261"/>
    </row>
    <row r="1935" spans="12:74">
      <c r="L1935" s="261"/>
      <c r="M1935" s="261"/>
      <c r="N1935" s="261"/>
      <c r="O1935" s="261"/>
      <c r="P1935" s="261"/>
      <c r="Q1935" s="261"/>
      <c r="BR1935" s="261"/>
      <c r="BS1935" s="261"/>
      <c r="BT1935" s="261"/>
      <c r="BU1935" s="261"/>
      <c r="BV1935" s="261"/>
    </row>
    <row r="1936" spans="12:74">
      <c r="L1936" s="261"/>
      <c r="M1936" s="261"/>
      <c r="N1936" s="261"/>
      <c r="O1936" s="261"/>
      <c r="P1936" s="261"/>
      <c r="Q1936" s="261"/>
      <c r="BR1936" s="261"/>
      <c r="BS1936" s="261"/>
      <c r="BT1936" s="261"/>
      <c r="BU1936" s="261"/>
      <c r="BV1936" s="261"/>
    </row>
    <row r="1937" spans="12:74">
      <c r="L1937" s="261"/>
      <c r="M1937" s="261"/>
      <c r="N1937" s="261"/>
      <c r="O1937" s="261"/>
      <c r="P1937" s="261"/>
      <c r="Q1937" s="261"/>
      <c r="BR1937" s="261"/>
      <c r="BS1937" s="261"/>
      <c r="BT1937" s="261"/>
      <c r="BU1937" s="261"/>
      <c r="BV1937" s="261"/>
    </row>
    <row r="1938" spans="12:74">
      <c r="L1938" s="261"/>
      <c r="M1938" s="261"/>
      <c r="N1938" s="261"/>
      <c r="O1938" s="261"/>
      <c r="P1938" s="261"/>
      <c r="Q1938" s="261"/>
      <c r="BR1938" s="261"/>
      <c r="BS1938" s="261"/>
      <c r="BT1938" s="261"/>
      <c r="BU1938" s="261"/>
      <c r="BV1938" s="261"/>
    </row>
    <row r="1939" spans="12:74">
      <c r="L1939" s="261"/>
      <c r="M1939" s="261"/>
      <c r="N1939" s="261"/>
      <c r="O1939" s="261"/>
      <c r="P1939" s="261"/>
      <c r="Q1939" s="261"/>
      <c r="BR1939" s="261"/>
      <c r="BS1939" s="261"/>
      <c r="BT1939" s="261"/>
      <c r="BU1939" s="261"/>
      <c r="BV1939" s="261"/>
    </row>
    <row r="1940" spans="12:74">
      <c r="L1940" s="261"/>
      <c r="M1940" s="261"/>
      <c r="N1940" s="261"/>
      <c r="O1940" s="261"/>
      <c r="P1940" s="261"/>
      <c r="Q1940" s="261"/>
      <c r="BR1940" s="261"/>
      <c r="BS1940" s="261"/>
      <c r="BT1940" s="261"/>
      <c r="BU1940" s="261"/>
      <c r="BV1940" s="261"/>
    </row>
    <row r="1941" spans="12:74">
      <c r="L1941" s="261"/>
      <c r="M1941" s="261"/>
      <c r="N1941" s="261"/>
      <c r="O1941" s="261"/>
      <c r="P1941" s="261"/>
      <c r="Q1941" s="261"/>
      <c r="BR1941" s="261"/>
      <c r="BS1941" s="261"/>
      <c r="BT1941" s="261"/>
      <c r="BU1941" s="261"/>
      <c r="BV1941" s="261"/>
    </row>
    <row r="1942" spans="12:74">
      <c r="L1942" s="261"/>
      <c r="M1942" s="261"/>
      <c r="N1942" s="261"/>
      <c r="O1942" s="261"/>
      <c r="P1942" s="261"/>
      <c r="Q1942" s="261"/>
      <c r="BR1942" s="261"/>
      <c r="BS1942" s="261"/>
      <c r="BT1942" s="261"/>
      <c r="BU1942" s="261"/>
      <c r="BV1942" s="261"/>
    </row>
    <row r="1943" spans="12:74">
      <c r="L1943" s="261"/>
      <c r="M1943" s="261"/>
      <c r="N1943" s="261"/>
      <c r="O1943" s="261"/>
      <c r="P1943" s="261"/>
      <c r="Q1943" s="261"/>
      <c r="BR1943" s="261"/>
      <c r="BS1943" s="261"/>
      <c r="BT1943" s="261"/>
      <c r="BU1943" s="261"/>
      <c r="BV1943" s="261"/>
    </row>
    <row r="1944" spans="12:74">
      <c r="L1944" s="261"/>
      <c r="M1944" s="261"/>
      <c r="N1944" s="261"/>
      <c r="O1944" s="261"/>
      <c r="P1944" s="261"/>
      <c r="Q1944" s="261"/>
      <c r="BR1944" s="261"/>
      <c r="BS1944" s="261"/>
      <c r="BT1944" s="261"/>
      <c r="BU1944" s="261"/>
      <c r="BV1944" s="261"/>
    </row>
    <row r="1945" spans="12:74">
      <c r="L1945" s="261"/>
      <c r="M1945" s="261"/>
      <c r="N1945" s="261"/>
      <c r="O1945" s="261"/>
      <c r="P1945" s="261"/>
      <c r="Q1945" s="261"/>
      <c r="BR1945" s="261"/>
      <c r="BS1945" s="261"/>
      <c r="BT1945" s="261"/>
      <c r="BU1945" s="261"/>
      <c r="BV1945" s="261"/>
    </row>
    <row r="1946" spans="12:74">
      <c r="L1946" s="261"/>
      <c r="M1946" s="261"/>
      <c r="N1946" s="261"/>
      <c r="O1946" s="261"/>
      <c r="P1946" s="261"/>
      <c r="Q1946" s="261"/>
      <c r="BR1946" s="261"/>
      <c r="BS1946" s="261"/>
      <c r="BT1946" s="261"/>
      <c r="BU1946" s="261"/>
      <c r="BV1946" s="261"/>
    </row>
    <row r="1947" spans="12:74">
      <c r="L1947" s="261"/>
      <c r="M1947" s="261"/>
      <c r="N1947" s="261"/>
      <c r="O1947" s="261"/>
      <c r="P1947" s="261"/>
      <c r="Q1947" s="261"/>
      <c r="BR1947" s="261"/>
      <c r="BS1947" s="261"/>
      <c r="BT1947" s="261"/>
      <c r="BU1947" s="261"/>
      <c r="BV1947" s="261"/>
    </row>
    <row r="1948" spans="12:74">
      <c r="L1948" s="261"/>
      <c r="M1948" s="261"/>
      <c r="N1948" s="261"/>
      <c r="O1948" s="261"/>
      <c r="P1948" s="261"/>
      <c r="Q1948" s="261"/>
      <c r="BR1948" s="261"/>
      <c r="BS1948" s="261"/>
      <c r="BT1948" s="261"/>
      <c r="BU1948" s="261"/>
      <c r="BV1948" s="261"/>
    </row>
    <row r="1949" spans="12:74">
      <c r="L1949" s="261"/>
      <c r="M1949" s="261"/>
      <c r="N1949" s="261"/>
      <c r="O1949" s="261"/>
      <c r="P1949" s="261"/>
      <c r="Q1949" s="261"/>
      <c r="BR1949" s="261"/>
      <c r="BS1949" s="261"/>
      <c r="BT1949" s="261"/>
      <c r="BU1949" s="261"/>
      <c r="BV1949" s="261"/>
    </row>
    <row r="1950" spans="12:74">
      <c r="L1950" s="261"/>
      <c r="M1950" s="261"/>
      <c r="N1950" s="261"/>
      <c r="O1950" s="261"/>
      <c r="P1950" s="261"/>
      <c r="Q1950" s="261"/>
      <c r="BR1950" s="261"/>
      <c r="BS1950" s="261"/>
      <c r="BT1950" s="261"/>
      <c r="BU1950" s="261"/>
      <c r="BV1950" s="261"/>
    </row>
    <row r="1951" spans="12:74">
      <c r="L1951" s="261"/>
      <c r="M1951" s="261"/>
      <c r="N1951" s="261"/>
      <c r="O1951" s="261"/>
      <c r="P1951" s="261"/>
      <c r="Q1951" s="261"/>
      <c r="BR1951" s="261"/>
      <c r="BS1951" s="261"/>
      <c r="BT1951" s="261"/>
      <c r="BU1951" s="261"/>
      <c r="BV1951" s="261"/>
    </row>
    <row r="1952" spans="12:74">
      <c r="L1952" s="261"/>
      <c r="M1952" s="261"/>
      <c r="N1952" s="261"/>
      <c r="O1952" s="261"/>
      <c r="P1952" s="261"/>
      <c r="Q1952" s="261"/>
      <c r="BR1952" s="261"/>
      <c r="BS1952" s="261"/>
      <c r="BT1952" s="261"/>
      <c r="BU1952" s="261"/>
      <c r="BV1952" s="261"/>
    </row>
    <row r="1953" spans="12:74">
      <c r="L1953" s="261"/>
      <c r="M1953" s="261"/>
      <c r="N1953" s="261"/>
      <c r="O1953" s="261"/>
      <c r="P1953" s="261"/>
      <c r="Q1953" s="261"/>
      <c r="BR1953" s="261"/>
      <c r="BS1953" s="261"/>
      <c r="BT1953" s="261"/>
      <c r="BU1953" s="261"/>
      <c r="BV1953" s="261"/>
    </row>
    <row r="1954" spans="12:74">
      <c r="L1954" s="261"/>
      <c r="M1954" s="261"/>
      <c r="N1954" s="261"/>
      <c r="O1954" s="261"/>
      <c r="P1954" s="261"/>
      <c r="Q1954" s="261"/>
      <c r="BR1954" s="261"/>
      <c r="BS1954" s="261"/>
      <c r="BT1954" s="261"/>
      <c r="BU1954" s="261"/>
      <c r="BV1954" s="261"/>
    </row>
    <row r="1955" spans="12:74">
      <c r="L1955" s="261"/>
      <c r="M1955" s="261"/>
      <c r="N1955" s="261"/>
      <c r="O1955" s="261"/>
      <c r="P1955" s="261"/>
      <c r="Q1955" s="261"/>
      <c r="BR1955" s="261"/>
      <c r="BS1955" s="261"/>
      <c r="BT1955" s="261"/>
      <c r="BU1955" s="261"/>
      <c r="BV1955" s="261"/>
    </row>
    <row r="1956" spans="12:74">
      <c r="L1956" s="261"/>
      <c r="M1956" s="261"/>
      <c r="N1956" s="261"/>
      <c r="O1956" s="261"/>
      <c r="P1956" s="261"/>
      <c r="Q1956" s="261"/>
      <c r="BR1956" s="261"/>
      <c r="BS1956" s="261"/>
      <c r="BT1956" s="261"/>
      <c r="BU1956" s="261"/>
      <c r="BV1956" s="261"/>
    </row>
    <row r="1957" spans="12:74">
      <c r="L1957" s="261"/>
      <c r="M1957" s="261"/>
      <c r="N1957" s="261"/>
      <c r="O1957" s="261"/>
      <c r="P1957" s="261"/>
      <c r="Q1957" s="261"/>
      <c r="BR1957" s="261"/>
      <c r="BS1957" s="261"/>
      <c r="BT1957" s="261"/>
      <c r="BU1957" s="261"/>
      <c r="BV1957" s="261"/>
    </row>
    <row r="1958" spans="12:74">
      <c r="L1958" s="261"/>
      <c r="M1958" s="261"/>
      <c r="N1958" s="261"/>
      <c r="O1958" s="261"/>
      <c r="P1958" s="261"/>
      <c r="Q1958" s="261"/>
      <c r="BR1958" s="261"/>
      <c r="BS1958" s="261"/>
      <c r="BT1958" s="261"/>
      <c r="BU1958" s="261"/>
      <c r="BV1958" s="261"/>
    </row>
    <row r="1959" spans="12:74">
      <c r="L1959" s="261"/>
      <c r="M1959" s="261"/>
      <c r="N1959" s="261"/>
      <c r="O1959" s="261"/>
      <c r="P1959" s="261"/>
      <c r="Q1959" s="261"/>
      <c r="BR1959" s="261"/>
      <c r="BS1959" s="261"/>
      <c r="BT1959" s="261"/>
      <c r="BU1959" s="261"/>
      <c r="BV1959" s="261"/>
    </row>
    <row r="1960" spans="12:74">
      <c r="L1960" s="261"/>
      <c r="M1960" s="261"/>
      <c r="N1960" s="261"/>
      <c r="O1960" s="261"/>
      <c r="P1960" s="261"/>
      <c r="Q1960" s="261"/>
      <c r="BR1960" s="261"/>
      <c r="BS1960" s="261"/>
      <c r="BT1960" s="261"/>
      <c r="BU1960" s="261"/>
      <c r="BV1960" s="261"/>
    </row>
    <row r="1961" spans="12:74">
      <c r="L1961" s="261"/>
      <c r="M1961" s="261"/>
      <c r="N1961" s="261"/>
      <c r="O1961" s="261"/>
      <c r="P1961" s="261"/>
      <c r="Q1961" s="261"/>
      <c r="BR1961" s="261"/>
      <c r="BS1961" s="261"/>
      <c r="BT1961" s="261"/>
      <c r="BU1961" s="261"/>
      <c r="BV1961" s="261"/>
    </row>
    <row r="1962" spans="12:74">
      <c r="L1962" s="261"/>
      <c r="M1962" s="261"/>
      <c r="N1962" s="261"/>
      <c r="O1962" s="261"/>
      <c r="P1962" s="261"/>
      <c r="Q1962" s="261"/>
      <c r="BR1962" s="261"/>
      <c r="BS1962" s="261"/>
      <c r="BT1962" s="261"/>
      <c r="BU1962" s="261"/>
      <c r="BV1962" s="261"/>
    </row>
    <row r="1963" spans="12:74">
      <c r="L1963" s="261"/>
      <c r="M1963" s="261"/>
      <c r="N1963" s="261"/>
      <c r="O1963" s="261"/>
      <c r="P1963" s="261"/>
      <c r="Q1963" s="261"/>
      <c r="BR1963" s="261"/>
      <c r="BS1963" s="261"/>
      <c r="BT1963" s="261"/>
      <c r="BU1963" s="261"/>
      <c r="BV1963" s="261"/>
    </row>
    <row r="1964" spans="12:74">
      <c r="L1964" s="261"/>
      <c r="M1964" s="261"/>
      <c r="N1964" s="261"/>
      <c r="O1964" s="261"/>
      <c r="P1964" s="261"/>
      <c r="Q1964" s="261"/>
      <c r="BR1964" s="261"/>
      <c r="BS1964" s="261"/>
      <c r="BT1964" s="261"/>
      <c r="BU1964" s="261"/>
      <c r="BV1964" s="261"/>
    </row>
    <row r="1965" spans="12:74">
      <c r="L1965" s="261"/>
      <c r="M1965" s="261"/>
      <c r="N1965" s="261"/>
      <c r="O1965" s="261"/>
      <c r="P1965" s="261"/>
      <c r="Q1965" s="261"/>
      <c r="BR1965" s="261"/>
      <c r="BS1965" s="261"/>
      <c r="BT1965" s="261"/>
      <c r="BU1965" s="261"/>
      <c r="BV1965" s="261"/>
    </row>
    <row r="1966" spans="12:74">
      <c r="L1966" s="261"/>
      <c r="M1966" s="261"/>
      <c r="N1966" s="261"/>
      <c r="O1966" s="261"/>
      <c r="P1966" s="261"/>
      <c r="Q1966" s="261"/>
      <c r="BR1966" s="261"/>
      <c r="BS1966" s="261"/>
      <c r="BT1966" s="261"/>
      <c r="BU1966" s="261"/>
      <c r="BV1966" s="261"/>
    </row>
    <row r="1967" spans="12:74">
      <c r="L1967" s="261"/>
      <c r="M1967" s="261"/>
      <c r="N1967" s="261"/>
      <c r="O1967" s="261"/>
      <c r="P1967" s="261"/>
      <c r="Q1967" s="261"/>
      <c r="BR1967" s="261"/>
      <c r="BS1967" s="261"/>
      <c r="BT1967" s="261"/>
      <c r="BU1967" s="261"/>
      <c r="BV1967" s="261"/>
    </row>
    <row r="1968" spans="12:74">
      <c r="L1968" s="261"/>
      <c r="M1968" s="261"/>
      <c r="N1968" s="261"/>
      <c r="O1968" s="261"/>
      <c r="P1968" s="261"/>
      <c r="Q1968" s="261"/>
      <c r="BR1968" s="261"/>
      <c r="BS1968" s="261"/>
      <c r="BT1968" s="261"/>
      <c r="BU1968" s="261"/>
      <c r="BV1968" s="261"/>
    </row>
    <row r="1969" spans="12:74">
      <c r="L1969" s="261"/>
      <c r="M1969" s="261"/>
      <c r="N1969" s="261"/>
      <c r="O1969" s="261"/>
      <c r="P1969" s="261"/>
      <c r="Q1969" s="261"/>
      <c r="BR1969" s="261"/>
      <c r="BS1969" s="261"/>
      <c r="BT1969" s="261"/>
      <c r="BU1969" s="261"/>
      <c r="BV1969" s="261"/>
    </row>
    <row r="1970" spans="12:74">
      <c r="L1970" s="261"/>
      <c r="M1970" s="261"/>
      <c r="N1970" s="261"/>
      <c r="O1970" s="261"/>
      <c r="P1970" s="261"/>
      <c r="Q1970" s="261"/>
      <c r="BR1970" s="261"/>
      <c r="BS1970" s="261"/>
      <c r="BT1970" s="261"/>
      <c r="BU1970" s="261"/>
      <c r="BV1970" s="261"/>
    </row>
    <row r="1971" spans="12:74">
      <c r="L1971" s="261"/>
      <c r="M1971" s="261"/>
      <c r="N1971" s="261"/>
      <c r="O1971" s="261"/>
      <c r="P1971" s="261"/>
      <c r="Q1971" s="261"/>
      <c r="BR1971" s="261"/>
      <c r="BS1971" s="261"/>
      <c r="BT1971" s="261"/>
      <c r="BU1971" s="261"/>
      <c r="BV1971" s="261"/>
    </row>
    <row r="1972" spans="12:74">
      <c r="L1972" s="261"/>
      <c r="M1972" s="261"/>
      <c r="N1972" s="261"/>
      <c r="O1972" s="261"/>
      <c r="P1972" s="261"/>
      <c r="Q1972" s="261"/>
      <c r="BR1972" s="261"/>
      <c r="BS1972" s="261"/>
      <c r="BT1972" s="261"/>
      <c r="BU1972" s="261"/>
      <c r="BV1972" s="261"/>
    </row>
    <row r="1973" spans="12:74">
      <c r="L1973" s="261"/>
      <c r="M1973" s="261"/>
      <c r="N1973" s="261"/>
      <c r="O1973" s="261"/>
      <c r="P1973" s="261"/>
      <c r="Q1973" s="261"/>
      <c r="BR1973" s="261"/>
      <c r="BS1973" s="261"/>
      <c r="BT1973" s="261"/>
      <c r="BU1973" s="261"/>
      <c r="BV1973" s="261"/>
    </row>
    <row r="1974" spans="12:74">
      <c r="L1974" s="261"/>
      <c r="M1974" s="261"/>
      <c r="N1974" s="261"/>
      <c r="O1974" s="261"/>
      <c r="P1974" s="261"/>
      <c r="Q1974" s="261"/>
      <c r="BR1974" s="261"/>
      <c r="BS1974" s="261"/>
      <c r="BT1974" s="261"/>
      <c r="BU1974" s="261"/>
      <c r="BV1974" s="261"/>
    </row>
    <row r="1975" spans="12:74">
      <c r="L1975" s="261"/>
      <c r="M1975" s="261"/>
      <c r="N1975" s="261"/>
      <c r="O1975" s="261"/>
      <c r="P1975" s="261"/>
      <c r="Q1975" s="261"/>
      <c r="BR1975" s="261"/>
      <c r="BS1975" s="261"/>
      <c r="BT1975" s="261"/>
      <c r="BU1975" s="261"/>
      <c r="BV1975" s="261"/>
    </row>
    <row r="1976" spans="12:74">
      <c r="L1976" s="261"/>
      <c r="M1976" s="261"/>
      <c r="N1976" s="261"/>
      <c r="O1976" s="261"/>
      <c r="P1976" s="261"/>
      <c r="Q1976" s="261"/>
      <c r="BR1976" s="261"/>
      <c r="BS1976" s="261"/>
      <c r="BT1976" s="261"/>
      <c r="BU1976" s="261"/>
      <c r="BV1976" s="261"/>
    </row>
    <row r="1977" spans="12:74">
      <c r="L1977" s="261"/>
      <c r="M1977" s="261"/>
      <c r="N1977" s="261"/>
      <c r="O1977" s="261"/>
      <c r="P1977" s="261"/>
      <c r="Q1977" s="261"/>
      <c r="BR1977" s="261"/>
      <c r="BS1977" s="261"/>
      <c r="BT1977" s="261"/>
      <c r="BU1977" s="261"/>
      <c r="BV1977" s="261"/>
    </row>
    <row r="1978" spans="12:74">
      <c r="L1978" s="261"/>
      <c r="M1978" s="261"/>
      <c r="N1978" s="261"/>
      <c r="O1978" s="261"/>
      <c r="P1978" s="261"/>
      <c r="Q1978" s="261"/>
      <c r="BR1978" s="261"/>
      <c r="BS1978" s="261"/>
      <c r="BT1978" s="261"/>
      <c r="BU1978" s="261"/>
      <c r="BV1978" s="261"/>
    </row>
    <row r="1979" spans="12:74">
      <c r="L1979" s="261"/>
      <c r="M1979" s="261"/>
      <c r="N1979" s="261"/>
      <c r="O1979" s="261"/>
      <c r="P1979" s="261"/>
      <c r="Q1979" s="261"/>
      <c r="BR1979" s="261"/>
      <c r="BS1979" s="261"/>
      <c r="BT1979" s="261"/>
      <c r="BU1979" s="261"/>
      <c r="BV1979" s="261"/>
    </row>
    <row r="1980" spans="12:74">
      <c r="L1980" s="261"/>
      <c r="M1980" s="261"/>
      <c r="N1980" s="261"/>
      <c r="O1980" s="261"/>
      <c r="P1980" s="261"/>
      <c r="Q1980" s="261"/>
      <c r="BR1980" s="261"/>
      <c r="BS1980" s="261"/>
      <c r="BT1980" s="261"/>
      <c r="BU1980" s="261"/>
      <c r="BV1980" s="261"/>
    </row>
    <row r="1981" spans="12:74">
      <c r="L1981" s="261"/>
      <c r="M1981" s="261"/>
      <c r="N1981" s="261"/>
      <c r="O1981" s="261"/>
      <c r="P1981" s="261"/>
      <c r="Q1981" s="261"/>
      <c r="BR1981" s="261"/>
      <c r="BS1981" s="261"/>
      <c r="BT1981" s="261"/>
      <c r="BU1981" s="261"/>
      <c r="BV1981" s="261"/>
    </row>
    <row r="1982" spans="12:74">
      <c r="L1982" s="261"/>
      <c r="M1982" s="261"/>
      <c r="N1982" s="261"/>
      <c r="O1982" s="261"/>
      <c r="P1982" s="261"/>
      <c r="Q1982" s="261"/>
      <c r="BR1982" s="261"/>
      <c r="BS1982" s="261"/>
      <c r="BT1982" s="261"/>
      <c r="BU1982" s="261"/>
      <c r="BV1982" s="261"/>
    </row>
    <row r="1983" spans="12:74">
      <c r="L1983" s="261"/>
      <c r="M1983" s="261"/>
      <c r="N1983" s="261"/>
      <c r="O1983" s="261"/>
      <c r="P1983" s="261"/>
      <c r="Q1983" s="261"/>
      <c r="BR1983" s="261"/>
      <c r="BS1983" s="261"/>
      <c r="BT1983" s="261"/>
      <c r="BU1983" s="261"/>
      <c r="BV1983" s="261"/>
    </row>
    <row r="1984" spans="12:74">
      <c r="L1984" s="261"/>
      <c r="M1984" s="261"/>
      <c r="N1984" s="261"/>
      <c r="O1984" s="261"/>
      <c r="P1984" s="261"/>
      <c r="Q1984" s="261"/>
      <c r="BR1984" s="261"/>
      <c r="BS1984" s="261"/>
      <c r="BT1984" s="261"/>
      <c r="BU1984" s="261"/>
      <c r="BV1984" s="261"/>
    </row>
    <row r="1985" spans="12:74">
      <c r="L1985" s="261"/>
      <c r="M1985" s="261"/>
      <c r="N1985" s="261"/>
      <c r="O1985" s="261"/>
      <c r="P1985" s="261"/>
      <c r="Q1985" s="261"/>
      <c r="BR1985" s="261"/>
      <c r="BS1985" s="261"/>
      <c r="BT1985" s="261"/>
      <c r="BU1985" s="261"/>
      <c r="BV1985" s="261"/>
    </row>
    <row r="1986" spans="12:74">
      <c r="L1986" s="261"/>
      <c r="M1986" s="261"/>
      <c r="N1986" s="261"/>
      <c r="O1986" s="261"/>
      <c r="P1986" s="261"/>
      <c r="Q1986" s="261"/>
      <c r="BR1986" s="261"/>
      <c r="BS1986" s="261"/>
      <c r="BT1986" s="261"/>
      <c r="BU1986" s="261"/>
      <c r="BV1986" s="261"/>
    </row>
    <row r="1987" spans="12:74">
      <c r="L1987" s="261"/>
      <c r="M1987" s="261"/>
      <c r="N1987" s="261"/>
      <c r="O1987" s="261"/>
      <c r="P1987" s="261"/>
      <c r="Q1987" s="261"/>
      <c r="BR1987" s="261"/>
      <c r="BS1987" s="261"/>
      <c r="BT1987" s="261"/>
      <c r="BU1987" s="261"/>
      <c r="BV1987" s="261"/>
    </row>
    <row r="1988" spans="12:74">
      <c r="L1988" s="261"/>
      <c r="M1988" s="261"/>
      <c r="N1988" s="261"/>
      <c r="O1988" s="261"/>
      <c r="P1988" s="261"/>
      <c r="Q1988" s="261"/>
      <c r="BR1988" s="261"/>
      <c r="BS1988" s="261"/>
      <c r="BT1988" s="261"/>
      <c r="BU1988" s="261"/>
      <c r="BV1988" s="261"/>
    </row>
    <row r="1989" spans="12:74">
      <c r="L1989" s="261"/>
      <c r="M1989" s="261"/>
      <c r="N1989" s="261"/>
      <c r="O1989" s="261"/>
      <c r="P1989" s="261"/>
      <c r="Q1989" s="261"/>
      <c r="BR1989" s="261"/>
      <c r="BS1989" s="261"/>
      <c r="BT1989" s="261"/>
      <c r="BU1989" s="261"/>
      <c r="BV1989" s="261"/>
    </row>
    <row r="1990" spans="12:74">
      <c r="L1990" s="261"/>
      <c r="M1990" s="261"/>
      <c r="N1990" s="261"/>
      <c r="O1990" s="261"/>
      <c r="P1990" s="261"/>
      <c r="Q1990" s="261"/>
      <c r="BR1990" s="261"/>
      <c r="BS1990" s="261"/>
      <c r="BT1990" s="261"/>
      <c r="BU1990" s="261"/>
      <c r="BV1990" s="261"/>
    </row>
    <row r="1991" spans="12:74">
      <c r="L1991" s="261"/>
      <c r="M1991" s="261"/>
      <c r="N1991" s="261"/>
      <c r="O1991" s="261"/>
      <c r="P1991" s="261"/>
      <c r="Q1991" s="261"/>
      <c r="BR1991" s="261"/>
      <c r="BS1991" s="261"/>
      <c r="BT1991" s="261"/>
      <c r="BU1991" s="261"/>
      <c r="BV1991" s="261"/>
    </row>
    <row r="1992" spans="12:74">
      <c r="L1992" s="261"/>
      <c r="M1992" s="261"/>
      <c r="N1992" s="261"/>
      <c r="O1992" s="261"/>
      <c r="P1992" s="261"/>
      <c r="Q1992" s="261"/>
      <c r="BR1992" s="261"/>
      <c r="BS1992" s="261"/>
      <c r="BT1992" s="261"/>
      <c r="BU1992" s="261"/>
      <c r="BV1992" s="261"/>
    </row>
    <row r="1993" spans="12:74">
      <c r="L1993" s="261"/>
      <c r="M1993" s="261"/>
      <c r="N1993" s="261"/>
      <c r="O1993" s="261"/>
      <c r="P1993" s="261"/>
      <c r="Q1993" s="261"/>
      <c r="BR1993" s="261"/>
      <c r="BS1993" s="261"/>
      <c r="BT1993" s="261"/>
      <c r="BU1993" s="261"/>
      <c r="BV1993" s="261"/>
    </row>
    <row r="1994" spans="12:74">
      <c r="L1994" s="261"/>
      <c r="M1994" s="261"/>
      <c r="N1994" s="261"/>
      <c r="O1994" s="261"/>
      <c r="P1994" s="261"/>
      <c r="Q1994" s="261"/>
      <c r="BR1994" s="261"/>
      <c r="BS1994" s="261"/>
      <c r="BT1994" s="261"/>
      <c r="BU1994" s="261"/>
      <c r="BV1994" s="261"/>
    </row>
    <row r="1995" spans="12:74">
      <c r="L1995" s="261"/>
      <c r="M1995" s="261"/>
      <c r="N1995" s="261"/>
      <c r="O1995" s="261"/>
      <c r="P1995" s="261"/>
      <c r="Q1995" s="261"/>
      <c r="BR1995" s="261"/>
      <c r="BS1995" s="261"/>
      <c r="BT1995" s="261"/>
      <c r="BU1995" s="261"/>
      <c r="BV1995" s="261"/>
    </row>
    <row r="1996" spans="12:74">
      <c r="L1996" s="261"/>
      <c r="M1996" s="261"/>
      <c r="N1996" s="261"/>
      <c r="O1996" s="261"/>
      <c r="P1996" s="261"/>
      <c r="Q1996" s="261"/>
      <c r="BR1996" s="261"/>
      <c r="BS1996" s="261"/>
      <c r="BT1996" s="261"/>
      <c r="BU1996" s="261"/>
      <c r="BV1996" s="261"/>
    </row>
    <row r="1997" spans="12:74">
      <c r="L1997" s="261"/>
      <c r="M1997" s="261"/>
      <c r="N1997" s="261"/>
      <c r="O1997" s="261"/>
      <c r="P1997" s="261"/>
      <c r="Q1997" s="261"/>
      <c r="BR1997" s="261"/>
      <c r="BS1997" s="261"/>
      <c r="BT1997" s="261"/>
      <c r="BU1997" s="261"/>
      <c r="BV1997" s="261"/>
    </row>
    <row r="1998" spans="12:74">
      <c r="L1998" s="261"/>
      <c r="M1998" s="261"/>
      <c r="N1998" s="261"/>
      <c r="O1998" s="261"/>
      <c r="P1998" s="261"/>
      <c r="Q1998" s="261"/>
      <c r="BR1998" s="261"/>
      <c r="BS1998" s="261"/>
      <c r="BT1998" s="261"/>
      <c r="BU1998" s="261"/>
      <c r="BV1998" s="261"/>
    </row>
    <row r="1999" spans="12:74">
      <c r="L1999" s="261"/>
      <c r="M1999" s="261"/>
      <c r="N1999" s="261"/>
      <c r="O1999" s="261"/>
      <c r="P1999" s="261"/>
      <c r="Q1999" s="261"/>
      <c r="BR1999" s="261"/>
      <c r="BS1999" s="261"/>
      <c r="BT1999" s="261"/>
      <c r="BU1999" s="261"/>
      <c r="BV1999" s="261"/>
    </row>
    <row r="2000" spans="12:74">
      <c r="L2000" s="261"/>
      <c r="M2000" s="261"/>
      <c r="N2000" s="261"/>
      <c r="O2000" s="261"/>
      <c r="P2000" s="261"/>
      <c r="Q2000" s="261"/>
      <c r="BR2000" s="261"/>
      <c r="BS2000" s="261"/>
      <c r="BT2000" s="261"/>
      <c r="BU2000" s="261"/>
      <c r="BV2000" s="261"/>
    </row>
    <row r="2001" spans="12:74">
      <c r="L2001" s="261"/>
      <c r="M2001" s="261"/>
      <c r="N2001" s="261"/>
      <c r="O2001" s="261"/>
      <c r="P2001" s="261"/>
      <c r="Q2001" s="261"/>
      <c r="BR2001" s="261"/>
      <c r="BS2001" s="261"/>
      <c r="BT2001" s="261"/>
      <c r="BU2001" s="261"/>
      <c r="BV2001" s="261"/>
    </row>
    <row r="2002" spans="12:74">
      <c r="L2002" s="261"/>
      <c r="M2002" s="261"/>
      <c r="N2002" s="261"/>
      <c r="O2002" s="261"/>
      <c r="P2002" s="261"/>
      <c r="Q2002" s="261"/>
      <c r="BR2002" s="261"/>
      <c r="BS2002" s="261"/>
      <c r="BT2002" s="261"/>
      <c r="BU2002" s="261"/>
      <c r="BV2002" s="261"/>
    </row>
    <row r="2003" spans="12:74">
      <c r="L2003" s="261"/>
      <c r="M2003" s="261"/>
      <c r="N2003" s="261"/>
      <c r="O2003" s="261"/>
      <c r="P2003" s="261"/>
      <c r="Q2003" s="261"/>
      <c r="BR2003" s="261"/>
      <c r="BS2003" s="261"/>
      <c r="BT2003" s="261"/>
      <c r="BU2003" s="261"/>
      <c r="BV2003" s="261"/>
    </row>
    <row r="2004" spans="12:74">
      <c r="L2004" s="261"/>
      <c r="M2004" s="261"/>
      <c r="N2004" s="261"/>
      <c r="O2004" s="261"/>
      <c r="P2004" s="261"/>
      <c r="Q2004" s="261"/>
      <c r="BR2004" s="261"/>
      <c r="BS2004" s="261"/>
      <c r="BT2004" s="261"/>
      <c r="BU2004" s="261"/>
      <c r="BV2004" s="261"/>
    </row>
    <row r="2005" spans="12:74">
      <c r="L2005" s="261"/>
      <c r="M2005" s="261"/>
      <c r="N2005" s="261"/>
      <c r="O2005" s="261"/>
      <c r="P2005" s="261"/>
      <c r="Q2005" s="261"/>
      <c r="BR2005" s="261"/>
      <c r="BS2005" s="261"/>
      <c r="BT2005" s="261"/>
      <c r="BU2005" s="261"/>
      <c r="BV2005" s="261"/>
    </row>
    <row r="2006" spans="12:74">
      <c r="L2006" s="261"/>
      <c r="M2006" s="261"/>
      <c r="N2006" s="261"/>
      <c r="O2006" s="261"/>
      <c r="P2006" s="261"/>
      <c r="Q2006" s="261"/>
      <c r="BR2006" s="261"/>
      <c r="BS2006" s="261"/>
      <c r="BT2006" s="261"/>
      <c r="BU2006" s="261"/>
      <c r="BV2006" s="261"/>
    </row>
    <row r="2007" spans="12:74">
      <c r="L2007" s="261"/>
      <c r="M2007" s="261"/>
      <c r="N2007" s="261"/>
      <c r="O2007" s="261"/>
      <c r="P2007" s="261"/>
      <c r="Q2007" s="261"/>
      <c r="BR2007" s="261"/>
      <c r="BS2007" s="261"/>
      <c r="BT2007" s="261"/>
      <c r="BU2007" s="261"/>
      <c r="BV2007" s="261"/>
    </row>
    <row r="2008" spans="12:74">
      <c r="L2008" s="261"/>
      <c r="M2008" s="261"/>
      <c r="N2008" s="261"/>
      <c r="O2008" s="261"/>
      <c r="P2008" s="261"/>
      <c r="Q2008" s="261"/>
      <c r="BR2008" s="261"/>
      <c r="BS2008" s="261"/>
      <c r="BT2008" s="261"/>
      <c r="BU2008" s="261"/>
      <c r="BV2008" s="261"/>
    </row>
    <row r="2009" spans="12:74">
      <c r="L2009" s="261"/>
      <c r="M2009" s="261"/>
      <c r="N2009" s="261"/>
      <c r="O2009" s="261"/>
      <c r="P2009" s="261"/>
      <c r="Q2009" s="261"/>
      <c r="BR2009" s="261"/>
      <c r="BS2009" s="261"/>
      <c r="BT2009" s="261"/>
      <c r="BU2009" s="261"/>
      <c r="BV2009" s="261"/>
    </row>
    <row r="2010" spans="12:74">
      <c r="L2010" s="261"/>
      <c r="M2010" s="261"/>
      <c r="N2010" s="261"/>
      <c r="O2010" s="261"/>
      <c r="P2010" s="261"/>
      <c r="Q2010" s="261"/>
      <c r="BR2010" s="261"/>
      <c r="BS2010" s="261"/>
      <c r="BT2010" s="261"/>
      <c r="BU2010" s="261"/>
      <c r="BV2010" s="261"/>
    </row>
    <row r="2011" spans="12:74">
      <c r="L2011" s="261"/>
      <c r="M2011" s="261"/>
      <c r="N2011" s="261"/>
      <c r="O2011" s="261"/>
      <c r="P2011" s="261"/>
      <c r="Q2011" s="261"/>
      <c r="BR2011" s="261"/>
      <c r="BS2011" s="261"/>
      <c r="BT2011" s="261"/>
      <c r="BU2011" s="261"/>
      <c r="BV2011" s="261"/>
    </row>
    <row r="2012" spans="12:74">
      <c r="L2012" s="261"/>
      <c r="M2012" s="261"/>
      <c r="N2012" s="261"/>
      <c r="O2012" s="261"/>
      <c r="P2012" s="261"/>
      <c r="Q2012" s="261"/>
      <c r="BR2012" s="261"/>
      <c r="BS2012" s="261"/>
      <c r="BT2012" s="261"/>
      <c r="BU2012" s="261"/>
      <c r="BV2012" s="261"/>
    </row>
    <row r="2013" spans="12:74">
      <c r="L2013" s="261"/>
      <c r="M2013" s="261"/>
      <c r="N2013" s="261"/>
      <c r="O2013" s="261"/>
      <c r="P2013" s="261"/>
      <c r="Q2013" s="261"/>
      <c r="BR2013" s="261"/>
      <c r="BS2013" s="261"/>
      <c r="BT2013" s="261"/>
      <c r="BU2013" s="261"/>
      <c r="BV2013" s="261"/>
    </row>
    <row r="2014" spans="12:74">
      <c r="L2014" s="261"/>
      <c r="M2014" s="261"/>
      <c r="N2014" s="261"/>
      <c r="O2014" s="261"/>
      <c r="P2014" s="261"/>
      <c r="Q2014" s="261"/>
      <c r="BR2014" s="261"/>
      <c r="BS2014" s="261"/>
      <c r="BT2014" s="261"/>
      <c r="BU2014" s="261"/>
      <c r="BV2014" s="261"/>
    </row>
    <row r="2015" spans="12:74">
      <c r="L2015" s="261"/>
      <c r="M2015" s="261"/>
      <c r="N2015" s="261"/>
      <c r="O2015" s="261"/>
      <c r="P2015" s="261"/>
      <c r="Q2015" s="261"/>
      <c r="BR2015" s="261"/>
      <c r="BS2015" s="261"/>
      <c r="BT2015" s="261"/>
      <c r="BU2015" s="261"/>
      <c r="BV2015" s="261"/>
    </row>
    <row r="2016" spans="12:74">
      <c r="L2016" s="261"/>
      <c r="M2016" s="261"/>
      <c r="N2016" s="261"/>
      <c r="O2016" s="261"/>
      <c r="P2016" s="261"/>
      <c r="Q2016" s="261"/>
      <c r="BR2016" s="261"/>
      <c r="BS2016" s="261"/>
      <c r="BT2016" s="261"/>
      <c r="BU2016" s="261"/>
      <c r="BV2016" s="261"/>
    </row>
    <row r="2017" spans="12:74">
      <c r="L2017" s="261"/>
      <c r="M2017" s="261"/>
      <c r="N2017" s="261"/>
      <c r="O2017" s="261"/>
      <c r="P2017" s="261"/>
      <c r="Q2017" s="261"/>
      <c r="BR2017" s="261"/>
      <c r="BS2017" s="261"/>
      <c r="BT2017" s="261"/>
      <c r="BU2017" s="261"/>
      <c r="BV2017" s="261"/>
    </row>
    <row r="2018" spans="12:74">
      <c r="L2018" s="261"/>
      <c r="M2018" s="261"/>
      <c r="N2018" s="261"/>
      <c r="O2018" s="261"/>
      <c r="P2018" s="261"/>
      <c r="Q2018" s="261"/>
      <c r="BR2018" s="261"/>
      <c r="BS2018" s="261"/>
      <c r="BT2018" s="261"/>
      <c r="BU2018" s="261"/>
      <c r="BV2018" s="261"/>
    </row>
    <row r="2019" spans="12:74">
      <c r="L2019" s="261"/>
      <c r="M2019" s="261"/>
      <c r="N2019" s="261"/>
      <c r="O2019" s="261"/>
      <c r="P2019" s="261"/>
      <c r="Q2019" s="261"/>
      <c r="BR2019" s="261"/>
      <c r="BS2019" s="261"/>
      <c r="BT2019" s="261"/>
      <c r="BU2019" s="261"/>
      <c r="BV2019" s="261"/>
    </row>
    <row r="2020" spans="12:74">
      <c r="L2020" s="261"/>
      <c r="M2020" s="261"/>
      <c r="N2020" s="261"/>
      <c r="O2020" s="261"/>
      <c r="P2020" s="261"/>
      <c r="Q2020" s="261"/>
      <c r="BR2020" s="261"/>
      <c r="BS2020" s="261"/>
      <c r="BT2020" s="261"/>
      <c r="BU2020" s="261"/>
      <c r="BV2020" s="261"/>
    </row>
    <row r="2021" spans="12:74">
      <c r="L2021" s="261"/>
      <c r="M2021" s="261"/>
      <c r="N2021" s="261"/>
      <c r="O2021" s="261"/>
      <c r="P2021" s="261"/>
      <c r="Q2021" s="261"/>
      <c r="BR2021" s="261"/>
      <c r="BS2021" s="261"/>
      <c r="BT2021" s="261"/>
      <c r="BU2021" s="261"/>
      <c r="BV2021" s="261"/>
    </row>
    <row r="2022" spans="12:74">
      <c r="L2022" s="261"/>
      <c r="M2022" s="261"/>
      <c r="N2022" s="261"/>
      <c r="O2022" s="261"/>
      <c r="P2022" s="261"/>
      <c r="Q2022" s="261"/>
      <c r="BR2022" s="261"/>
      <c r="BS2022" s="261"/>
      <c r="BT2022" s="261"/>
      <c r="BU2022" s="261"/>
      <c r="BV2022" s="261"/>
    </row>
    <row r="2023" spans="12:74">
      <c r="L2023" s="261"/>
      <c r="M2023" s="261"/>
      <c r="N2023" s="261"/>
      <c r="O2023" s="261"/>
      <c r="P2023" s="261"/>
      <c r="Q2023" s="261"/>
      <c r="BR2023" s="261"/>
      <c r="BS2023" s="261"/>
      <c r="BT2023" s="261"/>
      <c r="BU2023" s="261"/>
      <c r="BV2023" s="261"/>
    </row>
    <row r="2024" spans="12:74">
      <c r="L2024" s="261"/>
      <c r="M2024" s="261"/>
      <c r="N2024" s="261"/>
      <c r="O2024" s="261"/>
      <c r="P2024" s="261"/>
      <c r="Q2024" s="261"/>
      <c r="BR2024" s="261"/>
      <c r="BS2024" s="261"/>
      <c r="BT2024" s="261"/>
      <c r="BU2024" s="261"/>
      <c r="BV2024" s="261"/>
    </row>
    <row r="2025" spans="12:74">
      <c r="L2025" s="261"/>
      <c r="M2025" s="261"/>
      <c r="N2025" s="261"/>
      <c r="O2025" s="261"/>
      <c r="P2025" s="261"/>
      <c r="Q2025" s="261"/>
      <c r="BR2025" s="261"/>
      <c r="BS2025" s="261"/>
      <c r="BT2025" s="261"/>
      <c r="BU2025" s="261"/>
      <c r="BV2025" s="261"/>
    </row>
    <row r="2026" spans="12:74">
      <c r="L2026" s="261"/>
      <c r="M2026" s="261"/>
      <c r="N2026" s="261"/>
      <c r="O2026" s="261"/>
      <c r="P2026" s="261"/>
      <c r="Q2026" s="261"/>
      <c r="BR2026" s="261"/>
      <c r="BS2026" s="261"/>
      <c r="BT2026" s="261"/>
      <c r="BU2026" s="261"/>
      <c r="BV2026" s="261"/>
    </row>
    <row r="2027" spans="12:74">
      <c r="L2027" s="261"/>
      <c r="M2027" s="261"/>
      <c r="N2027" s="261"/>
      <c r="O2027" s="261"/>
      <c r="P2027" s="261"/>
      <c r="Q2027" s="261"/>
      <c r="BR2027" s="261"/>
      <c r="BS2027" s="261"/>
      <c r="BT2027" s="261"/>
      <c r="BU2027" s="261"/>
      <c r="BV2027" s="261"/>
    </row>
    <row r="2028" spans="12:74">
      <c r="L2028" s="261"/>
      <c r="M2028" s="261"/>
      <c r="N2028" s="261"/>
      <c r="O2028" s="261"/>
      <c r="P2028" s="261"/>
      <c r="Q2028" s="261"/>
      <c r="BR2028" s="261"/>
      <c r="BS2028" s="261"/>
      <c r="BT2028" s="261"/>
      <c r="BU2028" s="261"/>
      <c r="BV2028" s="261"/>
    </row>
    <row r="2029" spans="12:74">
      <c r="L2029" s="261"/>
      <c r="M2029" s="261"/>
      <c r="N2029" s="261"/>
      <c r="O2029" s="261"/>
      <c r="P2029" s="261"/>
      <c r="Q2029" s="261"/>
      <c r="BR2029" s="261"/>
      <c r="BS2029" s="261"/>
      <c r="BT2029" s="261"/>
      <c r="BU2029" s="261"/>
      <c r="BV2029" s="261"/>
    </row>
    <row r="2030" spans="12:74">
      <c r="L2030" s="261"/>
      <c r="M2030" s="261"/>
      <c r="N2030" s="261"/>
      <c r="O2030" s="261"/>
      <c r="P2030" s="261"/>
      <c r="Q2030" s="261"/>
      <c r="BR2030" s="261"/>
      <c r="BS2030" s="261"/>
      <c r="BT2030" s="261"/>
      <c r="BU2030" s="261"/>
      <c r="BV2030" s="261"/>
    </row>
    <row r="2031" spans="12:74">
      <c r="L2031" s="261"/>
      <c r="M2031" s="261"/>
      <c r="N2031" s="261"/>
      <c r="O2031" s="261"/>
      <c r="P2031" s="261"/>
      <c r="Q2031" s="261"/>
      <c r="BR2031" s="261"/>
      <c r="BS2031" s="261"/>
      <c r="BT2031" s="261"/>
      <c r="BU2031" s="261"/>
      <c r="BV2031" s="261"/>
    </row>
    <row r="2032" spans="12:74">
      <c r="L2032" s="261"/>
      <c r="M2032" s="261"/>
      <c r="N2032" s="261"/>
      <c r="O2032" s="261"/>
      <c r="P2032" s="261"/>
      <c r="Q2032" s="261"/>
      <c r="BR2032" s="261"/>
      <c r="BS2032" s="261"/>
      <c r="BT2032" s="261"/>
      <c r="BU2032" s="261"/>
      <c r="BV2032" s="261"/>
    </row>
    <row r="2033" spans="12:74">
      <c r="L2033" s="261"/>
      <c r="M2033" s="261"/>
      <c r="N2033" s="261"/>
      <c r="O2033" s="261"/>
      <c r="P2033" s="261"/>
      <c r="Q2033" s="261"/>
      <c r="BR2033" s="261"/>
      <c r="BS2033" s="261"/>
      <c r="BT2033" s="261"/>
      <c r="BU2033" s="261"/>
      <c r="BV2033" s="261"/>
    </row>
    <row r="2034" spans="12:74">
      <c r="L2034" s="261"/>
      <c r="M2034" s="261"/>
      <c r="N2034" s="261"/>
      <c r="O2034" s="261"/>
      <c r="P2034" s="261"/>
      <c r="Q2034" s="261"/>
      <c r="BR2034" s="261"/>
      <c r="BS2034" s="261"/>
      <c r="BT2034" s="261"/>
      <c r="BU2034" s="261"/>
      <c r="BV2034" s="261"/>
    </row>
    <row r="2035" spans="12:74">
      <c r="L2035" s="261"/>
      <c r="M2035" s="261"/>
      <c r="N2035" s="261"/>
      <c r="O2035" s="261"/>
      <c r="P2035" s="261"/>
      <c r="Q2035" s="261"/>
      <c r="BR2035" s="261"/>
      <c r="BS2035" s="261"/>
      <c r="BT2035" s="261"/>
      <c r="BU2035" s="261"/>
      <c r="BV2035" s="261"/>
    </row>
    <row r="2036" spans="12:74">
      <c r="L2036" s="261"/>
      <c r="M2036" s="261"/>
      <c r="N2036" s="261"/>
      <c r="O2036" s="261"/>
      <c r="P2036" s="261"/>
      <c r="Q2036" s="261"/>
      <c r="BR2036" s="261"/>
      <c r="BS2036" s="261"/>
      <c r="BT2036" s="261"/>
      <c r="BU2036" s="261"/>
      <c r="BV2036" s="261"/>
    </row>
    <row r="2037" spans="12:74">
      <c r="L2037" s="261"/>
      <c r="M2037" s="261"/>
      <c r="N2037" s="261"/>
      <c r="O2037" s="261"/>
      <c r="P2037" s="261"/>
      <c r="Q2037" s="261"/>
      <c r="BR2037" s="261"/>
      <c r="BS2037" s="261"/>
      <c r="BT2037" s="261"/>
      <c r="BU2037" s="261"/>
      <c r="BV2037" s="261"/>
    </row>
    <row r="2038" spans="12:74">
      <c r="L2038" s="261"/>
      <c r="M2038" s="261"/>
      <c r="N2038" s="261"/>
      <c r="O2038" s="261"/>
      <c r="P2038" s="261"/>
      <c r="Q2038" s="261"/>
      <c r="BR2038" s="261"/>
      <c r="BS2038" s="261"/>
      <c r="BT2038" s="261"/>
      <c r="BU2038" s="261"/>
      <c r="BV2038" s="261"/>
    </row>
    <row r="2039" spans="12:74">
      <c r="L2039" s="261"/>
      <c r="M2039" s="261"/>
      <c r="N2039" s="261"/>
      <c r="O2039" s="261"/>
      <c r="P2039" s="261"/>
      <c r="Q2039" s="261"/>
      <c r="BR2039" s="261"/>
      <c r="BS2039" s="261"/>
      <c r="BT2039" s="261"/>
      <c r="BU2039" s="261"/>
      <c r="BV2039" s="261"/>
    </row>
    <row r="2040" spans="12:74">
      <c r="L2040" s="261"/>
      <c r="M2040" s="261"/>
      <c r="N2040" s="261"/>
      <c r="O2040" s="261"/>
      <c r="P2040" s="261"/>
      <c r="Q2040" s="261"/>
      <c r="BR2040" s="261"/>
      <c r="BS2040" s="261"/>
      <c r="BT2040" s="261"/>
      <c r="BU2040" s="261"/>
      <c r="BV2040" s="261"/>
    </row>
    <row r="2041" spans="12:74">
      <c r="L2041" s="261"/>
      <c r="M2041" s="261"/>
      <c r="N2041" s="261"/>
      <c r="O2041" s="261"/>
      <c r="P2041" s="261"/>
      <c r="Q2041" s="261"/>
      <c r="BR2041" s="261"/>
      <c r="BS2041" s="261"/>
      <c r="BT2041" s="261"/>
      <c r="BU2041" s="261"/>
      <c r="BV2041" s="261"/>
    </row>
    <row r="2042" spans="12:74">
      <c r="L2042" s="261"/>
      <c r="M2042" s="261"/>
      <c r="N2042" s="261"/>
      <c r="O2042" s="261"/>
      <c r="P2042" s="261"/>
      <c r="Q2042" s="261"/>
      <c r="BR2042" s="261"/>
      <c r="BS2042" s="261"/>
      <c r="BT2042" s="261"/>
      <c r="BU2042" s="261"/>
      <c r="BV2042" s="261"/>
    </row>
    <row r="2043" spans="12:74">
      <c r="L2043" s="261"/>
      <c r="M2043" s="261"/>
      <c r="N2043" s="261"/>
      <c r="O2043" s="261"/>
      <c r="P2043" s="261"/>
      <c r="Q2043" s="261"/>
      <c r="BR2043" s="261"/>
      <c r="BS2043" s="261"/>
      <c r="BT2043" s="261"/>
      <c r="BU2043" s="261"/>
      <c r="BV2043" s="261"/>
    </row>
    <row r="2044" spans="12:74">
      <c r="L2044" s="261"/>
      <c r="M2044" s="261"/>
      <c r="N2044" s="261"/>
      <c r="O2044" s="261"/>
      <c r="P2044" s="261"/>
      <c r="Q2044" s="261"/>
      <c r="BR2044" s="261"/>
      <c r="BS2044" s="261"/>
      <c r="BT2044" s="261"/>
      <c r="BU2044" s="261"/>
      <c r="BV2044" s="261"/>
    </row>
    <row r="2045" spans="12:74">
      <c r="L2045" s="261"/>
      <c r="M2045" s="261"/>
      <c r="N2045" s="261"/>
      <c r="O2045" s="261"/>
      <c r="P2045" s="261"/>
      <c r="Q2045" s="261"/>
      <c r="BR2045" s="261"/>
      <c r="BS2045" s="261"/>
      <c r="BT2045" s="261"/>
      <c r="BU2045" s="261"/>
      <c r="BV2045" s="261"/>
    </row>
    <row r="2046" spans="12:74">
      <c r="L2046" s="261"/>
      <c r="M2046" s="261"/>
      <c r="N2046" s="261"/>
      <c r="O2046" s="261"/>
      <c r="P2046" s="261"/>
      <c r="Q2046" s="261"/>
      <c r="BR2046" s="261"/>
      <c r="BS2046" s="261"/>
      <c r="BT2046" s="261"/>
      <c r="BU2046" s="261"/>
      <c r="BV2046" s="261"/>
    </row>
    <row r="2047" spans="12:74">
      <c r="L2047" s="261"/>
      <c r="M2047" s="261"/>
      <c r="N2047" s="261"/>
      <c r="O2047" s="261"/>
      <c r="P2047" s="261"/>
      <c r="Q2047" s="261"/>
      <c r="BR2047" s="261"/>
      <c r="BS2047" s="261"/>
      <c r="BT2047" s="261"/>
      <c r="BU2047" s="261"/>
      <c r="BV2047" s="261"/>
    </row>
    <row r="2048" spans="12:74">
      <c r="L2048" s="261"/>
      <c r="M2048" s="261"/>
      <c r="N2048" s="261"/>
      <c r="O2048" s="261"/>
      <c r="P2048" s="261"/>
      <c r="Q2048" s="261"/>
      <c r="BR2048" s="261"/>
      <c r="BS2048" s="261"/>
      <c r="BT2048" s="261"/>
      <c r="BU2048" s="261"/>
      <c r="BV2048" s="261"/>
    </row>
    <row r="2049" spans="12:74">
      <c r="L2049" s="261"/>
      <c r="M2049" s="261"/>
      <c r="N2049" s="261"/>
      <c r="O2049" s="261"/>
      <c r="P2049" s="261"/>
      <c r="Q2049" s="261"/>
      <c r="BR2049" s="261"/>
      <c r="BS2049" s="261"/>
      <c r="BT2049" s="261"/>
      <c r="BU2049" s="261"/>
      <c r="BV2049" s="261"/>
    </row>
    <row r="2050" spans="12:74">
      <c r="L2050" s="261"/>
      <c r="M2050" s="261"/>
      <c r="N2050" s="261"/>
      <c r="O2050" s="261"/>
      <c r="P2050" s="261"/>
      <c r="Q2050" s="261"/>
      <c r="BR2050" s="261"/>
      <c r="BS2050" s="261"/>
      <c r="BT2050" s="261"/>
      <c r="BU2050" s="261"/>
      <c r="BV2050" s="261"/>
    </row>
    <row r="2051" spans="12:74">
      <c r="L2051" s="261"/>
      <c r="M2051" s="261"/>
      <c r="N2051" s="261"/>
      <c r="O2051" s="261"/>
      <c r="P2051" s="261"/>
      <c r="Q2051" s="261"/>
      <c r="BR2051" s="261"/>
      <c r="BS2051" s="261"/>
      <c r="BT2051" s="261"/>
      <c r="BU2051" s="261"/>
      <c r="BV2051" s="261"/>
    </row>
    <row r="2052" spans="12:74">
      <c r="L2052" s="261"/>
      <c r="M2052" s="261"/>
      <c r="N2052" s="261"/>
      <c r="O2052" s="261"/>
      <c r="P2052" s="261"/>
      <c r="Q2052" s="261"/>
      <c r="BR2052" s="261"/>
      <c r="BS2052" s="261"/>
      <c r="BT2052" s="261"/>
      <c r="BU2052" s="261"/>
      <c r="BV2052" s="261"/>
    </row>
    <row r="2053" spans="12:74">
      <c r="L2053" s="261"/>
      <c r="M2053" s="261"/>
      <c r="N2053" s="261"/>
      <c r="O2053" s="261"/>
      <c r="P2053" s="261"/>
      <c r="Q2053" s="261"/>
      <c r="BR2053" s="261"/>
      <c r="BS2053" s="261"/>
      <c r="BT2053" s="261"/>
      <c r="BU2053" s="261"/>
      <c r="BV2053" s="261"/>
    </row>
    <row r="2054" spans="12:74">
      <c r="L2054" s="261"/>
      <c r="M2054" s="261"/>
      <c r="N2054" s="261"/>
      <c r="O2054" s="261"/>
      <c r="P2054" s="261"/>
      <c r="Q2054" s="261"/>
      <c r="BR2054" s="261"/>
      <c r="BS2054" s="261"/>
      <c r="BT2054" s="261"/>
      <c r="BU2054" s="261"/>
      <c r="BV2054" s="261"/>
    </row>
    <row r="2055" spans="12:74">
      <c r="L2055" s="261"/>
      <c r="M2055" s="261"/>
      <c r="N2055" s="261"/>
      <c r="O2055" s="261"/>
      <c r="P2055" s="261"/>
      <c r="Q2055" s="261"/>
      <c r="BR2055" s="261"/>
      <c r="BS2055" s="261"/>
      <c r="BT2055" s="261"/>
      <c r="BU2055" s="261"/>
      <c r="BV2055" s="261"/>
    </row>
    <row r="2056" spans="12:74">
      <c r="L2056" s="261"/>
      <c r="M2056" s="261"/>
      <c r="N2056" s="261"/>
      <c r="O2056" s="261"/>
      <c r="P2056" s="261"/>
      <c r="Q2056" s="261"/>
      <c r="BR2056" s="261"/>
      <c r="BS2056" s="261"/>
      <c r="BT2056" s="261"/>
      <c r="BU2056" s="261"/>
      <c r="BV2056" s="261"/>
    </row>
    <row r="2057" spans="12:74">
      <c r="L2057" s="261"/>
      <c r="M2057" s="261"/>
      <c r="N2057" s="261"/>
      <c r="O2057" s="261"/>
      <c r="P2057" s="261"/>
      <c r="Q2057" s="261"/>
      <c r="BR2057" s="261"/>
      <c r="BS2057" s="261"/>
      <c r="BT2057" s="261"/>
      <c r="BU2057" s="261"/>
      <c r="BV2057" s="261"/>
    </row>
    <row r="2058" spans="12:74">
      <c r="L2058" s="261"/>
      <c r="M2058" s="261"/>
      <c r="N2058" s="261"/>
      <c r="O2058" s="261"/>
      <c r="P2058" s="261"/>
      <c r="Q2058" s="261"/>
      <c r="BR2058" s="261"/>
      <c r="BS2058" s="261"/>
      <c r="BT2058" s="261"/>
      <c r="BU2058" s="261"/>
      <c r="BV2058" s="261"/>
    </row>
    <row r="2059" spans="12:74">
      <c r="L2059" s="261"/>
      <c r="M2059" s="261"/>
      <c r="N2059" s="261"/>
      <c r="O2059" s="261"/>
      <c r="P2059" s="261"/>
      <c r="Q2059" s="261"/>
      <c r="BR2059" s="261"/>
      <c r="BS2059" s="261"/>
      <c r="BT2059" s="261"/>
      <c r="BU2059" s="261"/>
      <c r="BV2059" s="261"/>
    </row>
    <row r="2060" spans="12:74">
      <c r="L2060" s="261"/>
      <c r="M2060" s="261"/>
      <c r="N2060" s="261"/>
      <c r="O2060" s="261"/>
      <c r="P2060" s="261"/>
      <c r="Q2060" s="261"/>
      <c r="BR2060" s="261"/>
      <c r="BS2060" s="261"/>
      <c r="BT2060" s="261"/>
      <c r="BU2060" s="261"/>
      <c r="BV2060" s="261"/>
    </row>
    <row r="2061" spans="12:74">
      <c r="L2061" s="261"/>
      <c r="M2061" s="261"/>
      <c r="N2061" s="261"/>
      <c r="O2061" s="261"/>
      <c r="P2061" s="261"/>
      <c r="Q2061" s="261"/>
      <c r="BR2061" s="261"/>
      <c r="BS2061" s="261"/>
      <c r="BT2061" s="261"/>
      <c r="BU2061" s="261"/>
      <c r="BV2061" s="261"/>
    </row>
    <row r="2062" spans="12:74">
      <c r="L2062" s="261"/>
      <c r="M2062" s="261"/>
      <c r="N2062" s="261"/>
      <c r="O2062" s="261"/>
      <c r="P2062" s="261"/>
      <c r="Q2062" s="261"/>
      <c r="BR2062" s="261"/>
      <c r="BS2062" s="261"/>
      <c r="BT2062" s="261"/>
      <c r="BU2062" s="261"/>
      <c r="BV2062" s="261"/>
    </row>
    <row r="2063" spans="12:74">
      <c r="L2063" s="261"/>
      <c r="M2063" s="261"/>
      <c r="N2063" s="261"/>
      <c r="O2063" s="261"/>
      <c r="P2063" s="261"/>
      <c r="Q2063" s="261"/>
      <c r="BR2063" s="261"/>
      <c r="BS2063" s="261"/>
      <c r="BT2063" s="261"/>
      <c r="BU2063" s="261"/>
      <c r="BV2063" s="261"/>
    </row>
    <row r="2064" spans="12:74">
      <c r="L2064" s="261"/>
      <c r="M2064" s="261"/>
      <c r="N2064" s="261"/>
      <c r="O2064" s="261"/>
      <c r="P2064" s="261"/>
      <c r="Q2064" s="261"/>
      <c r="BR2064" s="261"/>
      <c r="BS2064" s="261"/>
      <c r="BT2064" s="261"/>
      <c r="BU2064" s="261"/>
      <c r="BV2064" s="261"/>
    </row>
    <row r="2065" spans="12:74">
      <c r="L2065" s="261"/>
      <c r="M2065" s="261"/>
      <c r="N2065" s="261"/>
      <c r="O2065" s="261"/>
      <c r="P2065" s="261"/>
      <c r="Q2065" s="261"/>
      <c r="BR2065" s="261"/>
      <c r="BS2065" s="261"/>
      <c r="BT2065" s="261"/>
      <c r="BU2065" s="261"/>
      <c r="BV2065" s="261"/>
    </row>
    <row r="2066" spans="12:74">
      <c r="L2066" s="261"/>
      <c r="M2066" s="261"/>
      <c r="N2066" s="261"/>
      <c r="O2066" s="261"/>
      <c r="P2066" s="261"/>
      <c r="Q2066" s="261"/>
      <c r="BR2066" s="261"/>
      <c r="BS2066" s="261"/>
      <c r="BT2066" s="261"/>
      <c r="BU2066" s="261"/>
      <c r="BV2066" s="261"/>
    </row>
    <row r="2067" spans="12:74">
      <c r="L2067" s="261"/>
      <c r="M2067" s="261"/>
      <c r="N2067" s="261"/>
      <c r="O2067" s="261"/>
      <c r="P2067" s="261"/>
      <c r="Q2067" s="261"/>
      <c r="BR2067" s="261"/>
      <c r="BS2067" s="261"/>
      <c r="BT2067" s="261"/>
      <c r="BU2067" s="261"/>
      <c r="BV2067" s="261"/>
    </row>
    <row r="2068" spans="12:74">
      <c r="L2068" s="261"/>
      <c r="M2068" s="261"/>
      <c r="N2068" s="261"/>
      <c r="O2068" s="261"/>
      <c r="P2068" s="261"/>
      <c r="Q2068" s="261"/>
      <c r="BR2068" s="261"/>
      <c r="BS2068" s="261"/>
      <c r="BT2068" s="261"/>
      <c r="BU2068" s="261"/>
      <c r="BV2068" s="261"/>
    </row>
    <row r="2069" spans="12:74">
      <c r="L2069" s="261"/>
      <c r="M2069" s="261"/>
      <c r="N2069" s="261"/>
      <c r="O2069" s="261"/>
      <c r="P2069" s="261"/>
      <c r="Q2069" s="261"/>
      <c r="BR2069" s="261"/>
      <c r="BS2069" s="261"/>
      <c r="BT2069" s="261"/>
      <c r="BU2069" s="261"/>
      <c r="BV2069" s="261"/>
    </row>
    <row r="2070" spans="12:74">
      <c r="L2070" s="261"/>
      <c r="M2070" s="261"/>
      <c r="N2070" s="261"/>
      <c r="O2070" s="261"/>
      <c r="P2070" s="261"/>
      <c r="Q2070" s="261"/>
      <c r="BR2070" s="261"/>
      <c r="BS2070" s="261"/>
      <c r="BT2070" s="261"/>
      <c r="BU2070" s="261"/>
      <c r="BV2070" s="261"/>
    </row>
    <row r="2071" spans="12:74">
      <c r="L2071" s="261"/>
      <c r="M2071" s="261"/>
      <c r="N2071" s="261"/>
      <c r="O2071" s="261"/>
      <c r="P2071" s="261"/>
      <c r="Q2071" s="261"/>
      <c r="BR2071" s="261"/>
      <c r="BS2071" s="261"/>
      <c r="BT2071" s="261"/>
      <c r="BU2071" s="261"/>
      <c r="BV2071" s="261"/>
    </row>
    <row r="2072" spans="12:74">
      <c r="L2072" s="261"/>
      <c r="M2072" s="261"/>
      <c r="N2072" s="261"/>
      <c r="O2072" s="261"/>
      <c r="P2072" s="261"/>
      <c r="Q2072" s="261"/>
      <c r="BR2072" s="261"/>
      <c r="BS2072" s="261"/>
      <c r="BT2072" s="261"/>
      <c r="BU2072" s="261"/>
      <c r="BV2072" s="261"/>
    </row>
    <row r="2073" spans="12:74">
      <c r="L2073" s="261"/>
      <c r="M2073" s="261"/>
      <c r="N2073" s="261"/>
      <c r="O2073" s="261"/>
      <c r="P2073" s="261"/>
      <c r="Q2073" s="261"/>
      <c r="BR2073" s="261"/>
      <c r="BS2073" s="261"/>
      <c r="BT2073" s="261"/>
      <c r="BU2073" s="261"/>
      <c r="BV2073" s="261"/>
    </row>
    <row r="2074" spans="12:74">
      <c r="L2074" s="261"/>
      <c r="M2074" s="261"/>
      <c r="N2074" s="261"/>
      <c r="O2074" s="261"/>
      <c r="P2074" s="261"/>
      <c r="Q2074" s="261"/>
      <c r="BR2074" s="261"/>
      <c r="BS2074" s="261"/>
      <c r="BT2074" s="261"/>
      <c r="BU2074" s="261"/>
      <c r="BV2074" s="261"/>
    </row>
    <row r="2075" spans="12:74">
      <c r="L2075" s="261"/>
      <c r="M2075" s="261"/>
      <c r="N2075" s="261"/>
      <c r="O2075" s="261"/>
      <c r="P2075" s="261"/>
      <c r="Q2075" s="261"/>
      <c r="BR2075" s="261"/>
      <c r="BS2075" s="261"/>
      <c r="BT2075" s="261"/>
      <c r="BU2075" s="261"/>
      <c r="BV2075" s="261"/>
    </row>
    <row r="2076" spans="12:74">
      <c r="L2076" s="261"/>
      <c r="M2076" s="261"/>
      <c r="N2076" s="261"/>
      <c r="O2076" s="261"/>
      <c r="P2076" s="261"/>
      <c r="Q2076" s="261"/>
      <c r="BR2076" s="261"/>
      <c r="BS2076" s="261"/>
      <c r="BT2076" s="261"/>
      <c r="BU2076" s="261"/>
      <c r="BV2076" s="261"/>
    </row>
    <row r="2077" spans="12:74">
      <c r="L2077" s="261"/>
      <c r="M2077" s="261"/>
      <c r="N2077" s="261"/>
      <c r="O2077" s="261"/>
      <c r="P2077" s="261"/>
      <c r="Q2077" s="261"/>
      <c r="BR2077" s="261"/>
      <c r="BS2077" s="261"/>
      <c r="BT2077" s="261"/>
      <c r="BU2077" s="261"/>
      <c r="BV2077" s="261"/>
    </row>
    <row r="2078" spans="12:74">
      <c r="L2078" s="261"/>
      <c r="M2078" s="261"/>
      <c r="N2078" s="261"/>
      <c r="O2078" s="261"/>
      <c r="P2078" s="261"/>
      <c r="Q2078" s="261"/>
      <c r="BR2078" s="261"/>
      <c r="BS2078" s="261"/>
      <c r="BT2078" s="261"/>
      <c r="BU2078" s="261"/>
      <c r="BV2078" s="261"/>
    </row>
    <row r="2079" spans="12:74">
      <c r="L2079" s="261"/>
      <c r="M2079" s="261"/>
      <c r="N2079" s="261"/>
      <c r="O2079" s="261"/>
      <c r="P2079" s="261"/>
      <c r="Q2079" s="261"/>
      <c r="BR2079" s="261"/>
      <c r="BS2079" s="261"/>
      <c r="BT2079" s="261"/>
      <c r="BU2079" s="261"/>
      <c r="BV2079" s="261"/>
    </row>
    <row r="2080" spans="12:74">
      <c r="L2080" s="261"/>
      <c r="M2080" s="261"/>
      <c r="N2080" s="261"/>
      <c r="O2080" s="261"/>
      <c r="P2080" s="261"/>
      <c r="Q2080" s="261"/>
      <c r="BR2080" s="261"/>
      <c r="BS2080" s="261"/>
      <c r="BT2080" s="261"/>
      <c r="BU2080" s="261"/>
      <c r="BV2080" s="261"/>
    </row>
    <row r="2081" spans="12:74">
      <c r="L2081" s="261"/>
      <c r="M2081" s="261"/>
      <c r="N2081" s="261"/>
      <c r="O2081" s="261"/>
      <c r="P2081" s="261"/>
      <c r="Q2081" s="261"/>
      <c r="BR2081" s="261"/>
      <c r="BS2081" s="261"/>
      <c r="BT2081" s="261"/>
      <c r="BU2081" s="261"/>
      <c r="BV2081" s="261"/>
    </row>
    <row r="2082" spans="12:74">
      <c r="L2082" s="261"/>
      <c r="M2082" s="261"/>
      <c r="N2082" s="261"/>
      <c r="O2082" s="261"/>
      <c r="P2082" s="261"/>
      <c r="Q2082" s="261"/>
      <c r="BR2082" s="261"/>
      <c r="BS2082" s="261"/>
      <c r="BT2082" s="261"/>
      <c r="BU2082" s="261"/>
      <c r="BV2082" s="261"/>
    </row>
    <row r="2083" spans="12:74">
      <c r="L2083" s="261"/>
      <c r="M2083" s="261"/>
      <c r="N2083" s="261"/>
      <c r="O2083" s="261"/>
      <c r="P2083" s="261"/>
      <c r="Q2083" s="261"/>
      <c r="BR2083" s="261"/>
      <c r="BS2083" s="261"/>
      <c r="BT2083" s="261"/>
      <c r="BU2083" s="261"/>
      <c r="BV2083" s="261"/>
    </row>
    <row r="2084" spans="12:74">
      <c r="L2084" s="261"/>
      <c r="M2084" s="261"/>
      <c r="N2084" s="261"/>
      <c r="O2084" s="261"/>
      <c r="P2084" s="261"/>
      <c r="Q2084" s="261"/>
      <c r="BR2084" s="261"/>
      <c r="BS2084" s="261"/>
      <c r="BT2084" s="261"/>
      <c r="BU2084" s="261"/>
      <c r="BV2084" s="261"/>
    </row>
    <row r="2085" spans="12:74">
      <c r="L2085" s="261"/>
      <c r="M2085" s="261"/>
      <c r="N2085" s="261"/>
      <c r="O2085" s="261"/>
      <c r="P2085" s="261"/>
      <c r="Q2085" s="261"/>
      <c r="BR2085" s="261"/>
      <c r="BS2085" s="261"/>
      <c r="BT2085" s="261"/>
      <c r="BU2085" s="261"/>
      <c r="BV2085" s="261"/>
    </row>
    <row r="2086" spans="12:74">
      <c r="L2086" s="261"/>
      <c r="M2086" s="261"/>
      <c r="N2086" s="261"/>
      <c r="O2086" s="261"/>
      <c r="P2086" s="261"/>
      <c r="Q2086" s="261"/>
      <c r="BR2086" s="261"/>
      <c r="BS2086" s="261"/>
      <c r="BT2086" s="261"/>
      <c r="BU2086" s="261"/>
      <c r="BV2086" s="261"/>
    </row>
    <row r="2087" spans="12:74">
      <c r="L2087" s="261"/>
      <c r="M2087" s="261"/>
      <c r="N2087" s="261"/>
      <c r="O2087" s="261"/>
      <c r="P2087" s="261"/>
      <c r="Q2087" s="261"/>
      <c r="BR2087" s="261"/>
      <c r="BS2087" s="261"/>
      <c r="BT2087" s="261"/>
      <c r="BU2087" s="261"/>
      <c r="BV2087" s="261"/>
    </row>
    <row r="2088" spans="12:74">
      <c r="L2088" s="261"/>
      <c r="M2088" s="261"/>
      <c r="N2088" s="261"/>
      <c r="O2088" s="261"/>
      <c r="P2088" s="261"/>
      <c r="Q2088" s="261"/>
      <c r="BR2088" s="261"/>
      <c r="BS2088" s="261"/>
      <c r="BT2088" s="261"/>
      <c r="BU2088" s="261"/>
      <c r="BV2088" s="261"/>
    </row>
    <row r="2089" spans="12:74">
      <c r="L2089" s="261"/>
      <c r="M2089" s="261"/>
      <c r="N2089" s="261"/>
      <c r="O2089" s="261"/>
      <c r="P2089" s="261"/>
      <c r="Q2089" s="261"/>
      <c r="BR2089" s="261"/>
      <c r="BS2089" s="261"/>
      <c r="BT2089" s="261"/>
      <c r="BU2089" s="261"/>
      <c r="BV2089" s="261"/>
    </row>
    <row r="2090" spans="12:74">
      <c r="L2090" s="261"/>
      <c r="M2090" s="261"/>
      <c r="N2090" s="261"/>
      <c r="O2090" s="261"/>
      <c r="P2090" s="261"/>
      <c r="Q2090" s="261"/>
      <c r="BR2090" s="261"/>
      <c r="BS2090" s="261"/>
      <c r="BT2090" s="261"/>
      <c r="BU2090" s="261"/>
      <c r="BV2090" s="261"/>
    </row>
    <row r="2091" spans="12:74">
      <c r="L2091" s="261"/>
      <c r="M2091" s="261"/>
      <c r="N2091" s="261"/>
      <c r="O2091" s="261"/>
      <c r="P2091" s="261"/>
      <c r="Q2091" s="261"/>
      <c r="BR2091" s="261"/>
      <c r="BS2091" s="261"/>
      <c r="BT2091" s="261"/>
      <c r="BU2091" s="261"/>
      <c r="BV2091" s="261"/>
    </row>
    <row r="2092" spans="12:74">
      <c r="L2092" s="261"/>
      <c r="M2092" s="261"/>
      <c r="N2092" s="261"/>
      <c r="O2092" s="261"/>
      <c r="P2092" s="261"/>
      <c r="Q2092" s="261"/>
      <c r="BR2092" s="261"/>
      <c r="BS2092" s="261"/>
      <c r="BT2092" s="261"/>
      <c r="BU2092" s="261"/>
      <c r="BV2092" s="261"/>
    </row>
    <row r="2093" spans="12:74">
      <c r="L2093" s="261"/>
      <c r="M2093" s="261"/>
      <c r="N2093" s="261"/>
      <c r="O2093" s="261"/>
      <c r="P2093" s="261"/>
      <c r="Q2093" s="261"/>
      <c r="BR2093" s="261"/>
      <c r="BS2093" s="261"/>
      <c r="BT2093" s="261"/>
      <c r="BU2093" s="261"/>
      <c r="BV2093" s="261"/>
    </row>
    <row r="2094" spans="12:74">
      <c r="L2094" s="261"/>
      <c r="M2094" s="261"/>
      <c r="N2094" s="261"/>
      <c r="O2094" s="261"/>
      <c r="P2094" s="261"/>
      <c r="Q2094" s="261"/>
      <c r="BR2094" s="261"/>
      <c r="BS2094" s="261"/>
      <c r="BT2094" s="261"/>
      <c r="BU2094" s="261"/>
      <c r="BV2094" s="261"/>
    </row>
    <row r="2095" spans="12:74">
      <c r="L2095" s="261"/>
      <c r="M2095" s="261"/>
      <c r="N2095" s="261"/>
      <c r="O2095" s="261"/>
      <c r="P2095" s="261"/>
      <c r="Q2095" s="261"/>
      <c r="BR2095" s="261"/>
      <c r="BS2095" s="261"/>
      <c r="BT2095" s="261"/>
      <c r="BU2095" s="261"/>
      <c r="BV2095" s="261"/>
    </row>
    <row r="2096" spans="12:74">
      <c r="L2096" s="261"/>
      <c r="M2096" s="261"/>
      <c r="N2096" s="261"/>
      <c r="O2096" s="261"/>
      <c r="P2096" s="261"/>
      <c r="Q2096" s="261"/>
      <c r="BR2096" s="261"/>
      <c r="BS2096" s="261"/>
      <c r="BT2096" s="261"/>
      <c r="BU2096" s="261"/>
      <c r="BV2096" s="261"/>
    </row>
    <row r="2097" spans="12:74">
      <c r="L2097" s="261"/>
      <c r="M2097" s="261"/>
      <c r="N2097" s="261"/>
      <c r="O2097" s="261"/>
      <c r="P2097" s="261"/>
      <c r="Q2097" s="261"/>
      <c r="BR2097" s="261"/>
      <c r="BS2097" s="261"/>
      <c r="BT2097" s="261"/>
      <c r="BU2097" s="261"/>
      <c r="BV2097" s="261"/>
    </row>
    <row r="2098" spans="12:74">
      <c r="L2098" s="261"/>
      <c r="M2098" s="261"/>
      <c r="N2098" s="261"/>
      <c r="O2098" s="261"/>
      <c r="P2098" s="261"/>
      <c r="Q2098" s="261"/>
      <c r="BR2098" s="261"/>
      <c r="BS2098" s="261"/>
      <c r="BT2098" s="261"/>
      <c r="BU2098" s="261"/>
      <c r="BV2098" s="261"/>
    </row>
    <row r="2099" spans="12:74">
      <c r="L2099" s="261"/>
      <c r="M2099" s="261"/>
      <c r="N2099" s="261"/>
      <c r="O2099" s="261"/>
      <c r="P2099" s="261"/>
      <c r="Q2099" s="261"/>
      <c r="BR2099" s="261"/>
      <c r="BS2099" s="261"/>
      <c r="BT2099" s="261"/>
      <c r="BU2099" s="261"/>
      <c r="BV2099" s="261"/>
    </row>
    <row r="2100" spans="12:74">
      <c r="L2100" s="261"/>
      <c r="M2100" s="261"/>
      <c r="N2100" s="261"/>
      <c r="O2100" s="261"/>
      <c r="P2100" s="261"/>
      <c r="Q2100" s="261"/>
      <c r="BR2100" s="261"/>
      <c r="BS2100" s="261"/>
      <c r="BT2100" s="261"/>
      <c r="BU2100" s="261"/>
      <c r="BV2100" s="261"/>
    </row>
    <row r="2101" spans="12:74">
      <c r="L2101" s="261"/>
      <c r="M2101" s="261"/>
      <c r="N2101" s="261"/>
      <c r="O2101" s="261"/>
      <c r="P2101" s="261"/>
      <c r="Q2101" s="261"/>
      <c r="BR2101" s="261"/>
      <c r="BS2101" s="261"/>
      <c r="BT2101" s="261"/>
      <c r="BU2101" s="261"/>
      <c r="BV2101" s="261"/>
    </row>
    <row r="2102" spans="12:74">
      <c r="L2102" s="261"/>
      <c r="M2102" s="261"/>
      <c r="N2102" s="261"/>
      <c r="O2102" s="261"/>
      <c r="P2102" s="261"/>
      <c r="Q2102" s="261"/>
      <c r="BR2102" s="261"/>
      <c r="BS2102" s="261"/>
      <c r="BT2102" s="261"/>
      <c r="BU2102" s="261"/>
      <c r="BV2102" s="261"/>
    </row>
    <row r="2103" spans="12:74">
      <c r="L2103" s="261"/>
      <c r="M2103" s="261"/>
      <c r="N2103" s="261"/>
      <c r="O2103" s="261"/>
      <c r="P2103" s="261"/>
      <c r="Q2103" s="261"/>
      <c r="BR2103" s="261"/>
      <c r="BS2103" s="261"/>
      <c r="BT2103" s="261"/>
      <c r="BU2103" s="261"/>
      <c r="BV2103" s="261"/>
    </row>
    <row r="2104" spans="12:74">
      <c r="L2104" s="261"/>
      <c r="M2104" s="261"/>
      <c r="N2104" s="261"/>
      <c r="O2104" s="261"/>
      <c r="P2104" s="261"/>
      <c r="Q2104" s="261"/>
      <c r="BR2104" s="261"/>
      <c r="BS2104" s="261"/>
      <c r="BT2104" s="261"/>
      <c r="BU2104" s="261"/>
      <c r="BV2104" s="261"/>
    </row>
    <row r="2105" spans="12:74">
      <c r="L2105" s="261"/>
      <c r="M2105" s="261"/>
      <c r="N2105" s="261"/>
      <c r="O2105" s="261"/>
      <c r="P2105" s="261"/>
      <c r="Q2105" s="261"/>
      <c r="BR2105" s="261"/>
      <c r="BS2105" s="261"/>
      <c r="BT2105" s="261"/>
      <c r="BU2105" s="261"/>
      <c r="BV2105" s="261"/>
    </row>
    <row r="2106" spans="12:74">
      <c r="L2106" s="261"/>
      <c r="M2106" s="261"/>
      <c r="N2106" s="261"/>
      <c r="O2106" s="261"/>
      <c r="P2106" s="261"/>
      <c r="Q2106" s="261"/>
      <c r="BR2106" s="261"/>
      <c r="BS2106" s="261"/>
      <c r="BT2106" s="261"/>
      <c r="BU2106" s="261"/>
      <c r="BV2106" s="261"/>
    </row>
    <row r="2107" spans="12:74">
      <c r="L2107" s="261"/>
      <c r="M2107" s="261"/>
      <c r="N2107" s="261"/>
      <c r="O2107" s="261"/>
      <c r="P2107" s="261"/>
      <c r="Q2107" s="261"/>
      <c r="BR2107" s="261"/>
      <c r="BS2107" s="261"/>
      <c r="BT2107" s="261"/>
      <c r="BU2107" s="261"/>
      <c r="BV2107" s="261"/>
    </row>
    <row r="2108" spans="12:74">
      <c r="L2108" s="261"/>
      <c r="M2108" s="261"/>
      <c r="N2108" s="261"/>
      <c r="O2108" s="261"/>
      <c r="P2108" s="261"/>
      <c r="Q2108" s="261"/>
      <c r="BR2108" s="261"/>
      <c r="BS2108" s="261"/>
      <c r="BT2108" s="261"/>
      <c r="BU2108" s="261"/>
      <c r="BV2108" s="261"/>
    </row>
    <row r="2109" spans="12:74">
      <c r="L2109" s="261"/>
      <c r="M2109" s="261"/>
      <c r="N2109" s="261"/>
      <c r="O2109" s="261"/>
      <c r="P2109" s="261"/>
      <c r="Q2109" s="261"/>
      <c r="BR2109" s="261"/>
      <c r="BS2109" s="261"/>
      <c r="BT2109" s="261"/>
      <c r="BU2109" s="261"/>
      <c r="BV2109" s="261"/>
    </row>
    <row r="2110" spans="12:74">
      <c r="L2110" s="261"/>
      <c r="M2110" s="261"/>
      <c r="N2110" s="261"/>
      <c r="O2110" s="261"/>
      <c r="P2110" s="261"/>
      <c r="Q2110" s="261"/>
      <c r="BR2110" s="261"/>
      <c r="BS2110" s="261"/>
      <c r="BT2110" s="261"/>
      <c r="BU2110" s="261"/>
      <c r="BV2110" s="261"/>
    </row>
    <row r="2111" spans="12:74">
      <c r="L2111" s="261"/>
      <c r="M2111" s="261"/>
      <c r="N2111" s="261"/>
      <c r="O2111" s="261"/>
      <c r="P2111" s="261"/>
      <c r="Q2111" s="261"/>
      <c r="BR2111" s="261"/>
      <c r="BS2111" s="261"/>
      <c r="BT2111" s="261"/>
      <c r="BU2111" s="261"/>
      <c r="BV2111" s="261"/>
    </row>
    <row r="2112" spans="12:74">
      <c r="L2112" s="261"/>
      <c r="M2112" s="261"/>
      <c r="N2112" s="261"/>
      <c r="O2112" s="261"/>
      <c r="P2112" s="261"/>
      <c r="Q2112" s="261"/>
      <c r="BR2112" s="261"/>
      <c r="BS2112" s="261"/>
      <c r="BT2112" s="261"/>
      <c r="BU2112" s="261"/>
      <c r="BV2112" s="261"/>
    </row>
    <row r="2113" spans="12:74">
      <c r="L2113" s="261"/>
      <c r="M2113" s="261"/>
      <c r="N2113" s="261"/>
      <c r="O2113" s="261"/>
      <c r="P2113" s="261"/>
      <c r="Q2113" s="261"/>
      <c r="BR2113" s="261"/>
      <c r="BS2113" s="261"/>
      <c r="BT2113" s="261"/>
      <c r="BU2113" s="261"/>
      <c r="BV2113" s="261"/>
    </row>
    <row r="2114" spans="12:74">
      <c r="L2114" s="261"/>
      <c r="M2114" s="261"/>
      <c r="N2114" s="261"/>
      <c r="O2114" s="261"/>
      <c r="P2114" s="261"/>
      <c r="Q2114" s="261"/>
      <c r="BR2114" s="261"/>
      <c r="BS2114" s="261"/>
      <c r="BT2114" s="261"/>
      <c r="BU2114" s="261"/>
      <c r="BV2114" s="261"/>
    </row>
    <row r="2115" spans="12:74">
      <c r="L2115" s="261"/>
      <c r="M2115" s="261"/>
      <c r="N2115" s="261"/>
      <c r="O2115" s="261"/>
      <c r="P2115" s="261"/>
      <c r="Q2115" s="261"/>
      <c r="BR2115" s="261"/>
      <c r="BS2115" s="261"/>
      <c r="BT2115" s="261"/>
      <c r="BU2115" s="261"/>
      <c r="BV2115" s="261"/>
    </row>
    <row r="2116" spans="12:74">
      <c r="L2116" s="261"/>
      <c r="M2116" s="261"/>
      <c r="N2116" s="261"/>
      <c r="O2116" s="261"/>
      <c r="P2116" s="261"/>
      <c r="Q2116" s="261"/>
      <c r="BR2116" s="261"/>
      <c r="BS2116" s="261"/>
      <c r="BT2116" s="261"/>
      <c r="BU2116" s="261"/>
      <c r="BV2116" s="261"/>
    </row>
    <row r="2117" spans="12:74">
      <c r="L2117" s="261"/>
      <c r="M2117" s="261"/>
      <c r="N2117" s="261"/>
      <c r="O2117" s="261"/>
      <c r="P2117" s="261"/>
      <c r="Q2117" s="261"/>
      <c r="BR2117" s="261"/>
      <c r="BS2117" s="261"/>
      <c r="BT2117" s="261"/>
      <c r="BU2117" s="261"/>
      <c r="BV2117" s="261"/>
    </row>
    <row r="2118" spans="12:74">
      <c r="L2118" s="261"/>
      <c r="M2118" s="261"/>
      <c r="N2118" s="261"/>
      <c r="O2118" s="261"/>
      <c r="P2118" s="261"/>
      <c r="Q2118" s="261"/>
      <c r="BR2118" s="261"/>
      <c r="BS2118" s="261"/>
      <c r="BT2118" s="261"/>
      <c r="BU2118" s="261"/>
      <c r="BV2118" s="261"/>
    </row>
    <row r="2119" spans="12:74">
      <c r="L2119" s="261"/>
      <c r="M2119" s="261"/>
      <c r="N2119" s="261"/>
      <c r="O2119" s="261"/>
      <c r="P2119" s="261"/>
      <c r="Q2119" s="261"/>
      <c r="BR2119" s="261"/>
      <c r="BS2119" s="261"/>
      <c r="BT2119" s="261"/>
      <c r="BU2119" s="261"/>
      <c r="BV2119" s="261"/>
    </row>
    <row r="2120" spans="12:74">
      <c r="L2120" s="261"/>
      <c r="M2120" s="261"/>
      <c r="N2120" s="261"/>
      <c r="O2120" s="261"/>
      <c r="P2120" s="261"/>
      <c r="Q2120" s="261"/>
      <c r="BR2120" s="261"/>
      <c r="BS2120" s="261"/>
      <c r="BT2120" s="261"/>
      <c r="BU2120" s="261"/>
      <c r="BV2120" s="261"/>
    </row>
    <row r="2121" spans="12:74">
      <c r="L2121" s="261"/>
      <c r="M2121" s="261"/>
      <c r="N2121" s="261"/>
      <c r="O2121" s="261"/>
      <c r="P2121" s="261"/>
      <c r="Q2121" s="261"/>
      <c r="BR2121" s="261"/>
      <c r="BS2121" s="261"/>
      <c r="BT2121" s="261"/>
      <c r="BU2121" s="261"/>
      <c r="BV2121" s="261"/>
    </row>
    <row r="2122" spans="12:74">
      <c r="L2122" s="261"/>
      <c r="M2122" s="261"/>
      <c r="N2122" s="261"/>
      <c r="O2122" s="261"/>
      <c r="P2122" s="261"/>
      <c r="Q2122" s="261"/>
      <c r="BR2122" s="261"/>
      <c r="BS2122" s="261"/>
      <c r="BT2122" s="261"/>
      <c r="BU2122" s="261"/>
      <c r="BV2122" s="261"/>
    </row>
    <row r="2123" spans="12:74">
      <c r="L2123" s="261"/>
      <c r="M2123" s="261"/>
      <c r="N2123" s="261"/>
      <c r="O2123" s="261"/>
      <c r="P2123" s="261"/>
      <c r="Q2123" s="261"/>
      <c r="BR2123" s="261"/>
      <c r="BS2123" s="261"/>
      <c r="BT2123" s="261"/>
      <c r="BU2123" s="261"/>
      <c r="BV2123" s="261"/>
    </row>
    <row r="2124" spans="12:74">
      <c r="L2124" s="261"/>
      <c r="M2124" s="261"/>
      <c r="N2124" s="261"/>
      <c r="O2124" s="261"/>
      <c r="P2124" s="261"/>
      <c r="Q2124" s="261"/>
      <c r="BR2124" s="261"/>
      <c r="BS2124" s="261"/>
      <c r="BT2124" s="261"/>
      <c r="BU2124" s="261"/>
      <c r="BV2124" s="261"/>
    </row>
    <row r="2125" spans="12:74">
      <c r="L2125" s="261"/>
      <c r="M2125" s="261"/>
      <c r="N2125" s="261"/>
      <c r="O2125" s="261"/>
      <c r="P2125" s="261"/>
      <c r="Q2125" s="261"/>
      <c r="BR2125" s="261"/>
      <c r="BS2125" s="261"/>
      <c r="BT2125" s="261"/>
      <c r="BU2125" s="261"/>
      <c r="BV2125" s="261"/>
    </row>
    <row r="2126" spans="12:74">
      <c r="L2126" s="261"/>
      <c r="M2126" s="261"/>
      <c r="N2126" s="261"/>
      <c r="O2126" s="261"/>
      <c r="P2126" s="261"/>
      <c r="Q2126" s="261"/>
      <c r="BR2126" s="261"/>
      <c r="BS2126" s="261"/>
      <c r="BT2126" s="261"/>
      <c r="BU2126" s="261"/>
      <c r="BV2126" s="261"/>
    </row>
    <row r="2127" spans="12:74">
      <c r="L2127" s="261"/>
      <c r="M2127" s="261"/>
      <c r="N2127" s="261"/>
      <c r="O2127" s="261"/>
      <c r="P2127" s="261"/>
      <c r="Q2127" s="261"/>
      <c r="BR2127" s="261"/>
      <c r="BS2127" s="261"/>
      <c r="BT2127" s="261"/>
      <c r="BU2127" s="261"/>
      <c r="BV2127" s="261"/>
    </row>
    <row r="2128" spans="12:74">
      <c r="L2128" s="261"/>
      <c r="M2128" s="261"/>
      <c r="N2128" s="261"/>
      <c r="O2128" s="261"/>
      <c r="P2128" s="261"/>
      <c r="Q2128" s="261"/>
      <c r="BR2128" s="261"/>
      <c r="BS2128" s="261"/>
      <c r="BT2128" s="261"/>
      <c r="BU2128" s="261"/>
      <c r="BV2128" s="261"/>
    </row>
    <row r="2129" spans="12:74">
      <c r="L2129" s="261"/>
      <c r="M2129" s="261"/>
      <c r="N2129" s="261"/>
      <c r="O2129" s="261"/>
      <c r="P2129" s="261"/>
      <c r="Q2129" s="261"/>
      <c r="BR2129" s="261"/>
      <c r="BS2129" s="261"/>
      <c r="BT2129" s="261"/>
      <c r="BU2129" s="261"/>
      <c r="BV2129" s="261"/>
    </row>
    <row r="2130" spans="12:74">
      <c r="L2130" s="261"/>
      <c r="M2130" s="261"/>
      <c r="N2130" s="261"/>
      <c r="O2130" s="261"/>
      <c r="P2130" s="261"/>
      <c r="Q2130" s="261"/>
      <c r="BR2130" s="261"/>
      <c r="BS2130" s="261"/>
      <c r="BT2130" s="261"/>
      <c r="BU2130" s="261"/>
      <c r="BV2130" s="261"/>
    </row>
    <row r="2131" spans="12:74">
      <c r="L2131" s="261"/>
      <c r="M2131" s="261"/>
      <c r="N2131" s="261"/>
      <c r="O2131" s="261"/>
      <c r="P2131" s="261"/>
      <c r="Q2131" s="261"/>
      <c r="BR2131" s="261"/>
      <c r="BS2131" s="261"/>
      <c r="BT2131" s="261"/>
      <c r="BU2131" s="261"/>
      <c r="BV2131" s="261"/>
    </row>
    <row r="2132" spans="12:74">
      <c r="L2132" s="261"/>
      <c r="M2132" s="261"/>
      <c r="N2132" s="261"/>
      <c r="O2132" s="261"/>
      <c r="P2132" s="261"/>
      <c r="Q2132" s="261"/>
      <c r="BR2132" s="261"/>
      <c r="BS2132" s="261"/>
      <c r="BT2132" s="261"/>
      <c r="BU2132" s="261"/>
      <c r="BV2132" s="261"/>
    </row>
    <row r="2133" spans="12:74">
      <c r="L2133" s="261"/>
      <c r="M2133" s="261"/>
      <c r="N2133" s="261"/>
      <c r="O2133" s="261"/>
      <c r="P2133" s="261"/>
      <c r="Q2133" s="261"/>
      <c r="BR2133" s="261"/>
      <c r="BS2133" s="261"/>
      <c r="BT2133" s="261"/>
      <c r="BU2133" s="261"/>
      <c r="BV2133" s="261"/>
    </row>
    <row r="2134" spans="12:74">
      <c r="L2134" s="261"/>
      <c r="M2134" s="261"/>
      <c r="N2134" s="261"/>
      <c r="O2134" s="261"/>
      <c r="P2134" s="261"/>
      <c r="Q2134" s="261"/>
      <c r="BR2134" s="261"/>
      <c r="BS2134" s="261"/>
      <c r="BT2134" s="261"/>
      <c r="BU2134" s="261"/>
      <c r="BV2134" s="261"/>
    </row>
    <row r="2135" spans="12:74">
      <c r="L2135" s="261"/>
      <c r="M2135" s="261"/>
      <c r="N2135" s="261"/>
      <c r="O2135" s="261"/>
      <c r="P2135" s="261"/>
      <c r="Q2135" s="261"/>
      <c r="BR2135" s="261"/>
      <c r="BS2135" s="261"/>
      <c r="BT2135" s="261"/>
      <c r="BU2135" s="261"/>
      <c r="BV2135" s="261"/>
    </row>
    <row r="2136" spans="12:74">
      <c r="L2136" s="261"/>
      <c r="M2136" s="261"/>
      <c r="N2136" s="261"/>
      <c r="O2136" s="261"/>
      <c r="P2136" s="261"/>
      <c r="Q2136" s="261"/>
      <c r="BR2136" s="261"/>
      <c r="BS2136" s="261"/>
      <c r="BT2136" s="261"/>
      <c r="BU2136" s="261"/>
      <c r="BV2136" s="261"/>
    </row>
    <row r="2137" spans="12:74">
      <c r="L2137" s="261"/>
      <c r="M2137" s="261"/>
      <c r="N2137" s="261"/>
      <c r="O2137" s="261"/>
      <c r="P2137" s="261"/>
      <c r="Q2137" s="261"/>
      <c r="BR2137" s="261"/>
      <c r="BS2137" s="261"/>
      <c r="BT2137" s="261"/>
      <c r="BU2137" s="261"/>
      <c r="BV2137" s="261"/>
    </row>
    <row r="2138" spans="12:74">
      <c r="L2138" s="261"/>
      <c r="M2138" s="261"/>
      <c r="N2138" s="261"/>
      <c r="O2138" s="261"/>
      <c r="P2138" s="261"/>
      <c r="Q2138" s="261"/>
      <c r="BR2138" s="261"/>
      <c r="BS2138" s="261"/>
      <c r="BT2138" s="261"/>
      <c r="BU2138" s="261"/>
      <c r="BV2138" s="261"/>
    </row>
    <row r="2139" spans="12:74">
      <c r="L2139" s="261"/>
      <c r="M2139" s="261"/>
      <c r="N2139" s="261"/>
      <c r="O2139" s="261"/>
      <c r="P2139" s="261"/>
      <c r="Q2139" s="261"/>
      <c r="BR2139" s="261"/>
      <c r="BS2139" s="261"/>
      <c r="BT2139" s="261"/>
      <c r="BU2139" s="261"/>
      <c r="BV2139" s="261"/>
    </row>
    <row r="2140" spans="12:74">
      <c r="L2140" s="261"/>
      <c r="M2140" s="261"/>
      <c r="N2140" s="261"/>
      <c r="O2140" s="261"/>
      <c r="P2140" s="261"/>
      <c r="Q2140" s="261"/>
      <c r="BR2140" s="261"/>
      <c r="BS2140" s="261"/>
      <c r="BT2140" s="261"/>
      <c r="BU2140" s="261"/>
      <c r="BV2140" s="261"/>
    </row>
    <row r="2141" spans="12:74">
      <c r="L2141" s="261"/>
      <c r="M2141" s="261"/>
      <c r="N2141" s="261"/>
      <c r="O2141" s="261"/>
      <c r="P2141" s="261"/>
      <c r="Q2141" s="261"/>
      <c r="BR2141" s="261"/>
      <c r="BS2141" s="261"/>
      <c r="BT2141" s="261"/>
      <c r="BU2141" s="261"/>
      <c r="BV2141" s="261"/>
    </row>
    <row r="2142" spans="12:74">
      <c r="L2142" s="261"/>
      <c r="M2142" s="261"/>
      <c r="N2142" s="261"/>
      <c r="O2142" s="261"/>
      <c r="P2142" s="261"/>
      <c r="Q2142" s="261"/>
      <c r="BR2142" s="261"/>
      <c r="BS2142" s="261"/>
      <c r="BT2142" s="261"/>
      <c r="BU2142" s="261"/>
      <c r="BV2142" s="261"/>
    </row>
    <row r="2143" spans="12:74">
      <c r="L2143" s="261"/>
      <c r="M2143" s="261"/>
      <c r="N2143" s="261"/>
      <c r="O2143" s="261"/>
      <c r="P2143" s="261"/>
      <c r="Q2143" s="261"/>
      <c r="BR2143" s="261"/>
      <c r="BS2143" s="261"/>
      <c r="BT2143" s="261"/>
      <c r="BU2143" s="261"/>
      <c r="BV2143" s="261"/>
    </row>
    <row r="2144" spans="12:74">
      <c r="L2144" s="261"/>
      <c r="M2144" s="261"/>
      <c r="N2144" s="261"/>
      <c r="O2144" s="261"/>
      <c r="P2144" s="261"/>
      <c r="Q2144" s="261"/>
      <c r="BR2144" s="261"/>
      <c r="BS2144" s="261"/>
      <c r="BT2144" s="261"/>
      <c r="BU2144" s="261"/>
      <c r="BV2144" s="261"/>
    </row>
    <row r="2145" spans="12:74">
      <c r="L2145" s="261"/>
      <c r="M2145" s="261"/>
      <c r="N2145" s="261"/>
      <c r="O2145" s="261"/>
      <c r="P2145" s="261"/>
      <c r="Q2145" s="261"/>
      <c r="BR2145" s="261"/>
      <c r="BS2145" s="261"/>
      <c r="BT2145" s="261"/>
      <c r="BU2145" s="261"/>
      <c r="BV2145" s="261"/>
    </row>
    <row r="2146" spans="12:74">
      <c r="L2146" s="261"/>
      <c r="M2146" s="261"/>
      <c r="N2146" s="261"/>
      <c r="O2146" s="261"/>
      <c r="P2146" s="261"/>
      <c r="Q2146" s="261"/>
      <c r="BR2146" s="261"/>
      <c r="BS2146" s="261"/>
      <c r="BT2146" s="261"/>
      <c r="BU2146" s="261"/>
      <c r="BV2146" s="261"/>
    </row>
    <row r="2147" spans="12:74">
      <c r="L2147" s="261"/>
      <c r="M2147" s="261"/>
      <c r="N2147" s="261"/>
      <c r="O2147" s="261"/>
      <c r="P2147" s="261"/>
      <c r="Q2147" s="261"/>
      <c r="BR2147" s="261"/>
      <c r="BS2147" s="261"/>
      <c r="BT2147" s="261"/>
      <c r="BU2147" s="261"/>
      <c r="BV2147" s="261"/>
    </row>
    <row r="2148" spans="12:74">
      <c r="L2148" s="261"/>
      <c r="M2148" s="261"/>
      <c r="N2148" s="261"/>
      <c r="O2148" s="261"/>
      <c r="P2148" s="261"/>
      <c r="Q2148" s="261"/>
      <c r="BR2148" s="261"/>
      <c r="BS2148" s="261"/>
      <c r="BT2148" s="261"/>
      <c r="BU2148" s="261"/>
      <c r="BV2148" s="261"/>
    </row>
    <row r="2149" spans="12:74">
      <c r="L2149" s="261"/>
      <c r="M2149" s="261"/>
      <c r="N2149" s="261"/>
      <c r="O2149" s="261"/>
      <c r="P2149" s="261"/>
      <c r="Q2149" s="261"/>
      <c r="BR2149" s="261"/>
      <c r="BS2149" s="261"/>
      <c r="BT2149" s="261"/>
      <c r="BU2149" s="261"/>
      <c r="BV2149" s="261"/>
    </row>
    <row r="2150" spans="12:74">
      <c r="L2150" s="261"/>
      <c r="M2150" s="261"/>
      <c r="N2150" s="261"/>
      <c r="O2150" s="261"/>
      <c r="P2150" s="261"/>
      <c r="Q2150" s="261"/>
      <c r="BR2150" s="261"/>
      <c r="BS2150" s="261"/>
      <c r="BT2150" s="261"/>
      <c r="BU2150" s="261"/>
      <c r="BV2150" s="261"/>
    </row>
    <row r="2151" spans="12:74">
      <c r="L2151" s="261"/>
      <c r="M2151" s="261"/>
      <c r="N2151" s="261"/>
      <c r="O2151" s="261"/>
      <c r="P2151" s="261"/>
      <c r="Q2151" s="261"/>
      <c r="BR2151" s="261"/>
      <c r="BS2151" s="261"/>
      <c r="BT2151" s="261"/>
      <c r="BU2151" s="261"/>
      <c r="BV2151" s="261"/>
    </row>
    <row r="2152" spans="12:74">
      <c r="L2152" s="261"/>
      <c r="M2152" s="261"/>
      <c r="N2152" s="261"/>
      <c r="O2152" s="261"/>
      <c r="P2152" s="261"/>
      <c r="Q2152" s="261"/>
      <c r="BR2152" s="261"/>
      <c r="BS2152" s="261"/>
      <c r="BT2152" s="261"/>
      <c r="BU2152" s="261"/>
      <c r="BV2152" s="261"/>
    </row>
    <row r="2153" spans="12:74">
      <c r="L2153" s="261"/>
      <c r="M2153" s="261"/>
      <c r="N2153" s="261"/>
      <c r="O2153" s="261"/>
      <c r="P2153" s="261"/>
      <c r="Q2153" s="261"/>
      <c r="BR2153" s="261"/>
      <c r="BS2153" s="261"/>
      <c r="BT2153" s="261"/>
      <c r="BU2153" s="261"/>
      <c r="BV2153" s="261"/>
    </row>
    <row r="2154" spans="12:74">
      <c r="L2154" s="261"/>
      <c r="M2154" s="261"/>
      <c r="N2154" s="261"/>
      <c r="O2154" s="261"/>
      <c r="P2154" s="261"/>
      <c r="Q2154" s="261"/>
      <c r="BR2154" s="261"/>
      <c r="BS2154" s="261"/>
      <c r="BT2154" s="261"/>
      <c r="BU2154" s="261"/>
      <c r="BV2154" s="261"/>
    </row>
    <row r="2155" spans="12:74">
      <c r="L2155" s="261"/>
      <c r="M2155" s="261"/>
      <c r="N2155" s="261"/>
      <c r="O2155" s="261"/>
      <c r="P2155" s="261"/>
      <c r="Q2155" s="261"/>
      <c r="BR2155" s="261"/>
      <c r="BS2155" s="261"/>
      <c r="BT2155" s="261"/>
      <c r="BU2155" s="261"/>
      <c r="BV2155" s="261"/>
    </row>
    <row r="2156" spans="12:74">
      <c r="L2156" s="261"/>
      <c r="M2156" s="261"/>
      <c r="N2156" s="261"/>
      <c r="O2156" s="261"/>
      <c r="P2156" s="261"/>
      <c r="Q2156" s="261"/>
      <c r="BR2156" s="261"/>
      <c r="BS2156" s="261"/>
      <c r="BT2156" s="261"/>
      <c r="BU2156" s="261"/>
      <c r="BV2156" s="261"/>
    </row>
    <row r="2157" spans="12:74">
      <c r="L2157" s="261"/>
      <c r="M2157" s="261"/>
      <c r="N2157" s="261"/>
      <c r="O2157" s="261"/>
      <c r="P2157" s="261"/>
      <c r="Q2157" s="261"/>
      <c r="BR2157" s="261"/>
      <c r="BS2157" s="261"/>
      <c r="BT2157" s="261"/>
      <c r="BU2157" s="261"/>
      <c r="BV2157" s="261"/>
    </row>
    <row r="2158" spans="12:74">
      <c r="L2158" s="261"/>
      <c r="M2158" s="261"/>
      <c r="N2158" s="261"/>
      <c r="O2158" s="261"/>
      <c r="P2158" s="261"/>
      <c r="Q2158" s="261"/>
      <c r="BR2158" s="261"/>
      <c r="BS2158" s="261"/>
      <c r="BT2158" s="261"/>
      <c r="BU2158" s="261"/>
      <c r="BV2158" s="261"/>
    </row>
    <row r="2159" spans="12:74">
      <c r="L2159" s="261"/>
      <c r="M2159" s="261"/>
      <c r="N2159" s="261"/>
      <c r="O2159" s="261"/>
      <c r="P2159" s="261"/>
      <c r="Q2159" s="261"/>
      <c r="BR2159" s="261"/>
      <c r="BS2159" s="261"/>
      <c r="BT2159" s="261"/>
      <c r="BU2159" s="261"/>
      <c r="BV2159" s="261"/>
    </row>
    <row r="2160" spans="12:74">
      <c r="L2160" s="261"/>
      <c r="M2160" s="261"/>
      <c r="N2160" s="261"/>
      <c r="O2160" s="261"/>
      <c r="P2160" s="261"/>
      <c r="Q2160" s="261"/>
      <c r="BR2160" s="261"/>
      <c r="BS2160" s="261"/>
      <c r="BT2160" s="261"/>
      <c r="BU2160" s="261"/>
      <c r="BV2160" s="261"/>
    </row>
    <row r="2161" spans="12:74">
      <c r="L2161" s="261"/>
      <c r="M2161" s="261"/>
      <c r="N2161" s="261"/>
      <c r="O2161" s="261"/>
      <c r="P2161" s="261"/>
      <c r="Q2161" s="261"/>
      <c r="BR2161" s="261"/>
      <c r="BS2161" s="261"/>
      <c r="BT2161" s="261"/>
      <c r="BU2161" s="261"/>
      <c r="BV2161" s="261"/>
    </row>
    <row r="2162" spans="12:74">
      <c r="L2162" s="261"/>
      <c r="M2162" s="261"/>
      <c r="N2162" s="261"/>
      <c r="O2162" s="261"/>
      <c r="P2162" s="261"/>
      <c r="Q2162" s="261"/>
      <c r="BR2162" s="261"/>
      <c r="BS2162" s="261"/>
      <c r="BT2162" s="261"/>
      <c r="BU2162" s="261"/>
      <c r="BV2162" s="261"/>
    </row>
    <row r="2163" spans="12:74">
      <c r="L2163" s="261"/>
      <c r="M2163" s="261"/>
      <c r="N2163" s="261"/>
      <c r="O2163" s="261"/>
      <c r="P2163" s="261"/>
      <c r="Q2163" s="261"/>
      <c r="BR2163" s="261"/>
      <c r="BS2163" s="261"/>
      <c r="BT2163" s="261"/>
      <c r="BU2163" s="261"/>
      <c r="BV2163" s="261"/>
    </row>
    <row r="2164" spans="12:74">
      <c r="L2164" s="261"/>
      <c r="M2164" s="261"/>
      <c r="N2164" s="261"/>
      <c r="O2164" s="261"/>
      <c r="P2164" s="261"/>
      <c r="Q2164" s="261"/>
      <c r="BR2164" s="261"/>
      <c r="BS2164" s="261"/>
      <c r="BT2164" s="261"/>
      <c r="BU2164" s="261"/>
      <c r="BV2164" s="261"/>
    </row>
    <row r="2165" spans="12:74">
      <c r="L2165" s="261"/>
      <c r="M2165" s="261"/>
      <c r="N2165" s="261"/>
      <c r="O2165" s="261"/>
      <c r="P2165" s="261"/>
      <c r="Q2165" s="261"/>
      <c r="BR2165" s="261"/>
      <c r="BS2165" s="261"/>
      <c r="BT2165" s="261"/>
      <c r="BU2165" s="261"/>
      <c r="BV2165" s="261"/>
    </row>
    <row r="2166" spans="12:74">
      <c r="L2166" s="261"/>
      <c r="M2166" s="261"/>
      <c r="N2166" s="261"/>
      <c r="O2166" s="261"/>
      <c r="P2166" s="261"/>
      <c r="Q2166" s="261"/>
      <c r="BR2166" s="261"/>
      <c r="BS2166" s="261"/>
      <c r="BT2166" s="261"/>
      <c r="BU2166" s="261"/>
      <c r="BV2166" s="261"/>
    </row>
    <row r="2167" spans="12:74">
      <c r="L2167" s="261"/>
      <c r="M2167" s="261"/>
      <c r="N2167" s="261"/>
      <c r="O2167" s="261"/>
      <c r="P2167" s="261"/>
      <c r="Q2167" s="261"/>
      <c r="BR2167" s="261"/>
      <c r="BS2167" s="261"/>
      <c r="BT2167" s="261"/>
      <c r="BU2167" s="261"/>
      <c r="BV2167" s="261"/>
    </row>
    <row r="2168" spans="12:74">
      <c r="L2168" s="261"/>
      <c r="M2168" s="261"/>
      <c r="N2168" s="261"/>
      <c r="O2168" s="261"/>
      <c r="P2168" s="261"/>
      <c r="Q2168" s="261"/>
      <c r="BR2168" s="261"/>
      <c r="BS2168" s="261"/>
      <c r="BT2168" s="261"/>
      <c r="BU2168" s="261"/>
      <c r="BV2168" s="261"/>
    </row>
    <row r="2169" spans="12:74">
      <c r="L2169" s="261"/>
      <c r="M2169" s="261"/>
      <c r="N2169" s="261"/>
      <c r="O2169" s="261"/>
      <c r="P2169" s="261"/>
      <c r="Q2169" s="261"/>
      <c r="BR2169" s="261"/>
      <c r="BS2169" s="261"/>
      <c r="BT2169" s="261"/>
      <c r="BU2169" s="261"/>
      <c r="BV2169" s="261"/>
    </row>
    <row r="2170" spans="12:74">
      <c r="L2170" s="261"/>
      <c r="M2170" s="261"/>
      <c r="N2170" s="261"/>
      <c r="O2170" s="261"/>
      <c r="P2170" s="261"/>
      <c r="Q2170" s="261"/>
      <c r="BR2170" s="261"/>
      <c r="BS2170" s="261"/>
      <c r="BT2170" s="261"/>
      <c r="BU2170" s="261"/>
      <c r="BV2170" s="261"/>
    </row>
    <row r="2171" spans="12:74">
      <c r="L2171" s="261"/>
      <c r="M2171" s="261"/>
      <c r="N2171" s="261"/>
      <c r="O2171" s="261"/>
      <c r="P2171" s="261"/>
      <c r="Q2171" s="261"/>
      <c r="BR2171" s="261"/>
      <c r="BS2171" s="261"/>
      <c r="BT2171" s="261"/>
      <c r="BU2171" s="261"/>
      <c r="BV2171" s="261"/>
    </row>
    <row r="2172" spans="12:74">
      <c r="L2172" s="261"/>
      <c r="M2172" s="261"/>
      <c r="N2172" s="261"/>
      <c r="O2172" s="261"/>
      <c r="P2172" s="261"/>
      <c r="Q2172" s="261"/>
      <c r="BR2172" s="261"/>
      <c r="BS2172" s="261"/>
      <c r="BT2172" s="261"/>
      <c r="BU2172" s="261"/>
      <c r="BV2172" s="261"/>
    </row>
    <row r="2173" spans="12:74">
      <c r="L2173" s="261"/>
      <c r="M2173" s="261"/>
      <c r="N2173" s="261"/>
      <c r="O2173" s="261"/>
      <c r="P2173" s="261"/>
      <c r="Q2173" s="261"/>
      <c r="BR2173" s="261"/>
      <c r="BS2173" s="261"/>
      <c r="BT2173" s="261"/>
      <c r="BU2173" s="261"/>
      <c r="BV2173" s="261"/>
    </row>
    <row r="2174" spans="12:74">
      <c r="L2174" s="261"/>
      <c r="M2174" s="261"/>
      <c r="N2174" s="261"/>
      <c r="O2174" s="261"/>
      <c r="P2174" s="261"/>
      <c r="Q2174" s="261"/>
      <c r="BR2174" s="261"/>
      <c r="BS2174" s="261"/>
      <c r="BT2174" s="261"/>
      <c r="BU2174" s="261"/>
      <c r="BV2174" s="261"/>
    </row>
    <row r="2175" spans="12:74">
      <c r="L2175" s="261"/>
      <c r="M2175" s="261"/>
      <c r="N2175" s="261"/>
      <c r="O2175" s="261"/>
      <c r="P2175" s="261"/>
      <c r="Q2175" s="261"/>
      <c r="BR2175" s="261"/>
      <c r="BS2175" s="261"/>
      <c r="BT2175" s="261"/>
      <c r="BU2175" s="261"/>
      <c r="BV2175" s="261"/>
    </row>
    <row r="2176" spans="12:74">
      <c r="L2176" s="261"/>
      <c r="M2176" s="261"/>
      <c r="N2176" s="261"/>
      <c r="O2176" s="261"/>
      <c r="P2176" s="261"/>
      <c r="Q2176" s="261"/>
      <c r="BR2176" s="261"/>
      <c r="BS2176" s="261"/>
      <c r="BT2176" s="261"/>
      <c r="BU2176" s="261"/>
      <c r="BV2176" s="261"/>
    </row>
    <row r="2177" spans="12:74">
      <c r="L2177" s="261"/>
      <c r="M2177" s="261"/>
      <c r="N2177" s="261"/>
      <c r="O2177" s="261"/>
      <c r="P2177" s="261"/>
      <c r="Q2177" s="261"/>
      <c r="BR2177" s="261"/>
      <c r="BS2177" s="261"/>
      <c r="BT2177" s="261"/>
      <c r="BU2177" s="261"/>
      <c r="BV2177" s="261"/>
    </row>
    <row r="2178" spans="12:74">
      <c r="L2178" s="261"/>
      <c r="M2178" s="261"/>
      <c r="N2178" s="261"/>
      <c r="O2178" s="261"/>
      <c r="P2178" s="261"/>
      <c r="Q2178" s="261"/>
      <c r="BR2178" s="261"/>
      <c r="BS2178" s="261"/>
      <c r="BT2178" s="261"/>
      <c r="BU2178" s="261"/>
      <c r="BV2178" s="261"/>
    </row>
    <row r="2179" spans="12:74">
      <c r="L2179" s="261"/>
      <c r="M2179" s="261"/>
      <c r="N2179" s="261"/>
      <c r="O2179" s="261"/>
      <c r="P2179" s="261"/>
      <c r="Q2179" s="261"/>
      <c r="BR2179" s="261"/>
      <c r="BS2179" s="261"/>
      <c r="BT2179" s="261"/>
      <c r="BU2179" s="261"/>
      <c r="BV2179" s="261"/>
    </row>
    <row r="2180" spans="12:74">
      <c r="L2180" s="261"/>
      <c r="M2180" s="261"/>
      <c r="N2180" s="261"/>
      <c r="O2180" s="261"/>
      <c r="P2180" s="261"/>
      <c r="Q2180" s="261"/>
      <c r="BR2180" s="261"/>
      <c r="BS2180" s="261"/>
      <c r="BT2180" s="261"/>
      <c r="BU2180" s="261"/>
      <c r="BV2180" s="261"/>
    </row>
    <row r="2181" spans="12:74">
      <c r="L2181" s="261"/>
      <c r="M2181" s="261"/>
      <c r="N2181" s="261"/>
      <c r="O2181" s="261"/>
      <c r="P2181" s="261"/>
      <c r="Q2181" s="261"/>
      <c r="BR2181" s="261"/>
      <c r="BS2181" s="261"/>
      <c r="BT2181" s="261"/>
      <c r="BU2181" s="261"/>
      <c r="BV2181" s="261"/>
    </row>
    <row r="2182" spans="12:74">
      <c r="L2182" s="261"/>
      <c r="M2182" s="261"/>
      <c r="N2182" s="261"/>
      <c r="O2182" s="261"/>
      <c r="P2182" s="261"/>
      <c r="Q2182" s="261"/>
      <c r="BR2182" s="261"/>
      <c r="BS2182" s="261"/>
      <c r="BT2182" s="261"/>
      <c r="BU2182" s="261"/>
      <c r="BV2182" s="261"/>
    </row>
    <row r="2183" spans="12:74">
      <c r="L2183" s="261"/>
      <c r="M2183" s="261"/>
      <c r="N2183" s="261"/>
      <c r="O2183" s="261"/>
      <c r="P2183" s="261"/>
      <c r="Q2183" s="261"/>
      <c r="BR2183" s="261"/>
      <c r="BS2183" s="261"/>
      <c r="BT2183" s="261"/>
      <c r="BU2183" s="261"/>
      <c r="BV2183" s="261"/>
    </row>
    <row r="2184" spans="12:74">
      <c r="L2184" s="261"/>
      <c r="M2184" s="261"/>
      <c r="N2184" s="261"/>
      <c r="O2184" s="261"/>
      <c r="P2184" s="261"/>
      <c r="Q2184" s="261"/>
      <c r="BR2184" s="261"/>
      <c r="BS2184" s="261"/>
      <c r="BT2184" s="261"/>
      <c r="BU2184" s="261"/>
      <c r="BV2184" s="261"/>
    </row>
    <row r="2185" spans="12:74">
      <c r="L2185" s="261"/>
      <c r="M2185" s="261"/>
      <c r="N2185" s="261"/>
      <c r="O2185" s="261"/>
      <c r="P2185" s="261"/>
      <c r="Q2185" s="261"/>
      <c r="BR2185" s="261"/>
      <c r="BS2185" s="261"/>
      <c r="BT2185" s="261"/>
      <c r="BU2185" s="261"/>
      <c r="BV2185" s="261"/>
    </row>
    <row r="2186" spans="12:74">
      <c r="L2186" s="261"/>
      <c r="M2186" s="261"/>
      <c r="N2186" s="261"/>
      <c r="O2186" s="261"/>
      <c r="P2186" s="261"/>
      <c r="Q2186" s="261"/>
      <c r="BR2186" s="261"/>
      <c r="BS2186" s="261"/>
      <c r="BT2186" s="261"/>
      <c r="BU2186" s="261"/>
      <c r="BV2186" s="261"/>
    </row>
    <row r="2187" spans="12:74">
      <c r="L2187" s="261"/>
      <c r="M2187" s="261"/>
      <c r="N2187" s="261"/>
      <c r="O2187" s="261"/>
      <c r="P2187" s="261"/>
      <c r="Q2187" s="261"/>
      <c r="BR2187" s="261"/>
      <c r="BS2187" s="261"/>
      <c r="BT2187" s="261"/>
      <c r="BU2187" s="261"/>
      <c r="BV2187" s="261"/>
    </row>
    <row r="2188" spans="12:74">
      <c r="L2188" s="261"/>
      <c r="M2188" s="261"/>
      <c r="N2188" s="261"/>
      <c r="O2188" s="261"/>
      <c r="P2188" s="261"/>
      <c r="Q2188" s="261"/>
      <c r="BR2188" s="261"/>
      <c r="BS2188" s="261"/>
      <c r="BT2188" s="261"/>
      <c r="BU2188" s="261"/>
      <c r="BV2188" s="261"/>
    </row>
    <row r="2189" spans="12:74">
      <c r="L2189" s="261"/>
      <c r="M2189" s="261"/>
      <c r="N2189" s="261"/>
      <c r="O2189" s="261"/>
      <c r="P2189" s="261"/>
      <c r="Q2189" s="261"/>
      <c r="BR2189" s="261"/>
      <c r="BS2189" s="261"/>
      <c r="BT2189" s="261"/>
      <c r="BU2189" s="261"/>
      <c r="BV2189" s="261"/>
    </row>
    <row r="2190" spans="12:74">
      <c r="L2190" s="261"/>
      <c r="M2190" s="261"/>
      <c r="N2190" s="261"/>
      <c r="O2190" s="261"/>
      <c r="P2190" s="261"/>
      <c r="Q2190" s="261"/>
      <c r="BR2190" s="261"/>
      <c r="BS2190" s="261"/>
      <c r="BT2190" s="261"/>
      <c r="BU2190" s="261"/>
      <c r="BV2190" s="261"/>
    </row>
    <row r="2191" spans="12:74">
      <c r="L2191" s="261"/>
      <c r="M2191" s="261"/>
      <c r="N2191" s="261"/>
      <c r="O2191" s="261"/>
      <c r="P2191" s="261"/>
      <c r="Q2191" s="261"/>
      <c r="BR2191" s="261"/>
      <c r="BS2191" s="261"/>
      <c r="BT2191" s="261"/>
      <c r="BU2191" s="261"/>
      <c r="BV2191" s="261"/>
    </row>
    <row r="2192" spans="12:74">
      <c r="L2192" s="261"/>
      <c r="M2192" s="261"/>
      <c r="N2192" s="261"/>
      <c r="O2192" s="261"/>
      <c r="P2192" s="261"/>
      <c r="Q2192" s="261"/>
      <c r="BR2192" s="261"/>
      <c r="BS2192" s="261"/>
      <c r="BT2192" s="261"/>
      <c r="BU2192" s="261"/>
      <c r="BV2192" s="261"/>
    </row>
    <row r="2193" spans="12:74">
      <c r="L2193" s="261"/>
      <c r="M2193" s="261"/>
      <c r="N2193" s="261"/>
      <c r="O2193" s="261"/>
      <c r="P2193" s="261"/>
      <c r="Q2193" s="261"/>
      <c r="BR2193" s="261"/>
      <c r="BS2193" s="261"/>
      <c r="BT2193" s="261"/>
      <c r="BU2193" s="261"/>
      <c r="BV2193" s="261"/>
    </row>
    <row r="2194" spans="12:74">
      <c r="L2194" s="261"/>
      <c r="M2194" s="261"/>
      <c r="N2194" s="261"/>
      <c r="O2194" s="261"/>
      <c r="P2194" s="261"/>
      <c r="Q2194" s="261"/>
      <c r="BR2194" s="261"/>
      <c r="BS2194" s="261"/>
      <c r="BT2194" s="261"/>
      <c r="BU2194" s="261"/>
      <c r="BV2194" s="261"/>
    </row>
    <row r="2195" spans="12:74">
      <c r="L2195" s="261"/>
      <c r="M2195" s="261"/>
      <c r="N2195" s="261"/>
      <c r="O2195" s="261"/>
      <c r="P2195" s="261"/>
      <c r="Q2195" s="261"/>
      <c r="BR2195" s="261"/>
      <c r="BS2195" s="261"/>
      <c r="BT2195" s="261"/>
      <c r="BU2195" s="261"/>
      <c r="BV2195" s="261"/>
    </row>
    <row r="2196" spans="12:74">
      <c r="L2196" s="261"/>
      <c r="M2196" s="261"/>
      <c r="N2196" s="261"/>
      <c r="O2196" s="261"/>
      <c r="P2196" s="261"/>
      <c r="Q2196" s="261"/>
      <c r="BR2196" s="261"/>
      <c r="BS2196" s="261"/>
      <c r="BT2196" s="261"/>
      <c r="BU2196" s="261"/>
      <c r="BV2196" s="261"/>
    </row>
    <row r="2197" spans="12:74">
      <c r="L2197" s="261"/>
      <c r="M2197" s="261"/>
      <c r="N2197" s="261"/>
      <c r="O2197" s="261"/>
      <c r="P2197" s="261"/>
      <c r="Q2197" s="261"/>
      <c r="BR2197" s="261"/>
      <c r="BS2197" s="261"/>
      <c r="BT2197" s="261"/>
      <c r="BU2197" s="261"/>
      <c r="BV2197" s="261"/>
    </row>
    <row r="2198" spans="12:74">
      <c r="L2198" s="261"/>
      <c r="M2198" s="261"/>
      <c r="N2198" s="261"/>
      <c r="O2198" s="261"/>
      <c r="P2198" s="261"/>
      <c r="Q2198" s="261"/>
      <c r="BR2198" s="261"/>
      <c r="BS2198" s="261"/>
      <c r="BT2198" s="261"/>
      <c r="BU2198" s="261"/>
      <c r="BV2198" s="261"/>
    </row>
    <row r="2199" spans="12:74">
      <c r="L2199" s="261"/>
      <c r="M2199" s="261"/>
      <c r="N2199" s="261"/>
      <c r="O2199" s="261"/>
      <c r="P2199" s="261"/>
      <c r="Q2199" s="261"/>
      <c r="BR2199" s="261"/>
      <c r="BS2199" s="261"/>
      <c r="BT2199" s="261"/>
      <c r="BU2199" s="261"/>
      <c r="BV2199" s="261"/>
    </row>
    <row r="2200" spans="12:74">
      <c r="L2200" s="261"/>
      <c r="M2200" s="261"/>
      <c r="N2200" s="261"/>
      <c r="O2200" s="261"/>
      <c r="P2200" s="261"/>
      <c r="Q2200" s="261"/>
      <c r="BR2200" s="261"/>
      <c r="BS2200" s="261"/>
      <c r="BT2200" s="261"/>
      <c r="BU2200" s="261"/>
      <c r="BV2200" s="261"/>
    </row>
    <row r="2201" spans="12:74">
      <c r="L2201" s="261"/>
      <c r="M2201" s="261"/>
      <c r="N2201" s="261"/>
      <c r="O2201" s="261"/>
      <c r="P2201" s="261"/>
      <c r="Q2201" s="261"/>
      <c r="BR2201" s="261"/>
      <c r="BS2201" s="261"/>
      <c r="BT2201" s="261"/>
      <c r="BU2201" s="261"/>
      <c r="BV2201" s="261"/>
    </row>
    <row r="2202" spans="12:74">
      <c r="L2202" s="261"/>
      <c r="M2202" s="261"/>
      <c r="N2202" s="261"/>
      <c r="O2202" s="261"/>
      <c r="P2202" s="261"/>
      <c r="Q2202" s="261"/>
      <c r="BR2202" s="261"/>
      <c r="BS2202" s="261"/>
      <c r="BT2202" s="261"/>
      <c r="BU2202" s="261"/>
      <c r="BV2202" s="261"/>
    </row>
    <row r="2203" spans="12:74">
      <c r="L2203" s="261"/>
      <c r="M2203" s="261"/>
      <c r="N2203" s="261"/>
      <c r="O2203" s="261"/>
      <c r="P2203" s="261"/>
      <c r="Q2203" s="261"/>
      <c r="BR2203" s="261"/>
      <c r="BS2203" s="261"/>
      <c r="BT2203" s="261"/>
      <c r="BU2203" s="261"/>
      <c r="BV2203" s="261"/>
    </row>
    <row r="2204" spans="12:74">
      <c r="L2204" s="261"/>
      <c r="M2204" s="261"/>
      <c r="N2204" s="261"/>
      <c r="O2204" s="261"/>
      <c r="P2204" s="261"/>
      <c r="Q2204" s="261"/>
      <c r="BR2204" s="261"/>
      <c r="BS2204" s="261"/>
      <c r="BT2204" s="261"/>
      <c r="BU2204" s="261"/>
      <c r="BV2204" s="261"/>
    </row>
    <row r="2205" spans="12:74">
      <c r="L2205" s="261"/>
      <c r="M2205" s="261"/>
      <c r="N2205" s="261"/>
      <c r="O2205" s="261"/>
      <c r="P2205" s="261"/>
      <c r="Q2205" s="261"/>
      <c r="BR2205" s="261"/>
      <c r="BS2205" s="261"/>
      <c r="BT2205" s="261"/>
      <c r="BU2205" s="261"/>
      <c r="BV2205" s="261"/>
    </row>
    <row r="2206" spans="12:74">
      <c r="L2206" s="261"/>
      <c r="M2206" s="261"/>
      <c r="N2206" s="261"/>
      <c r="O2206" s="261"/>
      <c r="P2206" s="261"/>
      <c r="Q2206" s="261"/>
      <c r="BR2206" s="261"/>
      <c r="BS2206" s="261"/>
      <c r="BT2206" s="261"/>
      <c r="BU2206" s="261"/>
      <c r="BV2206" s="261"/>
    </row>
    <row r="2207" spans="12:74">
      <c r="L2207" s="261"/>
      <c r="M2207" s="261"/>
      <c r="N2207" s="261"/>
      <c r="O2207" s="261"/>
      <c r="P2207" s="261"/>
      <c r="Q2207" s="261"/>
      <c r="BR2207" s="261"/>
      <c r="BS2207" s="261"/>
      <c r="BT2207" s="261"/>
      <c r="BU2207" s="261"/>
      <c r="BV2207" s="261"/>
    </row>
    <row r="2208" spans="12:74">
      <c r="L2208" s="261"/>
      <c r="M2208" s="261"/>
      <c r="N2208" s="261"/>
      <c r="O2208" s="261"/>
      <c r="P2208" s="261"/>
      <c r="Q2208" s="261"/>
      <c r="BR2208" s="261"/>
      <c r="BS2208" s="261"/>
      <c r="BT2208" s="261"/>
      <c r="BU2208" s="261"/>
      <c r="BV2208" s="261"/>
    </row>
    <row r="2209" spans="12:74">
      <c r="L2209" s="261"/>
      <c r="M2209" s="261"/>
      <c r="N2209" s="261"/>
      <c r="O2209" s="261"/>
      <c r="P2209" s="261"/>
      <c r="Q2209" s="261"/>
      <c r="BR2209" s="261"/>
      <c r="BS2209" s="261"/>
      <c r="BT2209" s="261"/>
      <c r="BU2209" s="261"/>
      <c r="BV2209" s="261"/>
    </row>
    <row r="2210" spans="12:74">
      <c r="L2210" s="261"/>
      <c r="M2210" s="261"/>
      <c r="N2210" s="261"/>
      <c r="O2210" s="261"/>
      <c r="P2210" s="261"/>
      <c r="Q2210" s="261"/>
      <c r="BR2210" s="261"/>
      <c r="BS2210" s="261"/>
      <c r="BT2210" s="261"/>
      <c r="BU2210" s="261"/>
      <c r="BV2210" s="261"/>
    </row>
    <row r="2211" spans="12:74">
      <c r="L2211" s="261"/>
      <c r="M2211" s="261"/>
      <c r="N2211" s="261"/>
      <c r="O2211" s="261"/>
      <c r="P2211" s="261"/>
      <c r="Q2211" s="261"/>
      <c r="BR2211" s="261"/>
      <c r="BS2211" s="261"/>
      <c r="BT2211" s="261"/>
      <c r="BU2211" s="261"/>
      <c r="BV2211" s="261"/>
    </row>
    <row r="2212" spans="12:74">
      <c r="L2212" s="261"/>
      <c r="M2212" s="261"/>
      <c r="N2212" s="261"/>
      <c r="O2212" s="261"/>
      <c r="P2212" s="261"/>
      <c r="Q2212" s="261"/>
      <c r="BR2212" s="261"/>
      <c r="BS2212" s="261"/>
      <c r="BT2212" s="261"/>
      <c r="BU2212" s="261"/>
      <c r="BV2212" s="261"/>
    </row>
    <row r="2213" spans="12:74">
      <c r="L2213" s="261"/>
      <c r="M2213" s="261"/>
      <c r="N2213" s="261"/>
      <c r="O2213" s="261"/>
      <c r="P2213" s="261"/>
      <c r="Q2213" s="261"/>
      <c r="BR2213" s="261"/>
      <c r="BS2213" s="261"/>
      <c r="BT2213" s="261"/>
      <c r="BU2213" s="261"/>
      <c r="BV2213" s="261"/>
    </row>
    <row r="2214" spans="12:74">
      <c r="L2214" s="261"/>
      <c r="M2214" s="261"/>
      <c r="N2214" s="261"/>
      <c r="O2214" s="261"/>
      <c r="P2214" s="261"/>
      <c r="Q2214" s="261"/>
      <c r="BR2214" s="261"/>
      <c r="BS2214" s="261"/>
      <c r="BT2214" s="261"/>
      <c r="BU2214" s="261"/>
      <c r="BV2214" s="261"/>
    </row>
    <row r="2215" spans="12:74">
      <c r="L2215" s="261"/>
      <c r="M2215" s="261"/>
      <c r="N2215" s="261"/>
      <c r="O2215" s="261"/>
      <c r="P2215" s="261"/>
      <c r="Q2215" s="261"/>
      <c r="BR2215" s="261"/>
      <c r="BS2215" s="261"/>
      <c r="BT2215" s="261"/>
      <c r="BU2215" s="261"/>
      <c r="BV2215" s="261"/>
    </row>
    <row r="2216" spans="12:74">
      <c r="L2216" s="261"/>
      <c r="M2216" s="261"/>
      <c r="N2216" s="261"/>
      <c r="O2216" s="261"/>
      <c r="P2216" s="261"/>
      <c r="Q2216" s="261"/>
      <c r="BR2216" s="261"/>
      <c r="BS2216" s="261"/>
      <c r="BT2216" s="261"/>
      <c r="BU2216" s="261"/>
      <c r="BV2216" s="261"/>
    </row>
    <row r="2217" spans="12:74">
      <c r="L2217" s="261"/>
      <c r="M2217" s="261"/>
      <c r="N2217" s="261"/>
      <c r="O2217" s="261"/>
      <c r="P2217" s="261"/>
      <c r="Q2217" s="261"/>
      <c r="BR2217" s="261"/>
      <c r="BS2217" s="261"/>
      <c r="BT2217" s="261"/>
      <c r="BU2217" s="261"/>
      <c r="BV2217" s="261"/>
    </row>
    <row r="2218" spans="12:74">
      <c r="L2218" s="261"/>
      <c r="M2218" s="261"/>
      <c r="N2218" s="261"/>
      <c r="O2218" s="261"/>
      <c r="P2218" s="261"/>
      <c r="Q2218" s="261"/>
      <c r="BR2218" s="261"/>
      <c r="BS2218" s="261"/>
      <c r="BT2218" s="261"/>
      <c r="BU2218" s="261"/>
      <c r="BV2218" s="261"/>
    </row>
    <row r="2219" spans="12:74">
      <c r="L2219" s="261"/>
      <c r="M2219" s="261"/>
      <c r="N2219" s="261"/>
      <c r="O2219" s="261"/>
      <c r="P2219" s="261"/>
      <c r="Q2219" s="261"/>
      <c r="BR2219" s="261"/>
      <c r="BS2219" s="261"/>
      <c r="BT2219" s="261"/>
      <c r="BU2219" s="261"/>
      <c r="BV2219" s="261"/>
    </row>
    <row r="2220" spans="12:74">
      <c r="L2220" s="261"/>
      <c r="M2220" s="261"/>
      <c r="N2220" s="261"/>
      <c r="O2220" s="261"/>
      <c r="P2220" s="261"/>
      <c r="Q2220" s="261"/>
      <c r="BR2220" s="261"/>
      <c r="BS2220" s="261"/>
      <c r="BT2220" s="261"/>
      <c r="BU2220" s="261"/>
      <c r="BV2220" s="261"/>
    </row>
    <row r="2221" spans="12:74">
      <c r="L2221" s="261"/>
      <c r="M2221" s="261"/>
      <c r="N2221" s="261"/>
      <c r="O2221" s="261"/>
      <c r="P2221" s="261"/>
      <c r="Q2221" s="261"/>
      <c r="BR2221" s="261"/>
      <c r="BS2221" s="261"/>
      <c r="BT2221" s="261"/>
      <c r="BU2221" s="261"/>
      <c r="BV2221" s="261"/>
    </row>
    <row r="2222" spans="12:74">
      <c r="L2222" s="261"/>
      <c r="M2222" s="261"/>
      <c r="N2222" s="261"/>
      <c r="O2222" s="261"/>
      <c r="P2222" s="261"/>
      <c r="Q2222" s="261"/>
      <c r="BR2222" s="261"/>
      <c r="BS2222" s="261"/>
      <c r="BT2222" s="261"/>
      <c r="BU2222" s="261"/>
      <c r="BV2222" s="261"/>
    </row>
    <row r="2223" spans="12:74">
      <c r="L2223" s="261"/>
      <c r="M2223" s="261"/>
      <c r="N2223" s="261"/>
      <c r="O2223" s="261"/>
      <c r="P2223" s="261"/>
      <c r="Q2223" s="261"/>
      <c r="BR2223" s="261"/>
      <c r="BS2223" s="261"/>
      <c r="BT2223" s="261"/>
      <c r="BU2223" s="261"/>
      <c r="BV2223" s="261"/>
    </row>
    <row r="2224" spans="12:74">
      <c r="L2224" s="261"/>
      <c r="M2224" s="261"/>
      <c r="N2224" s="261"/>
      <c r="O2224" s="261"/>
      <c r="P2224" s="261"/>
      <c r="Q2224" s="261"/>
      <c r="BR2224" s="261"/>
      <c r="BS2224" s="261"/>
      <c r="BT2224" s="261"/>
      <c r="BU2224" s="261"/>
      <c r="BV2224" s="261"/>
    </row>
    <row r="2225" spans="12:74">
      <c r="L2225" s="261"/>
      <c r="M2225" s="261"/>
      <c r="N2225" s="261"/>
      <c r="O2225" s="261"/>
      <c r="P2225" s="261"/>
      <c r="Q2225" s="261"/>
      <c r="BR2225" s="261"/>
      <c r="BS2225" s="261"/>
      <c r="BT2225" s="261"/>
      <c r="BU2225" s="261"/>
      <c r="BV2225" s="261"/>
    </row>
    <row r="2226" spans="12:74">
      <c r="L2226" s="261"/>
      <c r="M2226" s="261"/>
      <c r="N2226" s="261"/>
      <c r="O2226" s="261"/>
      <c r="P2226" s="261"/>
      <c r="Q2226" s="261"/>
      <c r="BR2226" s="261"/>
      <c r="BS2226" s="261"/>
      <c r="BT2226" s="261"/>
      <c r="BU2226" s="261"/>
      <c r="BV2226" s="261"/>
    </row>
    <row r="2227" spans="12:74">
      <c r="L2227" s="261"/>
      <c r="M2227" s="261"/>
      <c r="N2227" s="261"/>
      <c r="O2227" s="261"/>
      <c r="P2227" s="261"/>
      <c r="Q2227" s="261"/>
      <c r="BR2227" s="261"/>
      <c r="BS2227" s="261"/>
      <c r="BT2227" s="261"/>
      <c r="BU2227" s="261"/>
      <c r="BV2227" s="261"/>
    </row>
    <row r="2228" spans="12:74">
      <c r="L2228" s="261"/>
      <c r="M2228" s="261"/>
      <c r="N2228" s="261"/>
      <c r="O2228" s="261"/>
      <c r="P2228" s="261"/>
      <c r="Q2228" s="261"/>
      <c r="BR2228" s="261"/>
      <c r="BS2228" s="261"/>
      <c r="BT2228" s="261"/>
      <c r="BU2228" s="261"/>
      <c r="BV2228" s="261"/>
    </row>
    <row r="2229" spans="12:74">
      <c r="L2229" s="261"/>
      <c r="M2229" s="261"/>
      <c r="N2229" s="261"/>
      <c r="O2229" s="261"/>
      <c r="P2229" s="261"/>
      <c r="Q2229" s="261"/>
      <c r="BR2229" s="261"/>
      <c r="BS2229" s="261"/>
      <c r="BT2229" s="261"/>
      <c r="BU2229" s="261"/>
      <c r="BV2229" s="261"/>
    </row>
    <row r="2230" spans="12:74">
      <c r="L2230" s="261"/>
      <c r="M2230" s="261"/>
      <c r="N2230" s="261"/>
      <c r="O2230" s="261"/>
      <c r="P2230" s="261"/>
      <c r="Q2230" s="261"/>
      <c r="BR2230" s="261"/>
      <c r="BS2230" s="261"/>
      <c r="BT2230" s="261"/>
      <c r="BU2230" s="261"/>
      <c r="BV2230" s="261"/>
    </row>
    <row r="2231" spans="12:74">
      <c r="L2231" s="261"/>
      <c r="M2231" s="261"/>
      <c r="N2231" s="261"/>
      <c r="O2231" s="261"/>
      <c r="P2231" s="261"/>
      <c r="Q2231" s="261"/>
      <c r="BR2231" s="261"/>
      <c r="BS2231" s="261"/>
      <c r="BT2231" s="261"/>
      <c r="BU2231" s="261"/>
      <c r="BV2231" s="261"/>
    </row>
    <row r="2232" spans="12:74">
      <c r="L2232" s="261"/>
      <c r="M2232" s="261"/>
      <c r="N2232" s="261"/>
      <c r="O2232" s="261"/>
      <c r="P2232" s="261"/>
      <c r="Q2232" s="261"/>
      <c r="BR2232" s="261"/>
      <c r="BS2232" s="261"/>
      <c r="BT2232" s="261"/>
      <c r="BU2232" s="261"/>
      <c r="BV2232" s="261"/>
    </row>
    <row r="2233" spans="12:74">
      <c r="L2233" s="261"/>
      <c r="M2233" s="261"/>
      <c r="N2233" s="261"/>
      <c r="O2233" s="261"/>
      <c r="P2233" s="261"/>
      <c r="Q2233" s="261"/>
      <c r="BR2233" s="261"/>
      <c r="BS2233" s="261"/>
      <c r="BT2233" s="261"/>
      <c r="BU2233" s="261"/>
      <c r="BV2233" s="261"/>
    </row>
    <row r="2234" spans="12:74">
      <c r="L2234" s="261"/>
      <c r="M2234" s="261"/>
      <c r="N2234" s="261"/>
      <c r="O2234" s="261"/>
      <c r="P2234" s="261"/>
      <c r="Q2234" s="261"/>
      <c r="BR2234" s="261"/>
      <c r="BS2234" s="261"/>
      <c r="BT2234" s="261"/>
      <c r="BU2234" s="261"/>
      <c r="BV2234" s="261"/>
    </row>
    <row r="2235" spans="12:74">
      <c r="L2235" s="261"/>
      <c r="M2235" s="261"/>
      <c r="N2235" s="261"/>
      <c r="O2235" s="261"/>
      <c r="P2235" s="261"/>
      <c r="Q2235" s="261"/>
      <c r="BR2235" s="261"/>
      <c r="BS2235" s="261"/>
      <c r="BT2235" s="261"/>
      <c r="BU2235" s="261"/>
      <c r="BV2235" s="261"/>
    </row>
    <row r="2236" spans="12:74">
      <c r="L2236" s="261"/>
      <c r="M2236" s="261"/>
      <c r="N2236" s="261"/>
      <c r="O2236" s="261"/>
      <c r="P2236" s="261"/>
      <c r="Q2236" s="261"/>
      <c r="BR2236" s="261"/>
      <c r="BS2236" s="261"/>
      <c r="BT2236" s="261"/>
      <c r="BU2236" s="261"/>
      <c r="BV2236" s="261"/>
    </row>
    <row r="2237" spans="12:74">
      <c r="L2237" s="261"/>
      <c r="M2237" s="261"/>
      <c r="N2237" s="261"/>
      <c r="O2237" s="261"/>
      <c r="P2237" s="261"/>
      <c r="Q2237" s="261"/>
      <c r="BR2237" s="261"/>
      <c r="BS2237" s="261"/>
      <c r="BT2237" s="261"/>
      <c r="BU2237" s="261"/>
      <c r="BV2237" s="261"/>
    </row>
    <row r="2238" spans="12:74">
      <c r="L2238" s="261"/>
      <c r="M2238" s="261"/>
      <c r="N2238" s="261"/>
      <c r="O2238" s="261"/>
      <c r="P2238" s="261"/>
      <c r="Q2238" s="261"/>
      <c r="BR2238" s="261"/>
      <c r="BS2238" s="261"/>
      <c r="BT2238" s="261"/>
      <c r="BU2238" s="261"/>
      <c r="BV2238" s="261"/>
    </row>
    <row r="2239" spans="12:74">
      <c r="L2239" s="261"/>
      <c r="M2239" s="261"/>
      <c r="N2239" s="261"/>
      <c r="O2239" s="261"/>
      <c r="P2239" s="261"/>
      <c r="Q2239" s="261"/>
      <c r="BR2239" s="261"/>
      <c r="BS2239" s="261"/>
      <c r="BT2239" s="261"/>
      <c r="BU2239" s="261"/>
      <c r="BV2239" s="261"/>
    </row>
    <row r="2240" spans="12:74">
      <c r="L2240" s="261"/>
      <c r="M2240" s="261"/>
      <c r="N2240" s="261"/>
      <c r="O2240" s="261"/>
      <c r="P2240" s="261"/>
      <c r="Q2240" s="261"/>
      <c r="BR2240" s="261"/>
      <c r="BS2240" s="261"/>
      <c r="BT2240" s="261"/>
      <c r="BU2240" s="261"/>
      <c r="BV2240" s="261"/>
    </row>
    <row r="2241" spans="12:74">
      <c r="L2241" s="261"/>
      <c r="M2241" s="261"/>
      <c r="N2241" s="261"/>
      <c r="O2241" s="261"/>
      <c r="P2241" s="261"/>
      <c r="Q2241" s="261"/>
      <c r="BR2241" s="261"/>
      <c r="BS2241" s="261"/>
      <c r="BT2241" s="261"/>
      <c r="BU2241" s="261"/>
      <c r="BV2241" s="261"/>
    </row>
    <row r="2242" spans="12:74">
      <c r="L2242" s="261"/>
      <c r="M2242" s="261"/>
      <c r="N2242" s="261"/>
      <c r="O2242" s="261"/>
      <c r="P2242" s="261"/>
      <c r="Q2242" s="261"/>
      <c r="BR2242" s="261"/>
      <c r="BS2242" s="261"/>
      <c r="BT2242" s="261"/>
      <c r="BU2242" s="261"/>
      <c r="BV2242" s="261"/>
    </row>
    <row r="2243" spans="12:74">
      <c r="L2243" s="261"/>
      <c r="M2243" s="261"/>
      <c r="N2243" s="261"/>
      <c r="O2243" s="261"/>
      <c r="P2243" s="261"/>
      <c r="Q2243" s="261"/>
      <c r="BR2243" s="261"/>
      <c r="BS2243" s="261"/>
      <c r="BT2243" s="261"/>
      <c r="BU2243" s="261"/>
      <c r="BV2243" s="261"/>
    </row>
    <row r="2244" spans="12:74">
      <c r="L2244" s="261"/>
      <c r="M2244" s="261"/>
      <c r="N2244" s="261"/>
      <c r="O2244" s="261"/>
      <c r="P2244" s="261"/>
      <c r="Q2244" s="261"/>
      <c r="BR2244" s="261"/>
      <c r="BS2244" s="261"/>
      <c r="BT2244" s="261"/>
      <c r="BU2244" s="261"/>
      <c r="BV2244" s="261"/>
    </row>
    <row r="2245" spans="12:74">
      <c r="L2245" s="261"/>
      <c r="M2245" s="261"/>
      <c r="N2245" s="261"/>
      <c r="O2245" s="261"/>
      <c r="P2245" s="261"/>
      <c r="Q2245" s="261"/>
      <c r="BR2245" s="261"/>
      <c r="BS2245" s="261"/>
      <c r="BT2245" s="261"/>
      <c r="BU2245" s="261"/>
      <c r="BV2245" s="261"/>
    </row>
    <row r="2246" spans="12:74">
      <c r="L2246" s="261"/>
      <c r="M2246" s="261"/>
      <c r="N2246" s="261"/>
      <c r="O2246" s="261"/>
      <c r="P2246" s="261"/>
      <c r="Q2246" s="261"/>
      <c r="BR2246" s="261"/>
      <c r="BS2246" s="261"/>
      <c r="BT2246" s="261"/>
      <c r="BU2246" s="261"/>
      <c r="BV2246" s="261"/>
    </row>
    <row r="2247" spans="12:74">
      <c r="L2247" s="261"/>
      <c r="M2247" s="261"/>
      <c r="N2247" s="261"/>
      <c r="O2247" s="261"/>
      <c r="P2247" s="261"/>
      <c r="Q2247" s="261"/>
      <c r="BR2247" s="261"/>
      <c r="BS2247" s="261"/>
      <c r="BT2247" s="261"/>
      <c r="BU2247" s="261"/>
      <c r="BV2247" s="261"/>
    </row>
    <row r="2248" spans="12:74">
      <c r="L2248" s="261"/>
      <c r="M2248" s="261"/>
      <c r="N2248" s="261"/>
      <c r="O2248" s="261"/>
      <c r="P2248" s="261"/>
      <c r="Q2248" s="261"/>
      <c r="BR2248" s="261"/>
      <c r="BS2248" s="261"/>
      <c r="BT2248" s="261"/>
      <c r="BU2248" s="261"/>
      <c r="BV2248" s="261"/>
    </row>
    <row r="2249" spans="12:74">
      <c r="L2249" s="261"/>
      <c r="M2249" s="261"/>
      <c r="N2249" s="261"/>
      <c r="O2249" s="261"/>
      <c r="P2249" s="261"/>
      <c r="Q2249" s="261"/>
      <c r="BR2249" s="261"/>
      <c r="BS2249" s="261"/>
      <c r="BT2249" s="261"/>
      <c r="BU2249" s="261"/>
      <c r="BV2249" s="261"/>
    </row>
    <row r="2250" spans="12:74">
      <c r="L2250" s="261"/>
      <c r="M2250" s="261"/>
      <c r="N2250" s="261"/>
      <c r="O2250" s="261"/>
      <c r="P2250" s="261"/>
      <c r="Q2250" s="261"/>
      <c r="BR2250" s="261"/>
      <c r="BS2250" s="261"/>
      <c r="BT2250" s="261"/>
      <c r="BU2250" s="261"/>
      <c r="BV2250" s="261"/>
    </row>
    <row r="2251" spans="12:74">
      <c r="L2251" s="261"/>
      <c r="M2251" s="261"/>
      <c r="N2251" s="261"/>
      <c r="O2251" s="261"/>
      <c r="P2251" s="261"/>
      <c r="Q2251" s="261"/>
      <c r="BR2251" s="261"/>
      <c r="BS2251" s="261"/>
      <c r="BT2251" s="261"/>
      <c r="BU2251" s="261"/>
      <c r="BV2251" s="261"/>
    </row>
    <row r="2252" spans="12:74">
      <c r="L2252" s="261"/>
      <c r="M2252" s="261"/>
      <c r="N2252" s="261"/>
      <c r="O2252" s="261"/>
      <c r="P2252" s="261"/>
      <c r="Q2252" s="261"/>
      <c r="BR2252" s="261"/>
      <c r="BS2252" s="261"/>
      <c r="BT2252" s="261"/>
      <c r="BU2252" s="261"/>
      <c r="BV2252" s="261"/>
    </row>
    <row r="2253" spans="12:74">
      <c r="L2253" s="261"/>
      <c r="M2253" s="261"/>
      <c r="N2253" s="261"/>
      <c r="O2253" s="261"/>
      <c r="P2253" s="261"/>
      <c r="Q2253" s="261"/>
      <c r="BR2253" s="261"/>
      <c r="BS2253" s="261"/>
      <c r="BT2253" s="261"/>
      <c r="BU2253" s="261"/>
      <c r="BV2253" s="261"/>
    </row>
    <row r="2254" spans="12:74">
      <c r="L2254" s="261"/>
      <c r="M2254" s="261"/>
      <c r="N2254" s="261"/>
      <c r="O2254" s="261"/>
      <c r="P2254" s="261"/>
      <c r="Q2254" s="261"/>
      <c r="BR2254" s="261"/>
      <c r="BS2254" s="261"/>
      <c r="BT2254" s="261"/>
      <c r="BU2254" s="261"/>
      <c r="BV2254" s="261"/>
    </row>
    <row r="2255" spans="12:74">
      <c r="L2255" s="261"/>
      <c r="M2255" s="261"/>
      <c r="N2255" s="261"/>
      <c r="O2255" s="261"/>
      <c r="P2255" s="261"/>
      <c r="Q2255" s="261"/>
      <c r="BR2255" s="261"/>
      <c r="BS2255" s="261"/>
      <c r="BT2255" s="261"/>
      <c r="BU2255" s="261"/>
      <c r="BV2255" s="261"/>
    </row>
    <row r="2256" spans="12:74">
      <c r="L2256" s="261"/>
      <c r="M2256" s="261"/>
      <c r="N2256" s="261"/>
      <c r="O2256" s="261"/>
      <c r="P2256" s="261"/>
      <c r="Q2256" s="261"/>
      <c r="BR2256" s="261"/>
      <c r="BS2256" s="261"/>
      <c r="BT2256" s="261"/>
      <c r="BU2256" s="261"/>
      <c r="BV2256" s="261"/>
    </row>
    <row r="2257" spans="12:74">
      <c r="L2257" s="261"/>
      <c r="M2257" s="261"/>
      <c r="N2257" s="261"/>
      <c r="O2257" s="261"/>
      <c r="P2257" s="261"/>
      <c r="Q2257" s="261"/>
      <c r="BR2257" s="261"/>
      <c r="BS2257" s="261"/>
      <c r="BT2257" s="261"/>
      <c r="BU2257" s="261"/>
      <c r="BV2257" s="261"/>
    </row>
    <row r="2258" spans="12:74">
      <c r="L2258" s="261"/>
      <c r="M2258" s="261"/>
      <c r="N2258" s="261"/>
      <c r="O2258" s="261"/>
      <c r="P2258" s="261"/>
      <c r="Q2258" s="261"/>
      <c r="BR2258" s="261"/>
      <c r="BS2258" s="261"/>
      <c r="BT2258" s="261"/>
      <c r="BU2258" s="261"/>
      <c r="BV2258" s="261"/>
    </row>
    <row r="2259" spans="12:74">
      <c r="L2259" s="261"/>
      <c r="M2259" s="261"/>
      <c r="N2259" s="261"/>
      <c r="O2259" s="261"/>
      <c r="P2259" s="261"/>
      <c r="Q2259" s="261"/>
      <c r="BR2259" s="261"/>
      <c r="BS2259" s="261"/>
      <c r="BT2259" s="261"/>
      <c r="BU2259" s="261"/>
      <c r="BV2259" s="261"/>
    </row>
    <row r="2260" spans="12:74">
      <c r="L2260" s="261"/>
      <c r="M2260" s="261"/>
      <c r="N2260" s="261"/>
      <c r="O2260" s="261"/>
      <c r="P2260" s="261"/>
      <c r="Q2260" s="261"/>
      <c r="BR2260" s="261"/>
      <c r="BS2260" s="261"/>
      <c r="BT2260" s="261"/>
      <c r="BU2260" s="261"/>
      <c r="BV2260" s="261"/>
    </row>
    <row r="2261" spans="12:74">
      <c r="L2261" s="261"/>
      <c r="M2261" s="261"/>
      <c r="N2261" s="261"/>
      <c r="O2261" s="261"/>
      <c r="P2261" s="261"/>
      <c r="Q2261" s="261"/>
      <c r="BR2261" s="261"/>
      <c r="BS2261" s="261"/>
      <c r="BT2261" s="261"/>
      <c r="BU2261" s="261"/>
      <c r="BV2261" s="261"/>
    </row>
    <row r="2262" spans="12:74">
      <c r="L2262" s="261"/>
      <c r="M2262" s="261"/>
      <c r="N2262" s="261"/>
      <c r="O2262" s="261"/>
      <c r="P2262" s="261"/>
      <c r="Q2262" s="261"/>
      <c r="BR2262" s="261"/>
      <c r="BS2262" s="261"/>
      <c r="BT2262" s="261"/>
      <c r="BU2262" s="261"/>
      <c r="BV2262" s="261"/>
    </row>
    <row r="2263" spans="12:74">
      <c r="L2263" s="261"/>
      <c r="M2263" s="261"/>
      <c r="N2263" s="261"/>
      <c r="O2263" s="261"/>
      <c r="P2263" s="261"/>
      <c r="Q2263" s="261"/>
      <c r="BR2263" s="261"/>
      <c r="BS2263" s="261"/>
      <c r="BT2263" s="261"/>
      <c r="BU2263" s="261"/>
      <c r="BV2263" s="261"/>
    </row>
    <row r="2264" spans="12:74">
      <c r="L2264" s="261"/>
      <c r="M2264" s="261"/>
      <c r="N2264" s="261"/>
      <c r="O2264" s="261"/>
      <c r="P2264" s="261"/>
      <c r="Q2264" s="261"/>
      <c r="BR2264" s="261"/>
      <c r="BS2264" s="261"/>
      <c r="BT2264" s="261"/>
      <c r="BU2264" s="261"/>
      <c r="BV2264" s="261"/>
    </row>
    <row r="2265" spans="12:74">
      <c r="L2265" s="261"/>
      <c r="M2265" s="261"/>
      <c r="N2265" s="261"/>
      <c r="O2265" s="261"/>
      <c r="P2265" s="261"/>
      <c r="Q2265" s="261"/>
      <c r="BR2265" s="261"/>
      <c r="BS2265" s="261"/>
      <c r="BT2265" s="261"/>
      <c r="BU2265" s="261"/>
      <c r="BV2265" s="261"/>
    </row>
    <row r="2266" spans="12:74">
      <c r="L2266" s="261"/>
      <c r="M2266" s="261"/>
      <c r="N2266" s="261"/>
      <c r="O2266" s="261"/>
      <c r="P2266" s="261"/>
      <c r="Q2266" s="261"/>
      <c r="BR2266" s="261"/>
      <c r="BS2266" s="261"/>
      <c r="BT2266" s="261"/>
      <c r="BU2266" s="261"/>
      <c r="BV2266" s="261"/>
    </row>
    <row r="2267" spans="12:74">
      <c r="L2267" s="261"/>
      <c r="M2267" s="261"/>
      <c r="N2267" s="261"/>
      <c r="O2267" s="261"/>
      <c r="P2267" s="261"/>
      <c r="Q2267" s="261"/>
      <c r="BR2267" s="261"/>
      <c r="BS2267" s="261"/>
      <c r="BT2267" s="261"/>
      <c r="BU2267" s="261"/>
      <c r="BV2267" s="261"/>
    </row>
    <row r="2268" spans="12:74">
      <c r="L2268" s="261"/>
      <c r="M2268" s="261"/>
      <c r="N2268" s="261"/>
      <c r="O2268" s="261"/>
      <c r="P2268" s="261"/>
      <c r="Q2268" s="261"/>
      <c r="BR2268" s="261"/>
      <c r="BS2268" s="261"/>
      <c r="BT2268" s="261"/>
      <c r="BU2268" s="261"/>
      <c r="BV2268" s="261"/>
    </row>
    <row r="2269" spans="12:74">
      <c r="L2269" s="261"/>
      <c r="M2269" s="261"/>
      <c r="N2269" s="261"/>
      <c r="O2269" s="261"/>
      <c r="P2269" s="261"/>
      <c r="Q2269" s="261"/>
      <c r="BR2269" s="261"/>
      <c r="BS2269" s="261"/>
      <c r="BT2269" s="261"/>
      <c r="BU2269" s="261"/>
      <c r="BV2269" s="261"/>
    </row>
    <row r="2270" spans="12:74">
      <c r="L2270" s="261"/>
      <c r="M2270" s="261"/>
      <c r="N2270" s="261"/>
      <c r="O2270" s="261"/>
      <c r="P2270" s="261"/>
      <c r="Q2270" s="261"/>
      <c r="BR2270" s="261"/>
      <c r="BS2270" s="261"/>
      <c r="BT2270" s="261"/>
      <c r="BU2270" s="261"/>
      <c r="BV2270" s="261"/>
    </row>
    <row r="2271" spans="12:74">
      <c r="L2271" s="261"/>
      <c r="M2271" s="261"/>
      <c r="N2271" s="261"/>
      <c r="O2271" s="261"/>
      <c r="P2271" s="261"/>
      <c r="Q2271" s="261"/>
      <c r="BR2271" s="261"/>
      <c r="BS2271" s="261"/>
      <c r="BT2271" s="261"/>
      <c r="BU2271" s="261"/>
      <c r="BV2271" s="261"/>
    </row>
    <row r="2272" spans="12:74">
      <c r="L2272" s="261"/>
      <c r="M2272" s="261"/>
      <c r="N2272" s="261"/>
      <c r="O2272" s="261"/>
      <c r="P2272" s="261"/>
      <c r="Q2272" s="261"/>
      <c r="BR2272" s="261"/>
      <c r="BS2272" s="261"/>
      <c r="BT2272" s="261"/>
      <c r="BU2272" s="261"/>
      <c r="BV2272" s="261"/>
    </row>
    <row r="2273" spans="12:74">
      <c r="L2273" s="261"/>
      <c r="M2273" s="261"/>
      <c r="N2273" s="261"/>
      <c r="O2273" s="261"/>
      <c r="P2273" s="261"/>
      <c r="Q2273" s="261"/>
      <c r="BR2273" s="261"/>
      <c r="BS2273" s="261"/>
      <c r="BT2273" s="261"/>
      <c r="BU2273" s="261"/>
      <c r="BV2273" s="261"/>
    </row>
    <row r="2274" spans="12:74">
      <c r="L2274" s="261"/>
      <c r="M2274" s="261"/>
      <c r="N2274" s="261"/>
      <c r="O2274" s="261"/>
      <c r="P2274" s="261"/>
      <c r="Q2274" s="261"/>
      <c r="BR2274" s="261"/>
      <c r="BS2274" s="261"/>
      <c r="BT2274" s="261"/>
      <c r="BU2274" s="261"/>
      <c r="BV2274" s="261"/>
    </row>
    <row r="2275" spans="12:74">
      <c r="L2275" s="261"/>
      <c r="M2275" s="261"/>
      <c r="N2275" s="261"/>
      <c r="O2275" s="261"/>
      <c r="P2275" s="261"/>
      <c r="Q2275" s="261"/>
      <c r="BR2275" s="261"/>
      <c r="BS2275" s="261"/>
      <c r="BT2275" s="261"/>
      <c r="BU2275" s="261"/>
      <c r="BV2275" s="261"/>
    </row>
    <row r="2276" spans="12:74">
      <c r="L2276" s="261"/>
      <c r="M2276" s="261"/>
      <c r="N2276" s="261"/>
      <c r="O2276" s="261"/>
      <c r="P2276" s="261"/>
      <c r="Q2276" s="261"/>
      <c r="BR2276" s="261"/>
      <c r="BS2276" s="261"/>
      <c r="BT2276" s="261"/>
      <c r="BU2276" s="261"/>
      <c r="BV2276" s="261"/>
    </row>
    <row r="2277" spans="12:74">
      <c r="L2277" s="261"/>
      <c r="M2277" s="261"/>
      <c r="N2277" s="261"/>
      <c r="O2277" s="261"/>
      <c r="P2277" s="261"/>
      <c r="Q2277" s="261"/>
      <c r="BR2277" s="261"/>
      <c r="BS2277" s="261"/>
      <c r="BT2277" s="261"/>
      <c r="BU2277" s="261"/>
      <c r="BV2277" s="261"/>
    </row>
    <row r="2278" spans="12:74">
      <c r="L2278" s="261"/>
      <c r="M2278" s="261"/>
      <c r="N2278" s="261"/>
      <c r="O2278" s="261"/>
      <c r="P2278" s="261"/>
      <c r="Q2278" s="261"/>
      <c r="BR2278" s="261"/>
      <c r="BS2278" s="261"/>
      <c r="BT2278" s="261"/>
      <c r="BU2278" s="261"/>
      <c r="BV2278" s="261"/>
    </row>
    <row r="2279" spans="12:74">
      <c r="L2279" s="261"/>
      <c r="M2279" s="261"/>
      <c r="N2279" s="261"/>
      <c r="O2279" s="261"/>
      <c r="P2279" s="261"/>
      <c r="Q2279" s="261"/>
      <c r="BR2279" s="261"/>
      <c r="BS2279" s="261"/>
      <c r="BT2279" s="261"/>
      <c r="BU2279" s="261"/>
      <c r="BV2279" s="261"/>
    </row>
    <row r="2280" spans="12:74">
      <c r="L2280" s="261"/>
      <c r="M2280" s="261"/>
      <c r="N2280" s="261"/>
      <c r="O2280" s="261"/>
      <c r="P2280" s="261"/>
      <c r="Q2280" s="261"/>
      <c r="BR2280" s="261"/>
      <c r="BS2280" s="261"/>
      <c r="BT2280" s="261"/>
      <c r="BU2280" s="261"/>
      <c r="BV2280" s="261"/>
    </row>
    <row r="2281" spans="12:74">
      <c r="L2281" s="261"/>
      <c r="M2281" s="261"/>
      <c r="N2281" s="261"/>
      <c r="O2281" s="261"/>
      <c r="P2281" s="261"/>
      <c r="Q2281" s="261"/>
      <c r="BR2281" s="261"/>
      <c r="BS2281" s="261"/>
      <c r="BT2281" s="261"/>
      <c r="BU2281" s="261"/>
      <c r="BV2281" s="261"/>
    </row>
    <row r="2282" spans="12:74">
      <c r="L2282" s="261"/>
      <c r="M2282" s="261"/>
      <c r="N2282" s="261"/>
      <c r="O2282" s="261"/>
      <c r="P2282" s="261"/>
      <c r="Q2282" s="261"/>
      <c r="BR2282" s="261"/>
      <c r="BS2282" s="261"/>
      <c r="BT2282" s="261"/>
      <c r="BU2282" s="261"/>
      <c r="BV2282" s="261"/>
    </row>
    <row r="2283" spans="12:74">
      <c r="L2283" s="261"/>
      <c r="M2283" s="261"/>
      <c r="N2283" s="261"/>
      <c r="O2283" s="261"/>
      <c r="P2283" s="261"/>
      <c r="Q2283" s="261"/>
      <c r="BR2283" s="261"/>
      <c r="BS2283" s="261"/>
      <c r="BT2283" s="261"/>
      <c r="BU2283" s="261"/>
      <c r="BV2283" s="261"/>
    </row>
    <row r="2284" spans="12:74">
      <c r="L2284" s="261"/>
      <c r="M2284" s="261"/>
      <c r="N2284" s="261"/>
      <c r="O2284" s="261"/>
      <c r="P2284" s="261"/>
      <c r="Q2284" s="261"/>
      <c r="BR2284" s="261"/>
      <c r="BS2284" s="261"/>
      <c r="BT2284" s="261"/>
      <c r="BU2284" s="261"/>
      <c r="BV2284" s="261"/>
    </row>
    <row r="2285" spans="12:74">
      <c r="L2285" s="261"/>
      <c r="M2285" s="261"/>
      <c r="N2285" s="261"/>
      <c r="O2285" s="261"/>
      <c r="P2285" s="261"/>
      <c r="Q2285" s="261"/>
      <c r="BR2285" s="261"/>
      <c r="BS2285" s="261"/>
      <c r="BT2285" s="261"/>
      <c r="BU2285" s="261"/>
      <c r="BV2285" s="261"/>
    </row>
    <row r="2286" spans="12:74">
      <c r="L2286" s="261"/>
      <c r="M2286" s="261"/>
      <c r="N2286" s="261"/>
      <c r="O2286" s="261"/>
      <c r="P2286" s="261"/>
      <c r="Q2286" s="261"/>
      <c r="BR2286" s="261"/>
      <c r="BS2286" s="261"/>
      <c r="BT2286" s="261"/>
      <c r="BU2286" s="261"/>
      <c r="BV2286" s="261"/>
    </row>
    <row r="2287" spans="12:74">
      <c r="L2287" s="261"/>
      <c r="M2287" s="261"/>
      <c r="N2287" s="261"/>
      <c r="O2287" s="261"/>
      <c r="P2287" s="261"/>
      <c r="Q2287" s="261"/>
      <c r="BR2287" s="261"/>
      <c r="BS2287" s="261"/>
      <c r="BT2287" s="261"/>
      <c r="BU2287" s="261"/>
      <c r="BV2287" s="261"/>
    </row>
    <row r="2288" spans="12:74">
      <c r="L2288" s="261"/>
      <c r="M2288" s="261"/>
      <c r="N2288" s="261"/>
      <c r="O2288" s="261"/>
      <c r="P2288" s="261"/>
      <c r="Q2288" s="261"/>
      <c r="BR2288" s="261"/>
      <c r="BS2288" s="261"/>
      <c r="BT2288" s="261"/>
      <c r="BU2288" s="261"/>
      <c r="BV2288" s="261"/>
    </row>
    <row r="2289" spans="12:74">
      <c r="L2289" s="261"/>
      <c r="M2289" s="261"/>
      <c r="N2289" s="261"/>
      <c r="O2289" s="261"/>
      <c r="P2289" s="261"/>
      <c r="Q2289" s="261"/>
      <c r="BR2289" s="261"/>
      <c r="BS2289" s="261"/>
      <c r="BT2289" s="261"/>
      <c r="BU2289" s="261"/>
      <c r="BV2289" s="261"/>
    </row>
    <row r="2290" spans="12:74">
      <c r="L2290" s="261"/>
      <c r="M2290" s="261"/>
      <c r="N2290" s="261"/>
      <c r="O2290" s="261"/>
      <c r="P2290" s="261"/>
      <c r="Q2290" s="261"/>
      <c r="BR2290" s="261"/>
      <c r="BS2290" s="261"/>
      <c r="BT2290" s="261"/>
      <c r="BU2290" s="261"/>
      <c r="BV2290" s="261"/>
    </row>
    <row r="2291" spans="12:74">
      <c r="L2291" s="261"/>
      <c r="M2291" s="261"/>
      <c r="N2291" s="261"/>
      <c r="O2291" s="261"/>
      <c r="P2291" s="261"/>
      <c r="Q2291" s="261"/>
      <c r="BR2291" s="261"/>
      <c r="BS2291" s="261"/>
      <c r="BT2291" s="261"/>
      <c r="BU2291" s="261"/>
      <c r="BV2291" s="261"/>
    </row>
    <row r="2292" spans="12:74">
      <c r="L2292" s="261"/>
      <c r="M2292" s="261"/>
      <c r="N2292" s="261"/>
      <c r="O2292" s="261"/>
      <c r="P2292" s="261"/>
      <c r="Q2292" s="261"/>
      <c r="BR2292" s="261"/>
      <c r="BS2292" s="261"/>
      <c r="BT2292" s="261"/>
      <c r="BU2292" s="261"/>
      <c r="BV2292" s="261"/>
    </row>
    <row r="2293" spans="12:74">
      <c r="L2293" s="261"/>
      <c r="M2293" s="261"/>
      <c r="N2293" s="261"/>
      <c r="O2293" s="261"/>
      <c r="P2293" s="261"/>
      <c r="Q2293" s="261"/>
      <c r="BR2293" s="261"/>
      <c r="BS2293" s="261"/>
      <c r="BT2293" s="261"/>
      <c r="BU2293" s="261"/>
      <c r="BV2293" s="261"/>
    </row>
    <row r="2294" spans="12:74">
      <c r="L2294" s="261"/>
      <c r="M2294" s="261"/>
      <c r="N2294" s="261"/>
      <c r="O2294" s="261"/>
      <c r="P2294" s="261"/>
      <c r="Q2294" s="261"/>
      <c r="BR2294" s="261"/>
      <c r="BS2294" s="261"/>
      <c r="BT2294" s="261"/>
      <c r="BU2294" s="261"/>
      <c r="BV2294" s="261"/>
    </row>
    <row r="2295" spans="12:74">
      <c r="L2295" s="261"/>
      <c r="M2295" s="261"/>
      <c r="N2295" s="261"/>
      <c r="O2295" s="261"/>
      <c r="P2295" s="261"/>
      <c r="Q2295" s="261"/>
      <c r="BR2295" s="261"/>
      <c r="BS2295" s="261"/>
      <c r="BT2295" s="261"/>
      <c r="BU2295" s="261"/>
      <c r="BV2295" s="261"/>
    </row>
    <row r="2296" spans="12:74">
      <c r="L2296" s="261"/>
      <c r="M2296" s="261"/>
      <c r="N2296" s="261"/>
      <c r="O2296" s="261"/>
      <c r="P2296" s="261"/>
      <c r="Q2296" s="261"/>
      <c r="BR2296" s="261"/>
      <c r="BS2296" s="261"/>
      <c r="BT2296" s="261"/>
      <c r="BU2296" s="261"/>
      <c r="BV2296" s="261"/>
    </row>
    <row r="2297" spans="12:74">
      <c r="L2297" s="261"/>
      <c r="M2297" s="261"/>
      <c r="N2297" s="261"/>
      <c r="O2297" s="261"/>
      <c r="P2297" s="261"/>
      <c r="Q2297" s="261"/>
      <c r="BR2297" s="261"/>
      <c r="BS2297" s="261"/>
      <c r="BT2297" s="261"/>
      <c r="BU2297" s="261"/>
      <c r="BV2297" s="261"/>
    </row>
    <row r="2298" spans="12:74">
      <c r="L2298" s="261"/>
      <c r="M2298" s="261"/>
      <c r="N2298" s="261"/>
      <c r="O2298" s="261"/>
      <c r="P2298" s="261"/>
      <c r="Q2298" s="261"/>
      <c r="BR2298" s="261"/>
      <c r="BS2298" s="261"/>
      <c r="BT2298" s="261"/>
      <c r="BU2298" s="261"/>
      <c r="BV2298" s="261"/>
    </row>
    <row r="2299" spans="12:74">
      <c r="L2299" s="261"/>
      <c r="M2299" s="261"/>
      <c r="N2299" s="261"/>
      <c r="O2299" s="261"/>
      <c r="P2299" s="261"/>
      <c r="Q2299" s="261"/>
      <c r="BR2299" s="261"/>
      <c r="BS2299" s="261"/>
      <c r="BT2299" s="261"/>
      <c r="BU2299" s="261"/>
      <c r="BV2299" s="261"/>
    </row>
    <row r="2300" spans="12:74">
      <c r="L2300" s="261"/>
      <c r="M2300" s="261"/>
      <c r="N2300" s="261"/>
      <c r="O2300" s="261"/>
      <c r="P2300" s="261"/>
      <c r="Q2300" s="261"/>
      <c r="BR2300" s="261"/>
      <c r="BS2300" s="261"/>
      <c r="BT2300" s="261"/>
      <c r="BU2300" s="261"/>
      <c r="BV2300" s="261"/>
    </row>
    <row r="2301" spans="12:74">
      <c r="L2301" s="261"/>
      <c r="M2301" s="261"/>
      <c r="N2301" s="261"/>
      <c r="O2301" s="261"/>
      <c r="P2301" s="261"/>
      <c r="Q2301" s="261"/>
      <c r="BR2301" s="261"/>
      <c r="BS2301" s="261"/>
      <c r="BT2301" s="261"/>
      <c r="BU2301" s="261"/>
      <c r="BV2301" s="261"/>
    </row>
    <row r="2302" spans="12:74">
      <c r="L2302" s="261"/>
      <c r="M2302" s="261"/>
      <c r="N2302" s="261"/>
      <c r="O2302" s="261"/>
      <c r="P2302" s="261"/>
      <c r="Q2302" s="261"/>
      <c r="BR2302" s="261"/>
      <c r="BS2302" s="261"/>
      <c r="BT2302" s="261"/>
      <c r="BU2302" s="261"/>
      <c r="BV2302" s="261"/>
    </row>
    <row r="2303" spans="12:74">
      <c r="L2303" s="261"/>
      <c r="M2303" s="261"/>
      <c r="N2303" s="261"/>
      <c r="O2303" s="261"/>
      <c r="P2303" s="261"/>
      <c r="Q2303" s="261"/>
      <c r="BR2303" s="261"/>
      <c r="BS2303" s="261"/>
      <c r="BT2303" s="261"/>
      <c r="BU2303" s="261"/>
      <c r="BV2303" s="261"/>
    </row>
    <row r="2304" spans="12:74">
      <c r="L2304" s="261"/>
      <c r="M2304" s="261"/>
      <c r="N2304" s="261"/>
      <c r="O2304" s="261"/>
      <c r="P2304" s="261"/>
      <c r="Q2304" s="261"/>
      <c r="BR2304" s="261"/>
      <c r="BS2304" s="261"/>
      <c r="BT2304" s="261"/>
      <c r="BU2304" s="261"/>
      <c r="BV2304" s="261"/>
    </row>
    <row r="2305" spans="12:74">
      <c r="L2305" s="261"/>
      <c r="M2305" s="261"/>
      <c r="N2305" s="261"/>
      <c r="O2305" s="261"/>
      <c r="P2305" s="261"/>
      <c r="Q2305" s="261"/>
      <c r="BR2305" s="261"/>
      <c r="BS2305" s="261"/>
      <c r="BT2305" s="261"/>
      <c r="BU2305" s="261"/>
      <c r="BV2305" s="261"/>
    </row>
    <row r="2306" spans="12:74">
      <c r="L2306" s="261"/>
      <c r="M2306" s="261"/>
      <c r="N2306" s="261"/>
      <c r="O2306" s="261"/>
      <c r="P2306" s="261"/>
      <c r="Q2306" s="261"/>
      <c r="BR2306" s="261"/>
      <c r="BS2306" s="261"/>
      <c r="BT2306" s="261"/>
      <c r="BU2306" s="261"/>
      <c r="BV2306" s="261"/>
    </row>
    <row r="2307" spans="12:74">
      <c r="L2307" s="261"/>
      <c r="M2307" s="261"/>
      <c r="N2307" s="261"/>
      <c r="O2307" s="261"/>
      <c r="P2307" s="261"/>
      <c r="Q2307" s="261"/>
      <c r="BR2307" s="261"/>
      <c r="BS2307" s="261"/>
      <c r="BT2307" s="261"/>
      <c r="BU2307" s="261"/>
      <c r="BV2307" s="261"/>
    </row>
    <row r="2308" spans="12:74">
      <c r="L2308" s="261"/>
      <c r="M2308" s="261"/>
      <c r="N2308" s="261"/>
      <c r="O2308" s="261"/>
      <c r="P2308" s="261"/>
      <c r="Q2308" s="261"/>
      <c r="BR2308" s="261"/>
      <c r="BS2308" s="261"/>
      <c r="BT2308" s="261"/>
      <c r="BU2308" s="261"/>
      <c r="BV2308" s="261"/>
    </row>
    <row r="2309" spans="12:74">
      <c r="L2309" s="261"/>
      <c r="M2309" s="261"/>
      <c r="N2309" s="261"/>
      <c r="O2309" s="261"/>
      <c r="P2309" s="261"/>
      <c r="Q2309" s="261"/>
      <c r="BR2309" s="261"/>
      <c r="BS2309" s="261"/>
      <c r="BT2309" s="261"/>
      <c r="BU2309" s="261"/>
      <c r="BV2309" s="261"/>
    </row>
    <row r="2310" spans="12:74">
      <c r="L2310" s="261"/>
      <c r="M2310" s="261"/>
      <c r="N2310" s="261"/>
      <c r="O2310" s="261"/>
      <c r="P2310" s="261"/>
      <c r="Q2310" s="261"/>
      <c r="BR2310" s="261"/>
      <c r="BS2310" s="261"/>
      <c r="BT2310" s="261"/>
      <c r="BU2310" s="261"/>
      <c r="BV2310" s="261"/>
    </row>
    <row r="2311" spans="12:74">
      <c r="L2311" s="261"/>
      <c r="M2311" s="261"/>
      <c r="N2311" s="261"/>
      <c r="O2311" s="261"/>
      <c r="P2311" s="261"/>
      <c r="Q2311" s="261"/>
      <c r="BR2311" s="261"/>
      <c r="BS2311" s="261"/>
      <c r="BT2311" s="261"/>
      <c r="BU2311" s="261"/>
      <c r="BV2311" s="261"/>
    </row>
    <row r="2312" spans="12:74">
      <c r="L2312" s="261"/>
      <c r="M2312" s="261"/>
      <c r="N2312" s="261"/>
      <c r="O2312" s="261"/>
      <c r="P2312" s="261"/>
      <c r="Q2312" s="261"/>
      <c r="BR2312" s="261"/>
      <c r="BS2312" s="261"/>
      <c r="BT2312" s="261"/>
      <c r="BU2312" s="261"/>
      <c r="BV2312" s="261"/>
    </row>
    <row r="2313" spans="12:74">
      <c r="L2313" s="261"/>
      <c r="M2313" s="261"/>
      <c r="N2313" s="261"/>
      <c r="O2313" s="261"/>
      <c r="P2313" s="261"/>
      <c r="Q2313" s="261"/>
      <c r="BR2313" s="261"/>
      <c r="BS2313" s="261"/>
      <c r="BT2313" s="261"/>
      <c r="BU2313" s="261"/>
      <c r="BV2313" s="261"/>
    </row>
    <row r="2314" spans="12:74">
      <c r="L2314" s="261"/>
      <c r="M2314" s="261"/>
      <c r="N2314" s="261"/>
      <c r="O2314" s="261"/>
      <c r="P2314" s="261"/>
      <c r="Q2314" s="261"/>
      <c r="BR2314" s="261"/>
      <c r="BS2314" s="261"/>
      <c r="BT2314" s="261"/>
      <c r="BU2314" s="261"/>
      <c r="BV2314" s="261"/>
    </row>
    <row r="2315" spans="12:74">
      <c r="L2315" s="261"/>
      <c r="M2315" s="261"/>
      <c r="N2315" s="261"/>
      <c r="O2315" s="261"/>
      <c r="P2315" s="261"/>
      <c r="Q2315" s="261"/>
      <c r="BR2315" s="261"/>
      <c r="BS2315" s="261"/>
      <c r="BT2315" s="261"/>
      <c r="BU2315" s="261"/>
      <c r="BV2315" s="261"/>
    </row>
    <row r="2316" spans="12:74">
      <c r="L2316" s="261"/>
      <c r="M2316" s="261"/>
      <c r="N2316" s="261"/>
      <c r="O2316" s="261"/>
      <c r="P2316" s="261"/>
      <c r="Q2316" s="261"/>
      <c r="BR2316" s="261"/>
      <c r="BS2316" s="261"/>
      <c r="BT2316" s="261"/>
      <c r="BU2316" s="261"/>
      <c r="BV2316" s="261"/>
    </row>
    <row r="2317" spans="12:74">
      <c r="L2317" s="261"/>
      <c r="M2317" s="261"/>
      <c r="N2317" s="261"/>
      <c r="O2317" s="261"/>
      <c r="P2317" s="261"/>
      <c r="Q2317" s="261"/>
      <c r="BR2317" s="261"/>
      <c r="BS2317" s="261"/>
      <c r="BT2317" s="261"/>
      <c r="BU2317" s="261"/>
      <c r="BV2317" s="261"/>
    </row>
    <row r="2318" spans="12:74">
      <c r="L2318" s="261"/>
      <c r="M2318" s="261"/>
      <c r="N2318" s="261"/>
      <c r="O2318" s="261"/>
      <c r="P2318" s="261"/>
      <c r="Q2318" s="261"/>
      <c r="BR2318" s="261"/>
      <c r="BS2318" s="261"/>
      <c r="BT2318" s="261"/>
      <c r="BU2318" s="261"/>
      <c r="BV2318" s="261"/>
    </row>
    <row r="2319" spans="12:74">
      <c r="L2319" s="261"/>
      <c r="M2319" s="261"/>
      <c r="N2319" s="261"/>
      <c r="O2319" s="261"/>
      <c r="P2319" s="261"/>
      <c r="Q2319" s="261"/>
      <c r="BR2319" s="261"/>
      <c r="BS2319" s="261"/>
      <c r="BT2319" s="261"/>
      <c r="BU2319" s="261"/>
      <c r="BV2319" s="261"/>
    </row>
    <row r="2320" spans="12:74">
      <c r="L2320" s="261"/>
      <c r="M2320" s="261"/>
      <c r="N2320" s="261"/>
      <c r="O2320" s="261"/>
      <c r="P2320" s="261"/>
      <c r="Q2320" s="261"/>
      <c r="BR2320" s="261"/>
      <c r="BS2320" s="261"/>
      <c r="BT2320" s="261"/>
      <c r="BU2320" s="261"/>
      <c r="BV2320" s="261"/>
    </row>
    <row r="2321" spans="12:74">
      <c r="L2321" s="261"/>
      <c r="M2321" s="261"/>
      <c r="N2321" s="261"/>
      <c r="O2321" s="261"/>
      <c r="P2321" s="261"/>
      <c r="Q2321" s="261"/>
      <c r="BR2321" s="261"/>
      <c r="BS2321" s="261"/>
      <c r="BT2321" s="261"/>
      <c r="BU2321" s="261"/>
      <c r="BV2321" s="261"/>
    </row>
    <row r="2322" spans="12:74">
      <c r="L2322" s="261"/>
      <c r="M2322" s="261"/>
      <c r="N2322" s="261"/>
      <c r="O2322" s="261"/>
      <c r="P2322" s="261"/>
      <c r="Q2322" s="261"/>
      <c r="BR2322" s="261"/>
      <c r="BS2322" s="261"/>
      <c r="BT2322" s="261"/>
      <c r="BU2322" s="261"/>
      <c r="BV2322" s="261"/>
    </row>
    <row r="2323" spans="12:74">
      <c r="L2323" s="261"/>
      <c r="M2323" s="261"/>
      <c r="N2323" s="261"/>
      <c r="O2323" s="261"/>
      <c r="P2323" s="261"/>
      <c r="Q2323" s="261"/>
      <c r="BR2323" s="261"/>
      <c r="BS2323" s="261"/>
      <c r="BT2323" s="261"/>
      <c r="BU2323" s="261"/>
      <c r="BV2323" s="261"/>
    </row>
    <row r="2324" spans="12:74">
      <c r="L2324" s="261"/>
      <c r="M2324" s="261"/>
      <c r="N2324" s="261"/>
      <c r="O2324" s="261"/>
      <c r="P2324" s="261"/>
      <c r="Q2324" s="261"/>
      <c r="BR2324" s="261"/>
      <c r="BS2324" s="261"/>
      <c r="BT2324" s="261"/>
      <c r="BU2324" s="261"/>
      <c r="BV2324" s="261"/>
    </row>
    <row r="2325" spans="12:74">
      <c r="L2325" s="261"/>
      <c r="M2325" s="261"/>
      <c r="N2325" s="261"/>
      <c r="O2325" s="261"/>
      <c r="P2325" s="261"/>
      <c r="Q2325" s="261"/>
      <c r="BR2325" s="261"/>
      <c r="BS2325" s="261"/>
      <c r="BT2325" s="261"/>
      <c r="BU2325" s="261"/>
      <c r="BV2325" s="261"/>
    </row>
    <row r="2326" spans="12:74">
      <c r="L2326" s="261"/>
      <c r="M2326" s="261"/>
      <c r="N2326" s="261"/>
      <c r="O2326" s="261"/>
      <c r="P2326" s="261"/>
      <c r="Q2326" s="261"/>
      <c r="BR2326" s="261"/>
      <c r="BS2326" s="261"/>
      <c r="BT2326" s="261"/>
      <c r="BU2326" s="261"/>
      <c r="BV2326" s="261"/>
    </row>
    <row r="2327" spans="12:74">
      <c r="L2327" s="261"/>
      <c r="M2327" s="261"/>
      <c r="N2327" s="261"/>
      <c r="O2327" s="261"/>
      <c r="P2327" s="261"/>
      <c r="Q2327" s="261"/>
      <c r="BR2327" s="261"/>
      <c r="BS2327" s="261"/>
      <c r="BT2327" s="261"/>
      <c r="BU2327" s="261"/>
      <c r="BV2327" s="261"/>
    </row>
    <row r="2328" spans="12:74">
      <c r="L2328" s="261"/>
      <c r="M2328" s="261"/>
      <c r="N2328" s="261"/>
      <c r="O2328" s="261"/>
      <c r="P2328" s="261"/>
      <c r="Q2328" s="261"/>
      <c r="BR2328" s="261"/>
      <c r="BS2328" s="261"/>
      <c r="BT2328" s="261"/>
      <c r="BU2328" s="261"/>
      <c r="BV2328" s="261"/>
    </row>
    <row r="2329" spans="12:74">
      <c r="L2329" s="261"/>
      <c r="M2329" s="261"/>
      <c r="N2329" s="261"/>
      <c r="O2329" s="261"/>
      <c r="P2329" s="261"/>
      <c r="Q2329" s="261"/>
      <c r="BR2329" s="261"/>
      <c r="BS2329" s="261"/>
      <c r="BT2329" s="261"/>
      <c r="BU2329" s="261"/>
      <c r="BV2329" s="261"/>
    </row>
    <row r="2330" spans="12:74">
      <c r="L2330" s="261"/>
      <c r="M2330" s="261"/>
      <c r="N2330" s="261"/>
      <c r="O2330" s="261"/>
      <c r="P2330" s="261"/>
      <c r="Q2330" s="261"/>
      <c r="BR2330" s="261"/>
      <c r="BS2330" s="261"/>
      <c r="BT2330" s="261"/>
      <c r="BU2330" s="261"/>
      <c r="BV2330" s="261"/>
    </row>
    <row r="2331" spans="12:74">
      <c r="L2331" s="261"/>
      <c r="M2331" s="261"/>
      <c r="N2331" s="261"/>
      <c r="O2331" s="261"/>
      <c r="P2331" s="261"/>
      <c r="Q2331" s="261"/>
      <c r="BR2331" s="261"/>
      <c r="BS2331" s="261"/>
      <c r="BT2331" s="261"/>
      <c r="BU2331" s="261"/>
      <c r="BV2331" s="261"/>
    </row>
    <row r="2332" spans="12:74">
      <c r="L2332" s="261"/>
      <c r="M2332" s="261"/>
      <c r="N2332" s="261"/>
      <c r="O2332" s="261"/>
      <c r="P2332" s="261"/>
      <c r="Q2332" s="261"/>
      <c r="BR2332" s="261"/>
      <c r="BS2332" s="261"/>
      <c r="BT2332" s="261"/>
      <c r="BU2332" s="261"/>
      <c r="BV2332" s="261"/>
    </row>
    <row r="2333" spans="12:74">
      <c r="L2333" s="261"/>
      <c r="M2333" s="261"/>
      <c r="N2333" s="261"/>
      <c r="O2333" s="261"/>
      <c r="P2333" s="261"/>
      <c r="Q2333" s="261"/>
      <c r="BR2333" s="261"/>
      <c r="BS2333" s="261"/>
      <c r="BT2333" s="261"/>
      <c r="BU2333" s="261"/>
      <c r="BV2333" s="261"/>
    </row>
    <row r="2334" spans="12:74">
      <c r="L2334" s="261"/>
      <c r="M2334" s="261"/>
      <c r="N2334" s="261"/>
      <c r="O2334" s="261"/>
      <c r="P2334" s="261"/>
      <c r="Q2334" s="261"/>
      <c r="BR2334" s="261"/>
      <c r="BS2334" s="261"/>
      <c r="BT2334" s="261"/>
      <c r="BU2334" s="261"/>
      <c r="BV2334" s="261"/>
    </row>
    <row r="2335" spans="12:74">
      <c r="L2335" s="261"/>
      <c r="M2335" s="261"/>
      <c r="N2335" s="261"/>
      <c r="O2335" s="261"/>
      <c r="P2335" s="261"/>
      <c r="Q2335" s="261"/>
      <c r="BR2335" s="261"/>
      <c r="BS2335" s="261"/>
      <c r="BT2335" s="261"/>
      <c r="BU2335" s="261"/>
      <c r="BV2335" s="261"/>
    </row>
    <row r="2336" spans="12:74">
      <c r="L2336" s="261"/>
      <c r="M2336" s="261"/>
      <c r="N2336" s="261"/>
      <c r="O2336" s="261"/>
      <c r="P2336" s="261"/>
      <c r="Q2336" s="261"/>
      <c r="BR2336" s="261"/>
      <c r="BS2336" s="261"/>
      <c r="BT2336" s="261"/>
      <c r="BU2336" s="261"/>
      <c r="BV2336" s="261"/>
    </row>
    <row r="2337" spans="12:74">
      <c r="L2337" s="261"/>
      <c r="M2337" s="261"/>
      <c r="N2337" s="261"/>
      <c r="O2337" s="261"/>
      <c r="P2337" s="261"/>
      <c r="Q2337" s="261"/>
      <c r="BR2337" s="261"/>
      <c r="BS2337" s="261"/>
      <c r="BT2337" s="261"/>
      <c r="BU2337" s="261"/>
      <c r="BV2337" s="261"/>
    </row>
    <row r="2338" spans="12:74">
      <c r="L2338" s="261"/>
      <c r="M2338" s="261"/>
      <c r="N2338" s="261"/>
      <c r="O2338" s="261"/>
      <c r="P2338" s="261"/>
      <c r="Q2338" s="261"/>
      <c r="BR2338" s="261"/>
      <c r="BS2338" s="261"/>
      <c r="BT2338" s="261"/>
      <c r="BU2338" s="261"/>
      <c r="BV2338" s="261"/>
    </row>
    <row r="2339" spans="12:74">
      <c r="L2339" s="261"/>
      <c r="M2339" s="261"/>
      <c r="N2339" s="261"/>
      <c r="O2339" s="261"/>
      <c r="P2339" s="261"/>
      <c r="Q2339" s="261"/>
      <c r="BR2339" s="261"/>
      <c r="BS2339" s="261"/>
      <c r="BT2339" s="261"/>
      <c r="BU2339" s="261"/>
      <c r="BV2339" s="261"/>
    </row>
    <row r="2340" spans="12:74">
      <c r="L2340" s="261"/>
      <c r="M2340" s="261"/>
      <c r="N2340" s="261"/>
      <c r="O2340" s="261"/>
      <c r="P2340" s="261"/>
      <c r="Q2340" s="261"/>
      <c r="BR2340" s="261"/>
      <c r="BS2340" s="261"/>
      <c r="BT2340" s="261"/>
      <c r="BU2340" s="261"/>
      <c r="BV2340" s="261"/>
    </row>
    <row r="2341" spans="12:74">
      <c r="L2341" s="261"/>
      <c r="M2341" s="261"/>
      <c r="N2341" s="261"/>
      <c r="O2341" s="261"/>
      <c r="P2341" s="261"/>
      <c r="Q2341" s="261"/>
      <c r="BR2341" s="261"/>
      <c r="BS2341" s="261"/>
      <c r="BT2341" s="261"/>
      <c r="BU2341" s="261"/>
      <c r="BV2341" s="261"/>
    </row>
    <row r="2342" spans="12:74">
      <c r="L2342" s="261"/>
      <c r="M2342" s="261"/>
      <c r="N2342" s="261"/>
      <c r="O2342" s="261"/>
      <c r="P2342" s="261"/>
      <c r="Q2342" s="261"/>
      <c r="BR2342" s="261"/>
      <c r="BS2342" s="261"/>
      <c r="BT2342" s="261"/>
      <c r="BU2342" s="261"/>
      <c r="BV2342" s="261"/>
    </row>
    <row r="2343" spans="12:74">
      <c r="L2343" s="261"/>
      <c r="M2343" s="261"/>
      <c r="N2343" s="261"/>
      <c r="O2343" s="261"/>
      <c r="P2343" s="261"/>
      <c r="Q2343" s="261"/>
      <c r="BR2343" s="261"/>
      <c r="BS2343" s="261"/>
      <c r="BT2343" s="261"/>
      <c r="BU2343" s="261"/>
      <c r="BV2343" s="261"/>
    </row>
    <row r="2344" spans="12:74">
      <c r="L2344" s="261"/>
      <c r="M2344" s="261"/>
      <c r="N2344" s="261"/>
      <c r="O2344" s="261"/>
      <c r="P2344" s="261"/>
      <c r="Q2344" s="261"/>
      <c r="BR2344" s="261"/>
      <c r="BS2344" s="261"/>
      <c r="BT2344" s="261"/>
      <c r="BU2344" s="261"/>
      <c r="BV2344" s="261"/>
    </row>
    <row r="2345" spans="12:74">
      <c r="L2345" s="261"/>
      <c r="M2345" s="261"/>
      <c r="N2345" s="261"/>
      <c r="O2345" s="261"/>
      <c r="P2345" s="261"/>
      <c r="Q2345" s="261"/>
      <c r="BR2345" s="261"/>
      <c r="BS2345" s="261"/>
      <c r="BT2345" s="261"/>
      <c r="BU2345" s="261"/>
      <c r="BV2345" s="261"/>
    </row>
    <row r="2346" spans="12:74">
      <c r="L2346" s="261"/>
      <c r="M2346" s="261"/>
      <c r="N2346" s="261"/>
      <c r="O2346" s="261"/>
      <c r="P2346" s="261"/>
      <c r="Q2346" s="261"/>
      <c r="BR2346" s="261"/>
      <c r="BS2346" s="261"/>
      <c r="BT2346" s="261"/>
      <c r="BU2346" s="261"/>
      <c r="BV2346" s="261"/>
    </row>
    <row r="2347" spans="12:74">
      <c r="L2347" s="261"/>
      <c r="M2347" s="261"/>
      <c r="N2347" s="261"/>
      <c r="O2347" s="261"/>
      <c r="P2347" s="261"/>
      <c r="Q2347" s="261"/>
      <c r="BR2347" s="261"/>
      <c r="BS2347" s="261"/>
      <c r="BT2347" s="261"/>
      <c r="BU2347" s="261"/>
      <c r="BV2347" s="261"/>
    </row>
    <row r="2348" spans="12:74">
      <c r="L2348" s="261"/>
      <c r="M2348" s="261"/>
      <c r="N2348" s="261"/>
      <c r="O2348" s="261"/>
      <c r="P2348" s="261"/>
      <c r="Q2348" s="261"/>
      <c r="BR2348" s="261"/>
      <c r="BS2348" s="261"/>
      <c r="BT2348" s="261"/>
      <c r="BU2348" s="261"/>
      <c r="BV2348" s="261"/>
    </row>
    <row r="2349" spans="12:74">
      <c r="L2349" s="261"/>
      <c r="M2349" s="261"/>
      <c r="N2349" s="261"/>
      <c r="O2349" s="261"/>
      <c r="P2349" s="261"/>
      <c r="Q2349" s="261"/>
      <c r="BR2349" s="261"/>
      <c r="BS2349" s="261"/>
      <c r="BT2349" s="261"/>
      <c r="BU2349" s="261"/>
      <c r="BV2349" s="261"/>
    </row>
    <row r="2350" spans="12:74">
      <c r="L2350" s="261"/>
      <c r="M2350" s="261"/>
      <c r="N2350" s="261"/>
      <c r="O2350" s="261"/>
      <c r="P2350" s="261"/>
      <c r="Q2350" s="261"/>
      <c r="BR2350" s="261"/>
      <c r="BS2350" s="261"/>
      <c r="BT2350" s="261"/>
      <c r="BU2350" s="261"/>
      <c r="BV2350" s="261"/>
    </row>
    <row r="2351" spans="12:74">
      <c r="L2351" s="261"/>
      <c r="M2351" s="261"/>
      <c r="N2351" s="261"/>
      <c r="O2351" s="261"/>
      <c r="P2351" s="261"/>
      <c r="Q2351" s="261"/>
      <c r="BR2351" s="261"/>
      <c r="BS2351" s="261"/>
      <c r="BT2351" s="261"/>
      <c r="BU2351" s="261"/>
      <c r="BV2351" s="261"/>
    </row>
    <row r="2352" spans="12:74">
      <c r="L2352" s="261"/>
      <c r="M2352" s="261"/>
      <c r="N2352" s="261"/>
      <c r="O2352" s="261"/>
      <c r="P2352" s="261"/>
      <c r="Q2352" s="261"/>
      <c r="BR2352" s="261"/>
      <c r="BS2352" s="261"/>
      <c r="BT2352" s="261"/>
      <c r="BU2352" s="261"/>
      <c r="BV2352" s="261"/>
    </row>
    <row r="2353" spans="12:74">
      <c r="L2353" s="261"/>
      <c r="M2353" s="261"/>
      <c r="N2353" s="261"/>
      <c r="O2353" s="261"/>
      <c r="P2353" s="261"/>
      <c r="Q2353" s="261"/>
      <c r="BR2353" s="261"/>
      <c r="BS2353" s="261"/>
      <c r="BT2353" s="261"/>
      <c r="BU2353" s="261"/>
      <c r="BV2353" s="261"/>
    </row>
    <row r="2354" spans="12:74">
      <c r="L2354" s="261"/>
      <c r="M2354" s="261"/>
      <c r="N2354" s="261"/>
      <c r="O2354" s="261"/>
      <c r="P2354" s="261"/>
      <c r="Q2354" s="261"/>
      <c r="BR2354" s="261"/>
      <c r="BS2354" s="261"/>
      <c r="BT2354" s="261"/>
      <c r="BU2354" s="261"/>
      <c r="BV2354" s="261"/>
    </row>
    <row r="2355" spans="12:74">
      <c r="L2355" s="261"/>
      <c r="M2355" s="261"/>
      <c r="N2355" s="261"/>
      <c r="O2355" s="261"/>
      <c r="P2355" s="261"/>
      <c r="Q2355" s="261"/>
      <c r="BR2355" s="261"/>
      <c r="BS2355" s="261"/>
      <c r="BT2355" s="261"/>
      <c r="BU2355" s="261"/>
      <c r="BV2355" s="261"/>
    </row>
    <row r="2356" spans="12:74">
      <c r="L2356" s="261"/>
      <c r="M2356" s="261"/>
      <c r="N2356" s="261"/>
      <c r="O2356" s="261"/>
      <c r="P2356" s="261"/>
      <c r="Q2356" s="261"/>
      <c r="BR2356" s="261"/>
      <c r="BS2356" s="261"/>
      <c r="BT2356" s="261"/>
      <c r="BU2356" s="261"/>
      <c r="BV2356" s="261"/>
    </row>
    <row r="2357" spans="12:74">
      <c r="L2357" s="261"/>
      <c r="M2357" s="261"/>
      <c r="N2357" s="261"/>
      <c r="O2357" s="261"/>
      <c r="P2357" s="261"/>
      <c r="Q2357" s="261"/>
      <c r="BR2357" s="261"/>
      <c r="BS2357" s="261"/>
      <c r="BT2357" s="261"/>
      <c r="BU2357" s="261"/>
      <c r="BV2357" s="261"/>
    </row>
    <row r="2358" spans="12:74">
      <c r="L2358" s="261"/>
      <c r="M2358" s="261"/>
      <c r="N2358" s="261"/>
      <c r="O2358" s="261"/>
      <c r="P2358" s="261"/>
      <c r="Q2358" s="261"/>
      <c r="BR2358" s="261"/>
      <c r="BS2358" s="261"/>
      <c r="BT2358" s="261"/>
      <c r="BU2358" s="261"/>
      <c r="BV2358" s="261"/>
    </row>
    <row r="2359" spans="12:74">
      <c r="L2359" s="261"/>
      <c r="M2359" s="261"/>
      <c r="N2359" s="261"/>
      <c r="O2359" s="261"/>
      <c r="P2359" s="261"/>
      <c r="Q2359" s="261"/>
      <c r="BR2359" s="261"/>
      <c r="BS2359" s="261"/>
      <c r="BT2359" s="261"/>
      <c r="BU2359" s="261"/>
      <c r="BV2359" s="261"/>
    </row>
    <row r="2360" spans="12:74">
      <c r="L2360" s="261"/>
      <c r="M2360" s="261"/>
      <c r="N2360" s="261"/>
      <c r="O2360" s="261"/>
      <c r="P2360" s="261"/>
      <c r="Q2360" s="261"/>
      <c r="BR2360" s="261"/>
      <c r="BS2360" s="261"/>
      <c r="BT2360" s="261"/>
      <c r="BU2360" s="261"/>
      <c r="BV2360" s="261"/>
    </row>
    <row r="2361" spans="12:74">
      <c r="L2361" s="261"/>
      <c r="M2361" s="261"/>
      <c r="N2361" s="261"/>
      <c r="O2361" s="261"/>
      <c r="P2361" s="261"/>
      <c r="Q2361" s="261"/>
      <c r="BR2361" s="261"/>
      <c r="BS2361" s="261"/>
      <c r="BT2361" s="261"/>
      <c r="BU2361" s="261"/>
      <c r="BV2361" s="261"/>
    </row>
    <row r="2362" spans="12:74">
      <c r="L2362" s="261"/>
      <c r="M2362" s="261"/>
      <c r="N2362" s="261"/>
      <c r="O2362" s="261"/>
      <c r="P2362" s="261"/>
      <c r="Q2362" s="261"/>
      <c r="BR2362" s="261"/>
      <c r="BS2362" s="261"/>
      <c r="BT2362" s="261"/>
      <c r="BU2362" s="261"/>
      <c r="BV2362" s="261"/>
    </row>
    <row r="2363" spans="12:74">
      <c r="L2363" s="261"/>
      <c r="M2363" s="261"/>
      <c r="N2363" s="261"/>
      <c r="O2363" s="261"/>
      <c r="P2363" s="261"/>
      <c r="Q2363" s="261"/>
      <c r="BR2363" s="261"/>
      <c r="BS2363" s="261"/>
      <c r="BT2363" s="261"/>
      <c r="BU2363" s="261"/>
      <c r="BV2363" s="261"/>
    </row>
    <row r="2364" spans="12:74">
      <c r="L2364" s="261"/>
      <c r="M2364" s="261"/>
      <c r="N2364" s="261"/>
      <c r="O2364" s="261"/>
      <c r="P2364" s="261"/>
      <c r="Q2364" s="261"/>
      <c r="BR2364" s="261"/>
      <c r="BS2364" s="261"/>
      <c r="BT2364" s="261"/>
      <c r="BU2364" s="261"/>
      <c r="BV2364" s="261"/>
    </row>
    <row r="2365" spans="12:74">
      <c r="L2365" s="261"/>
      <c r="M2365" s="261"/>
      <c r="N2365" s="261"/>
      <c r="O2365" s="261"/>
      <c r="P2365" s="261"/>
      <c r="Q2365" s="261"/>
      <c r="BR2365" s="261"/>
      <c r="BS2365" s="261"/>
      <c r="BT2365" s="261"/>
      <c r="BU2365" s="261"/>
      <c r="BV2365" s="261"/>
    </row>
    <row r="2366" spans="12:74">
      <c r="L2366" s="261"/>
      <c r="M2366" s="261"/>
      <c r="N2366" s="261"/>
      <c r="O2366" s="261"/>
      <c r="P2366" s="261"/>
      <c r="Q2366" s="261"/>
      <c r="BR2366" s="261"/>
      <c r="BS2366" s="261"/>
      <c r="BT2366" s="261"/>
      <c r="BU2366" s="261"/>
      <c r="BV2366" s="261"/>
    </row>
    <row r="2367" spans="12:74">
      <c r="L2367" s="261"/>
      <c r="M2367" s="261"/>
      <c r="N2367" s="261"/>
      <c r="O2367" s="261"/>
      <c r="P2367" s="261"/>
      <c r="Q2367" s="261"/>
      <c r="BR2367" s="261"/>
      <c r="BS2367" s="261"/>
      <c r="BT2367" s="261"/>
      <c r="BU2367" s="261"/>
      <c r="BV2367" s="261"/>
    </row>
    <row r="2368" spans="12:74">
      <c r="L2368" s="261"/>
      <c r="M2368" s="261"/>
      <c r="N2368" s="261"/>
      <c r="O2368" s="261"/>
      <c r="P2368" s="261"/>
      <c r="Q2368" s="261"/>
      <c r="BR2368" s="261"/>
      <c r="BS2368" s="261"/>
      <c r="BT2368" s="261"/>
      <c r="BU2368" s="261"/>
      <c r="BV2368" s="261"/>
    </row>
    <row r="2369" spans="12:74">
      <c r="L2369" s="261"/>
      <c r="M2369" s="261"/>
      <c r="N2369" s="261"/>
      <c r="O2369" s="261"/>
      <c r="P2369" s="261"/>
      <c r="Q2369" s="261"/>
      <c r="BR2369" s="261"/>
      <c r="BS2369" s="261"/>
      <c r="BT2369" s="261"/>
      <c r="BU2369" s="261"/>
      <c r="BV2369" s="261"/>
    </row>
    <row r="2370" spans="12:74">
      <c r="L2370" s="261"/>
      <c r="M2370" s="261"/>
      <c r="N2370" s="261"/>
      <c r="O2370" s="261"/>
      <c r="P2370" s="261"/>
      <c r="Q2370" s="261"/>
      <c r="BR2370" s="261"/>
      <c r="BS2370" s="261"/>
      <c r="BT2370" s="261"/>
      <c r="BU2370" s="261"/>
      <c r="BV2370" s="261"/>
    </row>
    <row r="2371" spans="12:74">
      <c r="L2371" s="261"/>
      <c r="M2371" s="261"/>
      <c r="N2371" s="261"/>
      <c r="O2371" s="261"/>
      <c r="P2371" s="261"/>
      <c r="Q2371" s="261"/>
      <c r="BR2371" s="261"/>
      <c r="BS2371" s="261"/>
      <c r="BT2371" s="261"/>
      <c r="BU2371" s="261"/>
      <c r="BV2371" s="261"/>
    </row>
    <row r="2372" spans="12:74">
      <c r="L2372" s="261"/>
      <c r="M2372" s="261"/>
      <c r="N2372" s="261"/>
      <c r="O2372" s="261"/>
      <c r="P2372" s="261"/>
      <c r="Q2372" s="261"/>
      <c r="BR2372" s="261"/>
      <c r="BS2372" s="261"/>
      <c r="BT2372" s="261"/>
      <c r="BU2372" s="261"/>
      <c r="BV2372" s="261"/>
    </row>
    <row r="2373" spans="12:74">
      <c r="L2373" s="261"/>
      <c r="M2373" s="261"/>
      <c r="N2373" s="261"/>
      <c r="O2373" s="261"/>
      <c r="P2373" s="261"/>
      <c r="Q2373" s="261"/>
      <c r="BR2373" s="261"/>
      <c r="BS2373" s="261"/>
      <c r="BT2373" s="261"/>
      <c r="BU2373" s="261"/>
      <c r="BV2373" s="261"/>
    </row>
    <row r="2374" spans="12:74">
      <c r="L2374" s="261"/>
      <c r="M2374" s="261"/>
      <c r="N2374" s="261"/>
      <c r="O2374" s="261"/>
      <c r="P2374" s="261"/>
      <c r="Q2374" s="261"/>
      <c r="BR2374" s="261"/>
      <c r="BS2374" s="261"/>
      <c r="BT2374" s="261"/>
      <c r="BU2374" s="261"/>
      <c r="BV2374" s="261"/>
    </row>
    <row r="2375" spans="12:74">
      <c r="L2375" s="261"/>
      <c r="M2375" s="261"/>
      <c r="N2375" s="261"/>
      <c r="O2375" s="261"/>
      <c r="P2375" s="261"/>
      <c r="Q2375" s="261"/>
      <c r="BR2375" s="261"/>
      <c r="BS2375" s="261"/>
      <c r="BT2375" s="261"/>
      <c r="BU2375" s="261"/>
      <c r="BV2375" s="261"/>
    </row>
    <row r="2376" spans="12:74">
      <c r="L2376" s="261"/>
      <c r="M2376" s="261"/>
      <c r="N2376" s="261"/>
      <c r="O2376" s="261"/>
      <c r="P2376" s="261"/>
      <c r="Q2376" s="261"/>
      <c r="BR2376" s="261"/>
      <c r="BS2376" s="261"/>
      <c r="BT2376" s="261"/>
      <c r="BU2376" s="261"/>
      <c r="BV2376" s="261"/>
    </row>
    <row r="2377" spans="12:74">
      <c r="L2377" s="261"/>
      <c r="M2377" s="261"/>
      <c r="N2377" s="261"/>
      <c r="O2377" s="261"/>
      <c r="P2377" s="261"/>
      <c r="Q2377" s="261"/>
      <c r="BR2377" s="261"/>
      <c r="BS2377" s="261"/>
      <c r="BT2377" s="261"/>
      <c r="BU2377" s="261"/>
      <c r="BV2377" s="261"/>
    </row>
    <row r="2378" spans="12:74">
      <c r="L2378" s="261"/>
      <c r="M2378" s="261"/>
      <c r="N2378" s="261"/>
      <c r="O2378" s="261"/>
      <c r="P2378" s="261"/>
      <c r="Q2378" s="261"/>
      <c r="BR2378" s="261"/>
      <c r="BS2378" s="261"/>
      <c r="BT2378" s="261"/>
      <c r="BU2378" s="261"/>
      <c r="BV2378" s="261"/>
    </row>
    <row r="2379" spans="12:74">
      <c r="L2379" s="261"/>
      <c r="M2379" s="261"/>
      <c r="N2379" s="261"/>
      <c r="O2379" s="261"/>
      <c r="P2379" s="261"/>
      <c r="Q2379" s="261"/>
      <c r="BR2379" s="261"/>
      <c r="BS2379" s="261"/>
      <c r="BT2379" s="261"/>
      <c r="BU2379" s="261"/>
      <c r="BV2379" s="261"/>
    </row>
    <row r="2380" spans="12:74">
      <c r="L2380" s="261"/>
      <c r="M2380" s="261"/>
      <c r="N2380" s="261"/>
      <c r="O2380" s="261"/>
      <c r="P2380" s="261"/>
      <c r="Q2380" s="261"/>
      <c r="BR2380" s="261"/>
      <c r="BS2380" s="261"/>
      <c r="BT2380" s="261"/>
      <c r="BU2380" s="261"/>
      <c r="BV2380" s="261"/>
    </row>
    <row r="2381" spans="12:74">
      <c r="L2381" s="261"/>
      <c r="M2381" s="261"/>
      <c r="N2381" s="261"/>
      <c r="O2381" s="261"/>
      <c r="P2381" s="261"/>
      <c r="Q2381" s="261"/>
      <c r="BR2381" s="261"/>
      <c r="BS2381" s="261"/>
      <c r="BT2381" s="261"/>
      <c r="BU2381" s="261"/>
      <c r="BV2381" s="261"/>
    </row>
    <row r="2382" spans="12:74">
      <c r="L2382" s="261"/>
      <c r="M2382" s="261"/>
      <c r="N2382" s="261"/>
      <c r="O2382" s="261"/>
      <c r="P2382" s="261"/>
      <c r="Q2382" s="261"/>
      <c r="BR2382" s="261"/>
      <c r="BS2382" s="261"/>
      <c r="BT2382" s="261"/>
      <c r="BU2382" s="261"/>
      <c r="BV2382" s="261"/>
    </row>
    <row r="2383" spans="12:74">
      <c r="L2383" s="261"/>
      <c r="M2383" s="261"/>
      <c r="N2383" s="261"/>
      <c r="O2383" s="261"/>
      <c r="P2383" s="261"/>
      <c r="Q2383" s="261"/>
      <c r="BR2383" s="261"/>
      <c r="BS2383" s="261"/>
      <c r="BT2383" s="261"/>
      <c r="BU2383" s="261"/>
      <c r="BV2383" s="261"/>
    </row>
    <row r="2384" spans="12:74">
      <c r="L2384" s="261"/>
      <c r="M2384" s="261"/>
      <c r="N2384" s="261"/>
      <c r="O2384" s="261"/>
      <c r="P2384" s="261"/>
      <c r="Q2384" s="261"/>
      <c r="BR2384" s="261"/>
      <c r="BS2384" s="261"/>
      <c r="BT2384" s="261"/>
      <c r="BU2384" s="261"/>
      <c r="BV2384" s="261"/>
    </row>
    <row r="2385" spans="12:74">
      <c r="L2385" s="261"/>
      <c r="M2385" s="261"/>
      <c r="N2385" s="261"/>
      <c r="O2385" s="261"/>
      <c r="P2385" s="261"/>
      <c r="Q2385" s="261"/>
      <c r="BR2385" s="261"/>
      <c r="BS2385" s="261"/>
      <c r="BT2385" s="261"/>
      <c r="BU2385" s="261"/>
      <c r="BV2385" s="261"/>
    </row>
    <row r="2386" spans="12:74">
      <c r="L2386" s="261"/>
      <c r="M2386" s="261"/>
      <c r="N2386" s="261"/>
      <c r="O2386" s="261"/>
      <c r="P2386" s="261"/>
      <c r="Q2386" s="261"/>
      <c r="BR2386" s="261"/>
      <c r="BS2386" s="261"/>
      <c r="BT2386" s="261"/>
      <c r="BU2386" s="261"/>
      <c r="BV2386" s="261"/>
    </row>
    <row r="2387" spans="12:74">
      <c r="L2387" s="261"/>
      <c r="M2387" s="261"/>
      <c r="N2387" s="261"/>
      <c r="O2387" s="261"/>
      <c r="P2387" s="261"/>
      <c r="Q2387" s="261"/>
      <c r="BR2387" s="261"/>
      <c r="BS2387" s="261"/>
      <c r="BT2387" s="261"/>
      <c r="BU2387" s="261"/>
      <c r="BV2387" s="261"/>
    </row>
    <row r="2388" spans="12:74">
      <c r="L2388" s="261"/>
      <c r="M2388" s="261"/>
      <c r="N2388" s="261"/>
      <c r="O2388" s="261"/>
      <c r="P2388" s="261"/>
      <c r="Q2388" s="261"/>
      <c r="BR2388" s="261"/>
      <c r="BS2388" s="261"/>
      <c r="BT2388" s="261"/>
      <c r="BU2388" s="261"/>
      <c r="BV2388" s="261"/>
    </row>
    <row r="2389" spans="12:74">
      <c r="L2389" s="261"/>
      <c r="M2389" s="261"/>
      <c r="N2389" s="261"/>
      <c r="O2389" s="261"/>
      <c r="P2389" s="261"/>
      <c r="Q2389" s="261"/>
      <c r="BR2389" s="261"/>
      <c r="BS2389" s="261"/>
      <c r="BT2389" s="261"/>
      <c r="BU2389" s="261"/>
      <c r="BV2389" s="261"/>
    </row>
    <row r="2390" spans="12:74">
      <c r="L2390" s="261"/>
      <c r="M2390" s="261"/>
      <c r="N2390" s="261"/>
      <c r="O2390" s="261"/>
      <c r="P2390" s="261"/>
      <c r="Q2390" s="261"/>
      <c r="BR2390" s="261"/>
      <c r="BS2390" s="261"/>
      <c r="BT2390" s="261"/>
      <c r="BU2390" s="261"/>
      <c r="BV2390" s="261"/>
    </row>
    <row r="2391" spans="12:74">
      <c r="L2391" s="261"/>
      <c r="M2391" s="261"/>
      <c r="N2391" s="261"/>
      <c r="O2391" s="261"/>
      <c r="P2391" s="261"/>
      <c r="Q2391" s="261"/>
      <c r="BR2391" s="261"/>
      <c r="BS2391" s="261"/>
      <c r="BT2391" s="261"/>
      <c r="BU2391" s="261"/>
      <c r="BV2391" s="261"/>
    </row>
    <row r="2392" spans="12:74">
      <c r="L2392" s="261"/>
      <c r="M2392" s="261"/>
      <c r="N2392" s="261"/>
      <c r="O2392" s="261"/>
      <c r="P2392" s="261"/>
      <c r="Q2392" s="261"/>
      <c r="BR2392" s="261"/>
      <c r="BS2392" s="261"/>
      <c r="BT2392" s="261"/>
      <c r="BU2392" s="261"/>
      <c r="BV2392" s="261"/>
    </row>
    <row r="2393" spans="12:74">
      <c r="L2393" s="261"/>
      <c r="M2393" s="261"/>
      <c r="N2393" s="261"/>
      <c r="O2393" s="261"/>
      <c r="P2393" s="261"/>
      <c r="Q2393" s="261"/>
      <c r="BR2393" s="261"/>
      <c r="BS2393" s="261"/>
      <c r="BT2393" s="261"/>
      <c r="BU2393" s="261"/>
      <c r="BV2393" s="261"/>
    </row>
    <row r="2394" spans="12:74">
      <c r="L2394" s="261"/>
      <c r="M2394" s="261"/>
      <c r="N2394" s="261"/>
      <c r="O2394" s="261"/>
      <c r="P2394" s="261"/>
      <c r="Q2394" s="261"/>
      <c r="BR2394" s="261"/>
      <c r="BS2394" s="261"/>
      <c r="BT2394" s="261"/>
      <c r="BU2394" s="261"/>
      <c r="BV2394" s="261"/>
    </row>
    <row r="2395" spans="12:74">
      <c r="L2395" s="261"/>
      <c r="M2395" s="261"/>
      <c r="N2395" s="261"/>
      <c r="O2395" s="261"/>
      <c r="P2395" s="261"/>
      <c r="Q2395" s="261"/>
      <c r="BR2395" s="261"/>
      <c r="BS2395" s="261"/>
      <c r="BT2395" s="261"/>
      <c r="BU2395" s="261"/>
      <c r="BV2395" s="261"/>
    </row>
    <row r="2396" spans="12:74">
      <c r="L2396" s="261"/>
      <c r="M2396" s="261"/>
      <c r="N2396" s="261"/>
      <c r="O2396" s="261"/>
      <c r="P2396" s="261"/>
      <c r="Q2396" s="261"/>
      <c r="BR2396" s="261"/>
      <c r="BS2396" s="261"/>
      <c r="BT2396" s="261"/>
      <c r="BU2396" s="261"/>
      <c r="BV2396" s="261"/>
    </row>
    <row r="2397" spans="12:74">
      <c r="L2397" s="261"/>
      <c r="M2397" s="261"/>
      <c r="N2397" s="261"/>
      <c r="O2397" s="261"/>
      <c r="P2397" s="261"/>
      <c r="Q2397" s="261"/>
      <c r="BR2397" s="261"/>
      <c r="BS2397" s="261"/>
      <c r="BT2397" s="261"/>
      <c r="BU2397" s="261"/>
      <c r="BV2397" s="261"/>
    </row>
    <row r="2398" spans="12:74">
      <c r="L2398" s="261"/>
      <c r="M2398" s="261"/>
      <c r="N2398" s="261"/>
      <c r="O2398" s="261"/>
      <c r="P2398" s="261"/>
      <c r="Q2398" s="261"/>
      <c r="BR2398" s="261"/>
      <c r="BS2398" s="261"/>
      <c r="BT2398" s="261"/>
      <c r="BU2398" s="261"/>
      <c r="BV2398" s="261"/>
    </row>
    <row r="2399" spans="12:74">
      <c r="L2399" s="261"/>
      <c r="M2399" s="261"/>
      <c r="N2399" s="261"/>
      <c r="O2399" s="261"/>
      <c r="P2399" s="261"/>
      <c r="Q2399" s="261"/>
      <c r="BR2399" s="261"/>
      <c r="BS2399" s="261"/>
      <c r="BT2399" s="261"/>
      <c r="BU2399" s="261"/>
      <c r="BV2399" s="261"/>
    </row>
    <row r="2400" spans="12:74">
      <c r="L2400" s="261"/>
      <c r="M2400" s="261"/>
      <c r="N2400" s="261"/>
      <c r="O2400" s="261"/>
      <c r="P2400" s="261"/>
      <c r="Q2400" s="261"/>
      <c r="BR2400" s="261"/>
      <c r="BS2400" s="261"/>
      <c r="BT2400" s="261"/>
      <c r="BU2400" s="261"/>
      <c r="BV2400" s="261"/>
    </row>
    <row r="2401" spans="12:74">
      <c r="L2401" s="261"/>
      <c r="M2401" s="261"/>
      <c r="N2401" s="261"/>
      <c r="O2401" s="261"/>
      <c r="P2401" s="261"/>
      <c r="Q2401" s="261"/>
      <c r="BR2401" s="261"/>
      <c r="BS2401" s="261"/>
      <c r="BT2401" s="261"/>
      <c r="BU2401" s="261"/>
      <c r="BV2401" s="261"/>
    </row>
    <row r="2402" spans="12:74">
      <c r="L2402" s="261"/>
      <c r="M2402" s="261"/>
      <c r="N2402" s="261"/>
      <c r="O2402" s="261"/>
      <c r="P2402" s="261"/>
      <c r="Q2402" s="261"/>
      <c r="BR2402" s="261"/>
      <c r="BS2402" s="261"/>
      <c r="BT2402" s="261"/>
      <c r="BU2402" s="261"/>
      <c r="BV2402" s="261"/>
    </row>
    <row r="2403" spans="12:74">
      <c r="L2403" s="261"/>
      <c r="M2403" s="261"/>
      <c r="N2403" s="261"/>
      <c r="O2403" s="261"/>
      <c r="P2403" s="261"/>
      <c r="Q2403" s="261"/>
      <c r="BR2403" s="261"/>
      <c r="BS2403" s="261"/>
      <c r="BT2403" s="261"/>
      <c r="BU2403" s="261"/>
      <c r="BV2403" s="261"/>
    </row>
    <row r="2404" spans="12:74">
      <c r="L2404" s="261"/>
      <c r="M2404" s="261"/>
      <c r="N2404" s="261"/>
      <c r="O2404" s="261"/>
      <c r="P2404" s="261"/>
      <c r="Q2404" s="261"/>
      <c r="BR2404" s="261"/>
      <c r="BS2404" s="261"/>
      <c r="BT2404" s="261"/>
      <c r="BU2404" s="261"/>
      <c r="BV2404" s="261"/>
    </row>
    <row r="2405" spans="12:74">
      <c r="L2405" s="261"/>
      <c r="M2405" s="261"/>
      <c r="N2405" s="261"/>
      <c r="O2405" s="261"/>
      <c r="P2405" s="261"/>
      <c r="Q2405" s="261"/>
      <c r="BR2405" s="261"/>
      <c r="BS2405" s="261"/>
      <c r="BT2405" s="261"/>
      <c r="BU2405" s="261"/>
      <c r="BV2405" s="261"/>
    </row>
    <row r="2406" spans="12:74">
      <c r="L2406" s="261"/>
      <c r="M2406" s="261"/>
      <c r="N2406" s="261"/>
      <c r="O2406" s="261"/>
      <c r="P2406" s="261"/>
      <c r="Q2406" s="261"/>
      <c r="BR2406" s="261"/>
      <c r="BS2406" s="261"/>
      <c r="BT2406" s="261"/>
      <c r="BU2406" s="261"/>
      <c r="BV2406" s="261"/>
    </row>
    <row r="2407" spans="12:74">
      <c r="L2407" s="261"/>
      <c r="M2407" s="261"/>
      <c r="N2407" s="261"/>
      <c r="O2407" s="261"/>
      <c r="P2407" s="261"/>
      <c r="Q2407" s="261"/>
      <c r="BR2407" s="261"/>
      <c r="BS2407" s="261"/>
      <c r="BT2407" s="261"/>
      <c r="BU2407" s="261"/>
      <c r="BV2407" s="261"/>
    </row>
    <row r="2408" spans="12:74">
      <c r="L2408" s="261"/>
      <c r="M2408" s="261"/>
      <c r="N2408" s="261"/>
      <c r="O2408" s="261"/>
      <c r="P2408" s="261"/>
      <c r="Q2408" s="261"/>
      <c r="BR2408" s="261"/>
      <c r="BS2408" s="261"/>
      <c r="BT2408" s="261"/>
      <c r="BU2408" s="261"/>
      <c r="BV2408" s="261"/>
    </row>
    <row r="2409" spans="12:74">
      <c r="L2409" s="261"/>
      <c r="M2409" s="261"/>
      <c r="N2409" s="261"/>
      <c r="O2409" s="261"/>
      <c r="P2409" s="261"/>
      <c r="Q2409" s="261"/>
      <c r="BR2409" s="261"/>
      <c r="BS2409" s="261"/>
      <c r="BT2409" s="261"/>
      <c r="BU2409" s="261"/>
      <c r="BV2409" s="261"/>
    </row>
    <row r="2410" spans="12:74">
      <c r="L2410" s="261"/>
      <c r="M2410" s="261"/>
      <c r="N2410" s="261"/>
      <c r="O2410" s="261"/>
      <c r="P2410" s="261"/>
      <c r="Q2410" s="261"/>
      <c r="BR2410" s="261"/>
      <c r="BS2410" s="261"/>
      <c r="BT2410" s="261"/>
      <c r="BU2410" s="261"/>
      <c r="BV2410" s="261"/>
    </row>
    <row r="2411" spans="12:74">
      <c r="L2411" s="261"/>
      <c r="M2411" s="261"/>
      <c r="N2411" s="261"/>
      <c r="O2411" s="261"/>
      <c r="P2411" s="261"/>
      <c r="Q2411" s="261"/>
      <c r="BR2411" s="261"/>
      <c r="BS2411" s="261"/>
      <c r="BT2411" s="261"/>
      <c r="BU2411" s="261"/>
      <c r="BV2411" s="261"/>
    </row>
    <row r="2412" spans="12:74">
      <c r="L2412" s="261"/>
      <c r="M2412" s="261"/>
      <c r="N2412" s="261"/>
      <c r="O2412" s="261"/>
      <c r="P2412" s="261"/>
      <c r="Q2412" s="261"/>
      <c r="BR2412" s="261"/>
      <c r="BS2412" s="261"/>
      <c r="BT2412" s="261"/>
      <c r="BU2412" s="261"/>
      <c r="BV2412" s="261"/>
    </row>
    <row r="2413" spans="12:74">
      <c r="L2413" s="261"/>
      <c r="M2413" s="261"/>
      <c r="N2413" s="261"/>
      <c r="O2413" s="261"/>
      <c r="P2413" s="261"/>
      <c r="Q2413" s="261"/>
      <c r="BR2413" s="261"/>
      <c r="BS2413" s="261"/>
      <c r="BT2413" s="261"/>
      <c r="BU2413" s="261"/>
      <c r="BV2413" s="261"/>
    </row>
    <row r="2414" spans="12:74">
      <c r="L2414" s="261"/>
      <c r="M2414" s="261"/>
      <c r="N2414" s="261"/>
      <c r="O2414" s="261"/>
      <c r="P2414" s="261"/>
      <c r="Q2414" s="261"/>
      <c r="BR2414" s="261"/>
      <c r="BS2414" s="261"/>
      <c r="BT2414" s="261"/>
      <c r="BU2414" s="261"/>
      <c r="BV2414" s="261"/>
    </row>
    <row r="2415" spans="12:74">
      <c r="L2415" s="261"/>
      <c r="M2415" s="261"/>
      <c r="N2415" s="261"/>
      <c r="O2415" s="261"/>
      <c r="P2415" s="261"/>
      <c r="Q2415" s="261"/>
      <c r="BR2415" s="261"/>
      <c r="BS2415" s="261"/>
      <c r="BT2415" s="261"/>
      <c r="BU2415" s="261"/>
      <c r="BV2415" s="261"/>
    </row>
    <row r="2416" spans="12:74">
      <c r="L2416" s="261"/>
      <c r="M2416" s="261"/>
      <c r="N2416" s="261"/>
      <c r="O2416" s="261"/>
      <c r="P2416" s="261"/>
      <c r="Q2416" s="261"/>
      <c r="BR2416" s="261"/>
      <c r="BS2416" s="261"/>
      <c r="BT2416" s="261"/>
      <c r="BU2416" s="261"/>
      <c r="BV2416" s="261"/>
    </row>
    <row r="2417" spans="12:74">
      <c r="L2417" s="261"/>
      <c r="M2417" s="261"/>
      <c r="N2417" s="261"/>
      <c r="O2417" s="261"/>
      <c r="P2417" s="261"/>
      <c r="Q2417" s="261"/>
      <c r="BR2417" s="261"/>
      <c r="BS2417" s="261"/>
      <c r="BT2417" s="261"/>
      <c r="BU2417" s="261"/>
      <c r="BV2417" s="261"/>
    </row>
    <row r="2418" spans="12:74">
      <c r="L2418" s="261"/>
      <c r="M2418" s="261"/>
      <c r="N2418" s="261"/>
      <c r="O2418" s="261"/>
      <c r="P2418" s="261"/>
      <c r="Q2418" s="261"/>
      <c r="BR2418" s="261"/>
      <c r="BS2418" s="261"/>
      <c r="BT2418" s="261"/>
      <c r="BU2418" s="261"/>
      <c r="BV2418" s="261"/>
    </row>
    <row r="2419" spans="12:74">
      <c r="L2419" s="261"/>
      <c r="M2419" s="261"/>
      <c r="N2419" s="261"/>
      <c r="O2419" s="261"/>
      <c r="P2419" s="261"/>
      <c r="Q2419" s="261"/>
      <c r="BR2419" s="261"/>
      <c r="BS2419" s="261"/>
      <c r="BT2419" s="261"/>
      <c r="BU2419" s="261"/>
      <c r="BV2419" s="261"/>
    </row>
    <row r="2420" spans="12:74">
      <c r="L2420" s="261"/>
      <c r="M2420" s="261"/>
      <c r="N2420" s="261"/>
      <c r="O2420" s="261"/>
      <c r="P2420" s="261"/>
      <c r="Q2420" s="261"/>
      <c r="BR2420" s="261"/>
      <c r="BS2420" s="261"/>
      <c r="BT2420" s="261"/>
      <c r="BU2420" s="261"/>
      <c r="BV2420" s="261"/>
    </row>
    <row r="2421" spans="12:74">
      <c r="L2421" s="261"/>
      <c r="M2421" s="261"/>
      <c r="N2421" s="261"/>
      <c r="O2421" s="261"/>
      <c r="P2421" s="261"/>
      <c r="Q2421" s="261"/>
      <c r="BR2421" s="261"/>
      <c r="BS2421" s="261"/>
      <c r="BT2421" s="261"/>
      <c r="BU2421" s="261"/>
      <c r="BV2421" s="261"/>
    </row>
    <row r="2422" spans="12:74">
      <c r="L2422" s="261"/>
      <c r="M2422" s="261"/>
      <c r="N2422" s="261"/>
      <c r="O2422" s="261"/>
      <c r="P2422" s="261"/>
      <c r="Q2422" s="261"/>
      <c r="BR2422" s="261"/>
      <c r="BS2422" s="261"/>
      <c r="BT2422" s="261"/>
      <c r="BU2422" s="261"/>
      <c r="BV2422" s="261"/>
    </row>
    <row r="2423" spans="12:74">
      <c r="L2423" s="261"/>
      <c r="M2423" s="261"/>
      <c r="N2423" s="261"/>
      <c r="O2423" s="261"/>
      <c r="P2423" s="261"/>
      <c r="Q2423" s="261"/>
      <c r="BR2423" s="261"/>
      <c r="BS2423" s="261"/>
      <c r="BT2423" s="261"/>
      <c r="BU2423" s="261"/>
      <c r="BV2423" s="261"/>
    </row>
    <row r="2424" spans="12:74">
      <c r="L2424" s="261"/>
      <c r="M2424" s="261"/>
      <c r="N2424" s="261"/>
      <c r="O2424" s="261"/>
      <c r="P2424" s="261"/>
      <c r="Q2424" s="261"/>
      <c r="BR2424" s="261"/>
      <c r="BS2424" s="261"/>
      <c r="BT2424" s="261"/>
      <c r="BU2424" s="261"/>
      <c r="BV2424" s="261"/>
    </row>
    <row r="2425" spans="12:74">
      <c r="L2425" s="261"/>
      <c r="M2425" s="261"/>
      <c r="N2425" s="261"/>
      <c r="O2425" s="261"/>
      <c r="P2425" s="261"/>
      <c r="Q2425" s="261"/>
      <c r="BR2425" s="261"/>
      <c r="BS2425" s="261"/>
      <c r="BT2425" s="261"/>
      <c r="BU2425" s="261"/>
      <c r="BV2425" s="261"/>
    </row>
    <row r="2426" spans="12:74">
      <c r="L2426" s="261"/>
      <c r="M2426" s="261"/>
      <c r="N2426" s="261"/>
      <c r="O2426" s="261"/>
      <c r="P2426" s="261"/>
      <c r="Q2426" s="261"/>
      <c r="BR2426" s="261"/>
      <c r="BS2426" s="261"/>
      <c r="BT2426" s="261"/>
      <c r="BU2426" s="261"/>
      <c r="BV2426" s="261"/>
    </row>
    <row r="2427" spans="12:74">
      <c r="L2427" s="261"/>
      <c r="M2427" s="261"/>
      <c r="N2427" s="261"/>
      <c r="O2427" s="261"/>
      <c r="P2427" s="261"/>
      <c r="Q2427" s="261"/>
      <c r="BR2427" s="261"/>
      <c r="BS2427" s="261"/>
      <c r="BT2427" s="261"/>
      <c r="BU2427" s="261"/>
      <c r="BV2427" s="261"/>
    </row>
    <row r="2428" spans="12:74">
      <c r="L2428" s="261"/>
      <c r="M2428" s="261"/>
      <c r="N2428" s="261"/>
      <c r="O2428" s="261"/>
      <c r="P2428" s="261"/>
      <c r="Q2428" s="261"/>
      <c r="BR2428" s="261"/>
      <c r="BS2428" s="261"/>
      <c r="BT2428" s="261"/>
      <c r="BU2428" s="261"/>
      <c r="BV2428" s="261"/>
    </row>
    <row r="2429" spans="12:74">
      <c r="L2429" s="261"/>
      <c r="M2429" s="261"/>
      <c r="N2429" s="261"/>
      <c r="O2429" s="261"/>
      <c r="P2429" s="261"/>
      <c r="Q2429" s="261"/>
      <c r="BR2429" s="261"/>
      <c r="BS2429" s="261"/>
      <c r="BT2429" s="261"/>
      <c r="BU2429" s="261"/>
      <c r="BV2429" s="261"/>
    </row>
    <row r="2430" spans="12:74">
      <c r="L2430" s="261"/>
      <c r="M2430" s="261"/>
      <c r="N2430" s="261"/>
      <c r="O2430" s="261"/>
      <c r="P2430" s="261"/>
      <c r="Q2430" s="261"/>
      <c r="BR2430" s="261"/>
      <c r="BS2430" s="261"/>
      <c r="BT2430" s="261"/>
      <c r="BU2430" s="261"/>
      <c r="BV2430" s="261"/>
    </row>
    <row r="2431" spans="12:74">
      <c r="L2431" s="261"/>
      <c r="M2431" s="261"/>
      <c r="N2431" s="261"/>
      <c r="O2431" s="261"/>
      <c r="P2431" s="261"/>
      <c r="Q2431" s="261"/>
      <c r="BR2431" s="261"/>
      <c r="BS2431" s="261"/>
      <c r="BT2431" s="261"/>
      <c r="BU2431" s="261"/>
      <c r="BV2431" s="261"/>
    </row>
    <row r="2432" spans="12:74">
      <c r="L2432" s="261"/>
      <c r="M2432" s="261"/>
      <c r="N2432" s="261"/>
      <c r="O2432" s="261"/>
      <c r="P2432" s="261"/>
      <c r="Q2432" s="261"/>
      <c r="BR2432" s="261"/>
      <c r="BS2432" s="261"/>
      <c r="BT2432" s="261"/>
      <c r="BU2432" s="261"/>
      <c r="BV2432" s="261"/>
    </row>
    <row r="2433" spans="12:74">
      <c r="L2433" s="261"/>
      <c r="M2433" s="261"/>
      <c r="N2433" s="261"/>
      <c r="O2433" s="261"/>
      <c r="P2433" s="261"/>
      <c r="Q2433" s="261"/>
      <c r="BR2433" s="261"/>
      <c r="BS2433" s="261"/>
      <c r="BT2433" s="261"/>
      <c r="BU2433" s="261"/>
      <c r="BV2433" s="261"/>
    </row>
    <row r="2434" spans="12:74">
      <c r="L2434" s="261"/>
      <c r="M2434" s="261"/>
      <c r="N2434" s="261"/>
      <c r="O2434" s="261"/>
      <c r="P2434" s="261"/>
      <c r="Q2434" s="261"/>
      <c r="BR2434" s="261"/>
      <c r="BS2434" s="261"/>
      <c r="BT2434" s="261"/>
      <c r="BU2434" s="261"/>
      <c r="BV2434" s="261"/>
    </row>
    <row r="2435" spans="12:74">
      <c r="L2435" s="261"/>
      <c r="M2435" s="261"/>
      <c r="N2435" s="261"/>
      <c r="O2435" s="261"/>
      <c r="P2435" s="261"/>
      <c r="Q2435" s="261"/>
      <c r="BR2435" s="261"/>
      <c r="BS2435" s="261"/>
      <c r="BT2435" s="261"/>
      <c r="BU2435" s="261"/>
      <c r="BV2435" s="261"/>
    </row>
    <row r="2436" spans="12:74">
      <c r="L2436" s="261"/>
      <c r="M2436" s="261"/>
      <c r="N2436" s="261"/>
      <c r="O2436" s="261"/>
      <c r="P2436" s="261"/>
      <c r="Q2436" s="261"/>
      <c r="BR2436" s="261"/>
      <c r="BS2436" s="261"/>
      <c r="BT2436" s="261"/>
      <c r="BU2436" s="261"/>
      <c r="BV2436" s="261"/>
    </row>
    <row r="2437" spans="12:74">
      <c r="L2437" s="261"/>
      <c r="M2437" s="261"/>
      <c r="N2437" s="261"/>
      <c r="O2437" s="261"/>
      <c r="P2437" s="261"/>
      <c r="Q2437" s="261"/>
      <c r="BR2437" s="261"/>
      <c r="BS2437" s="261"/>
      <c r="BT2437" s="261"/>
      <c r="BU2437" s="261"/>
      <c r="BV2437" s="261"/>
    </row>
    <row r="2438" spans="12:74">
      <c r="L2438" s="261"/>
      <c r="M2438" s="261"/>
      <c r="N2438" s="261"/>
      <c r="O2438" s="261"/>
      <c r="P2438" s="261"/>
      <c r="Q2438" s="261"/>
      <c r="BR2438" s="261"/>
      <c r="BS2438" s="261"/>
      <c r="BT2438" s="261"/>
      <c r="BU2438" s="261"/>
      <c r="BV2438" s="261"/>
    </row>
    <row r="2439" spans="12:74">
      <c r="L2439" s="261"/>
      <c r="M2439" s="261"/>
      <c r="N2439" s="261"/>
      <c r="O2439" s="261"/>
      <c r="P2439" s="261"/>
      <c r="Q2439" s="261"/>
      <c r="BR2439" s="261"/>
      <c r="BS2439" s="261"/>
      <c r="BT2439" s="261"/>
      <c r="BU2439" s="261"/>
      <c r="BV2439" s="261"/>
    </row>
    <row r="2440" spans="12:74">
      <c r="L2440" s="261"/>
      <c r="M2440" s="261"/>
      <c r="N2440" s="261"/>
      <c r="O2440" s="261"/>
      <c r="P2440" s="261"/>
      <c r="Q2440" s="261"/>
      <c r="BR2440" s="261"/>
      <c r="BS2440" s="261"/>
      <c r="BT2440" s="261"/>
      <c r="BU2440" s="261"/>
      <c r="BV2440" s="261"/>
    </row>
    <row r="2441" spans="12:74">
      <c r="L2441" s="261"/>
      <c r="M2441" s="261"/>
      <c r="N2441" s="261"/>
      <c r="O2441" s="261"/>
      <c r="P2441" s="261"/>
      <c r="Q2441" s="261"/>
      <c r="BR2441" s="261"/>
      <c r="BS2441" s="261"/>
      <c r="BT2441" s="261"/>
      <c r="BU2441" s="261"/>
      <c r="BV2441" s="261"/>
    </row>
    <row r="2442" spans="12:74">
      <c r="L2442" s="261"/>
      <c r="M2442" s="261"/>
      <c r="N2442" s="261"/>
      <c r="O2442" s="261"/>
      <c r="P2442" s="261"/>
      <c r="Q2442" s="261"/>
      <c r="BR2442" s="261"/>
      <c r="BS2442" s="261"/>
      <c r="BT2442" s="261"/>
      <c r="BU2442" s="261"/>
      <c r="BV2442" s="261"/>
    </row>
    <row r="2443" spans="12:74">
      <c r="L2443" s="261"/>
      <c r="M2443" s="261"/>
      <c r="N2443" s="261"/>
      <c r="O2443" s="261"/>
      <c r="P2443" s="261"/>
      <c r="Q2443" s="261"/>
      <c r="BR2443" s="261"/>
      <c r="BS2443" s="261"/>
      <c r="BT2443" s="261"/>
      <c r="BU2443" s="261"/>
      <c r="BV2443" s="261"/>
    </row>
    <row r="2444" spans="12:74">
      <c r="L2444" s="261"/>
      <c r="M2444" s="261"/>
      <c r="N2444" s="261"/>
      <c r="O2444" s="261"/>
      <c r="P2444" s="261"/>
      <c r="Q2444" s="261"/>
      <c r="BR2444" s="261"/>
      <c r="BS2444" s="261"/>
      <c r="BT2444" s="261"/>
      <c r="BU2444" s="261"/>
      <c r="BV2444" s="261"/>
    </row>
    <row r="2445" spans="12:74">
      <c r="L2445" s="261"/>
      <c r="M2445" s="261"/>
      <c r="N2445" s="261"/>
      <c r="O2445" s="261"/>
      <c r="P2445" s="261"/>
      <c r="Q2445" s="261"/>
      <c r="BR2445" s="261"/>
      <c r="BS2445" s="261"/>
      <c r="BT2445" s="261"/>
      <c r="BU2445" s="261"/>
      <c r="BV2445" s="261"/>
    </row>
    <row r="2446" spans="12:74">
      <c r="L2446" s="261"/>
      <c r="M2446" s="261"/>
      <c r="N2446" s="261"/>
      <c r="O2446" s="261"/>
      <c r="P2446" s="261"/>
      <c r="Q2446" s="261"/>
      <c r="BR2446" s="261"/>
      <c r="BS2446" s="261"/>
      <c r="BT2446" s="261"/>
      <c r="BU2446" s="261"/>
      <c r="BV2446" s="261"/>
    </row>
    <row r="2447" spans="12:74">
      <c r="L2447" s="261"/>
      <c r="M2447" s="261"/>
      <c r="N2447" s="261"/>
      <c r="O2447" s="261"/>
      <c r="P2447" s="261"/>
      <c r="Q2447" s="261"/>
      <c r="BR2447" s="261"/>
      <c r="BS2447" s="261"/>
      <c r="BT2447" s="261"/>
      <c r="BU2447" s="261"/>
      <c r="BV2447" s="261"/>
    </row>
    <row r="2448" spans="12:74">
      <c r="L2448" s="261"/>
      <c r="M2448" s="261"/>
      <c r="N2448" s="261"/>
      <c r="O2448" s="261"/>
      <c r="P2448" s="261"/>
      <c r="Q2448" s="261"/>
      <c r="BR2448" s="261"/>
      <c r="BS2448" s="261"/>
      <c r="BT2448" s="261"/>
      <c r="BU2448" s="261"/>
      <c r="BV2448" s="261"/>
    </row>
    <row r="2449" spans="12:74">
      <c r="L2449" s="261"/>
      <c r="M2449" s="261"/>
      <c r="N2449" s="261"/>
      <c r="O2449" s="261"/>
      <c r="P2449" s="261"/>
      <c r="Q2449" s="261"/>
      <c r="BR2449" s="261"/>
      <c r="BS2449" s="261"/>
      <c r="BT2449" s="261"/>
      <c r="BU2449" s="261"/>
      <c r="BV2449" s="261"/>
    </row>
    <row r="2450" spans="12:74">
      <c r="L2450" s="261"/>
      <c r="M2450" s="261"/>
      <c r="N2450" s="261"/>
      <c r="O2450" s="261"/>
      <c r="P2450" s="261"/>
      <c r="Q2450" s="261"/>
      <c r="BR2450" s="261"/>
      <c r="BS2450" s="261"/>
      <c r="BT2450" s="261"/>
      <c r="BU2450" s="261"/>
      <c r="BV2450" s="261"/>
    </row>
    <row r="2451" spans="12:74">
      <c r="L2451" s="261"/>
      <c r="M2451" s="261"/>
      <c r="N2451" s="261"/>
      <c r="O2451" s="261"/>
      <c r="P2451" s="261"/>
      <c r="Q2451" s="261"/>
      <c r="BR2451" s="261"/>
      <c r="BS2451" s="261"/>
      <c r="BT2451" s="261"/>
      <c r="BU2451" s="261"/>
      <c r="BV2451" s="261"/>
    </row>
    <row r="2452" spans="12:74">
      <c r="L2452" s="261"/>
      <c r="M2452" s="261"/>
      <c r="N2452" s="261"/>
      <c r="O2452" s="261"/>
      <c r="P2452" s="261"/>
      <c r="Q2452" s="261"/>
      <c r="BR2452" s="261"/>
      <c r="BS2452" s="261"/>
      <c r="BT2452" s="261"/>
      <c r="BU2452" s="261"/>
      <c r="BV2452" s="261"/>
    </row>
    <row r="2453" spans="12:74">
      <c r="L2453" s="261"/>
      <c r="M2453" s="261"/>
      <c r="N2453" s="261"/>
      <c r="O2453" s="261"/>
      <c r="P2453" s="261"/>
      <c r="Q2453" s="261"/>
      <c r="BR2453" s="261"/>
      <c r="BS2453" s="261"/>
      <c r="BT2453" s="261"/>
      <c r="BU2453" s="261"/>
      <c r="BV2453" s="261"/>
    </row>
    <row r="2454" spans="12:74">
      <c r="L2454" s="261"/>
      <c r="M2454" s="261"/>
      <c r="N2454" s="261"/>
      <c r="O2454" s="261"/>
      <c r="P2454" s="261"/>
      <c r="Q2454" s="261"/>
      <c r="BR2454" s="261"/>
      <c r="BS2454" s="261"/>
      <c r="BT2454" s="261"/>
      <c r="BU2454" s="261"/>
      <c r="BV2454" s="261"/>
    </row>
    <row r="2455" spans="12:74">
      <c r="L2455" s="261"/>
      <c r="M2455" s="261"/>
      <c r="N2455" s="261"/>
      <c r="O2455" s="261"/>
      <c r="P2455" s="261"/>
      <c r="Q2455" s="261"/>
      <c r="BR2455" s="261"/>
      <c r="BS2455" s="261"/>
      <c r="BT2455" s="261"/>
      <c r="BU2455" s="261"/>
      <c r="BV2455" s="261"/>
    </row>
    <row r="2456" spans="12:74">
      <c r="L2456" s="261"/>
      <c r="M2456" s="261"/>
      <c r="N2456" s="261"/>
      <c r="O2456" s="261"/>
      <c r="P2456" s="261"/>
      <c r="Q2456" s="261"/>
      <c r="BR2456" s="261"/>
      <c r="BS2456" s="261"/>
      <c r="BT2456" s="261"/>
      <c r="BU2456" s="261"/>
      <c r="BV2456" s="261"/>
    </row>
    <row r="2457" spans="12:74">
      <c r="L2457" s="261"/>
      <c r="M2457" s="261"/>
      <c r="N2457" s="261"/>
      <c r="O2457" s="261"/>
      <c r="P2457" s="261"/>
      <c r="Q2457" s="261"/>
      <c r="BR2457" s="261"/>
      <c r="BS2457" s="261"/>
      <c r="BT2457" s="261"/>
      <c r="BU2457" s="261"/>
      <c r="BV2457" s="261"/>
    </row>
    <row r="2458" spans="12:74">
      <c r="L2458" s="261"/>
      <c r="M2458" s="261"/>
      <c r="N2458" s="261"/>
      <c r="O2458" s="261"/>
      <c r="P2458" s="261"/>
      <c r="Q2458" s="261"/>
      <c r="BR2458" s="261"/>
      <c r="BS2458" s="261"/>
      <c r="BT2458" s="261"/>
      <c r="BU2458" s="261"/>
      <c r="BV2458" s="261"/>
    </row>
    <row r="2459" spans="12:74">
      <c r="L2459" s="261"/>
      <c r="M2459" s="261"/>
      <c r="N2459" s="261"/>
      <c r="O2459" s="261"/>
      <c r="P2459" s="261"/>
      <c r="Q2459" s="261"/>
      <c r="BR2459" s="261"/>
      <c r="BS2459" s="261"/>
      <c r="BT2459" s="261"/>
      <c r="BU2459" s="261"/>
      <c r="BV2459" s="261"/>
    </row>
    <row r="2460" spans="12:74">
      <c r="L2460" s="261"/>
      <c r="M2460" s="261"/>
      <c r="N2460" s="261"/>
      <c r="O2460" s="261"/>
      <c r="P2460" s="261"/>
      <c r="Q2460" s="261"/>
      <c r="BR2460" s="261"/>
      <c r="BS2460" s="261"/>
      <c r="BT2460" s="261"/>
      <c r="BU2460" s="261"/>
      <c r="BV2460" s="261"/>
    </row>
    <row r="2461" spans="12:74">
      <c r="L2461" s="261"/>
      <c r="M2461" s="261"/>
      <c r="N2461" s="261"/>
      <c r="O2461" s="261"/>
      <c r="P2461" s="261"/>
      <c r="Q2461" s="261"/>
      <c r="BR2461" s="261"/>
      <c r="BS2461" s="261"/>
      <c r="BT2461" s="261"/>
      <c r="BU2461" s="261"/>
      <c r="BV2461" s="261"/>
    </row>
    <row r="2462" spans="12:74">
      <c r="L2462" s="261"/>
      <c r="M2462" s="261"/>
      <c r="N2462" s="261"/>
      <c r="O2462" s="261"/>
      <c r="P2462" s="261"/>
      <c r="Q2462" s="261"/>
      <c r="BR2462" s="261"/>
      <c r="BS2462" s="261"/>
      <c r="BT2462" s="261"/>
      <c r="BU2462" s="261"/>
      <c r="BV2462" s="261"/>
    </row>
    <row r="2463" spans="12:74">
      <c r="L2463" s="261"/>
      <c r="M2463" s="261"/>
      <c r="N2463" s="261"/>
      <c r="O2463" s="261"/>
      <c r="P2463" s="261"/>
      <c r="Q2463" s="261"/>
      <c r="BR2463" s="261"/>
      <c r="BS2463" s="261"/>
      <c r="BT2463" s="261"/>
      <c r="BU2463" s="261"/>
      <c r="BV2463" s="261"/>
    </row>
    <row r="2464" spans="12:74">
      <c r="L2464" s="261"/>
      <c r="M2464" s="261"/>
      <c r="N2464" s="261"/>
      <c r="O2464" s="261"/>
      <c r="P2464" s="261"/>
      <c r="Q2464" s="261"/>
      <c r="BR2464" s="261"/>
      <c r="BS2464" s="261"/>
      <c r="BT2464" s="261"/>
      <c r="BU2464" s="261"/>
      <c r="BV2464" s="261"/>
    </row>
    <row r="2465" spans="12:74">
      <c r="L2465" s="261"/>
      <c r="M2465" s="261"/>
      <c r="N2465" s="261"/>
      <c r="O2465" s="261"/>
      <c r="P2465" s="261"/>
      <c r="Q2465" s="261"/>
      <c r="BR2465" s="261"/>
      <c r="BS2465" s="261"/>
      <c r="BT2465" s="261"/>
      <c r="BU2465" s="261"/>
      <c r="BV2465" s="261"/>
    </row>
    <row r="2466" spans="12:74">
      <c r="L2466" s="261"/>
      <c r="M2466" s="261"/>
      <c r="N2466" s="261"/>
      <c r="O2466" s="261"/>
      <c r="P2466" s="261"/>
      <c r="Q2466" s="261"/>
      <c r="BR2466" s="261"/>
      <c r="BS2466" s="261"/>
      <c r="BT2466" s="261"/>
      <c r="BU2466" s="261"/>
      <c r="BV2466" s="261"/>
    </row>
    <row r="2467" spans="12:74">
      <c r="L2467" s="261"/>
      <c r="M2467" s="261"/>
      <c r="N2467" s="261"/>
      <c r="O2467" s="261"/>
      <c r="P2467" s="261"/>
      <c r="Q2467" s="261"/>
      <c r="BR2467" s="261"/>
      <c r="BS2467" s="261"/>
      <c r="BT2467" s="261"/>
      <c r="BU2467" s="261"/>
      <c r="BV2467" s="261"/>
    </row>
    <row r="2468" spans="12:74">
      <c r="L2468" s="261"/>
      <c r="M2468" s="261"/>
      <c r="N2468" s="261"/>
      <c r="O2468" s="261"/>
      <c r="P2468" s="261"/>
      <c r="Q2468" s="261"/>
      <c r="BR2468" s="261"/>
      <c r="BS2468" s="261"/>
      <c r="BT2468" s="261"/>
      <c r="BU2468" s="261"/>
      <c r="BV2468" s="261"/>
    </row>
    <row r="2469" spans="12:74">
      <c r="L2469" s="261"/>
      <c r="M2469" s="261"/>
      <c r="N2469" s="261"/>
      <c r="O2469" s="261"/>
      <c r="P2469" s="261"/>
      <c r="Q2469" s="261"/>
      <c r="BR2469" s="261"/>
      <c r="BS2469" s="261"/>
      <c r="BT2469" s="261"/>
      <c r="BU2469" s="261"/>
      <c r="BV2469" s="261"/>
    </row>
    <row r="2470" spans="12:74">
      <c r="L2470" s="261"/>
      <c r="M2470" s="261"/>
      <c r="N2470" s="261"/>
      <c r="O2470" s="261"/>
      <c r="P2470" s="261"/>
      <c r="Q2470" s="261"/>
      <c r="BR2470" s="261"/>
      <c r="BS2470" s="261"/>
      <c r="BT2470" s="261"/>
      <c r="BU2470" s="261"/>
      <c r="BV2470" s="261"/>
    </row>
    <row r="2471" spans="12:74">
      <c r="L2471" s="261"/>
      <c r="M2471" s="261"/>
      <c r="N2471" s="261"/>
      <c r="O2471" s="261"/>
      <c r="P2471" s="261"/>
      <c r="Q2471" s="261"/>
      <c r="BR2471" s="261"/>
      <c r="BS2471" s="261"/>
      <c r="BT2471" s="261"/>
      <c r="BU2471" s="261"/>
      <c r="BV2471" s="261"/>
    </row>
    <row r="2472" spans="12:74">
      <c r="L2472" s="261"/>
      <c r="M2472" s="261"/>
      <c r="N2472" s="261"/>
      <c r="O2472" s="261"/>
      <c r="P2472" s="261"/>
      <c r="Q2472" s="261"/>
      <c r="BR2472" s="261"/>
      <c r="BS2472" s="261"/>
      <c r="BT2472" s="261"/>
      <c r="BU2472" s="261"/>
      <c r="BV2472" s="261"/>
    </row>
    <row r="2473" spans="12:74">
      <c r="L2473" s="261"/>
      <c r="M2473" s="261"/>
      <c r="N2473" s="261"/>
      <c r="O2473" s="261"/>
      <c r="P2473" s="261"/>
      <c r="Q2473" s="261"/>
      <c r="BR2473" s="261"/>
      <c r="BS2473" s="261"/>
      <c r="BT2473" s="261"/>
      <c r="BU2473" s="261"/>
      <c r="BV2473" s="261"/>
    </row>
    <row r="2474" spans="12:74">
      <c r="L2474" s="261"/>
      <c r="M2474" s="261"/>
      <c r="N2474" s="261"/>
      <c r="O2474" s="261"/>
      <c r="P2474" s="261"/>
      <c r="Q2474" s="261"/>
      <c r="BR2474" s="261"/>
      <c r="BS2474" s="261"/>
      <c r="BT2474" s="261"/>
      <c r="BU2474" s="261"/>
      <c r="BV2474" s="261"/>
    </row>
    <row r="2475" spans="12:74">
      <c r="L2475" s="261"/>
      <c r="M2475" s="261"/>
      <c r="N2475" s="261"/>
      <c r="O2475" s="261"/>
      <c r="P2475" s="261"/>
      <c r="Q2475" s="261"/>
      <c r="BR2475" s="261"/>
      <c r="BS2475" s="261"/>
      <c r="BT2475" s="261"/>
      <c r="BU2475" s="261"/>
      <c r="BV2475" s="261"/>
    </row>
    <row r="2476" spans="12:74">
      <c r="L2476" s="261"/>
      <c r="M2476" s="261"/>
      <c r="N2476" s="261"/>
      <c r="O2476" s="261"/>
      <c r="P2476" s="261"/>
      <c r="Q2476" s="261"/>
      <c r="BR2476" s="261"/>
      <c r="BS2476" s="261"/>
      <c r="BT2476" s="261"/>
      <c r="BU2476" s="261"/>
      <c r="BV2476" s="261"/>
    </row>
    <row r="2477" spans="12:74">
      <c r="L2477" s="261"/>
      <c r="M2477" s="261"/>
      <c r="N2477" s="261"/>
      <c r="O2477" s="261"/>
      <c r="P2477" s="261"/>
      <c r="Q2477" s="261"/>
      <c r="BR2477" s="261"/>
      <c r="BS2477" s="261"/>
      <c r="BT2477" s="261"/>
      <c r="BU2477" s="261"/>
      <c r="BV2477" s="261"/>
    </row>
    <row r="2478" spans="12:74">
      <c r="L2478" s="261"/>
      <c r="M2478" s="261"/>
      <c r="N2478" s="261"/>
      <c r="O2478" s="261"/>
      <c r="P2478" s="261"/>
      <c r="Q2478" s="261"/>
      <c r="BR2478" s="261"/>
      <c r="BS2478" s="261"/>
      <c r="BT2478" s="261"/>
      <c r="BU2478" s="261"/>
      <c r="BV2478" s="261"/>
    </row>
    <row r="2479" spans="12:74">
      <c r="L2479" s="261"/>
      <c r="M2479" s="261"/>
      <c r="N2479" s="261"/>
      <c r="O2479" s="261"/>
      <c r="P2479" s="261"/>
      <c r="Q2479" s="261"/>
      <c r="BR2479" s="261"/>
      <c r="BS2479" s="261"/>
      <c r="BT2479" s="261"/>
      <c r="BU2479" s="261"/>
      <c r="BV2479" s="261"/>
    </row>
    <row r="2480" spans="12:74">
      <c r="L2480" s="261"/>
      <c r="M2480" s="261"/>
      <c r="N2480" s="261"/>
      <c r="O2480" s="261"/>
      <c r="P2480" s="261"/>
      <c r="Q2480" s="261"/>
      <c r="BR2480" s="261"/>
      <c r="BS2480" s="261"/>
      <c r="BT2480" s="261"/>
      <c r="BU2480" s="261"/>
      <c r="BV2480" s="261"/>
    </row>
    <row r="2481" spans="12:74">
      <c r="L2481" s="261"/>
      <c r="M2481" s="261"/>
      <c r="N2481" s="261"/>
      <c r="O2481" s="261"/>
      <c r="P2481" s="261"/>
      <c r="Q2481" s="261"/>
      <c r="BR2481" s="261"/>
      <c r="BS2481" s="261"/>
      <c r="BT2481" s="261"/>
      <c r="BU2481" s="261"/>
      <c r="BV2481" s="261"/>
    </row>
    <row r="2482" spans="12:74">
      <c r="L2482" s="261"/>
      <c r="M2482" s="261"/>
      <c r="N2482" s="261"/>
      <c r="O2482" s="261"/>
      <c r="P2482" s="261"/>
      <c r="Q2482" s="261"/>
      <c r="BR2482" s="261"/>
      <c r="BS2482" s="261"/>
      <c r="BT2482" s="261"/>
      <c r="BU2482" s="261"/>
      <c r="BV2482" s="261"/>
    </row>
    <row r="2483" spans="12:74">
      <c r="L2483" s="261"/>
      <c r="M2483" s="261"/>
      <c r="N2483" s="261"/>
      <c r="O2483" s="261"/>
      <c r="P2483" s="261"/>
      <c r="Q2483" s="261"/>
      <c r="BR2483" s="261"/>
      <c r="BS2483" s="261"/>
      <c r="BT2483" s="261"/>
      <c r="BU2483" s="261"/>
      <c r="BV2483" s="261"/>
    </row>
    <row r="2484" spans="12:74">
      <c r="L2484" s="261"/>
      <c r="M2484" s="261"/>
      <c r="N2484" s="261"/>
      <c r="O2484" s="261"/>
      <c r="P2484" s="261"/>
      <c r="Q2484" s="261"/>
      <c r="BR2484" s="261"/>
      <c r="BS2484" s="261"/>
      <c r="BT2484" s="261"/>
      <c r="BU2484" s="261"/>
      <c r="BV2484" s="261"/>
    </row>
    <row r="2485" spans="12:74">
      <c r="L2485" s="261"/>
      <c r="M2485" s="261"/>
      <c r="N2485" s="261"/>
      <c r="O2485" s="261"/>
      <c r="P2485" s="261"/>
      <c r="Q2485" s="261"/>
      <c r="BR2485" s="261"/>
      <c r="BS2485" s="261"/>
      <c r="BT2485" s="261"/>
      <c r="BU2485" s="261"/>
      <c r="BV2485" s="261"/>
    </row>
    <row r="2486" spans="12:74">
      <c r="L2486" s="261"/>
      <c r="M2486" s="261"/>
      <c r="N2486" s="261"/>
      <c r="O2486" s="261"/>
      <c r="P2486" s="261"/>
      <c r="Q2486" s="261"/>
      <c r="BR2486" s="261"/>
      <c r="BS2486" s="261"/>
      <c r="BT2486" s="261"/>
      <c r="BU2486" s="261"/>
      <c r="BV2486" s="261"/>
    </row>
    <row r="2487" spans="12:74">
      <c r="L2487" s="261"/>
      <c r="M2487" s="261"/>
      <c r="N2487" s="261"/>
      <c r="O2487" s="261"/>
      <c r="P2487" s="261"/>
      <c r="Q2487" s="261"/>
      <c r="BR2487" s="261"/>
      <c r="BS2487" s="261"/>
      <c r="BT2487" s="261"/>
      <c r="BU2487" s="261"/>
      <c r="BV2487" s="261"/>
    </row>
    <row r="2488" spans="12:74">
      <c r="L2488" s="261"/>
      <c r="M2488" s="261"/>
      <c r="N2488" s="261"/>
      <c r="O2488" s="261"/>
      <c r="P2488" s="261"/>
      <c r="Q2488" s="261"/>
      <c r="BR2488" s="261"/>
      <c r="BS2488" s="261"/>
      <c r="BT2488" s="261"/>
      <c r="BU2488" s="261"/>
      <c r="BV2488" s="261"/>
    </row>
    <row r="2489" spans="12:74">
      <c r="L2489" s="261"/>
      <c r="M2489" s="261"/>
      <c r="N2489" s="261"/>
      <c r="O2489" s="261"/>
      <c r="P2489" s="261"/>
      <c r="Q2489" s="261"/>
      <c r="BR2489" s="261"/>
      <c r="BS2489" s="261"/>
      <c r="BT2489" s="261"/>
      <c r="BU2489" s="261"/>
      <c r="BV2489" s="261"/>
    </row>
    <row r="2490" spans="12:74">
      <c r="L2490" s="261"/>
      <c r="M2490" s="261"/>
      <c r="N2490" s="261"/>
      <c r="O2490" s="261"/>
      <c r="P2490" s="261"/>
      <c r="Q2490" s="261"/>
      <c r="BR2490" s="261"/>
      <c r="BS2490" s="261"/>
      <c r="BT2490" s="261"/>
      <c r="BU2490" s="261"/>
      <c r="BV2490" s="261"/>
    </row>
    <row r="2491" spans="12:74">
      <c r="L2491" s="261"/>
      <c r="M2491" s="261"/>
      <c r="N2491" s="261"/>
      <c r="O2491" s="261"/>
      <c r="P2491" s="261"/>
      <c r="Q2491" s="261"/>
      <c r="BR2491" s="261"/>
      <c r="BS2491" s="261"/>
      <c r="BT2491" s="261"/>
      <c r="BU2491" s="261"/>
      <c r="BV2491" s="261"/>
    </row>
    <row r="2492" spans="12:74">
      <c r="L2492" s="261"/>
      <c r="M2492" s="261"/>
      <c r="N2492" s="261"/>
      <c r="O2492" s="261"/>
      <c r="P2492" s="261"/>
      <c r="Q2492" s="261"/>
      <c r="BR2492" s="261"/>
      <c r="BS2492" s="261"/>
      <c r="BT2492" s="261"/>
      <c r="BU2492" s="261"/>
      <c r="BV2492" s="261"/>
    </row>
    <row r="2493" spans="12:74">
      <c r="L2493" s="261"/>
      <c r="M2493" s="261"/>
      <c r="N2493" s="261"/>
      <c r="O2493" s="261"/>
      <c r="P2493" s="261"/>
      <c r="Q2493" s="261"/>
      <c r="BR2493" s="261"/>
      <c r="BS2493" s="261"/>
      <c r="BT2493" s="261"/>
      <c r="BU2493" s="261"/>
      <c r="BV2493" s="261"/>
    </row>
    <row r="2494" spans="12:74">
      <c r="L2494" s="261"/>
      <c r="M2494" s="261"/>
      <c r="N2494" s="261"/>
      <c r="O2494" s="261"/>
      <c r="P2494" s="261"/>
      <c r="Q2494" s="261"/>
      <c r="BR2494" s="261"/>
      <c r="BS2494" s="261"/>
      <c r="BT2494" s="261"/>
      <c r="BU2494" s="261"/>
      <c r="BV2494" s="261"/>
    </row>
    <row r="2495" spans="12:74">
      <c r="L2495" s="261"/>
      <c r="M2495" s="261"/>
      <c r="N2495" s="261"/>
      <c r="O2495" s="261"/>
      <c r="P2495" s="261"/>
      <c r="Q2495" s="261"/>
      <c r="BR2495" s="261"/>
      <c r="BS2495" s="261"/>
      <c r="BT2495" s="261"/>
      <c r="BU2495" s="261"/>
      <c r="BV2495" s="261"/>
    </row>
    <row r="2496" spans="12:74">
      <c r="L2496" s="261"/>
      <c r="M2496" s="261"/>
      <c r="N2496" s="261"/>
      <c r="O2496" s="261"/>
      <c r="P2496" s="261"/>
      <c r="Q2496" s="261"/>
      <c r="BR2496" s="261"/>
      <c r="BS2496" s="261"/>
      <c r="BT2496" s="261"/>
      <c r="BU2496" s="261"/>
      <c r="BV2496" s="261"/>
    </row>
    <row r="2497" spans="12:74">
      <c r="L2497" s="261"/>
      <c r="M2497" s="261"/>
      <c r="N2497" s="261"/>
      <c r="O2497" s="261"/>
      <c r="P2497" s="261"/>
      <c r="Q2497" s="261"/>
      <c r="BR2497" s="261"/>
      <c r="BS2497" s="261"/>
      <c r="BT2497" s="261"/>
      <c r="BU2497" s="261"/>
      <c r="BV2497" s="261"/>
    </row>
    <row r="2498" spans="12:74">
      <c r="L2498" s="261"/>
      <c r="M2498" s="261"/>
      <c r="N2498" s="261"/>
      <c r="O2498" s="261"/>
      <c r="P2498" s="261"/>
      <c r="Q2498" s="261"/>
      <c r="BR2498" s="261"/>
      <c r="BS2498" s="261"/>
      <c r="BT2498" s="261"/>
      <c r="BU2498" s="261"/>
      <c r="BV2498" s="261"/>
    </row>
    <row r="2499" spans="12:74">
      <c r="L2499" s="261"/>
      <c r="M2499" s="261"/>
      <c r="N2499" s="261"/>
      <c r="O2499" s="261"/>
      <c r="P2499" s="261"/>
      <c r="Q2499" s="261"/>
      <c r="BR2499" s="261"/>
      <c r="BS2499" s="261"/>
      <c r="BT2499" s="261"/>
      <c r="BU2499" s="261"/>
      <c r="BV2499" s="261"/>
    </row>
    <row r="2500" spans="12:74">
      <c r="L2500" s="261"/>
      <c r="M2500" s="261"/>
      <c r="N2500" s="261"/>
      <c r="O2500" s="261"/>
      <c r="P2500" s="261"/>
      <c r="Q2500" s="261"/>
      <c r="BR2500" s="261"/>
      <c r="BS2500" s="261"/>
      <c r="BT2500" s="261"/>
      <c r="BU2500" s="261"/>
      <c r="BV2500" s="261"/>
    </row>
    <row r="2501" spans="12:74">
      <c r="L2501" s="261"/>
      <c r="M2501" s="261"/>
      <c r="N2501" s="261"/>
      <c r="O2501" s="261"/>
      <c r="P2501" s="261"/>
      <c r="Q2501" s="261"/>
      <c r="BR2501" s="261"/>
      <c r="BS2501" s="261"/>
      <c r="BT2501" s="261"/>
      <c r="BU2501" s="261"/>
      <c r="BV2501" s="261"/>
    </row>
    <row r="2502" spans="12:74">
      <c r="L2502" s="261"/>
      <c r="M2502" s="261"/>
      <c r="N2502" s="261"/>
      <c r="O2502" s="261"/>
      <c r="P2502" s="261"/>
      <c r="Q2502" s="261"/>
      <c r="BR2502" s="261"/>
      <c r="BS2502" s="261"/>
      <c r="BT2502" s="261"/>
      <c r="BU2502" s="261"/>
      <c r="BV2502" s="261"/>
    </row>
    <row r="2503" spans="12:74">
      <c r="L2503" s="261"/>
      <c r="M2503" s="261"/>
      <c r="N2503" s="261"/>
      <c r="O2503" s="261"/>
      <c r="P2503" s="261"/>
      <c r="Q2503" s="261"/>
      <c r="BR2503" s="261"/>
      <c r="BS2503" s="261"/>
      <c r="BT2503" s="261"/>
      <c r="BU2503" s="261"/>
      <c r="BV2503" s="261"/>
    </row>
    <row r="2504" spans="12:74">
      <c r="L2504" s="261"/>
      <c r="M2504" s="261"/>
      <c r="N2504" s="261"/>
      <c r="O2504" s="261"/>
      <c r="P2504" s="261"/>
      <c r="Q2504" s="261"/>
      <c r="BR2504" s="261"/>
      <c r="BS2504" s="261"/>
      <c r="BT2504" s="261"/>
      <c r="BU2504" s="261"/>
      <c r="BV2504" s="261"/>
    </row>
    <row r="2505" spans="12:74">
      <c r="L2505" s="261"/>
      <c r="M2505" s="261"/>
      <c r="N2505" s="261"/>
      <c r="O2505" s="261"/>
      <c r="P2505" s="261"/>
      <c r="Q2505" s="261"/>
      <c r="BR2505" s="261"/>
      <c r="BS2505" s="261"/>
      <c r="BT2505" s="261"/>
      <c r="BU2505" s="261"/>
      <c r="BV2505" s="261"/>
    </row>
    <row r="2506" spans="12:74">
      <c r="L2506" s="261"/>
      <c r="M2506" s="261"/>
      <c r="N2506" s="261"/>
      <c r="O2506" s="261"/>
      <c r="P2506" s="261"/>
      <c r="Q2506" s="261"/>
      <c r="BR2506" s="261"/>
      <c r="BS2506" s="261"/>
      <c r="BT2506" s="261"/>
      <c r="BU2506" s="261"/>
      <c r="BV2506" s="261"/>
    </row>
    <row r="2507" spans="12:74">
      <c r="L2507" s="261"/>
      <c r="M2507" s="261"/>
      <c r="N2507" s="261"/>
      <c r="O2507" s="261"/>
      <c r="P2507" s="261"/>
      <c r="Q2507" s="261"/>
      <c r="BR2507" s="261"/>
      <c r="BS2507" s="261"/>
      <c r="BT2507" s="261"/>
      <c r="BU2507" s="261"/>
      <c r="BV2507" s="261"/>
    </row>
    <row r="2508" spans="12:74">
      <c r="L2508" s="261"/>
      <c r="M2508" s="261"/>
      <c r="N2508" s="261"/>
      <c r="O2508" s="261"/>
      <c r="P2508" s="261"/>
      <c r="Q2508" s="261"/>
      <c r="BR2508" s="261"/>
      <c r="BS2508" s="261"/>
      <c r="BT2508" s="261"/>
      <c r="BU2508" s="261"/>
      <c r="BV2508" s="261"/>
    </row>
    <row r="2509" spans="12:74">
      <c r="L2509" s="261"/>
      <c r="M2509" s="261"/>
      <c r="N2509" s="261"/>
      <c r="O2509" s="261"/>
      <c r="P2509" s="261"/>
      <c r="Q2509" s="261"/>
      <c r="BR2509" s="261"/>
      <c r="BS2509" s="261"/>
      <c r="BT2509" s="261"/>
      <c r="BU2509" s="261"/>
      <c r="BV2509" s="261"/>
    </row>
    <row r="2510" spans="12:74">
      <c r="L2510" s="261"/>
      <c r="M2510" s="261"/>
      <c r="N2510" s="261"/>
      <c r="O2510" s="261"/>
      <c r="P2510" s="261"/>
      <c r="Q2510" s="261"/>
      <c r="BR2510" s="261"/>
      <c r="BS2510" s="261"/>
      <c r="BT2510" s="261"/>
      <c r="BU2510" s="261"/>
      <c r="BV2510" s="261"/>
    </row>
    <row r="2511" spans="12:74">
      <c r="L2511" s="261"/>
      <c r="M2511" s="261"/>
      <c r="N2511" s="261"/>
      <c r="O2511" s="261"/>
      <c r="P2511" s="261"/>
      <c r="Q2511" s="261"/>
      <c r="BR2511" s="261"/>
      <c r="BS2511" s="261"/>
      <c r="BT2511" s="261"/>
      <c r="BU2511" s="261"/>
      <c r="BV2511" s="261"/>
    </row>
    <row r="2512" spans="12:74">
      <c r="L2512" s="261"/>
      <c r="M2512" s="261"/>
      <c r="N2512" s="261"/>
      <c r="O2512" s="261"/>
      <c r="P2512" s="261"/>
      <c r="Q2512" s="261"/>
      <c r="BR2512" s="261"/>
      <c r="BS2512" s="261"/>
      <c r="BT2512" s="261"/>
      <c r="BU2512" s="261"/>
      <c r="BV2512" s="261"/>
    </row>
    <row r="2513" spans="12:74">
      <c r="L2513" s="261"/>
      <c r="M2513" s="261"/>
      <c r="N2513" s="261"/>
      <c r="O2513" s="261"/>
      <c r="P2513" s="261"/>
      <c r="Q2513" s="261"/>
      <c r="BR2513" s="261"/>
      <c r="BS2513" s="261"/>
      <c r="BT2513" s="261"/>
      <c r="BU2513" s="261"/>
      <c r="BV2513" s="261"/>
    </row>
    <row r="2514" spans="12:74">
      <c r="L2514" s="261"/>
      <c r="M2514" s="261"/>
      <c r="N2514" s="261"/>
      <c r="O2514" s="261"/>
      <c r="P2514" s="261"/>
      <c r="Q2514" s="261"/>
      <c r="BR2514" s="261"/>
      <c r="BS2514" s="261"/>
      <c r="BT2514" s="261"/>
      <c r="BU2514" s="261"/>
      <c r="BV2514" s="261"/>
    </row>
    <row r="2515" spans="12:74">
      <c r="L2515" s="261"/>
      <c r="M2515" s="261"/>
      <c r="N2515" s="261"/>
      <c r="O2515" s="261"/>
      <c r="P2515" s="261"/>
      <c r="Q2515" s="261"/>
      <c r="BR2515" s="261"/>
      <c r="BS2515" s="261"/>
      <c r="BT2515" s="261"/>
      <c r="BU2515" s="261"/>
      <c r="BV2515" s="261"/>
    </row>
    <row r="2516" spans="12:74">
      <c r="L2516" s="261"/>
      <c r="M2516" s="261"/>
      <c r="N2516" s="261"/>
      <c r="O2516" s="261"/>
      <c r="P2516" s="261"/>
      <c r="Q2516" s="261"/>
      <c r="BR2516" s="261"/>
      <c r="BS2516" s="261"/>
      <c r="BT2516" s="261"/>
      <c r="BU2516" s="261"/>
      <c r="BV2516" s="261"/>
    </row>
    <row r="2517" spans="12:74">
      <c r="L2517" s="261"/>
      <c r="M2517" s="261"/>
      <c r="N2517" s="261"/>
      <c r="O2517" s="261"/>
      <c r="P2517" s="261"/>
      <c r="Q2517" s="261"/>
      <c r="BR2517" s="261"/>
      <c r="BS2517" s="261"/>
      <c r="BT2517" s="261"/>
      <c r="BU2517" s="261"/>
      <c r="BV2517" s="261"/>
    </row>
    <row r="2518" spans="12:74">
      <c r="L2518" s="261"/>
      <c r="M2518" s="261"/>
      <c r="N2518" s="261"/>
      <c r="O2518" s="261"/>
      <c r="P2518" s="261"/>
      <c r="Q2518" s="261"/>
      <c r="BR2518" s="261"/>
      <c r="BS2518" s="261"/>
      <c r="BT2518" s="261"/>
      <c r="BU2518" s="261"/>
      <c r="BV2518" s="261"/>
    </row>
    <row r="2519" spans="12:74">
      <c r="L2519" s="261"/>
      <c r="M2519" s="261"/>
      <c r="N2519" s="261"/>
      <c r="O2519" s="261"/>
      <c r="P2519" s="261"/>
      <c r="Q2519" s="261"/>
      <c r="BR2519" s="261"/>
      <c r="BS2519" s="261"/>
      <c r="BT2519" s="261"/>
      <c r="BU2519" s="261"/>
      <c r="BV2519" s="261"/>
    </row>
    <row r="2520" spans="12:74">
      <c r="L2520" s="261"/>
      <c r="M2520" s="261"/>
      <c r="N2520" s="261"/>
      <c r="O2520" s="261"/>
      <c r="P2520" s="261"/>
      <c r="Q2520" s="261"/>
      <c r="BR2520" s="261"/>
      <c r="BS2520" s="261"/>
      <c r="BT2520" s="261"/>
      <c r="BU2520" s="261"/>
      <c r="BV2520" s="261"/>
    </row>
    <row r="2521" spans="12:74">
      <c r="L2521" s="261"/>
      <c r="M2521" s="261"/>
      <c r="N2521" s="261"/>
      <c r="O2521" s="261"/>
      <c r="P2521" s="261"/>
      <c r="Q2521" s="261"/>
      <c r="BR2521" s="261"/>
      <c r="BS2521" s="261"/>
      <c r="BT2521" s="261"/>
      <c r="BU2521" s="261"/>
      <c r="BV2521" s="261"/>
    </row>
    <row r="2522" spans="12:74">
      <c r="L2522" s="261"/>
      <c r="M2522" s="261"/>
      <c r="N2522" s="261"/>
      <c r="O2522" s="261"/>
      <c r="P2522" s="261"/>
      <c r="Q2522" s="261"/>
      <c r="BR2522" s="261"/>
      <c r="BS2522" s="261"/>
      <c r="BT2522" s="261"/>
      <c r="BU2522" s="261"/>
      <c r="BV2522" s="261"/>
    </row>
    <row r="2523" spans="12:74">
      <c r="L2523" s="261"/>
      <c r="M2523" s="261"/>
      <c r="N2523" s="261"/>
      <c r="O2523" s="261"/>
      <c r="P2523" s="261"/>
      <c r="Q2523" s="261"/>
      <c r="BR2523" s="261"/>
      <c r="BS2523" s="261"/>
      <c r="BT2523" s="261"/>
      <c r="BU2523" s="261"/>
      <c r="BV2523" s="261"/>
    </row>
    <row r="2524" spans="12:74">
      <c r="L2524" s="261"/>
      <c r="M2524" s="261"/>
      <c r="N2524" s="261"/>
      <c r="O2524" s="261"/>
      <c r="P2524" s="261"/>
      <c r="Q2524" s="261"/>
      <c r="BR2524" s="261"/>
      <c r="BS2524" s="261"/>
      <c r="BT2524" s="261"/>
      <c r="BU2524" s="261"/>
      <c r="BV2524" s="261"/>
    </row>
    <row r="2525" spans="12:74">
      <c r="L2525" s="261"/>
      <c r="M2525" s="261"/>
      <c r="N2525" s="261"/>
      <c r="O2525" s="261"/>
      <c r="P2525" s="261"/>
      <c r="Q2525" s="261"/>
      <c r="BR2525" s="261"/>
      <c r="BS2525" s="261"/>
      <c r="BT2525" s="261"/>
      <c r="BU2525" s="261"/>
      <c r="BV2525" s="261"/>
    </row>
    <row r="2526" spans="12:74">
      <c r="L2526" s="261"/>
      <c r="M2526" s="261"/>
      <c r="N2526" s="261"/>
      <c r="O2526" s="261"/>
      <c r="P2526" s="261"/>
      <c r="Q2526" s="261"/>
      <c r="BR2526" s="261"/>
      <c r="BS2526" s="261"/>
      <c r="BT2526" s="261"/>
      <c r="BU2526" s="261"/>
      <c r="BV2526" s="261"/>
    </row>
    <row r="2527" spans="12:74">
      <c r="L2527" s="261"/>
      <c r="M2527" s="261"/>
      <c r="N2527" s="261"/>
      <c r="O2527" s="261"/>
      <c r="P2527" s="261"/>
      <c r="Q2527" s="261"/>
      <c r="BR2527" s="261"/>
      <c r="BS2527" s="261"/>
      <c r="BT2527" s="261"/>
      <c r="BU2527" s="261"/>
      <c r="BV2527" s="261"/>
    </row>
    <row r="2528" spans="12:74">
      <c r="L2528" s="261"/>
      <c r="M2528" s="261"/>
      <c r="N2528" s="261"/>
      <c r="O2528" s="261"/>
      <c r="P2528" s="261"/>
      <c r="Q2528" s="261"/>
      <c r="BR2528" s="261"/>
      <c r="BS2528" s="261"/>
      <c r="BT2528" s="261"/>
      <c r="BU2528" s="261"/>
      <c r="BV2528" s="261"/>
    </row>
    <row r="2529" spans="12:74">
      <c r="L2529" s="261"/>
      <c r="M2529" s="261"/>
      <c r="N2529" s="261"/>
      <c r="O2529" s="261"/>
      <c r="P2529" s="261"/>
      <c r="Q2529" s="261"/>
      <c r="BR2529" s="261"/>
      <c r="BS2529" s="261"/>
      <c r="BT2529" s="261"/>
      <c r="BU2529" s="261"/>
      <c r="BV2529" s="261"/>
    </row>
    <row r="2530" spans="12:74">
      <c r="L2530" s="261"/>
      <c r="M2530" s="261"/>
      <c r="N2530" s="261"/>
      <c r="O2530" s="261"/>
      <c r="P2530" s="261"/>
      <c r="Q2530" s="261"/>
      <c r="BR2530" s="261"/>
      <c r="BS2530" s="261"/>
      <c r="BT2530" s="261"/>
      <c r="BU2530" s="261"/>
      <c r="BV2530" s="261"/>
    </row>
    <row r="2531" spans="12:74">
      <c r="L2531" s="261"/>
      <c r="M2531" s="261"/>
      <c r="N2531" s="261"/>
      <c r="O2531" s="261"/>
      <c r="P2531" s="261"/>
      <c r="Q2531" s="261"/>
      <c r="BR2531" s="261"/>
      <c r="BS2531" s="261"/>
      <c r="BT2531" s="261"/>
      <c r="BU2531" s="261"/>
      <c r="BV2531" s="261"/>
    </row>
    <row r="2532" spans="12:74">
      <c r="L2532" s="261"/>
      <c r="M2532" s="261"/>
      <c r="N2532" s="261"/>
      <c r="O2532" s="261"/>
      <c r="P2532" s="261"/>
      <c r="Q2532" s="261"/>
      <c r="BR2532" s="261"/>
      <c r="BS2532" s="261"/>
      <c r="BT2532" s="261"/>
      <c r="BU2532" s="261"/>
      <c r="BV2532" s="261"/>
    </row>
    <row r="2533" spans="12:74">
      <c r="L2533" s="261"/>
      <c r="M2533" s="261"/>
      <c r="N2533" s="261"/>
      <c r="O2533" s="261"/>
      <c r="P2533" s="261"/>
      <c r="Q2533" s="261"/>
      <c r="BR2533" s="261"/>
      <c r="BS2533" s="261"/>
      <c r="BT2533" s="261"/>
      <c r="BU2533" s="261"/>
      <c r="BV2533" s="261"/>
    </row>
    <row r="2534" spans="12:74">
      <c r="L2534" s="261"/>
      <c r="M2534" s="261"/>
      <c r="N2534" s="261"/>
      <c r="O2534" s="261"/>
      <c r="P2534" s="261"/>
      <c r="Q2534" s="261"/>
      <c r="BR2534" s="261"/>
      <c r="BS2534" s="261"/>
      <c r="BT2534" s="261"/>
      <c r="BU2534" s="261"/>
      <c r="BV2534" s="261"/>
    </row>
    <row r="2535" spans="12:74">
      <c r="L2535" s="261"/>
      <c r="M2535" s="261"/>
      <c r="N2535" s="261"/>
      <c r="O2535" s="261"/>
      <c r="P2535" s="261"/>
      <c r="Q2535" s="261"/>
      <c r="BR2535" s="261"/>
      <c r="BS2535" s="261"/>
      <c r="BT2535" s="261"/>
      <c r="BU2535" s="261"/>
      <c r="BV2535" s="261"/>
    </row>
    <row r="2536" spans="12:74">
      <c r="L2536" s="261"/>
      <c r="M2536" s="261"/>
      <c r="N2536" s="261"/>
      <c r="O2536" s="261"/>
      <c r="P2536" s="261"/>
      <c r="Q2536" s="261"/>
      <c r="BR2536" s="261"/>
      <c r="BS2536" s="261"/>
      <c r="BT2536" s="261"/>
      <c r="BU2536" s="261"/>
      <c r="BV2536" s="261"/>
    </row>
    <row r="2537" spans="12:74">
      <c r="L2537" s="261"/>
      <c r="M2537" s="261"/>
      <c r="N2537" s="261"/>
      <c r="O2537" s="261"/>
      <c r="P2537" s="261"/>
      <c r="Q2537" s="261"/>
      <c r="BR2537" s="261"/>
      <c r="BS2537" s="261"/>
      <c r="BT2537" s="261"/>
      <c r="BU2537" s="261"/>
      <c r="BV2537" s="261"/>
    </row>
    <row r="2538" spans="12:74">
      <c r="L2538" s="261"/>
      <c r="M2538" s="261"/>
      <c r="N2538" s="261"/>
      <c r="O2538" s="261"/>
      <c r="P2538" s="261"/>
      <c r="Q2538" s="261"/>
      <c r="BR2538" s="261"/>
      <c r="BS2538" s="261"/>
      <c r="BT2538" s="261"/>
      <c r="BU2538" s="261"/>
      <c r="BV2538" s="261"/>
    </row>
    <row r="2539" spans="12:74">
      <c r="L2539" s="261"/>
      <c r="M2539" s="261"/>
      <c r="N2539" s="261"/>
      <c r="O2539" s="261"/>
      <c r="P2539" s="261"/>
      <c r="Q2539" s="261"/>
      <c r="BR2539" s="261"/>
      <c r="BS2539" s="261"/>
      <c r="BT2539" s="261"/>
      <c r="BU2539" s="261"/>
      <c r="BV2539" s="261"/>
    </row>
    <row r="2540" spans="12:74">
      <c r="L2540" s="261"/>
      <c r="M2540" s="261"/>
      <c r="N2540" s="261"/>
      <c r="O2540" s="261"/>
      <c r="P2540" s="261"/>
      <c r="Q2540" s="261"/>
      <c r="BR2540" s="261"/>
      <c r="BS2540" s="261"/>
      <c r="BT2540" s="261"/>
      <c r="BU2540" s="261"/>
      <c r="BV2540" s="261"/>
    </row>
    <row r="2541" spans="12:74">
      <c r="L2541" s="261"/>
      <c r="M2541" s="261"/>
      <c r="N2541" s="261"/>
      <c r="O2541" s="261"/>
      <c r="P2541" s="261"/>
      <c r="Q2541" s="261"/>
      <c r="BR2541" s="261"/>
      <c r="BS2541" s="261"/>
      <c r="BT2541" s="261"/>
      <c r="BU2541" s="261"/>
      <c r="BV2541" s="261"/>
    </row>
    <row r="2542" spans="12:74">
      <c r="L2542" s="261"/>
      <c r="M2542" s="261"/>
      <c r="N2542" s="261"/>
      <c r="O2542" s="261"/>
      <c r="P2542" s="261"/>
      <c r="Q2542" s="261"/>
      <c r="BR2542" s="261"/>
      <c r="BS2542" s="261"/>
      <c r="BT2542" s="261"/>
      <c r="BU2542" s="261"/>
      <c r="BV2542" s="261"/>
    </row>
    <row r="2543" spans="12:74">
      <c r="L2543" s="261"/>
      <c r="M2543" s="261"/>
      <c r="N2543" s="261"/>
      <c r="O2543" s="261"/>
      <c r="P2543" s="261"/>
      <c r="Q2543" s="261"/>
      <c r="BR2543" s="261"/>
      <c r="BS2543" s="261"/>
      <c r="BT2543" s="261"/>
      <c r="BU2543" s="261"/>
      <c r="BV2543" s="261"/>
    </row>
    <row r="2544" spans="12:74">
      <c r="L2544" s="261"/>
      <c r="M2544" s="261"/>
      <c r="N2544" s="261"/>
      <c r="O2544" s="261"/>
      <c r="P2544" s="261"/>
      <c r="Q2544" s="261"/>
      <c r="BR2544" s="261"/>
      <c r="BS2544" s="261"/>
      <c r="BT2544" s="261"/>
      <c r="BU2544" s="261"/>
      <c r="BV2544" s="261"/>
    </row>
    <row r="2545" spans="12:74">
      <c r="L2545" s="261"/>
      <c r="M2545" s="261"/>
      <c r="N2545" s="261"/>
      <c r="O2545" s="261"/>
      <c r="P2545" s="261"/>
      <c r="Q2545" s="261"/>
      <c r="BR2545" s="261"/>
      <c r="BS2545" s="261"/>
      <c r="BT2545" s="261"/>
      <c r="BU2545" s="261"/>
      <c r="BV2545" s="261"/>
    </row>
    <row r="2546" spans="12:74">
      <c r="L2546" s="261"/>
      <c r="M2546" s="261"/>
      <c r="N2546" s="261"/>
      <c r="O2546" s="261"/>
      <c r="P2546" s="261"/>
      <c r="Q2546" s="261"/>
      <c r="BR2546" s="261"/>
      <c r="BS2546" s="261"/>
      <c r="BT2546" s="261"/>
      <c r="BU2546" s="261"/>
      <c r="BV2546" s="261"/>
    </row>
    <row r="2547" spans="12:74">
      <c r="L2547" s="261"/>
      <c r="M2547" s="261"/>
      <c r="N2547" s="261"/>
      <c r="O2547" s="261"/>
      <c r="P2547" s="261"/>
      <c r="Q2547" s="261"/>
      <c r="BR2547" s="261"/>
      <c r="BS2547" s="261"/>
      <c r="BT2547" s="261"/>
      <c r="BU2547" s="261"/>
      <c r="BV2547" s="261"/>
    </row>
    <row r="2548" spans="12:74">
      <c r="L2548" s="261"/>
      <c r="M2548" s="261"/>
      <c r="N2548" s="261"/>
      <c r="O2548" s="261"/>
      <c r="P2548" s="261"/>
      <c r="Q2548" s="261"/>
      <c r="BR2548" s="261"/>
      <c r="BS2548" s="261"/>
      <c r="BT2548" s="261"/>
      <c r="BU2548" s="261"/>
      <c r="BV2548" s="261"/>
    </row>
    <row r="2549" spans="12:74">
      <c r="L2549" s="261"/>
      <c r="M2549" s="261"/>
      <c r="N2549" s="261"/>
      <c r="O2549" s="261"/>
      <c r="P2549" s="261"/>
      <c r="Q2549" s="261"/>
      <c r="BR2549" s="261"/>
      <c r="BS2549" s="261"/>
      <c r="BT2549" s="261"/>
      <c r="BU2549" s="261"/>
      <c r="BV2549" s="261"/>
    </row>
    <row r="2550" spans="12:74">
      <c r="L2550" s="261"/>
      <c r="M2550" s="261"/>
      <c r="N2550" s="261"/>
      <c r="O2550" s="261"/>
      <c r="P2550" s="261"/>
      <c r="Q2550" s="261"/>
      <c r="BR2550" s="261"/>
      <c r="BS2550" s="261"/>
      <c r="BT2550" s="261"/>
      <c r="BU2550" s="261"/>
      <c r="BV2550" s="261"/>
    </row>
    <row r="2551" spans="12:74">
      <c r="L2551" s="261"/>
      <c r="M2551" s="261"/>
      <c r="N2551" s="261"/>
      <c r="O2551" s="261"/>
      <c r="P2551" s="261"/>
      <c r="Q2551" s="261"/>
      <c r="BR2551" s="261"/>
      <c r="BS2551" s="261"/>
      <c r="BT2551" s="261"/>
      <c r="BU2551" s="261"/>
      <c r="BV2551" s="261"/>
    </row>
    <row r="2552" spans="12:74">
      <c r="L2552" s="261"/>
      <c r="M2552" s="261"/>
      <c r="N2552" s="261"/>
      <c r="O2552" s="261"/>
      <c r="P2552" s="261"/>
      <c r="Q2552" s="261"/>
      <c r="BR2552" s="261"/>
      <c r="BS2552" s="261"/>
      <c r="BT2552" s="261"/>
      <c r="BU2552" s="261"/>
      <c r="BV2552" s="261"/>
    </row>
    <row r="2553" spans="12:74">
      <c r="L2553" s="261"/>
      <c r="M2553" s="261"/>
      <c r="N2553" s="261"/>
      <c r="O2553" s="261"/>
      <c r="P2553" s="261"/>
      <c r="Q2553" s="261"/>
      <c r="BR2553" s="261"/>
      <c r="BS2553" s="261"/>
      <c r="BT2553" s="261"/>
      <c r="BU2553" s="261"/>
      <c r="BV2553" s="261"/>
    </row>
    <row r="2554" spans="12:74">
      <c r="L2554" s="261"/>
      <c r="M2554" s="261"/>
      <c r="N2554" s="261"/>
      <c r="O2554" s="261"/>
      <c r="P2554" s="261"/>
      <c r="Q2554" s="261"/>
      <c r="BR2554" s="261"/>
      <c r="BS2554" s="261"/>
      <c r="BT2554" s="261"/>
      <c r="BU2554" s="261"/>
      <c r="BV2554" s="261"/>
    </row>
    <row r="2555" spans="12:74">
      <c r="L2555" s="261"/>
      <c r="M2555" s="261"/>
      <c r="N2555" s="261"/>
      <c r="O2555" s="261"/>
      <c r="P2555" s="261"/>
      <c r="Q2555" s="261"/>
      <c r="BR2555" s="261"/>
      <c r="BS2555" s="261"/>
      <c r="BT2555" s="261"/>
      <c r="BU2555" s="261"/>
      <c r="BV2555" s="261"/>
    </row>
    <row r="2556" spans="12:74">
      <c r="L2556" s="261"/>
      <c r="M2556" s="261"/>
      <c r="N2556" s="261"/>
      <c r="O2556" s="261"/>
      <c r="P2556" s="261"/>
      <c r="Q2556" s="261"/>
      <c r="BR2556" s="261"/>
      <c r="BS2556" s="261"/>
      <c r="BT2556" s="261"/>
      <c r="BU2556" s="261"/>
      <c r="BV2556" s="261"/>
    </row>
    <row r="2557" spans="12:74">
      <c r="L2557" s="261"/>
      <c r="M2557" s="261"/>
      <c r="N2557" s="261"/>
      <c r="O2557" s="261"/>
      <c r="P2557" s="261"/>
      <c r="Q2557" s="261"/>
      <c r="BR2557" s="261"/>
      <c r="BS2557" s="261"/>
      <c r="BT2557" s="261"/>
      <c r="BU2557" s="261"/>
      <c r="BV2557" s="261"/>
    </row>
    <row r="2558" spans="12:74">
      <c r="L2558" s="261"/>
      <c r="M2558" s="261"/>
      <c r="N2558" s="261"/>
      <c r="O2558" s="261"/>
      <c r="P2558" s="261"/>
      <c r="Q2558" s="261"/>
      <c r="BR2558" s="261"/>
      <c r="BS2558" s="261"/>
      <c r="BT2558" s="261"/>
      <c r="BU2558" s="261"/>
      <c r="BV2558" s="261"/>
    </row>
    <row r="2559" spans="12:74">
      <c r="L2559" s="261"/>
      <c r="M2559" s="261"/>
      <c r="N2559" s="261"/>
      <c r="O2559" s="261"/>
      <c r="P2559" s="261"/>
      <c r="Q2559" s="261"/>
      <c r="BR2559" s="261"/>
      <c r="BS2559" s="261"/>
      <c r="BT2559" s="261"/>
      <c r="BU2559" s="261"/>
      <c r="BV2559" s="261"/>
    </row>
    <row r="2560" spans="12:74">
      <c r="L2560" s="261"/>
      <c r="M2560" s="261"/>
      <c r="N2560" s="261"/>
      <c r="O2560" s="261"/>
      <c r="P2560" s="261"/>
      <c r="Q2560" s="261"/>
      <c r="BR2560" s="261"/>
      <c r="BS2560" s="261"/>
      <c r="BT2560" s="261"/>
      <c r="BU2560" s="261"/>
      <c r="BV2560" s="261"/>
    </row>
    <row r="2561" spans="12:74">
      <c r="L2561" s="261"/>
      <c r="M2561" s="261"/>
      <c r="N2561" s="261"/>
      <c r="O2561" s="261"/>
      <c r="P2561" s="261"/>
      <c r="Q2561" s="261"/>
      <c r="BR2561" s="261"/>
      <c r="BS2561" s="261"/>
      <c r="BT2561" s="261"/>
      <c r="BU2561" s="261"/>
      <c r="BV2561" s="261"/>
    </row>
    <row r="2562" spans="12:74">
      <c r="L2562" s="261"/>
      <c r="M2562" s="261"/>
      <c r="N2562" s="261"/>
      <c r="O2562" s="261"/>
      <c r="P2562" s="261"/>
      <c r="Q2562" s="261"/>
      <c r="BR2562" s="261"/>
      <c r="BS2562" s="261"/>
      <c r="BT2562" s="261"/>
      <c r="BU2562" s="261"/>
      <c r="BV2562" s="261"/>
    </row>
    <row r="2563" spans="12:74">
      <c r="L2563" s="261"/>
      <c r="M2563" s="261"/>
      <c r="N2563" s="261"/>
      <c r="O2563" s="261"/>
      <c r="P2563" s="261"/>
      <c r="Q2563" s="261"/>
      <c r="BR2563" s="261"/>
      <c r="BS2563" s="261"/>
      <c r="BT2563" s="261"/>
      <c r="BU2563" s="261"/>
      <c r="BV2563" s="261"/>
    </row>
    <row r="2564" spans="12:74">
      <c r="L2564" s="261"/>
      <c r="M2564" s="261"/>
      <c r="N2564" s="261"/>
      <c r="O2564" s="261"/>
      <c r="P2564" s="261"/>
      <c r="Q2564" s="261"/>
      <c r="BR2564" s="261"/>
      <c r="BS2564" s="261"/>
      <c r="BT2564" s="261"/>
      <c r="BU2564" s="261"/>
      <c r="BV2564" s="261"/>
    </row>
    <row r="2565" spans="12:74">
      <c r="L2565" s="261"/>
      <c r="M2565" s="261"/>
      <c r="N2565" s="261"/>
      <c r="O2565" s="261"/>
      <c r="P2565" s="261"/>
      <c r="Q2565" s="261"/>
      <c r="BR2565" s="261"/>
      <c r="BS2565" s="261"/>
      <c r="BT2565" s="261"/>
      <c r="BU2565" s="261"/>
      <c r="BV2565" s="261"/>
    </row>
    <row r="2566" spans="12:74">
      <c r="L2566" s="261"/>
      <c r="M2566" s="261"/>
      <c r="N2566" s="261"/>
      <c r="O2566" s="261"/>
      <c r="P2566" s="261"/>
      <c r="Q2566" s="261"/>
      <c r="BR2566" s="261"/>
      <c r="BS2566" s="261"/>
      <c r="BT2566" s="261"/>
      <c r="BU2566" s="261"/>
      <c r="BV2566" s="261"/>
    </row>
    <row r="2567" spans="12:74">
      <c r="L2567" s="261"/>
      <c r="M2567" s="261"/>
      <c r="N2567" s="261"/>
      <c r="O2567" s="261"/>
      <c r="P2567" s="261"/>
      <c r="Q2567" s="261"/>
      <c r="BR2567" s="261"/>
      <c r="BS2567" s="261"/>
      <c r="BT2567" s="261"/>
      <c r="BU2567" s="261"/>
      <c r="BV2567" s="261"/>
    </row>
    <row r="2568" spans="12:74">
      <c r="L2568" s="261"/>
      <c r="M2568" s="261"/>
      <c r="N2568" s="261"/>
      <c r="O2568" s="261"/>
      <c r="P2568" s="261"/>
      <c r="Q2568" s="261"/>
      <c r="BR2568" s="261"/>
      <c r="BS2568" s="261"/>
      <c r="BT2568" s="261"/>
      <c r="BU2568" s="261"/>
      <c r="BV2568" s="261"/>
    </row>
    <row r="2569" spans="12:74">
      <c r="L2569" s="261"/>
      <c r="M2569" s="261"/>
      <c r="N2569" s="261"/>
      <c r="O2569" s="261"/>
      <c r="P2569" s="261"/>
      <c r="Q2569" s="261"/>
      <c r="BR2569" s="261"/>
      <c r="BS2569" s="261"/>
      <c r="BT2569" s="261"/>
      <c r="BU2569" s="261"/>
      <c r="BV2569" s="261"/>
    </row>
    <row r="2570" spans="12:74">
      <c r="L2570" s="261"/>
      <c r="M2570" s="261"/>
      <c r="N2570" s="261"/>
      <c r="O2570" s="261"/>
      <c r="P2570" s="261"/>
      <c r="Q2570" s="261"/>
      <c r="BR2570" s="261"/>
      <c r="BS2570" s="261"/>
      <c r="BT2570" s="261"/>
      <c r="BU2570" s="261"/>
      <c r="BV2570" s="261"/>
    </row>
    <row r="2571" spans="12:74">
      <c r="L2571" s="261"/>
      <c r="M2571" s="261"/>
      <c r="N2571" s="261"/>
      <c r="O2571" s="261"/>
      <c r="P2571" s="261"/>
      <c r="Q2571" s="261"/>
      <c r="BR2571" s="261"/>
      <c r="BS2571" s="261"/>
      <c r="BT2571" s="261"/>
      <c r="BU2571" s="261"/>
      <c r="BV2571" s="261"/>
    </row>
    <row r="2572" spans="12:74">
      <c r="L2572" s="261"/>
      <c r="M2572" s="261"/>
      <c r="N2572" s="261"/>
      <c r="O2572" s="261"/>
      <c r="P2572" s="261"/>
      <c r="Q2572" s="261"/>
      <c r="BR2572" s="261"/>
      <c r="BS2572" s="261"/>
      <c r="BT2572" s="261"/>
      <c r="BU2572" s="261"/>
      <c r="BV2572" s="261"/>
    </row>
    <row r="2573" spans="12:74">
      <c r="L2573" s="261"/>
      <c r="M2573" s="261"/>
      <c r="N2573" s="261"/>
      <c r="O2573" s="261"/>
      <c r="P2573" s="261"/>
      <c r="Q2573" s="261"/>
      <c r="BR2573" s="261"/>
      <c r="BS2573" s="261"/>
      <c r="BT2573" s="261"/>
      <c r="BU2573" s="261"/>
      <c r="BV2573" s="261"/>
    </row>
    <row r="2574" spans="12:74">
      <c r="L2574" s="261"/>
      <c r="M2574" s="261"/>
      <c r="N2574" s="261"/>
      <c r="O2574" s="261"/>
      <c r="P2574" s="261"/>
      <c r="Q2574" s="261"/>
      <c r="BR2574" s="261"/>
      <c r="BS2574" s="261"/>
      <c r="BT2574" s="261"/>
      <c r="BU2574" s="261"/>
      <c r="BV2574" s="261"/>
    </row>
    <row r="2575" spans="12:74">
      <c r="L2575" s="261"/>
      <c r="M2575" s="261"/>
      <c r="N2575" s="261"/>
      <c r="O2575" s="261"/>
      <c r="P2575" s="261"/>
      <c r="Q2575" s="261"/>
      <c r="BR2575" s="261"/>
      <c r="BS2575" s="261"/>
      <c r="BT2575" s="261"/>
      <c r="BU2575" s="261"/>
      <c r="BV2575" s="261"/>
    </row>
    <row r="2576" spans="12:74">
      <c r="L2576" s="261"/>
      <c r="M2576" s="261"/>
      <c r="N2576" s="261"/>
      <c r="O2576" s="261"/>
      <c r="P2576" s="261"/>
      <c r="Q2576" s="261"/>
      <c r="BR2576" s="261"/>
      <c r="BS2576" s="261"/>
      <c r="BT2576" s="261"/>
      <c r="BU2576" s="261"/>
      <c r="BV2576" s="261"/>
    </row>
    <row r="2577" spans="12:74">
      <c r="L2577" s="261"/>
      <c r="M2577" s="261"/>
      <c r="N2577" s="261"/>
      <c r="O2577" s="261"/>
      <c r="P2577" s="261"/>
      <c r="Q2577" s="261"/>
      <c r="BR2577" s="261"/>
      <c r="BS2577" s="261"/>
      <c r="BT2577" s="261"/>
      <c r="BU2577" s="261"/>
      <c r="BV2577" s="261"/>
    </row>
    <row r="2578" spans="12:74">
      <c r="L2578" s="261"/>
      <c r="M2578" s="261"/>
      <c r="N2578" s="261"/>
      <c r="O2578" s="261"/>
      <c r="P2578" s="261"/>
      <c r="Q2578" s="261"/>
      <c r="BR2578" s="261"/>
      <c r="BS2578" s="261"/>
      <c r="BT2578" s="261"/>
      <c r="BU2578" s="261"/>
      <c r="BV2578" s="261"/>
    </row>
    <row r="2579" spans="12:74">
      <c r="L2579" s="261"/>
      <c r="M2579" s="261"/>
      <c r="N2579" s="261"/>
      <c r="O2579" s="261"/>
      <c r="P2579" s="261"/>
      <c r="Q2579" s="261"/>
      <c r="BR2579" s="261"/>
      <c r="BS2579" s="261"/>
      <c r="BT2579" s="261"/>
      <c r="BU2579" s="261"/>
      <c r="BV2579" s="261"/>
    </row>
    <row r="2580" spans="12:74">
      <c r="L2580" s="261"/>
      <c r="M2580" s="261"/>
      <c r="N2580" s="261"/>
      <c r="O2580" s="261"/>
      <c r="P2580" s="261"/>
      <c r="Q2580" s="261"/>
      <c r="BR2580" s="261"/>
      <c r="BS2580" s="261"/>
      <c r="BT2580" s="261"/>
      <c r="BU2580" s="261"/>
      <c r="BV2580" s="261"/>
    </row>
    <row r="2581" spans="12:74">
      <c r="L2581" s="261"/>
      <c r="M2581" s="261"/>
      <c r="N2581" s="261"/>
      <c r="O2581" s="261"/>
      <c r="P2581" s="261"/>
      <c r="Q2581" s="261"/>
      <c r="BR2581" s="261"/>
      <c r="BS2581" s="261"/>
      <c r="BT2581" s="261"/>
      <c r="BU2581" s="261"/>
      <c r="BV2581" s="261"/>
    </row>
    <row r="2582" spans="12:74">
      <c r="L2582" s="261"/>
      <c r="M2582" s="261"/>
      <c r="N2582" s="261"/>
      <c r="O2582" s="261"/>
      <c r="P2582" s="261"/>
      <c r="Q2582" s="261"/>
      <c r="BR2582" s="261"/>
      <c r="BS2582" s="261"/>
      <c r="BT2582" s="261"/>
      <c r="BU2582" s="261"/>
      <c r="BV2582" s="261"/>
    </row>
    <row r="2583" spans="12:74">
      <c r="L2583" s="261"/>
      <c r="M2583" s="261"/>
      <c r="N2583" s="261"/>
      <c r="O2583" s="261"/>
      <c r="P2583" s="261"/>
      <c r="Q2583" s="261"/>
      <c r="BR2583" s="261"/>
      <c r="BS2583" s="261"/>
      <c r="BT2583" s="261"/>
      <c r="BU2583" s="261"/>
      <c r="BV2583" s="261"/>
    </row>
    <row r="2584" spans="12:74">
      <c r="L2584" s="261"/>
      <c r="M2584" s="261"/>
      <c r="N2584" s="261"/>
      <c r="O2584" s="261"/>
      <c r="P2584" s="261"/>
      <c r="Q2584" s="261"/>
      <c r="BR2584" s="261"/>
      <c r="BS2584" s="261"/>
      <c r="BT2584" s="261"/>
      <c r="BU2584" s="261"/>
      <c r="BV2584" s="261"/>
    </row>
    <row r="2585" spans="12:74">
      <c r="L2585" s="261"/>
      <c r="M2585" s="261"/>
      <c r="N2585" s="261"/>
      <c r="O2585" s="261"/>
      <c r="P2585" s="261"/>
      <c r="Q2585" s="261"/>
      <c r="BR2585" s="261"/>
      <c r="BS2585" s="261"/>
      <c r="BT2585" s="261"/>
      <c r="BU2585" s="261"/>
      <c r="BV2585" s="261"/>
    </row>
    <row r="2586" spans="12:74">
      <c r="L2586" s="261"/>
      <c r="M2586" s="261"/>
      <c r="N2586" s="261"/>
      <c r="O2586" s="261"/>
      <c r="P2586" s="261"/>
      <c r="Q2586" s="261"/>
      <c r="BR2586" s="261"/>
      <c r="BS2586" s="261"/>
      <c r="BT2586" s="261"/>
      <c r="BU2586" s="261"/>
      <c r="BV2586" s="261"/>
    </row>
    <row r="2587" spans="12:74">
      <c r="L2587" s="261"/>
      <c r="M2587" s="261"/>
      <c r="N2587" s="261"/>
      <c r="O2587" s="261"/>
      <c r="P2587" s="261"/>
      <c r="Q2587" s="261"/>
      <c r="BR2587" s="261"/>
      <c r="BS2587" s="261"/>
      <c r="BT2587" s="261"/>
      <c r="BU2587" s="261"/>
      <c r="BV2587" s="261"/>
    </row>
    <row r="2588" spans="12:74">
      <c r="L2588" s="261"/>
      <c r="M2588" s="261"/>
      <c r="N2588" s="261"/>
      <c r="O2588" s="261"/>
      <c r="P2588" s="261"/>
      <c r="Q2588" s="261"/>
      <c r="BR2588" s="261"/>
      <c r="BS2588" s="261"/>
      <c r="BT2588" s="261"/>
      <c r="BU2588" s="261"/>
      <c r="BV2588" s="261"/>
    </row>
    <row r="2589" spans="12:74">
      <c r="L2589" s="261"/>
      <c r="M2589" s="261"/>
      <c r="N2589" s="261"/>
      <c r="O2589" s="261"/>
      <c r="P2589" s="261"/>
      <c r="Q2589" s="261"/>
      <c r="BR2589" s="261"/>
      <c r="BS2589" s="261"/>
      <c r="BT2589" s="261"/>
      <c r="BU2589" s="261"/>
      <c r="BV2589" s="261"/>
    </row>
    <row r="2590" spans="12:74">
      <c r="L2590" s="261"/>
      <c r="M2590" s="261"/>
      <c r="N2590" s="261"/>
      <c r="O2590" s="261"/>
      <c r="P2590" s="261"/>
      <c r="Q2590" s="261"/>
      <c r="BR2590" s="261"/>
      <c r="BS2590" s="261"/>
      <c r="BT2590" s="261"/>
      <c r="BU2590" s="261"/>
      <c r="BV2590" s="261"/>
    </row>
    <row r="2591" spans="12:74">
      <c r="L2591" s="261"/>
      <c r="M2591" s="261"/>
      <c r="N2591" s="261"/>
      <c r="O2591" s="261"/>
      <c r="P2591" s="261"/>
      <c r="Q2591" s="261"/>
      <c r="BR2591" s="261"/>
      <c r="BS2591" s="261"/>
      <c r="BT2591" s="261"/>
      <c r="BU2591" s="261"/>
      <c r="BV2591" s="261"/>
    </row>
    <row r="2592" spans="12:74">
      <c r="L2592" s="261"/>
      <c r="M2592" s="261"/>
      <c r="N2592" s="261"/>
      <c r="O2592" s="261"/>
      <c r="P2592" s="261"/>
      <c r="Q2592" s="261"/>
      <c r="BR2592" s="261"/>
      <c r="BS2592" s="261"/>
      <c r="BT2592" s="261"/>
      <c r="BU2592" s="261"/>
      <c r="BV2592" s="261"/>
    </row>
    <row r="2593" spans="12:74">
      <c r="L2593" s="261"/>
      <c r="M2593" s="261"/>
      <c r="N2593" s="261"/>
      <c r="O2593" s="261"/>
      <c r="P2593" s="261"/>
      <c r="Q2593" s="261"/>
      <c r="BR2593" s="261"/>
      <c r="BS2593" s="261"/>
      <c r="BT2593" s="261"/>
      <c r="BU2593" s="261"/>
      <c r="BV2593" s="261"/>
    </row>
    <row r="2594" spans="12:74">
      <c r="L2594" s="261"/>
      <c r="M2594" s="261"/>
      <c r="N2594" s="261"/>
      <c r="O2594" s="261"/>
      <c r="P2594" s="261"/>
      <c r="Q2594" s="261"/>
      <c r="BR2594" s="261"/>
      <c r="BS2594" s="261"/>
      <c r="BT2594" s="261"/>
      <c r="BU2594" s="261"/>
      <c r="BV2594" s="261"/>
    </row>
    <row r="2595" spans="12:74">
      <c r="L2595" s="261"/>
      <c r="M2595" s="261"/>
      <c r="N2595" s="261"/>
      <c r="O2595" s="261"/>
      <c r="P2595" s="261"/>
      <c r="Q2595" s="261"/>
      <c r="BR2595" s="261"/>
      <c r="BS2595" s="261"/>
      <c r="BT2595" s="261"/>
      <c r="BU2595" s="261"/>
      <c r="BV2595" s="261"/>
    </row>
    <row r="2596" spans="12:74">
      <c r="L2596" s="261"/>
      <c r="M2596" s="261"/>
      <c r="N2596" s="261"/>
      <c r="O2596" s="261"/>
      <c r="P2596" s="261"/>
      <c r="Q2596" s="261"/>
      <c r="BR2596" s="261"/>
      <c r="BS2596" s="261"/>
      <c r="BT2596" s="261"/>
      <c r="BU2596" s="261"/>
      <c r="BV2596" s="261"/>
    </row>
    <row r="2597" spans="12:74">
      <c r="L2597" s="261"/>
      <c r="M2597" s="261"/>
      <c r="N2597" s="261"/>
      <c r="O2597" s="261"/>
      <c r="P2597" s="261"/>
      <c r="Q2597" s="261"/>
      <c r="BR2597" s="261"/>
      <c r="BS2597" s="261"/>
      <c r="BT2597" s="261"/>
      <c r="BU2597" s="261"/>
      <c r="BV2597" s="261"/>
    </row>
    <row r="2598" spans="12:74">
      <c r="L2598" s="261"/>
      <c r="M2598" s="261"/>
      <c r="N2598" s="261"/>
      <c r="O2598" s="261"/>
      <c r="P2598" s="261"/>
      <c r="Q2598" s="261"/>
      <c r="BR2598" s="261"/>
      <c r="BS2598" s="261"/>
      <c r="BT2598" s="261"/>
      <c r="BU2598" s="261"/>
      <c r="BV2598" s="261"/>
    </row>
    <row r="2599" spans="12:74">
      <c r="L2599" s="261"/>
      <c r="M2599" s="261"/>
      <c r="N2599" s="261"/>
      <c r="O2599" s="261"/>
      <c r="P2599" s="261"/>
      <c r="Q2599" s="261"/>
      <c r="BR2599" s="261"/>
      <c r="BS2599" s="261"/>
      <c r="BT2599" s="261"/>
      <c r="BU2599" s="261"/>
      <c r="BV2599" s="261"/>
    </row>
    <row r="2600" spans="12:74">
      <c r="L2600" s="261"/>
      <c r="M2600" s="261"/>
      <c r="N2600" s="261"/>
      <c r="O2600" s="261"/>
      <c r="P2600" s="261"/>
      <c r="Q2600" s="261"/>
      <c r="BR2600" s="261"/>
      <c r="BS2600" s="261"/>
      <c r="BT2600" s="261"/>
      <c r="BU2600" s="261"/>
      <c r="BV2600" s="261"/>
    </row>
    <row r="2601" spans="12:74">
      <c r="L2601" s="261"/>
      <c r="M2601" s="261"/>
      <c r="N2601" s="261"/>
      <c r="O2601" s="261"/>
      <c r="P2601" s="261"/>
      <c r="Q2601" s="261"/>
      <c r="BR2601" s="261"/>
      <c r="BS2601" s="261"/>
      <c r="BT2601" s="261"/>
      <c r="BU2601" s="261"/>
      <c r="BV2601" s="261"/>
    </row>
    <row r="2602" spans="12:74">
      <c r="L2602" s="261"/>
      <c r="M2602" s="261"/>
      <c r="N2602" s="261"/>
      <c r="O2602" s="261"/>
      <c r="P2602" s="261"/>
      <c r="Q2602" s="261"/>
      <c r="BR2602" s="261"/>
      <c r="BS2602" s="261"/>
      <c r="BT2602" s="261"/>
      <c r="BU2602" s="261"/>
      <c r="BV2602" s="261"/>
    </row>
    <row r="2603" spans="12:74">
      <c r="L2603" s="261"/>
      <c r="M2603" s="261"/>
      <c r="N2603" s="261"/>
      <c r="O2603" s="261"/>
      <c r="P2603" s="261"/>
      <c r="Q2603" s="261"/>
      <c r="BR2603" s="261"/>
      <c r="BS2603" s="261"/>
      <c r="BT2603" s="261"/>
      <c r="BU2603" s="261"/>
      <c r="BV2603" s="261"/>
    </row>
    <row r="2604" spans="12:74">
      <c r="L2604" s="261"/>
      <c r="M2604" s="261"/>
      <c r="N2604" s="261"/>
      <c r="O2604" s="261"/>
      <c r="P2604" s="261"/>
      <c r="Q2604" s="261"/>
      <c r="BR2604" s="261"/>
      <c r="BS2604" s="261"/>
      <c r="BT2604" s="261"/>
      <c r="BU2604" s="261"/>
      <c r="BV2604" s="261"/>
    </row>
    <row r="2605" spans="12:74">
      <c r="L2605" s="261"/>
      <c r="M2605" s="261"/>
      <c r="N2605" s="261"/>
      <c r="O2605" s="261"/>
      <c r="P2605" s="261"/>
      <c r="Q2605" s="261"/>
      <c r="BR2605" s="261"/>
      <c r="BS2605" s="261"/>
      <c r="BT2605" s="261"/>
      <c r="BU2605" s="261"/>
      <c r="BV2605" s="261"/>
    </row>
    <row r="2606" spans="12:74">
      <c r="L2606" s="261"/>
      <c r="M2606" s="261"/>
      <c r="N2606" s="261"/>
      <c r="O2606" s="261"/>
      <c r="P2606" s="261"/>
      <c r="Q2606" s="261"/>
      <c r="BR2606" s="261"/>
      <c r="BS2606" s="261"/>
      <c r="BT2606" s="261"/>
      <c r="BU2606" s="261"/>
      <c r="BV2606" s="261"/>
    </row>
    <row r="2607" spans="12:74">
      <c r="L2607" s="261"/>
      <c r="M2607" s="261"/>
      <c r="N2607" s="261"/>
      <c r="O2607" s="261"/>
      <c r="P2607" s="261"/>
      <c r="Q2607" s="261"/>
      <c r="BR2607" s="261"/>
      <c r="BS2607" s="261"/>
      <c r="BT2607" s="261"/>
      <c r="BU2607" s="261"/>
      <c r="BV2607" s="261"/>
    </row>
    <row r="2608" spans="12:74">
      <c r="L2608" s="261"/>
      <c r="M2608" s="261"/>
      <c r="N2608" s="261"/>
      <c r="O2608" s="261"/>
      <c r="P2608" s="261"/>
      <c r="Q2608" s="261"/>
      <c r="BR2608" s="261"/>
      <c r="BS2608" s="261"/>
      <c r="BT2608" s="261"/>
      <c r="BU2608" s="261"/>
      <c r="BV2608" s="261"/>
    </row>
    <row r="2609" spans="12:74">
      <c r="L2609" s="261"/>
      <c r="M2609" s="261"/>
      <c r="N2609" s="261"/>
      <c r="O2609" s="261"/>
      <c r="P2609" s="261"/>
      <c r="Q2609" s="261"/>
      <c r="BR2609" s="261"/>
      <c r="BS2609" s="261"/>
      <c r="BT2609" s="261"/>
      <c r="BU2609" s="261"/>
      <c r="BV2609" s="261"/>
    </row>
    <row r="2610" spans="12:74">
      <c r="L2610" s="261"/>
      <c r="M2610" s="261"/>
      <c r="N2610" s="261"/>
      <c r="O2610" s="261"/>
      <c r="P2610" s="261"/>
      <c r="Q2610" s="261"/>
      <c r="BR2610" s="261"/>
      <c r="BS2610" s="261"/>
      <c r="BT2610" s="261"/>
      <c r="BU2610" s="261"/>
      <c r="BV2610" s="261"/>
    </row>
    <row r="2611" spans="12:74">
      <c r="L2611" s="261"/>
      <c r="M2611" s="261"/>
      <c r="N2611" s="261"/>
      <c r="O2611" s="261"/>
      <c r="P2611" s="261"/>
      <c r="Q2611" s="261"/>
      <c r="BR2611" s="261"/>
      <c r="BS2611" s="261"/>
      <c r="BT2611" s="261"/>
      <c r="BU2611" s="261"/>
      <c r="BV2611" s="261"/>
    </row>
    <row r="2612" spans="12:74">
      <c r="L2612" s="261"/>
      <c r="M2612" s="261"/>
      <c r="N2612" s="261"/>
      <c r="O2612" s="261"/>
      <c r="P2612" s="261"/>
      <c r="Q2612" s="261"/>
      <c r="BR2612" s="261"/>
      <c r="BS2612" s="261"/>
      <c r="BT2612" s="261"/>
      <c r="BU2612" s="261"/>
      <c r="BV2612" s="261"/>
    </row>
    <row r="2613" spans="12:74">
      <c r="L2613" s="261"/>
      <c r="M2613" s="261"/>
      <c r="N2613" s="261"/>
      <c r="O2613" s="261"/>
      <c r="P2613" s="261"/>
      <c r="Q2613" s="261"/>
      <c r="BR2613" s="261"/>
      <c r="BS2613" s="261"/>
      <c r="BT2613" s="261"/>
      <c r="BU2613" s="261"/>
      <c r="BV2613" s="261"/>
    </row>
    <row r="2614" spans="12:74">
      <c r="L2614" s="261"/>
      <c r="M2614" s="261"/>
      <c r="N2614" s="261"/>
      <c r="O2614" s="261"/>
      <c r="P2614" s="261"/>
      <c r="Q2614" s="261"/>
      <c r="BR2614" s="261"/>
      <c r="BS2614" s="261"/>
      <c r="BT2614" s="261"/>
      <c r="BU2614" s="261"/>
      <c r="BV2614" s="261"/>
    </row>
    <row r="2615" spans="12:74">
      <c r="L2615" s="261"/>
      <c r="M2615" s="261"/>
      <c r="N2615" s="261"/>
      <c r="O2615" s="261"/>
      <c r="P2615" s="261"/>
      <c r="Q2615" s="261"/>
      <c r="BR2615" s="261"/>
      <c r="BS2615" s="261"/>
      <c r="BT2615" s="261"/>
      <c r="BU2615" s="261"/>
      <c r="BV2615" s="261"/>
    </row>
    <row r="2616" spans="12:74">
      <c r="L2616" s="261"/>
      <c r="M2616" s="261"/>
      <c r="N2616" s="261"/>
      <c r="O2616" s="261"/>
      <c r="P2616" s="261"/>
      <c r="Q2616" s="261"/>
      <c r="BR2616" s="261"/>
      <c r="BS2616" s="261"/>
      <c r="BT2616" s="261"/>
      <c r="BU2616" s="261"/>
      <c r="BV2616" s="261"/>
    </row>
    <row r="2617" spans="12:74">
      <c r="L2617" s="261"/>
      <c r="M2617" s="261"/>
      <c r="N2617" s="261"/>
      <c r="O2617" s="261"/>
      <c r="P2617" s="261"/>
      <c r="Q2617" s="261"/>
      <c r="BR2617" s="261"/>
      <c r="BS2617" s="261"/>
      <c r="BT2617" s="261"/>
      <c r="BU2617" s="261"/>
      <c r="BV2617" s="261"/>
    </row>
    <row r="2618" spans="12:74">
      <c r="L2618" s="261"/>
      <c r="M2618" s="261"/>
      <c r="N2618" s="261"/>
      <c r="O2618" s="261"/>
      <c r="P2618" s="261"/>
      <c r="Q2618" s="261"/>
      <c r="BR2618" s="261"/>
      <c r="BS2618" s="261"/>
      <c r="BT2618" s="261"/>
      <c r="BU2618" s="261"/>
      <c r="BV2618" s="261"/>
    </row>
    <row r="2619" spans="12:74">
      <c r="L2619" s="261"/>
      <c r="M2619" s="261"/>
      <c r="N2619" s="261"/>
      <c r="O2619" s="261"/>
      <c r="P2619" s="261"/>
      <c r="Q2619" s="261"/>
      <c r="BR2619" s="261"/>
      <c r="BS2619" s="261"/>
      <c r="BT2619" s="261"/>
      <c r="BU2619" s="261"/>
      <c r="BV2619" s="261"/>
    </row>
    <row r="2620" spans="12:74">
      <c r="L2620" s="261"/>
      <c r="M2620" s="261"/>
      <c r="N2620" s="261"/>
      <c r="O2620" s="261"/>
      <c r="P2620" s="261"/>
      <c r="Q2620" s="261"/>
      <c r="BR2620" s="261"/>
      <c r="BS2620" s="261"/>
      <c r="BT2620" s="261"/>
      <c r="BU2620" s="261"/>
      <c r="BV2620" s="261"/>
    </row>
    <row r="2621" spans="12:74">
      <c r="L2621" s="261"/>
      <c r="M2621" s="261"/>
      <c r="N2621" s="261"/>
      <c r="O2621" s="261"/>
      <c r="P2621" s="261"/>
      <c r="Q2621" s="261"/>
      <c r="BR2621" s="261"/>
      <c r="BS2621" s="261"/>
      <c r="BT2621" s="261"/>
      <c r="BU2621" s="261"/>
      <c r="BV2621" s="261"/>
    </row>
    <row r="2622" spans="12:74">
      <c r="L2622" s="261"/>
      <c r="M2622" s="261"/>
      <c r="N2622" s="261"/>
      <c r="O2622" s="261"/>
      <c r="P2622" s="261"/>
      <c r="Q2622" s="261"/>
      <c r="BR2622" s="261"/>
      <c r="BS2622" s="261"/>
      <c r="BT2622" s="261"/>
      <c r="BU2622" s="261"/>
      <c r="BV2622" s="261"/>
    </row>
    <row r="2623" spans="12:74">
      <c r="L2623" s="261"/>
      <c r="M2623" s="261"/>
      <c r="N2623" s="261"/>
      <c r="O2623" s="261"/>
      <c r="P2623" s="261"/>
      <c r="Q2623" s="261"/>
      <c r="BR2623" s="261"/>
      <c r="BS2623" s="261"/>
      <c r="BT2623" s="261"/>
      <c r="BU2623" s="261"/>
      <c r="BV2623" s="261"/>
    </row>
    <row r="2624" spans="12:74">
      <c r="L2624" s="261"/>
      <c r="M2624" s="261"/>
      <c r="N2624" s="261"/>
      <c r="O2624" s="261"/>
      <c r="P2624" s="261"/>
      <c r="Q2624" s="261"/>
      <c r="BR2624" s="261"/>
      <c r="BS2624" s="261"/>
      <c r="BT2624" s="261"/>
      <c r="BU2624" s="261"/>
      <c r="BV2624" s="261"/>
    </row>
    <row r="2625" spans="12:74">
      <c r="L2625" s="261"/>
      <c r="M2625" s="261"/>
      <c r="N2625" s="261"/>
      <c r="O2625" s="261"/>
      <c r="P2625" s="261"/>
      <c r="Q2625" s="261"/>
      <c r="BR2625" s="261"/>
      <c r="BS2625" s="261"/>
      <c r="BT2625" s="261"/>
      <c r="BU2625" s="261"/>
      <c r="BV2625" s="261"/>
    </row>
    <row r="2626" spans="12:74">
      <c r="L2626" s="261"/>
      <c r="M2626" s="261"/>
      <c r="N2626" s="261"/>
      <c r="O2626" s="261"/>
      <c r="P2626" s="261"/>
      <c r="Q2626" s="261"/>
      <c r="BR2626" s="261"/>
      <c r="BS2626" s="261"/>
      <c r="BT2626" s="261"/>
      <c r="BU2626" s="261"/>
      <c r="BV2626" s="261"/>
    </row>
    <row r="2627" spans="12:74">
      <c r="L2627" s="261"/>
      <c r="M2627" s="261"/>
      <c r="N2627" s="261"/>
      <c r="O2627" s="261"/>
      <c r="P2627" s="261"/>
      <c r="Q2627" s="261"/>
      <c r="BR2627" s="261"/>
      <c r="BS2627" s="261"/>
      <c r="BT2627" s="261"/>
      <c r="BU2627" s="261"/>
      <c r="BV2627" s="261"/>
    </row>
    <row r="2628" spans="12:74">
      <c r="L2628" s="261"/>
      <c r="M2628" s="261"/>
      <c r="N2628" s="261"/>
      <c r="O2628" s="261"/>
      <c r="P2628" s="261"/>
      <c r="Q2628" s="261"/>
      <c r="BR2628" s="261"/>
      <c r="BS2628" s="261"/>
      <c r="BT2628" s="261"/>
      <c r="BU2628" s="261"/>
      <c r="BV2628" s="261"/>
    </row>
    <row r="2629" spans="12:74">
      <c r="L2629" s="261"/>
      <c r="M2629" s="261"/>
      <c r="N2629" s="261"/>
      <c r="O2629" s="261"/>
      <c r="P2629" s="261"/>
      <c r="Q2629" s="261"/>
      <c r="BR2629" s="261"/>
      <c r="BS2629" s="261"/>
      <c r="BT2629" s="261"/>
      <c r="BU2629" s="261"/>
      <c r="BV2629" s="261"/>
    </row>
    <row r="2630" spans="12:74">
      <c r="L2630" s="261"/>
      <c r="M2630" s="261"/>
      <c r="N2630" s="261"/>
      <c r="O2630" s="261"/>
      <c r="P2630" s="261"/>
      <c r="Q2630" s="261"/>
      <c r="BR2630" s="261"/>
      <c r="BS2630" s="261"/>
      <c r="BT2630" s="261"/>
      <c r="BU2630" s="261"/>
      <c r="BV2630" s="261"/>
    </row>
    <row r="2631" spans="12:74">
      <c r="L2631" s="261"/>
      <c r="M2631" s="261"/>
      <c r="N2631" s="261"/>
      <c r="O2631" s="261"/>
      <c r="P2631" s="261"/>
      <c r="Q2631" s="261"/>
      <c r="BR2631" s="261"/>
      <c r="BS2631" s="261"/>
      <c r="BT2631" s="261"/>
      <c r="BU2631" s="261"/>
      <c r="BV2631" s="261"/>
    </row>
    <row r="2632" spans="12:74">
      <c r="L2632" s="261"/>
      <c r="M2632" s="261"/>
      <c r="N2632" s="261"/>
      <c r="O2632" s="261"/>
      <c r="P2632" s="261"/>
      <c r="Q2632" s="261"/>
      <c r="BR2632" s="261"/>
      <c r="BS2632" s="261"/>
      <c r="BT2632" s="261"/>
      <c r="BU2632" s="261"/>
      <c r="BV2632" s="261"/>
    </row>
    <row r="2633" spans="12:74">
      <c r="L2633" s="261"/>
      <c r="M2633" s="261"/>
      <c r="N2633" s="261"/>
      <c r="O2633" s="261"/>
      <c r="P2633" s="261"/>
      <c r="Q2633" s="261"/>
      <c r="BR2633" s="261"/>
      <c r="BS2633" s="261"/>
      <c r="BT2633" s="261"/>
      <c r="BU2633" s="261"/>
      <c r="BV2633" s="261"/>
    </row>
    <row r="2634" spans="12:74">
      <c r="L2634" s="261"/>
      <c r="M2634" s="261"/>
      <c r="N2634" s="261"/>
      <c r="O2634" s="261"/>
      <c r="P2634" s="261"/>
      <c r="Q2634" s="261"/>
      <c r="BR2634" s="261"/>
      <c r="BS2634" s="261"/>
      <c r="BT2634" s="261"/>
      <c r="BU2634" s="261"/>
      <c r="BV2634" s="261"/>
    </row>
    <row r="2635" spans="12:74">
      <c r="L2635" s="261"/>
      <c r="M2635" s="261"/>
      <c r="N2635" s="261"/>
      <c r="O2635" s="261"/>
      <c r="P2635" s="261"/>
      <c r="Q2635" s="261"/>
      <c r="BR2635" s="261"/>
      <c r="BS2635" s="261"/>
      <c r="BT2635" s="261"/>
      <c r="BU2635" s="261"/>
      <c r="BV2635" s="261"/>
    </row>
    <row r="2636" spans="12:74">
      <c r="L2636" s="261"/>
      <c r="M2636" s="261"/>
      <c r="N2636" s="261"/>
      <c r="O2636" s="261"/>
      <c r="P2636" s="261"/>
      <c r="Q2636" s="261"/>
      <c r="BR2636" s="261"/>
      <c r="BS2636" s="261"/>
      <c r="BT2636" s="261"/>
      <c r="BU2636" s="261"/>
      <c r="BV2636" s="261"/>
    </row>
    <row r="2637" spans="12:74">
      <c r="L2637" s="261"/>
      <c r="M2637" s="261"/>
      <c r="N2637" s="261"/>
      <c r="O2637" s="261"/>
      <c r="P2637" s="261"/>
      <c r="Q2637" s="261"/>
      <c r="BR2637" s="261"/>
      <c r="BS2637" s="261"/>
      <c r="BT2637" s="261"/>
      <c r="BU2637" s="261"/>
      <c r="BV2637" s="261"/>
    </row>
    <row r="2638" spans="12:74">
      <c r="L2638" s="261"/>
      <c r="M2638" s="261"/>
      <c r="N2638" s="261"/>
      <c r="O2638" s="261"/>
      <c r="P2638" s="261"/>
      <c r="Q2638" s="261"/>
      <c r="BR2638" s="261"/>
      <c r="BS2638" s="261"/>
      <c r="BT2638" s="261"/>
      <c r="BU2638" s="261"/>
      <c r="BV2638" s="261"/>
    </row>
    <row r="2639" spans="12:74">
      <c r="L2639" s="261"/>
      <c r="M2639" s="261"/>
      <c r="N2639" s="261"/>
      <c r="O2639" s="261"/>
      <c r="P2639" s="261"/>
      <c r="Q2639" s="261"/>
      <c r="BR2639" s="261"/>
      <c r="BS2639" s="261"/>
      <c r="BT2639" s="261"/>
      <c r="BU2639" s="261"/>
      <c r="BV2639" s="261"/>
    </row>
    <row r="2640" spans="12:74">
      <c r="L2640" s="261"/>
      <c r="M2640" s="261"/>
      <c r="N2640" s="261"/>
      <c r="O2640" s="261"/>
      <c r="P2640" s="261"/>
      <c r="Q2640" s="261"/>
      <c r="BR2640" s="261"/>
      <c r="BS2640" s="261"/>
      <c r="BT2640" s="261"/>
      <c r="BU2640" s="261"/>
      <c r="BV2640" s="261"/>
    </row>
    <row r="2641" spans="12:74">
      <c r="L2641" s="261"/>
      <c r="M2641" s="261"/>
      <c r="N2641" s="261"/>
      <c r="O2641" s="261"/>
      <c r="P2641" s="261"/>
      <c r="Q2641" s="261"/>
      <c r="BR2641" s="261"/>
      <c r="BS2641" s="261"/>
      <c r="BT2641" s="261"/>
      <c r="BU2641" s="261"/>
      <c r="BV2641" s="261"/>
    </row>
    <row r="2642" spans="12:74">
      <c r="L2642" s="261"/>
      <c r="M2642" s="261"/>
      <c r="N2642" s="261"/>
      <c r="O2642" s="261"/>
      <c r="P2642" s="261"/>
      <c r="Q2642" s="261"/>
      <c r="BR2642" s="261"/>
      <c r="BS2642" s="261"/>
      <c r="BT2642" s="261"/>
      <c r="BU2642" s="261"/>
      <c r="BV2642" s="261"/>
    </row>
    <row r="2643" spans="12:74">
      <c r="L2643" s="261"/>
      <c r="M2643" s="261"/>
      <c r="N2643" s="261"/>
      <c r="O2643" s="261"/>
      <c r="P2643" s="261"/>
      <c r="Q2643" s="261"/>
      <c r="BR2643" s="261"/>
      <c r="BS2643" s="261"/>
      <c r="BT2643" s="261"/>
      <c r="BU2643" s="261"/>
      <c r="BV2643" s="261"/>
    </row>
    <row r="2644" spans="12:74">
      <c r="L2644" s="261"/>
      <c r="M2644" s="261"/>
      <c r="N2644" s="261"/>
      <c r="O2644" s="261"/>
      <c r="P2644" s="261"/>
      <c r="Q2644" s="261"/>
      <c r="BR2644" s="261"/>
      <c r="BS2644" s="261"/>
      <c r="BT2644" s="261"/>
      <c r="BU2644" s="261"/>
      <c r="BV2644" s="261"/>
    </row>
    <row r="2645" spans="12:74">
      <c r="L2645" s="261"/>
      <c r="M2645" s="261"/>
      <c r="N2645" s="261"/>
      <c r="O2645" s="261"/>
      <c r="P2645" s="261"/>
      <c r="Q2645" s="261"/>
      <c r="BR2645" s="261"/>
      <c r="BS2645" s="261"/>
      <c r="BT2645" s="261"/>
      <c r="BU2645" s="261"/>
      <c r="BV2645" s="261"/>
    </row>
    <row r="2646" spans="12:74">
      <c r="L2646" s="261"/>
      <c r="M2646" s="261"/>
      <c r="N2646" s="261"/>
      <c r="O2646" s="261"/>
      <c r="P2646" s="261"/>
      <c r="Q2646" s="261"/>
      <c r="BR2646" s="261"/>
      <c r="BS2646" s="261"/>
      <c r="BT2646" s="261"/>
      <c r="BU2646" s="261"/>
      <c r="BV2646" s="261"/>
    </row>
    <row r="2647" spans="12:74">
      <c r="L2647" s="261"/>
      <c r="M2647" s="261"/>
      <c r="N2647" s="261"/>
      <c r="O2647" s="261"/>
      <c r="P2647" s="261"/>
      <c r="Q2647" s="261"/>
      <c r="BR2647" s="261"/>
      <c r="BS2647" s="261"/>
      <c r="BT2647" s="261"/>
      <c r="BU2647" s="261"/>
      <c r="BV2647" s="261"/>
    </row>
    <row r="2648" spans="12:74">
      <c r="L2648" s="261"/>
      <c r="M2648" s="261"/>
      <c r="N2648" s="261"/>
      <c r="O2648" s="261"/>
      <c r="P2648" s="261"/>
      <c r="Q2648" s="261"/>
      <c r="BR2648" s="261"/>
      <c r="BS2648" s="261"/>
      <c r="BT2648" s="261"/>
      <c r="BU2648" s="261"/>
      <c r="BV2648" s="261"/>
    </row>
    <row r="2649" spans="12:74">
      <c r="L2649" s="261"/>
      <c r="M2649" s="261"/>
      <c r="N2649" s="261"/>
      <c r="O2649" s="261"/>
      <c r="P2649" s="261"/>
      <c r="Q2649" s="261"/>
      <c r="BR2649" s="261"/>
      <c r="BS2649" s="261"/>
      <c r="BT2649" s="261"/>
      <c r="BU2649" s="261"/>
      <c r="BV2649" s="261"/>
    </row>
    <row r="2650" spans="12:74">
      <c r="L2650" s="261"/>
      <c r="M2650" s="261"/>
      <c r="N2650" s="261"/>
      <c r="O2650" s="261"/>
      <c r="P2650" s="261"/>
      <c r="Q2650" s="261"/>
      <c r="BR2650" s="261"/>
      <c r="BS2650" s="261"/>
      <c r="BT2650" s="261"/>
      <c r="BU2650" s="261"/>
      <c r="BV2650" s="261"/>
    </row>
    <row r="2651" spans="12:74">
      <c r="L2651" s="261"/>
      <c r="M2651" s="261"/>
      <c r="N2651" s="261"/>
      <c r="O2651" s="261"/>
      <c r="P2651" s="261"/>
      <c r="Q2651" s="261"/>
      <c r="BR2651" s="261"/>
      <c r="BS2651" s="261"/>
      <c r="BT2651" s="261"/>
      <c r="BU2651" s="261"/>
      <c r="BV2651" s="261"/>
    </row>
    <row r="2652" spans="12:74">
      <c r="L2652" s="261"/>
      <c r="M2652" s="261"/>
      <c r="N2652" s="261"/>
      <c r="O2652" s="261"/>
      <c r="P2652" s="261"/>
      <c r="Q2652" s="261"/>
      <c r="BR2652" s="261"/>
      <c r="BS2652" s="261"/>
      <c r="BT2652" s="261"/>
      <c r="BU2652" s="261"/>
      <c r="BV2652" s="261"/>
    </row>
    <row r="2653" spans="12:74">
      <c r="L2653" s="261"/>
      <c r="M2653" s="261"/>
      <c r="N2653" s="261"/>
      <c r="O2653" s="261"/>
      <c r="P2653" s="261"/>
      <c r="Q2653" s="261"/>
      <c r="BR2653" s="261"/>
      <c r="BS2653" s="261"/>
      <c r="BT2653" s="261"/>
      <c r="BU2653" s="261"/>
      <c r="BV2653" s="261"/>
    </row>
    <row r="2654" spans="12:74">
      <c r="L2654" s="261"/>
      <c r="M2654" s="261"/>
      <c r="N2654" s="261"/>
      <c r="O2654" s="261"/>
      <c r="P2654" s="261"/>
      <c r="Q2654" s="261"/>
      <c r="BR2654" s="261"/>
      <c r="BS2654" s="261"/>
      <c r="BT2654" s="261"/>
      <c r="BU2654" s="261"/>
      <c r="BV2654" s="261"/>
    </row>
    <row r="2655" spans="12:74">
      <c r="L2655" s="261"/>
      <c r="M2655" s="261"/>
      <c r="N2655" s="261"/>
      <c r="O2655" s="261"/>
      <c r="P2655" s="261"/>
      <c r="Q2655" s="261"/>
      <c r="BR2655" s="261"/>
      <c r="BS2655" s="261"/>
      <c r="BT2655" s="261"/>
      <c r="BU2655" s="261"/>
      <c r="BV2655" s="261"/>
    </row>
    <row r="2656" spans="12:74">
      <c r="L2656" s="261"/>
      <c r="M2656" s="261"/>
      <c r="N2656" s="261"/>
      <c r="O2656" s="261"/>
      <c r="P2656" s="261"/>
      <c r="Q2656" s="261"/>
      <c r="BR2656" s="261"/>
      <c r="BS2656" s="261"/>
      <c r="BT2656" s="261"/>
      <c r="BU2656" s="261"/>
      <c r="BV2656" s="261"/>
    </row>
    <row r="2657" spans="12:74">
      <c r="L2657" s="261"/>
      <c r="M2657" s="261"/>
      <c r="N2657" s="261"/>
      <c r="O2657" s="261"/>
      <c r="P2657" s="261"/>
      <c r="Q2657" s="261"/>
      <c r="BR2657" s="261"/>
      <c r="BS2657" s="261"/>
      <c r="BT2657" s="261"/>
      <c r="BU2657" s="261"/>
      <c r="BV2657" s="261"/>
    </row>
    <row r="2658" spans="12:74">
      <c r="L2658" s="261"/>
      <c r="M2658" s="261"/>
      <c r="N2658" s="261"/>
      <c r="O2658" s="261"/>
      <c r="P2658" s="261"/>
      <c r="Q2658" s="261"/>
      <c r="BR2658" s="261"/>
      <c r="BS2658" s="261"/>
      <c r="BT2658" s="261"/>
      <c r="BU2658" s="261"/>
      <c r="BV2658" s="261"/>
    </row>
    <row r="2659" spans="12:74">
      <c r="L2659" s="261"/>
      <c r="M2659" s="261"/>
      <c r="N2659" s="261"/>
      <c r="O2659" s="261"/>
      <c r="P2659" s="261"/>
      <c r="Q2659" s="261"/>
      <c r="BR2659" s="261"/>
      <c r="BS2659" s="261"/>
      <c r="BT2659" s="261"/>
      <c r="BU2659" s="261"/>
      <c r="BV2659" s="261"/>
    </row>
    <row r="2660" spans="12:74">
      <c r="L2660" s="261"/>
      <c r="M2660" s="261"/>
      <c r="N2660" s="261"/>
      <c r="O2660" s="261"/>
      <c r="P2660" s="261"/>
      <c r="Q2660" s="261"/>
      <c r="BR2660" s="261"/>
      <c r="BS2660" s="261"/>
      <c r="BT2660" s="261"/>
      <c r="BU2660" s="261"/>
      <c r="BV2660" s="261"/>
    </row>
    <row r="2661" spans="12:74">
      <c r="L2661" s="261"/>
      <c r="M2661" s="261"/>
      <c r="N2661" s="261"/>
      <c r="O2661" s="261"/>
      <c r="P2661" s="261"/>
      <c r="Q2661" s="261"/>
      <c r="BR2661" s="261"/>
      <c r="BS2661" s="261"/>
      <c r="BT2661" s="261"/>
      <c r="BU2661" s="261"/>
      <c r="BV2661" s="261"/>
    </row>
    <row r="2662" spans="12:74">
      <c r="L2662" s="261"/>
      <c r="M2662" s="261"/>
      <c r="N2662" s="261"/>
      <c r="O2662" s="261"/>
      <c r="P2662" s="261"/>
      <c r="Q2662" s="261"/>
      <c r="BR2662" s="261"/>
      <c r="BS2662" s="261"/>
      <c r="BT2662" s="261"/>
      <c r="BU2662" s="261"/>
      <c r="BV2662" s="261"/>
    </row>
    <row r="2663" spans="12:74">
      <c r="L2663" s="261"/>
      <c r="M2663" s="261"/>
      <c r="N2663" s="261"/>
      <c r="O2663" s="261"/>
      <c r="P2663" s="261"/>
      <c r="Q2663" s="261"/>
      <c r="BR2663" s="261"/>
      <c r="BS2663" s="261"/>
      <c r="BT2663" s="261"/>
      <c r="BU2663" s="261"/>
      <c r="BV2663" s="261"/>
    </row>
    <row r="2664" spans="12:74">
      <c r="L2664" s="261"/>
      <c r="M2664" s="261"/>
      <c r="N2664" s="261"/>
      <c r="O2664" s="261"/>
      <c r="P2664" s="261"/>
      <c r="Q2664" s="261"/>
      <c r="BR2664" s="261"/>
      <c r="BS2664" s="261"/>
      <c r="BT2664" s="261"/>
      <c r="BU2664" s="261"/>
      <c r="BV2664" s="261"/>
    </row>
    <row r="2665" spans="12:74">
      <c r="L2665" s="261"/>
      <c r="M2665" s="261"/>
      <c r="N2665" s="261"/>
      <c r="O2665" s="261"/>
      <c r="P2665" s="261"/>
      <c r="Q2665" s="261"/>
      <c r="BR2665" s="261"/>
      <c r="BS2665" s="261"/>
      <c r="BT2665" s="261"/>
      <c r="BU2665" s="261"/>
      <c r="BV2665" s="261"/>
    </row>
    <row r="2666" spans="12:74">
      <c r="L2666" s="261"/>
      <c r="M2666" s="261"/>
      <c r="N2666" s="261"/>
      <c r="O2666" s="261"/>
      <c r="P2666" s="261"/>
      <c r="Q2666" s="261"/>
      <c r="BR2666" s="261"/>
      <c r="BS2666" s="261"/>
      <c r="BT2666" s="261"/>
      <c r="BU2666" s="261"/>
      <c r="BV2666" s="261"/>
    </row>
    <row r="2667" spans="12:74">
      <c r="L2667" s="261"/>
      <c r="M2667" s="261"/>
      <c r="N2667" s="261"/>
      <c r="O2667" s="261"/>
      <c r="P2667" s="261"/>
      <c r="Q2667" s="261"/>
      <c r="BR2667" s="261"/>
      <c r="BS2667" s="261"/>
      <c r="BT2667" s="261"/>
      <c r="BU2667" s="261"/>
      <c r="BV2667" s="261"/>
    </row>
    <row r="2668" spans="12:74">
      <c r="L2668" s="261"/>
      <c r="M2668" s="261"/>
      <c r="N2668" s="261"/>
      <c r="O2668" s="261"/>
      <c r="P2668" s="261"/>
      <c r="Q2668" s="261"/>
      <c r="BR2668" s="261"/>
      <c r="BS2668" s="261"/>
      <c r="BT2668" s="261"/>
      <c r="BU2668" s="261"/>
      <c r="BV2668" s="261"/>
    </row>
    <row r="2669" spans="12:74">
      <c r="L2669" s="261"/>
      <c r="M2669" s="261"/>
      <c r="N2669" s="261"/>
      <c r="O2669" s="261"/>
      <c r="P2669" s="261"/>
      <c r="Q2669" s="261"/>
      <c r="BR2669" s="261"/>
      <c r="BS2669" s="261"/>
      <c r="BT2669" s="261"/>
      <c r="BU2669" s="261"/>
      <c r="BV2669" s="261"/>
    </row>
    <row r="2670" spans="12:74">
      <c r="L2670" s="261"/>
      <c r="M2670" s="261"/>
      <c r="N2670" s="261"/>
      <c r="O2670" s="261"/>
      <c r="P2670" s="261"/>
      <c r="Q2670" s="261"/>
      <c r="BR2670" s="261"/>
      <c r="BS2670" s="261"/>
      <c r="BT2670" s="261"/>
      <c r="BU2670" s="261"/>
      <c r="BV2670" s="261"/>
    </row>
    <row r="2671" spans="12:74">
      <c r="L2671" s="261"/>
      <c r="M2671" s="261"/>
      <c r="N2671" s="261"/>
      <c r="O2671" s="261"/>
      <c r="P2671" s="261"/>
      <c r="Q2671" s="261"/>
      <c r="BR2671" s="261"/>
      <c r="BS2671" s="261"/>
      <c r="BT2671" s="261"/>
      <c r="BU2671" s="261"/>
      <c r="BV2671" s="261"/>
    </row>
    <row r="2672" spans="12:74">
      <c r="L2672" s="261"/>
      <c r="M2672" s="261"/>
      <c r="N2672" s="261"/>
      <c r="O2672" s="261"/>
      <c r="P2672" s="261"/>
      <c r="Q2672" s="261"/>
      <c r="BR2672" s="261"/>
      <c r="BS2672" s="261"/>
      <c r="BT2672" s="261"/>
      <c r="BU2672" s="261"/>
      <c r="BV2672" s="261"/>
    </row>
    <row r="2673" spans="12:74">
      <c r="L2673" s="261"/>
      <c r="M2673" s="261"/>
      <c r="N2673" s="261"/>
      <c r="O2673" s="261"/>
      <c r="P2673" s="261"/>
      <c r="Q2673" s="261"/>
      <c r="BR2673" s="261"/>
      <c r="BS2673" s="261"/>
      <c r="BT2673" s="261"/>
      <c r="BU2673" s="261"/>
      <c r="BV2673" s="261"/>
    </row>
    <row r="2674" spans="12:74">
      <c r="L2674" s="261"/>
      <c r="M2674" s="261"/>
      <c r="N2674" s="261"/>
      <c r="O2674" s="261"/>
      <c r="P2674" s="261"/>
      <c r="Q2674" s="261"/>
      <c r="BR2674" s="261"/>
      <c r="BS2674" s="261"/>
      <c r="BT2674" s="261"/>
      <c r="BU2674" s="261"/>
      <c r="BV2674" s="261"/>
    </row>
    <row r="2675" spans="12:74">
      <c r="L2675" s="261"/>
      <c r="M2675" s="261"/>
      <c r="N2675" s="261"/>
      <c r="O2675" s="261"/>
      <c r="P2675" s="261"/>
      <c r="Q2675" s="261"/>
      <c r="BR2675" s="261"/>
      <c r="BS2675" s="261"/>
      <c r="BT2675" s="261"/>
      <c r="BU2675" s="261"/>
      <c r="BV2675" s="261"/>
    </row>
    <row r="2676" spans="12:74">
      <c r="L2676" s="261"/>
      <c r="M2676" s="261"/>
      <c r="N2676" s="261"/>
      <c r="O2676" s="261"/>
      <c r="P2676" s="261"/>
      <c r="Q2676" s="261"/>
      <c r="BR2676" s="261"/>
      <c r="BS2676" s="261"/>
      <c r="BT2676" s="261"/>
      <c r="BU2676" s="261"/>
      <c r="BV2676" s="261"/>
    </row>
    <row r="2677" spans="12:74">
      <c r="L2677" s="261"/>
      <c r="M2677" s="261"/>
      <c r="N2677" s="261"/>
      <c r="O2677" s="261"/>
      <c r="P2677" s="261"/>
      <c r="Q2677" s="261"/>
      <c r="BR2677" s="261"/>
      <c r="BS2677" s="261"/>
      <c r="BT2677" s="261"/>
      <c r="BU2677" s="261"/>
      <c r="BV2677" s="261"/>
    </row>
    <row r="2678" spans="12:74">
      <c r="L2678" s="261"/>
      <c r="M2678" s="261"/>
      <c r="N2678" s="261"/>
      <c r="O2678" s="261"/>
      <c r="P2678" s="261"/>
      <c r="Q2678" s="261"/>
      <c r="BR2678" s="261"/>
      <c r="BS2678" s="261"/>
      <c r="BT2678" s="261"/>
      <c r="BU2678" s="261"/>
      <c r="BV2678" s="261"/>
    </row>
    <row r="2679" spans="12:74">
      <c r="L2679" s="261"/>
      <c r="M2679" s="261"/>
      <c r="N2679" s="261"/>
      <c r="O2679" s="261"/>
      <c r="P2679" s="261"/>
      <c r="Q2679" s="261"/>
      <c r="BR2679" s="261"/>
      <c r="BS2679" s="261"/>
      <c r="BT2679" s="261"/>
      <c r="BU2679" s="261"/>
      <c r="BV2679" s="261"/>
    </row>
    <row r="2680" spans="12:74">
      <c r="L2680" s="261"/>
      <c r="M2680" s="261"/>
      <c r="N2680" s="261"/>
      <c r="O2680" s="261"/>
      <c r="P2680" s="261"/>
      <c r="Q2680" s="261"/>
      <c r="BR2680" s="261"/>
      <c r="BS2680" s="261"/>
      <c r="BT2680" s="261"/>
      <c r="BU2680" s="261"/>
      <c r="BV2680" s="261"/>
    </row>
    <row r="2681" spans="12:74">
      <c r="L2681" s="261"/>
      <c r="M2681" s="261"/>
      <c r="N2681" s="261"/>
      <c r="O2681" s="261"/>
      <c r="P2681" s="261"/>
      <c r="Q2681" s="261"/>
      <c r="BR2681" s="261"/>
      <c r="BS2681" s="261"/>
      <c r="BT2681" s="261"/>
      <c r="BU2681" s="261"/>
      <c r="BV2681" s="261"/>
    </row>
    <row r="2682" spans="12:74">
      <c r="L2682" s="261"/>
      <c r="M2682" s="261"/>
      <c r="N2682" s="261"/>
      <c r="O2682" s="261"/>
      <c r="P2682" s="261"/>
      <c r="Q2682" s="261"/>
      <c r="BR2682" s="261"/>
      <c r="BS2682" s="261"/>
      <c r="BT2682" s="261"/>
      <c r="BU2682" s="261"/>
      <c r="BV2682" s="261"/>
    </row>
    <row r="2683" spans="12:74">
      <c r="L2683" s="261"/>
      <c r="M2683" s="261"/>
      <c r="N2683" s="261"/>
      <c r="O2683" s="261"/>
      <c r="P2683" s="261"/>
      <c r="Q2683" s="261"/>
      <c r="BR2683" s="261"/>
      <c r="BS2683" s="261"/>
      <c r="BT2683" s="261"/>
      <c r="BU2683" s="261"/>
      <c r="BV2683" s="261"/>
    </row>
    <row r="2684" spans="12:74">
      <c r="L2684" s="261"/>
      <c r="M2684" s="261"/>
      <c r="N2684" s="261"/>
      <c r="O2684" s="261"/>
      <c r="P2684" s="261"/>
      <c r="Q2684" s="261"/>
      <c r="BR2684" s="261"/>
      <c r="BS2684" s="261"/>
      <c r="BT2684" s="261"/>
      <c r="BU2684" s="261"/>
      <c r="BV2684" s="261"/>
    </row>
    <row r="2685" spans="12:74">
      <c r="L2685" s="261"/>
      <c r="M2685" s="261"/>
      <c r="N2685" s="261"/>
      <c r="O2685" s="261"/>
      <c r="P2685" s="261"/>
      <c r="Q2685" s="261"/>
      <c r="BR2685" s="261"/>
      <c r="BS2685" s="261"/>
      <c r="BT2685" s="261"/>
      <c r="BU2685" s="261"/>
      <c r="BV2685" s="261"/>
    </row>
    <row r="2686" spans="12:74">
      <c r="L2686" s="261"/>
      <c r="M2686" s="261"/>
      <c r="N2686" s="261"/>
      <c r="O2686" s="261"/>
      <c r="P2686" s="261"/>
      <c r="Q2686" s="261"/>
      <c r="BR2686" s="261"/>
      <c r="BS2686" s="261"/>
      <c r="BT2686" s="261"/>
      <c r="BU2686" s="261"/>
      <c r="BV2686" s="261"/>
    </row>
    <row r="2687" spans="12:74">
      <c r="L2687" s="261"/>
      <c r="M2687" s="261"/>
      <c r="N2687" s="261"/>
      <c r="O2687" s="261"/>
      <c r="P2687" s="261"/>
      <c r="Q2687" s="261"/>
      <c r="BR2687" s="261"/>
      <c r="BS2687" s="261"/>
      <c r="BT2687" s="261"/>
      <c r="BU2687" s="261"/>
      <c r="BV2687" s="261"/>
    </row>
    <row r="2688" spans="12:74">
      <c r="L2688" s="261"/>
      <c r="M2688" s="261"/>
      <c r="N2688" s="261"/>
      <c r="O2688" s="261"/>
      <c r="P2688" s="261"/>
      <c r="Q2688" s="261"/>
      <c r="BR2688" s="261"/>
      <c r="BS2688" s="261"/>
      <c r="BT2688" s="261"/>
      <c r="BU2688" s="261"/>
      <c r="BV2688" s="261"/>
    </row>
    <row r="2689" spans="12:74">
      <c r="L2689" s="261"/>
      <c r="M2689" s="261"/>
      <c r="N2689" s="261"/>
      <c r="O2689" s="261"/>
      <c r="P2689" s="261"/>
      <c r="Q2689" s="261"/>
      <c r="BR2689" s="261"/>
      <c r="BS2689" s="261"/>
      <c r="BT2689" s="261"/>
      <c r="BU2689" s="261"/>
      <c r="BV2689" s="261"/>
    </row>
    <row r="2690" spans="12:74">
      <c r="L2690" s="261"/>
      <c r="M2690" s="261"/>
      <c r="N2690" s="261"/>
      <c r="O2690" s="261"/>
      <c r="P2690" s="261"/>
      <c r="Q2690" s="261"/>
      <c r="BR2690" s="261"/>
      <c r="BS2690" s="261"/>
      <c r="BT2690" s="261"/>
      <c r="BU2690" s="261"/>
      <c r="BV2690" s="261"/>
    </row>
    <row r="2691" spans="12:74">
      <c r="L2691" s="261"/>
      <c r="M2691" s="261"/>
      <c r="N2691" s="261"/>
      <c r="O2691" s="261"/>
      <c r="P2691" s="261"/>
      <c r="Q2691" s="261"/>
      <c r="BR2691" s="261"/>
      <c r="BS2691" s="261"/>
      <c r="BT2691" s="261"/>
      <c r="BU2691" s="261"/>
      <c r="BV2691" s="261"/>
    </row>
    <row r="2692" spans="12:74">
      <c r="L2692" s="261"/>
      <c r="M2692" s="261"/>
      <c r="N2692" s="261"/>
      <c r="O2692" s="261"/>
      <c r="P2692" s="261"/>
      <c r="Q2692" s="261"/>
      <c r="BR2692" s="261"/>
      <c r="BS2692" s="261"/>
      <c r="BT2692" s="261"/>
      <c r="BU2692" s="261"/>
      <c r="BV2692" s="261"/>
    </row>
    <row r="2693" spans="12:74">
      <c r="L2693" s="261"/>
      <c r="M2693" s="261"/>
      <c r="N2693" s="261"/>
      <c r="O2693" s="261"/>
      <c r="P2693" s="261"/>
      <c r="Q2693" s="261"/>
      <c r="BR2693" s="261"/>
      <c r="BS2693" s="261"/>
      <c r="BT2693" s="261"/>
      <c r="BU2693" s="261"/>
      <c r="BV2693" s="261"/>
    </row>
    <row r="2694" spans="12:74">
      <c r="L2694" s="261"/>
      <c r="M2694" s="261"/>
      <c r="N2694" s="261"/>
      <c r="O2694" s="261"/>
      <c r="P2694" s="261"/>
      <c r="Q2694" s="261"/>
      <c r="BR2694" s="261"/>
      <c r="BS2694" s="261"/>
      <c r="BT2694" s="261"/>
      <c r="BU2694" s="261"/>
      <c r="BV2694" s="261"/>
    </row>
    <row r="2695" spans="12:74">
      <c r="L2695" s="261"/>
      <c r="M2695" s="261"/>
      <c r="N2695" s="261"/>
      <c r="O2695" s="261"/>
      <c r="P2695" s="261"/>
      <c r="Q2695" s="261"/>
      <c r="BR2695" s="261"/>
      <c r="BS2695" s="261"/>
      <c r="BT2695" s="261"/>
      <c r="BU2695" s="261"/>
      <c r="BV2695" s="261"/>
    </row>
    <row r="2696" spans="12:74">
      <c r="L2696" s="261"/>
      <c r="M2696" s="261"/>
      <c r="N2696" s="261"/>
      <c r="O2696" s="261"/>
      <c r="P2696" s="261"/>
      <c r="Q2696" s="261"/>
      <c r="BR2696" s="261"/>
      <c r="BS2696" s="261"/>
      <c r="BT2696" s="261"/>
      <c r="BU2696" s="261"/>
      <c r="BV2696" s="261"/>
    </row>
    <row r="2697" spans="12:74">
      <c r="L2697" s="261"/>
      <c r="M2697" s="261"/>
      <c r="N2697" s="261"/>
      <c r="O2697" s="261"/>
      <c r="P2697" s="261"/>
      <c r="Q2697" s="261"/>
      <c r="BR2697" s="261"/>
      <c r="BS2697" s="261"/>
      <c r="BT2697" s="261"/>
      <c r="BU2697" s="261"/>
      <c r="BV2697" s="261"/>
    </row>
    <row r="2698" spans="12:74">
      <c r="L2698" s="261"/>
      <c r="M2698" s="261"/>
      <c r="N2698" s="261"/>
      <c r="O2698" s="261"/>
      <c r="P2698" s="261"/>
      <c r="Q2698" s="261"/>
      <c r="BR2698" s="261"/>
      <c r="BS2698" s="261"/>
      <c r="BT2698" s="261"/>
      <c r="BU2698" s="261"/>
      <c r="BV2698" s="261"/>
    </row>
    <row r="2699" spans="12:74">
      <c r="L2699" s="261"/>
      <c r="M2699" s="261"/>
      <c r="N2699" s="261"/>
      <c r="O2699" s="261"/>
      <c r="P2699" s="261"/>
      <c r="Q2699" s="261"/>
      <c r="BR2699" s="261"/>
      <c r="BS2699" s="261"/>
      <c r="BT2699" s="261"/>
      <c r="BU2699" s="261"/>
      <c r="BV2699" s="261"/>
    </row>
    <row r="2700" spans="12:74">
      <c r="L2700" s="261"/>
      <c r="M2700" s="261"/>
      <c r="N2700" s="261"/>
      <c r="O2700" s="261"/>
      <c r="P2700" s="261"/>
      <c r="Q2700" s="261"/>
      <c r="BR2700" s="261"/>
      <c r="BS2700" s="261"/>
      <c r="BT2700" s="261"/>
      <c r="BU2700" s="261"/>
      <c r="BV2700" s="261"/>
    </row>
    <row r="2701" spans="12:74">
      <c r="L2701" s="261"/>
      <c r="M2701" s="261"/>
      <c r="N2701" s="261"/>
      <c r="O2701" s="261"/>
      <c r="P2701" s="261"/>
      <c r="Q2701" s="261"/>
      <c r="BR2701" s="261"/>
      <c r="BS2701" s="261"/>
      <c r="BT2701" s="261"/>
      <c r="BU2701" s="261"/>
      <c r="BV2701" s="261"/>
    </row>
    <row r="2702" spans="12:74">
      <c r="L2702" s="261"/>
      <c r="M2702" s="261"/>
      <c r="N2702" s="261"/>
      <c r="O2702" s="261"/>
      <c r="P2702" s="261"/>
      <c r="Q2702" s="261"/>
      <c r="BR2702" s="261"/>
      <c r="BS2702" s="261"/>
      <c r="BT2702" s="261"/>
      <c r="BU2702" s="261"/>
      <c r="BV2702" s="261"/>
    </row>
    <row r="2703" spans="12:74">
      <c r="L2703" s="261"/>
      <c r="M2703" s="261"/>
      <c r="N2703" s="261"/>
      <c r="O2703" s="261"/>
      <c r="P2703" s="261"/>
      <c r="Q2703" s="261"/>
      <c r="BR2703" s="261"/>
      <c r="BS2703" s="261"/>
      <c r="BT2703" s="261"/>
      <c r="BU2703" s="261"/>
      <c r="BV2703" s="261"/>
    </row>
    <row r="2704" spans="12:74">
      <c r="L2704" s="261"/>
      <c r="M2704" s="261"/>
      <c r="N2704" s="261"/>
      <c r="O2704" s="261"/>
      <c r="P2704" s="261"/>
      <c r="Q2704" s="261"/>
      <c r="BR2704" s="261"/>
      <c r="BS2704" s="261"/>
      <c r="BT2704" s="261"/>
      <c r="BU2704" s="261"/>
      <c r="BV2704" s="261"/>
    </row>
    <row r="2705" spans="12:74">
      <c r="L2705" s="261"/>
      <c r="M2705" s="261"/>
      <c r="N2705" s="261"/>
      <c r="O2705" s="261"/>
      <c r="P2705" s="261"/>
      <c r="Q2705" s="261"/>
      <c r="BR2705" s="261"/>
      <c r="BS2705" s="261"/>
      <c r="BT2705" s="261"/>
      <c r="BU2705" s="261"/>
      <c r="BV2705" s="261"/>
    </row>
    <row r="2706" spans="12:74">
      <c r="L2706" s="261"/>
      <c r="M2706" s="261"/>
      <c r="N2706" s="261"/>
      <c r="O2706" s="261"/>
      <c r="P2706" s="261"/>
      <c r="Q2706" s="261"/>
      <c r="BR2706" s="261"/>
      <c r="BS2706" s="261"/>
      <c r="BT2706" s="261"/>
      <c r="BU2706" s="261"/>
      <c r="BV2706" s="261"/>
    </row>
    <row r="2707" spans="12:74">
      <c r="L2707" s="261"/>
      <c r="M2707" s="261"/>
      <c r="N2707" s="261"/>
      <c r="O2707" s="261"/>
      <c r="P2707" s="261"/>
      <c r="Q2707" s="261"/>
      <c r="BR2707" s="261"/>
      <c r="BS2707" s="261"/>
      <c r="BT2707" s="261"/>
      <c r="BU2707" s="261"/>
      <c r="BV2707" s="261"/>
    </row>
    <row r="2708" spans="12:74">
      <c r="L2708" s="261"/>
      <c r="M2708" s="261"/>
      <c r="N2708" s="261"/>
      <c r="O2708" s="261"/>
      <c r="P2708" s="261"/>
      <c r="Q2708" s="261"/>
      <c r="BR2708" s="261"/>
      <c r="BS2708" s="261"/>
      <c r="BT2708" s="261"/>
      <c r="BU2708" s="261"/>
      <c r="BV2708" s="261"/>
    </row>
    <row r="2709" spans="12:74">
      <c r="L2709" s="261"/>
      <c r="M2709" s="261"/>
      <c r="N2709" s="261"/>
      <c r="O2709" s="261"/>
      <c r="P2709" s="261"/>
      <c r="Q2709" s="261"/>
      <c r="BR2709" s="261"/>
      <c r="BS2709" s="261"/>
      <c r="BT2709" s="261"/>
      <c r="BU2709" s="261"/>
      <c r="BV2709" s="261"/>
    </row>
    <row r="2710" spans="12:74">
      <c r="L2710" s="261"/>
      <c r="M2710" s="261"/>
      <c r="N2710" s="261"/>
      <c r="O2710" s="261"/>
      <c r="P2710" s="261"/>
      <c r="Q2710" s="261"/>
      <c r="BR2710" s="261"/>
      <c r="BS2710" s="261"/>
      <c r="BT2710" s="261"/>
      <c r="BU2710" s="261"/>
      <c r="BV2710" s="261"/>
    </row>
    <row r="2711" spans="12:74">
      <c r="L2711" s="261"/>
      <c r="M2711" s="261"/>
      <c r="N2711" s="261"/>
      <c r="O2711" s="261"/>
      <c r="P2711" s="261"/>
      <c r="Q2711" s="261"/>
      <c r="BR2711" s="261"/>
      <c r="BS2711" s="261"/>
      <c r="BT2711" s="261"/>
      <c r="BU2711" s="261"/>
      <c r="BV2711" s="261"/>
    </row>
    <row r="2712" spans="12:74">
      <c r="L2712" s="261"/>
      <c r="M2712" s="261"/>
      <c r="N2712" s="261"/>
      <c r="O2712" s="261"/>
      <c r="P2712" s="261"/>
      <c r="Q2712" s="261"/>
      <c r="BR2712" s="261"/>
      <c r="BS2712" s="261"/>
      <c r="BT2712" s="261"/>
      <c r="BU2712" s="261"/>
      <c r="BV2712" s="261"/>
    </row>
    <row r="2713" spans="12:74">
      <c r="L2713" s="261"/>
      <c r="M2713" s="261"/>
      <c r="N2713" s="261"/>
      <c r="O2713" s="261"/>
      <c r="P2713" s="261"/>
      <c r="Q2713" s="261"/>
      <c r="BR2713" s="261"/>
      <c r="BS2713" s="261"/>
      <c r="BT2713" s="261"/>
      <c r="BU2713" s="261"/>
      <c r="BV2713" s="261"/>
    </row>
    <row r="2714" spans="12:74">
      <c r="L2714" s="261"/>
      <c r="M2714" s="261"/>
      <c r="N2714" s="261"/>
      <c r="O2714" s="261"/>
      <c r="P2714" s="261"/>
      <c r="Q2714" s="261"/>
      <c r="BR2714" s="261"/>
      <c r="BS2714" s="261"/>
      <c r="BT2714" s="261"/>
      <c r="BU2714" s="261"/>
      <c r="BV2714" s="261"/>
    </row>
    <row r="2715" spans="12:74">
      <c r="L2715" s="261"/>
      <c r="M2715" s="261"/>
      <c r="N2715" s="261"/>
      <c r="O2715" s="261"/>
      <c r="P2715" s="261"/>
      <c r="Q2715" s="261"/>
      <c r="BR2715" s="261"/>
      <c r="BS2715" s="261"/>
      <c r="BT2715" s="261"/>
      <c r="BU2715" s="261"/>
      <c r="BV2715" s="261"/>
    </row>
    <row r="2716" spans="12:74">
      <c r="L2716" s="261"/>
      <c r="M2716" s="261"/>
      <c r="N2716" s="261"/>
      <c r="O2716" s="261"/>
      <c r="P2716" s="261"/>
      <c r="Q2716" s="261"/>
      <c r="BR2716" s="261"/>
      <c r="BS2716" s="261"/>
      <c r="BT2716" s="261"/>
      <c r="BU2716" s="261"/>
      <c r="BV2716" s="261"/>
    </row>
    <row r="2717" spans="12:74">
      <c r="L2717" s="261"/>
      <c r="M2717" s="261"/>
      <c r="N2717" s="261"/>
      <c r="O2717" s="261"/>
      <c r="P2717" s="261"/>
      <c r="Q2717" s="261"/>
      <c r="BR2717" s="261"/>
      <c r="BS2717" s="261"/>
      <c r="BT2717" s="261"/>
      <c r="BU2717" s="261"/>
      <c r="BV2717" s="261"/>
    </row>
    <row r="2718" spans="12:74">
      <c r="L2718" s="261"/>
      <c r="M2718" s="261"/>
      <c r="N2718" s="261"/>
      <c r="O2718" s="261"/>
      <c r="P2718" s="261"/>
      <c r="Q2718" s="261"/>
      <c r="BR2718" s="261"/>
      <c r="BS2718" s="261"/>
      <c r="BT2718" s="261"/>
      <c r="BU2718" s="261"/>
      <c r="BV2718" s="261"/>
    </row>
    <row r="2719" spans="12:74">
      <c r="L2719" s="261"/>
      <c r="M2719" s="261"/>
      <c r="N2719" s="261"/>
      <c r="O2719" s="261"/>
      <c r="P2719" s="261"/>
      <c r="Q2719" s="261"/>
      <c r="BR2719" s="261"/>
      <c r="BS2719" s="261"/>
      <c r="BT2719" s="261"/>
      <c r="BU2719" s="261"/>
      <c r="BV2719" s="261"/>
    </row>
    <row r="2720" spans="12:74">
      <c r="L2720" s="261"/>
      <c r="M2720" s="261"/>
      <c r="N2720" s="261"/>
      <c r="O2720" s="261"/>
      <c r="P2720" s="261"/>
      <c r="Q2720" s="261"/>
      <c r="BR2720" s="261"/>
      <c r="BS2720" s="261"/>
      <c r="BT2720" s="261"/>
      <c r="BU2720" s="261"/>
      <c r="BV2720" s="261"/>
    </row>
    <row r="2721" spans="12:74">
      <c r="L2721" s="261"/>
      <c r="M2721" s="261"/>
      <c r="N2721" s="261"/>
      <c r="O2721" s="261"/>
      <c r="P2721" s="261"/>
      <c r="Q2721" s="261"/>
      <c r="BR2721" s="261"/>
      <c r="BS2721" s="261"/>
      <c r="BT2721" s="261"/>
      <c r="BU2721" s="261"/>
      <c r="BV2721" s="261"/>
    </row>
    <row r="2722" spans="12:74">
      <c r="L2722" s="261"/>
      <c r="M2722" s="261"/>
      <c r="N2722" s="261"/>
      <c r="O2722" s="261"/>
      <c r="P2722" s="261"/>
      <c r="Q2722" s="261"/>
      <c r="BR2722" s="261"/>
      <c r="BS2722" s="261"/>
      <c r="BT2722" s="261"/>
      <c r="BU2722" s="261"/>
      <c r="BV2722" s="261"/>
    </row>
    <row r="2723" spans="12:74">
      <c r="L2723" s="261"/>
      <c r="M2723" s="261"/>
      <c r="N2723" s="261"/>
      <c r="O2723" s="261"/>
      <c r="P2723" s="261"/>
      <c r="Q2723" s="261"/>
      <c r="BR2723" s="261"/>
      <c r="BS2723" s="261"/>
      <c r="BT2723" s="261"/>
      <c r="BU2723" s="261"/>
      <c r="BV2723" s="261"/>
    </row>
    <row r="2724" spans="12:74">
      <c r="L2724" s="261"/>
      <c r="M2724" s="261"/>
      <c r="N2724" s="261"/>
      <c r="O2724" s="261"/>
      <c r="P2724" s="261"/>
      <c r="Q2724" s="261"/>
      <c r="BR2724" s="261"/>
      <c r="BS2724" s="261"/>
      <c r="BT2724" s="261"/>
      <c r="BU2724" s="261"/>
      <c r="BV2724" s="261"/>
    </row>
    <row r="2725" spans="12:74">
      <c r="L2725" s="261"/>
      <c r="M2725" s="261"/>
      <c r="N2725" s="261"/>
      <c r="O2725" s="261"/>
      <c r="P2725" s="261"/>
      <c r="Q2725" s="261"/>
      <c r="BR2725" s="261"/>
      <c r="BS2725" s="261"/>
      <c r="BT2725" s="261"/>
      <c r="BU2725" s="261"/>
      <c r="BV2725" s="261"/>
    </row>
    <row r="2726" spans="12:74">
      <c r="L2726" s="261"/>
      <c r="M2726" s="261"/>
      <c r="N2726" s="261"/>
      <c r="O2726" s="261"/>
      <c r="P2726" s="261"/>
      <c r="Q2726" s="261"/>
      <c r="BR2726" s="261"/>
      <c r="BS2726" s="261"/>
      <c r="BT2726" s="261"/>
      <c r="BU2726" s="261"/>
      <c r="BV2726" s="261"/>
    </row>
    <row r="2727" spans="12:74">
      <c r="L2727" s="261"/>
      <c r="M2727" s="261"/>
      <c r="N2727" s="261"/>
      <c r="O2727" s="261"/>
      <c r="P2727" s="261"/>
      <c r="Q2727" s="261"/>
      <c r="BR2727" s="261"/>
      <c r="BS2727" s="261"/>
      <c r="BT2727" s="261"/>
      <c r="BU2727" s="261"/>
      <c r="BV2727" s="261"/>
    </row>
    <row r="2728" spans="12:74">
      <c r="L2728" s="261"/>
      <c r="M2728" s="261"/>
      <c r="N2728" s="261"/>
      <c r="O2728" s="261"/>
      <c r="P2728" s="261"/>
      <c r="Q2728" s="261"/>
      <c r="BR2728" s="261"/>
      <c r="BS2728" s="261"/>
      <c r="BT2728" s="261"/>
      <c r="BU2728" s="261"/>
      <c r="BV2728" s="261"/>
    </row>
    <row r="2729" spans="12:74">
      <c r="L2729" s="261"/>
      <c r="M2729" s="261"/>
      <c r="N2729" s="261"/>
      <c r="O2729" s="261"/>
      <c r="P2729" s="261"/>
      <c r="Q2729" s="261"/>
      <c r="BR2729" s="261"/>
      <c r="BS2729" s="261"/>
      <c r="BT2729" s="261"/>
      <c r="BU2729" s="261"/>
      <c r="BV2729" s="261"/>
    </row>
    <row r="2730" spans="12:74">
      <c r="L2730" s="261"/>
      <c r="M2730" s="261"/>
      <c r="N2730" s="261"/>
      <c r="O2730" s="261"/>
      <c r="P2730" s="261"/>
      <c r="Q2730" s="261"/>
      <c r="BR2730" s="261"/>
      <c r="BS2730" s="261"/>
      <c r="BT2730" s="261"/>
      <c r="BU2730" s="261"/>
      <c r="BV2730" s="261"/>
    </row>
    <row r="2731" spans="12:74">
      <c r="L2731" s="261"/>
      <c r="M2731" s="261"/>
      <c r="N2731" s="261"/>
      <c r="O2731" s="261"/>
      <c r="P2731" s="261"/>
      <c r="Q2731" s="261"/>
      <c r="BR2731" s="261"/>
      <c r="BS2731" s="261"/>
      <c r="BT2731" s="261"/>
      <c r="BU2731" s="261"/>
      <c r="BV2731" s="261"/>
    </row>
    <row r="2732" spans="12:74">
      <c r="L2732" s="261"/>
      <c r="M2732" s="261"/>
      <c r="N2732" s="261"/>
      <c r="O2732" s="261"/>
      <c r="P2732" s="261"/>
      <c r="Q2732" s="261"/>
      <c r="BR2732" s="261"/>
      <c r="BS2732" s="261"/>
      <c r="BT2732" s="261"/>
      <c r="BU2732" s="261"/>
      <c r="BV2732" s="261"/>
    </row>
    <row r="2733" spans="12:74">
      <c r="L2733" s="261"/>
      <c r="M2733" s="261"/>
      <c r="N2733" s="261"/>
      <c r="O2733" s="261"/>
      <c r="P2733" s="261"/>
      <c r="Q2733" s="261"/>
      <c r="BR2733" s="261"/>
      <c r="BS2733" s="261"/>
      <c r="BT2733" s="261"/>
      <c r="BU2733" s="261"/>
      <c r="BV2733" s="261"/>
    </row>
    <row r="2734" spans="12:74">
      <c r="L2734" s="261"/>
      <c r="M2734" s="261"/>
      <c r="N2734" s="261"/>
      <c r="O2734" s="261"/>
      <c r="P2734" s="261"/>
      <c r="Q2734" s="261"/>
      <c r="BR2734" s="261"/>
      <c r="BS2734" s="261"/>
      <c r="BT2734" s="261"/>
      <c r="BU2734" s="261"/>
      <c r="BV2734" s="261"/>
    </row>
    <row r="2735" spans="12:74">
      <c r="L2735" s="261"/>
      <c r="M2735" s="261"/>
      <c r="N2735" s="261"/>
      <c r="O2735" s="261"/>
      <c r="P2735" s="261"/>
      <c r="Q2735" s="261"/>
      <c r="BR2735" s="261"/>
      <c r="BS2735" s="261"/>
      <c r="BT2735" s="261"/>
      <c r="BU2735" s="261"/>
      <c r="BV2735" s="261"/>
    </row>
    <row r="2736" spans="12:74">
      <c r="L2736" s="261"/>
      <c r="M2736" s="261"/>
      <c r="N2736" s="261"/>
      <c r="O2736" s="261"/>
      <c r="P2736" s="261"/>
      <c r="Q2736" s="261"/>
      <c r="BR2736" s="261"/>
      <c r="BS2736" s="261"/>
      <c r="BT2736" s="261"/>
      <c r="BU2736" s="261"/>
      <c r="BV2736" s="261"/>
    </row>
    <row r="2737" spans="12:74">
      <c r="L2737" s="261"/>
      <c r="M2737" s="261"/>
      <c r="N2737" s="261"/>
      <c r="O2737" s="261"/>
      <c r="P2737" s="261"/>
      <c r="Q2737" s="261"/>
      <c r="BR2737" s="261"/>
      <c r="BS2737" s="261"/>
      <c r="BT2737" s="261"/>
      <c r="BU2737" s="261"/>
      <c r="BV2737" s="261"/>
    </row>
    <row r="2738" spans="12:74">
      <c r="L2738" s="261"/>
      <c r="M2738" s="261"/>
      <c r="N2738" s="261"/>
      <c r="O2738" s="261"/>
      <c r="P2738" s="261"/>
      <c r="Q2738" s="261"/>
      <c r="BR2738" s="261"/>
      <c r="BS2738" s="261"/>
      <c r="BT2738" s="261"/>
      <c r="BU2738" s="261"/>
      <c r="BV2738" s="261"/>
    </row>
    <row r="2739" spans="12:74">
      <c r="L2739" s="261"/>
      <c r="M2739" s="261"/>
      <c r="N2739" s="261"/>
      <c r="O2739" s="261"/>
      <c r="P2739" s="261"/>
      <c r="Q2739" s="261"/>
      <c r="BR2739" s="261"/>
      <c r="BS2739" s="261"/>
      <c r="BT2739" s="261"/>
      <c r="BU2739" s="261"/>
      <c r="BV2739" s="261"/>
    </row>
    <row r="2740" spans="12:74">
      <c r="L2740" s="261"/>
      <c r="M2740" s="261"/>
      <c r="N2740" s="261"/>
      <c r="O2740" s="261"/>
      <c r="P2740" s="261"/>
      <c r="Q2740" s="261"/>
      <c r="BR2740" s="261"/>
      <c r="BS2740" s="261"/>
      <c r="BT2740" s="261"/>
      <c r="BU2740" s="261"/>
      <c r="BV2740" s="261"/>
    </row>
    <row r="2741" spans="12:74">
      <c r="L2741" s="261"/>
      <c r="M2741" s="261"/>
      <c r="N2741" s="261"/>
      <c r="O2741" s="261"/>
      <c r="P2741" s="261"/>
      <c r="Q2741" s="261"/>
      <c r="BR2741" s="261"/>
      <c r="BS2741" s="261"/>
      <c r="BT2741" s="261"/>
      <c r="BU2741" s="261"/>
      <c r="BV2741" s="261"/>
    </row>
    <row r="2742" spans="12:74">
      <c r="L2742" s="261"/>
      <c r="M2742" s="261"/>
      <c r="N2742" s="261"/>
      <c r="O2742" s="261"/>
      <c r="P2742" s="261"/>
      <c r="Q2742" s="261"/>
      <c r="BR2742" s="261"/>
      <c r="BS2742" s="261"/>
      <c r="BT2742" s="261"/>
      <c r="BU2742" s="261"/>
      <c r="BV2742" s="261"/>
    </row>
    <row r="2743" spans="12:74">
      <c r="L2743" s="261"/>
      <c r="M2743" s="261"/>
      <c r="N2743" s="261"/>
      <c r="O2743" s="261"/>
      <c r="P2743" s="261"/>
      <c r="Q2743" s="261"/>
      <c r="BR2743" s="261"/>
      <c r="BS2743" s="261"/>
      <c r="BT2743" s="261"/>
      <c r="BU2743" s="261"/>
      <c r="BV2743" s="261"/>
    </row>
    <row r="2744" spans="12:74">
      <c r="L2744" s="261"/>
      <c r="M2744" s="261"/>
      <c r="N2744" s="261"/>
      <c r="O2744" s="261"/>
      <c r="P2744" s="261"/>
      <c r="Q2744" s="261"/>
      <c r="BR2744" s="261"/>
      <c r="BS2744" s="261"/>
      <c r="BT2744" s="261"/>
      <c r="BU2744" s="261"/>
      <c r="BV2744" s="261"/>
    </row>
    <row r="2745" spans="12:74">
      <c r="L2745" s="261"/>
      <c r="M2745" s="261"/>
      <c r="N2745" s="261"/>
      <c r="O2745" s="261"/>
      <c r="P2745" s="261"/>
      <c r="Q2745" s="261"/>
      <c r="BR2745" s="261"/>
      <c r="BS2745" s="261"/>
      <c r="BT2745" s="261"/>
      <c r="BU2745" s="261"/>
      <c r="BV2745" s="261"/>
    </row>
    <row r="2746" spans="12:74">
      <c r="L2746" s="261"/>
      <c r="M2746" s="261"/>
      <c r="N2746" s="261"/>
      <c r="O2746" s="261"/>
      <c r="P2746" s="261"/>
      <c r="Q2746" s="261"/>
      <c r="BR2746" s="261"/>
      <c r="BS2746" s="261"/>
      <c r="BT2746" s="261"/>
      <c r="BU2746" s="261"/>
      <c r="BV2746" s="261"/>
    </row>
    <row r="2747" spans="12:74">
      <c r="L2747" s="261"/>
      <c r="M2747" s="261"/>
      <c r="N2747" s="261"/>
      <c r="O2747" s="261"/>
      <c r="P2747" s="261"/>
      <c r="Q2747" s="261"/>
      <c r="BR2747" s="261"/>
      <c r="BS2747" s="261"/>
      <c r="BT2747" s="261"/>
      <c r="BU2747" s="261"/>
      <c r="BV2747" s="261"/>
    </row>
    <row r="2748" spans="12:74">
      <c r="L2748" s="261"/>
      <c r="M2748" s="261"/>
      <c r="N2748" s="261"/>
      <c r="O2748" s="261"/>
      <c r="P2748" s="261"/>
      <c r="Q2748" s="261"/>
      <c r="BR2748" s="261"/>
      <c r="BS2748" s="261"/>
      <c r="BT2748" s="261"/>
      <c r="BU2748" s="261"/>
      <c r="BV2748" s="261"/>
    </row>
    <row r="2749" spans="12:74">
      <c r="L2749" s="261"/>
      <c r="M2749" s="261"/>
      <c r="N2749" s="261"/>
      <c r="O2749" s="261"/>
      <c r="P2749" s="261"/>
      <c r="Q2749" s="261"/>
      <c r="BR2749" s="261"/>
      <c r="BS2749" s="261"/>
      <c r="BT2749" s="261"/>
      <c r="BU2749" s="261"/>
      <c r="BV2749" s="261"/>
    </row>
    <row r="2750" spans="12:74">
      <c r="L2750" s="261"/>
      <c r="M2750" s="261"/>
      <c r="N2750" s="261"/>
      <c r="O2750" s="261"/>
      <c r="P2750" s="261"/>
      <c r="Q2750" s="261"/>
      <c r="BR2750" s="261"/>
      <c r="BS2750" s="261"/>
      <c r="BT2750" s="261"/>
      <c r="BU2750" s="261"/>
      <c r="BV2750" s="261"/>
    </row>
    <row r="2751" spans="12:74">
      <c r="L2751" s="261"/>
      <c r="M2751" s="261"/>
      <c r="N2751" s="261"/>
      <c r="O2751" s="261"/>
      <c r="P2751" s="261"/>
      <c r="Q2751" s="261"/>
      <c r="BR2751" s="261"/>
      <c r="BS2751" s="261"/>
      <c r="BT2751" s="261"/>
      <c r="BU2751" s="261"/>
      <c r="BV2751" s="261"/>
    </row>
    <row r="2752" spans="12:74">
      <c r="L2752" s="261"/>
      <c r="M2752" s="261"/>
      <c r="N2752" s="261"/>
      <c r="O2752" s="261"/>
      <c r="P2752" s="261"/>
      <c r="Q2752" s="261"/>
      <c r="BR2752" s="261"/>
      <c r="BS2752" s="261"/>
      <c r="BT2752" s="261"/>
      <c r="BU2752" s="261"/>
      <c r="BV2752" s="261"/>
    </row>
    <row r="2753" spans="12:74">
      <c r="L2753" s="261"/>
      <c r="M2753" s="261"/>
      <c r="N2753" s="261"/>
      <c r="O2753" s="261"/>
      <c r="P2753" s="261"/>
      <c r="Q2753" s="261"/>
      <c r="BR2753" s="261"/>
      <c r="BS2753" s="261"/>
      <c r="BT2753" s="261"/>
      <c r="BU2753" s="261"/>
      <c r="BV2753" s="261"/>
    </row>
    <row r="2754" spans="12:74">
      <c r="L2754" s="261"/>
      <c r="M2754" s="261"/>
      <c r="N2754" s="261"/>
      <c r="O2754" s="261"/>
      <c r="P2754" s="261"/>
      <c r="Q2754" s="261"/>
      <c r="BR2754" s="261"/>
      <c r="BS2754" s="261"/>
      <c r="BT2754" s="261"/>
      <c r="BU2754" s="261"/>
      <c r="BV2754" s="261"/>
    </row>
    <row r="2755" spans="12:74">
      <c r="L2755" s="261"/>
      <c r="M2755" s="261"/>
      <c r="N2755" s="261"/>
      <c r="O2755" s="261"/>
      <c r="P2755" s="261"/>
      <c r="Q2755" s="261"/>
      <c r="BR2755" s="261"/>
      <c r="BS2755" s="261"/>
      <c r="BT2755" s="261"/>
      <c r="BU2755" s="261"/>
      <c r="BV2755" s="261"/>
    </row>
    <row r="2756" spans="12:74">
      <c r="L2756" s="261"/>
      <c r="M2756" s="261"/>
      <c r="N2756" s="261"/>
      <c r="O2756" s="261"/>
      <c r="P2756" s="261"/>
      <c r="Q2756" s="261"/>
      <c r="BR2756" s="261"/>
      <c r="BS2756" s="261"/>
      <c r="BT2756" s="261"/>
      <c r="BU2756" s="261"/>
      <c r="BV2756" s="261"/>
    </row>
    <row r="2757" spans="12:74">
      <c r="L2757" s="261"/>
      <c r="M2757" s="261"/>
      <c r="N2757" s="261"/>
      <c r="O2757" s="261"/>
      <c r="P2757" s="261"/>
      <c r="Q2757" s="261"/>
      <c r="BR2757" s="261"/>
      <c r="BS2757" s="261"/>
      <c r="BT2757" s="261"/>
      <c r="BU2757" s="261"/>
      <c r="BV2757" s="261"/>
    </row>
    <row r="2758" spans="12:74">
      <c r="L2758" s="261"/>
      <c r="M2758" s="261"/>
      <c r="N2758" s="261"/>
      <c r="O2758" s="261"/>
      <c r="P2758" s="261"/>
      <c r="Q2758" s="261"/>
      <c r="BR2758" s="261"/>
      <c r="BS2758" s="261"/>
      <c r="BT2758" s="261"/>
      <c r="BU2758" s="261"/>
      <c r="BV2758" s="261"/>
    </row>
    <row r="2759" spans="12:74">
      <c r="L2759" s="261"/>
      <c r="M2759" s="261"/>
      <c r="N2759" s="261"/>
      <c r="O2759" s="261"/>
      <c r="P2759" s="261"/>
      <c r="Q2759" s="261"/>
      <c r="BR2759" s="261"/>
      <c r="BS2759" s="261"/>
      <c r="BT2759" s="261"/>
      <c r="BU2759" s="261"/>
      <c r="BV2759" s="261"/>
    </row>
    <row r="2760" spans="12:74">
      <c r="L2760" s="261"/>
      <c r="M2760" s="261"/>
      <c r="N2760" s="261"/>
      <c r="O2760" s="261"/>
      <c r="P2760" s="261"/>
      <c r="Q2760" s="261"/>
      <c r="BR2760" s="261"/>
      <c r="BS2760" s="261"/>
      <c r="BT2760" s="261"/>
      <c r="BU2760" s="261"/>
      <c r="BV2760" s="261"/>
    </row>
    <row r="2761" spans="12:74">
      <c r="L2761" s="261"/>
      <c r="M2761" s="261"/>
      <c r="N2761" s="261"/>
      <c r="O2761" s="261"/>
      <c r="P2761" s="261"/>
      <c r="Q2761" s="261"/>
      <c r="BR2761" s="261"/>
      <c r="BS2761" s="261"/>
      <c r="BT2761" s="261"/>
      <c r="BU2761" s="261"/>
      <c r="BV2761" s="261"/>
    </row>
    <row r="2762" spans="12:74">
      <c r="L2762" s="261"/>
      <c r="M2762" s="261"/>
      <c r="N2762" s="261"/>
      <c r="O2762" s="261"/>
      <c r="P2762" s="261"/>
      <c r="Q2762" s="261"/>
      <c r="BR2762" s="261"/>
      <c r="BS2762" s="261"/>
      <c r="BT2762" s="261"/>
      <c r="BU2762" s="261"/>
      <c r="BV2762" s="261"/>
    </row>
    <row r="2763" spans="12:74">
      <c r="L2763" s="261"/>
      <c r="M2763" s="261"/>
      <c r="N2763" s="261"/>
      <c r="O2763" s="261"/>
      <c r="P2763" s="261"/>
      <c r="Q2763" s="261"/>
      <c r="BR2763" s="261"/>
      <c r="BS2763" s="261"/>
      <c r="BT2763" s="261"/>
      <c r="BU2763" s="261"/>
      <c r="BV2763" s="261"/>
    </row>
    <row r="2764" spans="12:74">
      <c r="L2764" s="261"/>
      <c r="M2764" s="261"/>
      <c r="N2764" s="261"/>
      <c r="O2764" s="261"/>
      <c r="P2764" s="261"/>
      <c r="Q2764" s="261"/>
      <c r="BR2764" s="261"/>
      <c r="BS2764" s="261"/>
      <c r="BT2764" s="261"/>
      <c r="BU2764" s="261"/>
      <c r="BV2764" s="261"/>
    </row>
    <row r="2765" spans="12:74">
      <c r="L2765" s="261"/>
      <c r="M2765" s="261"/>
      <c r="N2765" s="261"/>
      <c r="O2765" s="261"/>
      <c r="P2765" s="261"/>
      <c r="Q2765" s="261"/>
      <c r="BR2765" s="261"/>
      <c r="BS2765" s="261"/>
      <c r="BT2765" s="261"/>
      <c r="BU2765" s="261"/>
      <c r="BV2765" s="261"/>
    </row>
    <row r="2766" spans="12:74">
      <c r="L2766" s="261"/>
      <c r="M2766" s="261"/>
      <c r="N2766" s="261"/>
      <c r="O2766" s="261"/>
      <c r="P2766" s="261"/>
      <c r="Q2766" s="261"/>
      <c r="BR2766" s="261"/>
      <c r="BS2766" s="261"/>
      <c r="BT2766" s="261"/>
      <c r="BU2766" s="261"/>
      <c r="BV2766" s="261"/>
    </row>
    <row r="2767" spans="12:74">
      <c r="L2767" s="261"/>
      <c r="M2767" s="261"/>
      <c r="N2767" s="261"/>
      <c r="O2767" s="261"/>
      <c r="P2767" s="261"/>
      <c r="Q2767" s="261"/>
      <c r="BR2767" s="261"/>
      <c r="BS2767" s="261"/>
      <c r="BT2767" s="261"/>
      <c r="BU2767" s="261"/>
      <c r="BV2767" s="261"/>
    </row>
    <row r="2768" spans="12:74">
      <c r="L2768" s="261"/>
      <c r="M2768" s="261"/>
      <c r="N2768" s="261"/>
      <c r="O2768" s="261"/>
      <c r="P2768" s="261"/>
      <c r="Q2768" s="261"/>
      <c r="BR2768" s="261"/>
      <c r="BS2768" s="261"/>
      <c r="BT2768" s="261"/>
      <c r="BU2768" s="261"/>
      <c r="BV2768" s="261"/>
    </row>
    <row r="2769" spans="12:74">
      <c r="L2769" s="261"/>
      <c r="M2769" s="261"/>
      <c r="N2769" s="261"/>
      <c r="O2769" s="261"/>
      <c r="P2769" s="261"/>
      <c r="Q2769" s="261"/>
      <c r="BR2769" s="261"/>
      <c r="BS2769" s="261"/>
      <c r="BT2769" s="261"/>
      <c r="BU2769" s="261"/>
      <c r="BV2769" s="261"/>
    </row>
    <row r="2770" spans="12:74">
      <c r="L2770" s="261"/>
      <c r="M2770" s="261"/>
      <c r="N2770" s="261"/>
      <c r="O2770" s="261"/>
      <c r="P2770" s="261"/>
      <c r="Q2770" s="261"/>
      <c r="BR2770" s="261"/>
      <c r="BS2770" s="261"/>
      <c r="BT2770" s="261"/>
      <c r="BU2770" s="261"/>
      <c r="BV2770" s="261"/>
    </row>
    <row r="2771" spans="12:74">
      <c r="L2771" s="261"/>
      <c r="M2771" s="261"/>
      <c r="N2771" s="261"/>
      <c r="O2771" s="261"/>
      <c r="P2771" s="261"/>
      <c r="Q2771" s="261"/>
      <c r="BR2771" s="261"/>
      <c r="BS2771" s="261"/>
      <c r="BT2771" s="261"/>
      <c r="BU2771" s="261"/>
      <c r="BV2771" s="261"/>
    </row>
    <row r="2772" spans="12:74">
      <c r="L2772" s="261"/>
      <c r="M2772" s="261"/>
      <c r="N2772" s="261"/>
      <c r="O2772" s="261"/>
      <c r="P2772" s="261"/>
      <c r="Q2772" s="261"/>
      <c r="BR2772" s="261"/>
      <c r="BS2772" s="261"/>
      <c r="BT2772" s="261"/>
      <c r="BU2772" s="261"/>
      <c r="BV2772" s="261"/>
    </row>
    <row r="2773" spans="12:74">
      <c r="L2773" s="261"/>
      <c r="M2773" s="261"/>
      <c r="N2773" s="261"/>
      <c r="O2773" s="261"/>
      <c r="P2773" s="261"/>
      <c r="Q2773" s="261"/>
      <c r="BR2773" s="261"/>
      <c r="BS2773" s="261"/>
      <c r="BT2773" s="261"/>
      <c r="BU2773" s="261"/>
      <c r="BV2773" s="261"/>
    </row>
    <row r="2774" spans="12:74">
      <c r="L2774" s="261"/>
      <c r="M2774" s="261"/>
      <c r="N2774" s="261"/>
      <c r="O2774" s="261"/>
      <c r="P2774" s="261"/>
      <c r="Q2774" s="261"/>
      <c r="BR2774" s="261"/>
      <c r="BS2774" s="261"/>
      <c r="BT2774" s="261"/>
      <c r="BU2774" s="261"/>
      <c r="BV2774" s="261"/>
    </row>
    <row r="2775" spans="12:74">
      <c r="L2775" s="261"/>
      <c r="M2775" s="261"/>
      <c r="N2775" s="261"/>
      <c r="O2775" s="261"/>
      <c r="P2775" s="261"/>
      <c r="Q2775" s="261"/>
      <c r="BR2775" s="261"/>
      <c r="BS2775" s="261"/>
      <c r="BT2775" s="261"/>
      <c r="BU2775" s="261"/>
      <c r="BV2775" s="261"/>
    </row>
    <row r="2776" spans="12:74">
      <c r="L2776" s="261"/>
      <c r="M2776" s="261"/>
      <c r="N2776" s="261"/>
      <c r="O2776" s="261"/>
      <c r="P2776" s="261"/>
      <c r="Q2776" s="261"/>
      <c r="BR2776" s="261"/>
      <c r="BS2776" s="261"/>
      <c r="BT2776" s="261"/>
      <c r="BU2776" s="261"/>
      <c r="BV2776" s="261"/>
    </row>
    <row r="2777" spans="12:74">
      <c r="L2777" s="261"/>
      <c r="M2777" s="261"/>
      <c r="N2777" s="261"/>
      <c r="O2777" s="261"/>
      <c r="P2777" s="261"/>
      <c r="Q2777" s="261"/>
      <c r="BR2777" s="261"/>
      <c r="BS2777" s="261"/>
      <c r="BT2777" s="261"/>
      <c r="BU2777" s="261"/>
      <c r="BV2777" s="261"/>
    </row>
    <row r="2778" spans="12:74">
      <c r="L2778" s="261"/>
      <c r="M2778" s="261"/>
      <c r="N2778" s="261"/>
      <c r="O2778" s="261"/>
      <c r="P2778" s="261"/>
      <c r="Q2778" s="261"/>
      <c r="BR2778" s="261"/>
      <c r="BS2778" s="261"/>
      <c r="BT2778" s="261"/>
      <c r="BU2778" s="261"/>
      <c r="BV2778" s="261"/>
    </row>
    <row r="2779" spans="12:74">
      <c r="L2779" s="261"/>
      <c r="M2779" s="261"/>
      <c r="N2779" s="261"/>
      <c r="O2779" s="261"/>
      <c r="P2779" s="261"/>
      <c r="Q2779" s="261"/>
      <c r="BR2779" s="261"/>
      <c r="BS2779" s="261"/>
      <c r="BT2779" s="261"/>
      <c r="BU2779" s="261"/>
      <c r="BV2779" s="261"/>
    </row>
    <row r="2780" spans="12:74">
      <c r="L2780" s="261"/>
      <c r="M2780" s="261"/>
      <c r="N2780" s="261"/>
      <c r="O2780" s="261"/>
      <c r="P2780" s="261"/>
      <c r="Q2780" s="261"/>
      <c r="BR2780" s="261"/>
      <c r="BS2780" s="261"/>
      <c r="BT2780" s="261"/>
      <c r="BU2780" s="261"/>
      <c r="BV2780" s="261"/>
    </row>
    <row r="2781" spans="12:74">
      <c r="L2781" s="261"/>
      <c r="M2781" s="261"/>
      <c r="N2781" s="261"/>
      <c r="O2781" s="261"/>
      <c r="P2781" s="261"/>
      <c r="Q2781" s="261"/>
      <c r="BR2781" s="261"/>
      <c r="BS2781" s="261"/>
      <c r="BT2781" s="261"/>
      <c r="BU2781" s="261"/>
      <c r="BV2781" s="261"/>
    </row>
    <row r="2782" spans="12:74">
      <c r="L2782" s="261"/>
      <c r="M2782" s="261"/>
      <c r="N2782" s="261"/>
      <c r="O2782" s="261"/>
      <c r="P2782" s="261"/>
      <c r="Q2782" s="261"/>
      <c r="BR2782" s="261"/>
      <c r="BS2782" s="261"/>
      <c r="BT2782" s="261"/>
      <c r="BU2782" s="261"/>
      <c r="BV2782" s="261"/>
    </row>
    <row r="2783" spans="12:74">
      <c r="L2783" s="261"/>
      <c r="M2783" s="261"/>
      <c r="N2783" s="261"/>
      <c r="O2783" s="261"/>
      <c r="P2783" s="261"/>
      <c r="Q2783" s="261"/>
      <c r="BR2783" s="261"/>
      <c r="BS2783" s="261"/>
      <c r="BT2783" s="261"/>
      <c r="BU2783" s="261"/>
      <c r="BV2783" s="261"/>
    </row>
    <row r="2784" spans="12:74">
      <c r="L2784" s="261"/>
      <c r="M2784" s="261"/>
      <c r="N2784" s="261"/>
      <c r="O2784" s="261"/>
      <c r="P2784" s="261"/>
      <c r="Q2784" s="261"/>
      <c r="BR2784" s="261"/>
      <c r="BS2784" s="261"/>
      <c r="BT2784" s="261"/>
      <c r="BU2784" s="261"/>
      <c r="BV2784" s="261"/>
    </row>
    <row r="2785" spans="12:74">
      <c r="L2785" s="261"/>
      <c r="M2785" s="261"/>
      <c r="N2785" s="261"/>
      <c r="O2785" s="261"/>
      <c r="P2785" s="261"/>
      <c r="Q2785" s="261"/>
      <c r="BR2785" s="261"/>
      <c r="BS2785" s="261"/>
      <c r="BT2785" s="261"/>
      <c r="BU2785" s="261"/>
      <c r="BV2785" s="261"/>
    </row>
    <row r="2786" spans="12:74">
      <c r="L2786" s="261"/>
      <c r="M2786" s="261"/>
      <c r="N2786" s="261"/>
      <c r="O2786" s="261"/>
      <c r="P2786" s="261"/>
      <c r="Q2786" s="261"/>
      <c r="BR2786" s="261"/>
      <c r="BS2786" s="261"/>
      <c r="BT2786" s="261"/>
      <c r="BU2786" s="261"/>
      <c r="BV2786" s="261"/>
    </row>
    <row r="2787" spans="12:74">
      <c r="L2787" s="261"/>
      <c r="M2787" s="261"/>
      <c r="N2787" s="261"/>
      <c r="O2787" s="261"/>
      <c r="P2787" s="261"/>
      <c r="Q2787" s="261"/>
      <c r="BR2787" s="261"/>
      <c r="BS2787" s="261"/>
      <c r="BT2787" s="261"/>
      <c r="BU2787" s="261"/>
      <c r="BV2787" s="261"/>
    </row>
    <row r="2788" spans="12:74">
      <c r="L2788" s="261"/>
      <c r="M2788" s="261"/>
      <c r="N2788" s="261"/>
      <c r="O2788" s="261"/>
      <c r="P2788" s="261"/>
      <c r="Q2788" s="261"/>
      <c r="BR2788" s="261"/>
      <c r="BS2788" s="261"/>
      <c r="BT2788" s="261"/>
      <c r="BU2788" s="261"/>
      <c r="BV2788" s="261"/>
    </row>
    <row r="2789" spans="12:74">
      <c r="L2789" s="261"/>
      <c r="M2789" s="261"/>
      <c r="N2789" s="261"/>
      <c r="O2789" s="261"/>
      <c r="P2789" s="261"/>
      <c r="Q2789" s="261"/>
      <c r="BR2789" s="261"/>
      <c r="BS2789" s="261"/>
      <c r="BT2789" s="261"/>
      <c r="BU2789" s="261"/>
      <c r="BV2789" s="261"/>
    </row>
    <row r="2790" spans="12:74">
      <c r="L2790" s="261"/>
      <c r="M2790" s="261"/>
      <c r="N2790" s="261"/>
      <c r="O2790" s="261"/>
      <c r="P2790" s="261"/>
      <c r="Q2790" s="261"/>
      <c r="BR2790" s="261"/>
      <c r="BS2790" s="261"/>
      <c r="BT2790" s="261"/>
      <c r="BU2790" s="261"/>
      <c r="BV2790" s="261"/>
    </row>
    <row r="2791" spans="12:74">
      <c r="L2791" s="261"/>
      <c r="M2791" s="261"/>
      <c r="N2791" s="261"/>
      <c r="O2791" s="261"/>
      <c r="P2791" s="261"/>
      <c r="Q2791" s="261"/>
      <c r="BR2791" s="261"/>
      <c r="BS2791" s="261"/>
      <c r="BT2791" s="261"/>
      <c r="BU2791" s="261"/>
      <c r="BV2791" s="261"/>
    </row>
    <row r="2792" spans="12:74">
      <c r="L2792" s="261"/>
      <c r="M2792" s="261"/>
      <c r="N2792" s="261"/>
      <c r="O2792" s="261"/>
      <c r="P2792" s="261"/>
      <c r="Q2792" s="261"/>
      <c r="BR2792" s="261"/>
      <c r="BS2792" s="261"/>
      <c r="BT2792" s="261"/>
      <c r="BU2792" s="261"/>
      <c r="BV2792" s="261"/>
    </row>
    <row r="2793" spans="12:74">
      <c r="L2793" s="261"/>
      <c r="M2793" s="261"/>
      <c r="N2793" s="261"/>
      <c r="O2793" s="261"/>
      <c r="P2793" s="261"/>
      <c r="Q2793" s="261"/>
      <c r="BR2793" s="261"/>
      <c r="BS2793" s="261"/>
      <c r="BT2793" s="261"/>
      <c r="BU2793" s="261"/>
      <c r="BV2793" s="261"/>
    </row>
    <row r="2794" spans="12:74">
      <c r="L2794" s="261"/>
      <c r="M2794" s="261"/>
      <c r="N2794" s="261"/>
      <c r="O2794" s="261"/>
      <c r="P2794" s="261"/>
      <c r="Q2794" s="261"/>
      <c r="BR2794" s="261"/>
      <c r="BS2794" s="261"/>
      <c r="BT2794" s="261"/>
      <c r="BU2794" s="261"/>
      <c r="BV2794" s="261"/>
    </row>
    <row r="2795" spans="12:74">
      <c r="L2795" s="261"/>
      <c r="M2795" s="261"/>
      <c r="N2795" s="261"/>
      <c r="O2795" s="261"/>
      <c r="P2795" s="261"/>
      <c r="Q2795" s="261"/>
      <c r="BR2795" s="261"/>
      <c r="BS2795" s="261"/>
      <c r="BT2795" s="261"/>
      <c r="BU2795" s="261"/>
      <c r="BV2795" s="261"/>
    </row>
    <row r="2796" spans="12:74">
      <c r="L2796" s="261"/>
      <c r="M2796" s="261"/>
      <c r="N2796" s="261"/>
      <c r="O2796" s="261"/>
      <c r="P2796" s="261"/>
      <c r="Q2796" s="261"/>
      <c r="BR2796" s="261"/>
      <c r="BS2796" s="261"/>
      <c r="BT2796" s="261"/>
      <c r="BU2796" s="261"/>
      <c r="BV2796" s="261"/>
    </row>
    <row r="2797" spans="12:74">
      <c r="L2797" s="261"/>
      <c r="M2797" s="261"/>
      <c r="N2797" s="261"/>
      <c r="O2797" s="261"/>
      <c r="P2797" s="261"/>
      <c r="Q2797" s="261"/>
      <c r="BR2797" s="261"/>
      <c r="BS2797" s="261"/>
      <c r="BT2797" s="261"/>
      <c r="BU2797" s="261"/>
      <c r="BV2797" s="261"/>
    </row>
    <row r="2798" spans="12:74">
      <c r="L2798" s="261"/>
      <c r="M2798" s="261"/>
      <c r="N2798" s="261"/>
      <c r="O2798" s="261"/>
      <c r="P2798" s="261"/>
      <c r="Q2798" s="261"/>
      <c r="BR2798" s="261"/>
      <c r="BS2798" s="261"/>
      <c r="BT2798" s="261"/>
      <c r="BU2798" s="261"/>
      <c r="BV2798" s="261"/>
    </row>
    <row r="2799" spans="12:74">
      <c r="L2799" s="261"/>
      <c r="M2799" s="261"/>
      <c r="N2799" s="261"/>
      <c r="O2799" s="261"/>
      <c r="P2799" s="261"/>
      <c r="Q2799" s="261"/>
      <c r="BR2799" s="261"/>
      <c r="BS2799" s="261"/>
      <c r="BT2799" s="261"/>
      <c r="BU2799" s="261"/>
      <c r="BV2799" s="261"/>
    </row>
    <row r="2800" spans="12:74">
      <c r="L2800" s="261"/>
      <c r="M2800" s="261"/>
      <c r="N2800" s="261"/>
      <c r="O2800" s="261"/>
      <c r="P2800" s="261"/>
      <c r="Q2800" s="261"/>
      <c r="BR2800" s="261"/>
      <c r="BS2800" s="261"/>
      <c r="BT2800" s="261"/>
      <c r="BU2800" s="261"/>
      <c r="BV2800" s="261"/>
    </row>
    <row r="2801" spans="12:74">
      <c r="L2801" s="261"/>
      <c r="M2801" s="261"/>
      <c r="N2801" s="261"/>
      <c r="O2801" s="261"/>
      <c r="P2801" s="261"/>
      <c r="Q2801" s="261"/>
      <c r="BR2801" s="261"/>
      <c r="BS2801" s="261"/>
      <c r="BT2801" s="261"/>
      <c r="BU2801" s="261"/>
      <c r="BV2801" s="261"/>
    </row>
    <row r="2802" spans="12:74">
      <c r="L2802" s="261"/>
      <c r="M2802" s="261"/>
      <c r="N2802" s="261"/>
      <c r="O2802" s="261"/>
      <c r="P2802" s="261"/>
      <c r="Q2802" s="261"/>
      <c r="BR2802" s="261"/>
      <c r="BS2802" s="261"/>
      <c r="BT2802" s="261"/>
      <c r="BU2802" s="261"/>
      <c r="BV2802" s="261"/>
    </row>
    <row r="2803" spans="12:74">
      <c r="L2803" s="261"/>
      <c r="M2803" s="261"/>
      <c r="N2803" s="261"/>
      <c r="O2803" s="261"/>
      <c r="P2803" s="261"/>
      <c r="Q2803" s="261"/>
      <c r="BR2803" s="261"/>
      <c r="BS2803" s="261"/>
      <c r="BT2803" s="261"/>
      <c r="BU2803" s="261"/>
      <c r="BV2803" s="261"/>
    </row>
    <row r="2804" spans="12:74">
      <c r="L2804" s="261"/>
      <c r="M2804" s="261"/>
      <c r="N2804" s="261"/>
      <c r="O2804" s="261"/>
      <c r="P2804" s="261"/>
      <c r="Q2804" s="261"/>
      <c r="BR2804" s="261"/>
      <c r="BS2804" s="261"/>
      <c r="BT2804" s="261"/>
      <c r="BU2804" s="261"/>
      <c r="BV2804" s="261"/>
    </row>
    <row r="2805" spans="12:74">
      <c r="L2805" s="261"/>
      <c r="M2805" s="261"/>
      <c r="N2805" s="261"/>
      <c r="O2805" s="261"/>
      <c r="P2805" s="261"/>
      <c r="Q2805" s="261"/>
      <c r="BR2805" s="261"/>
      <c r="BS2805" s="261"/>
      <c r="BT2805" s="261"/>
      <c r="BU2805" s="261"/>
      <c r="BV2805" s="261"/>
    </row>
    <row r="2806" spans="12:74">
      <c r="L2806" s="261"/>
      <c r="M2806" s="261"/>
      <c r="N2806" s="261"/>
      <c r="O2806" s="261"/>
      <c r="P2806" s="261"/>
      <c r="Q2806" s="261"/>
      <c r="BR2806" s="261"/>
      <c r="BS2806" s="261"/>
      <c r="BT2806" s="261"/>
      <c r="BU2806" s="261"/>
      <c r="BV2806" s="261"/>
    </row>
    <row r="2807" spans="12:74">
      <c r="L2807" s="261"/>
      <c r="M2807" s="261"/>
      <c r="N2807" s="261"/>
      <c r="O2807" s="261"/>
      <c r="P2807" s="261"/>
      <c r="Q2807" s="261"/>
      <c r="BR2807" s="261"/>
      <c r="BS2807" s="261"/>
      <c r="BT2807" s="261"/>
      <c r="BU2807" s="261"/>
      <c r="BV2807" s="261"/>
    </row>
    <row r="2808" spans="12:74">
      <c r="L2808" s="261"/>
      <c r="M2808" s="261"/>
      <c r="N2808" s="261"/>
      <c r="O2808" s="261"/>
      <c r="P2808" s="261"/>
      <c r="Q2808" s="261"/>
      <c r="BR2808" s="261"/>
      <c r="BS2808" s="261"/>
      <c r="BT2808" s="261"/>
      <c r="BU2808" s="261"/>
      <c r="BV2808" s="261"/>
    </row>
    <row r="2809" spans="12:74">
      <c r="L2809" s="261"/>
      <c r="M2809" s="261"/>
      <c r="N2809" s="261"/>
      <c r="O2809" s="261"/>
      <c r="P2809" s="261"/>
      <c r="Q2809" s="261"/>
      <c r="BR2809" s="261"/>
      <c r="BS2809" s="261"/>
      <c r="BT2809" s="261"/>
      <c r="BU2809" s="261"/>
      <c r="BV2809" s="261"/>
    </row>
    <row r="2810" spans="12:74">
      <c r="L2810" s="261"/>
      <c r="M2810" s="261"/>
      <c r="N2810" s="261"/>
      <c r="O2810" s="261"/>
      <c r="P2810" s="261"/>
      <c r="Q2810" s="261"/>
      <c r="BR2810" s="261"/>
      <c r="BS2810" s="261"/>
      <c r="BT2810" s="261"/>
      <c r="BU2810" s="261"/>
      <c r="BV2810" s="261"/>
    </row>
    <row r="2811" spans="12:74">
      <c r="L2811" s="261"/>
      <c r="M2811" s="261"/>
      <c r="N2811" s="261"/>
      <c r="O2811" s="261"/>
      <c r="P2811" s="261"/>
      <c r="Q2811" s="261"/>
      <c r="BR2811" s="261"/>
      <c r="BS2811" s="261"/>
      <c r="BT2811" s="261"/>
      <c r="BU2811" s="261"/>
      <c r="BV2811" s="261"/>
    </row>
    <row r="2812" spans="12:74">
      <c r="L2812" s="261"/>
      <c r="M2812" s="261"/>
      <c r="N2812" s="261"/>
      <c r="O2812" s="261"/>
      <c r="P2812" s="261"/>
      <c r="Q2812" s="261"/>
      <c r="BR2812" s="261"/>
      <c r="BS2812" s="261"/>
      <c r="BT2812" s="261"/>
      <c r="BU2812" s="261"/>
      <c r="BV2812" s="261"/>
    </row>
    <row r="2813" spans="12:74">
      <c r="L2813" s="261"/>
      <c r="M2813" s="261"/>
      <c r="N2813" s="261"/>
      <c r="O2813" s="261"/>
      <c r="P2813" s="261"/>
      <c r="Q2813" s="261"/>
      <c r="BR2813" s="261"/>
      <c r="BS2813" s="261"/>
      <c r="BT2813" s="261"/>
      <c r="BU2813" s="261"/>
      <c r="BV2813" s="261"/>
    </row>
    <row r="2814" spans="12:74">
      <c r="L2814" s="261"/>
      <c r="M2814" s="261"/>
      <c r="N2814" s="261"/>
      <c r="O2814" s="261"/>
      <c r="P2814" s="261"/>
      <c r="Q2814" s="261"/>
      <c r="BR2814" s="261"/>
      <c r="BS2814" s="261"/>
      <c r="BT2814" s="261"/>
      <c r="BU2814" s="261"/>
      <c r="BV2814" s="261"/>
    </row>
    <row r="2815" spans="12:74">
      <c r="L2815" s="261"/>
      <c r="M2815" s="261"/>
      <c r="N2815" s="261"/>
      <c r="O2815" s="261"/>
      <c r="P2815" s="261"/>
      <c r="Q2815" s="261"/>
      <c r="BR2815" s="261"/>
      <c r="BS2815" s="261"/>
      <c r="BT2815" s="261"/>
      <c r="BU2815" s="261"/>
      <c r="BV2815" s="261"/>
    </row>
    <row r="2816" spans="12:74">
      <c r="L2816" s="261"/>
      <c r="M2816" s="261"/>
      <c r="N2816" s="261"/>
      <c r="O2816" s="261"/>
      <c r="P2816" s="261"/>
      <c r="Q2816" s="261"/>
      <c r="BR2816" s="261"/>
      <c r="BS2816" s="261"/>
      <c r="BT2816" s="261"/>
      <c r="BU2816" s="261"/>
      <c r="BV2816" s="261"/>
    </row>
    <row r="2817" spans="12:74">
      <c r="L2817" s="261"/>
      <c r="M2817" s="261"/>
      <c r="N2817" s="261"/>
      <c r="O2817" s="261"/>
      <c r="P2817" s="261"/>
      <c r="Q2817" s="261"/>
      <c r="BR2817" s="261"/>
      <c r="BS2817" s="261"/>
      <c r="BT2817" s="261"/>
      <c r="BU2817" s="261"/>
      <c r="BV2817" s="261"/>
    </row>
    <row r="2818" spans="12:74">
      <c r="L2818" s="261"/>
      <c r="M2818" s="261"/>
      <c r="N2818" s="261"/>
      <c r="O2818" s="261"/>
      <c r="P2818" s="261"/>
      <c r="Q2818" s="261"/>
      <c r="BR2818" s="261"/>
      <c r="BS2818" s="261"/>
      <c r="BT2818" s="261"/>
      <c r="BU2818" s="261"/>
      <c r="BV2818" s="261"/>
    </row>
    <row r="2819" spans="12:74">
      <c r="L2819" s="261"/>
      <c r="M2819" s="261"/>
      <c r="N2819" s="261"/>
      <c r="O2819" s="261"/>
      <c r="P2819" s="261"/>
      <c r="Q2819" s="261"/>
      <c r="BR2819" s="261"/>
      <c r="BS2819" s="261"/>
      <c r="BT2819" s="261"/>
      <c r="BU2819" s="261"/>
      <c r="BV2819" s="261"/>
    </row>
    <row r="2820" spans="12:74">
      <c r="L2820" s="261"/>
      <c r="M2820" s="261"/>
      <c r="N2820" s="261"/>
      <c r="O2820" s="261"/>
      <c r="P2820" s="261"/>
      <c r="Q2820" s="261"/>
      <c r="BR2820" s="261"/>
      <c r="BS2820" s="261"/>
      <c r="BT2820" s="261"/>
      <c r="BU2820" s="261"/>
      <c r="BV2820" s="261"/>
    </row>
    <row r="2821" spans="12:74">
      <c r="L2821" s="261"/>
      <c r="M2821" s="261"/>
      <c r="N2821" s="261"/>
      <c r="O2821" s="261"/>
      <c r="P2821" s="261"/>
      <c r="Q2821" s="261"/>
      <c r="BR2821" s="261"/>
      <c r="BS2821" s="261"/>
      <c r="BT2821" s="261"/>
      <c r="BU2821" s="261"/>
      <c r="BV2821" s="261"/>
    </row>
    <row r="2822" spans="12:74">
      <c r="L2822" s="261"/>
      <c r="M2822" s="261"/>
      <c r="N2822" s="261"/>
      <c r="O2822" s="261"/>
      <c r="P2822" s="261"/>
      <c r="Q2822" s="261"/>
      <c r="BR2822" s="261"/>
      <c r="BS2822" s="261"/>
      <c r="BT2822" s="261"/>
      <c r="BU2822" s="261"/>
      <c r="BV2822" s="261"/>
    </row>
    <row r="2823" spans="12:74">
      <c r="L2823" s="261"/>
      <c r="M2823" s="261"/>
      <c r="N2823" s="261"/>
      <c r="O2823" s="261"/>
      <c r="P2823" s="261"/>
      <c r="Q2823" s="261"/>
      <c r="BR2823" s="261"/>
      <c r="BS2823" s="261"/>
      <c r="BT2823" s="261"/>
      <c r="BU2823" s="261"/>
      <c r="BV2823" s="261"/>
    </row>
    <row r="2824" spans="12:74">
      <c r="L2824" s="261"/>
      <c r="M2824" s="261"/>
      <c r="N2824" s="261"/>
      <c r="O2824" s="261"/>
      <c r="P2824" s="261"/>
      <c r="Q2824" s="261"/>
      <c r="BR2824" s="261"/>
      <c r="BS2824" s="261"/>
      <c r="BT2824" s="261"/>
      <c r="BU2824" s="261"/>
      <c r="BV2824" s="261"/>
    </row>
    <row r="2825" spans="12:74">
      <c r="L2825" s="261"/>
      <c r="M2825" s="261"/>
      <c r="N2825" s="261"/>
      <c r="O2825" s="261"/>
      <c r="P2825" s="261"/>
      <c r="Q2825" s="261"/>
      <c r="BR2825" s="261"/>
      <c r="BS2825" s="261"/>
      <c r="BT2825" s="261"/>
      <c r="BU2825" s="261"/>
      <c r="BV2825" s="261"/>
    </row>
    <row r="2826" spans="12:74">
      <c r="L2826" s="261"/>
      <c r="M2826" s="261"/>
      <c r="N2826" s="261"/>
      <c r="O2826" s="261"/>
      <c r="P2826" s="261"/>
      <c r="Q2826" s="261"/>
      <c r="BR2826" s="261"/>
      <c r="BS2826" s="261"/>
      <c r="BT2826" s="261"/>
      <c r="BU2826" s="261"/>
      <c r="BV2826" s="261"/>
    </row>
    <row r="2827" spans="12:74">
      <c r="L2827" s="261"/>
      <c r="M2827" s="261"/>
      <c r="N2827" s="261"/>
      <c r="O2827" s="261"/>
      <c r="P2827" s="261"/>
      <c r="Q2827" s="261"/>
      <c r="BR2827" s="261"/>
      <c r="BS2827" s="261"/>
      <c r="BT2827" s="261"/>
      <c r="BU2827" s="261"/>
      <c r="BV2827" s="261"/>
    </row>
    <row r="2828" spans="12:74">
      <c r="L2828" s="261"/>
      <c r="M2828" s="261"/>
      <c r="N2828" s="261"/>
      <c r="O2828" s="261"/>
      <c r="P2828" s="261"/>
      <c r="Q2828" s="261"/>
      <c r="BR2828" s="261"/>
      <c r="BS2828" s="261"/>
      <c r="BT2828" s="261"/>
      <c r="BU2828" s="261"/>
      <c r="BV2828" s="261"/>
    </row>
    <row r="2829" spans="12:74">
      <c r="L2829" s="261"/>
      <c r="M2829" s="261"/>
      <c r="N2829" s="261"/>
      <c r="O2829" s="261"/>
      <c r="P2829" s="261"/>
      <c r="Q2829" s="261"/>
      <c r="BR2829" s="261"/>
      <c r="BS2829" s="261"/>
      <c r="BT2829" s="261"/>
      <c r="BU2829" s="261"/>
      <c r="BV2829" s="261"/>
    </row>
    <row r="2830" spans="12:74">
      <c r="L2830" s="261"/>
      <c r="M2830" s="261"/>
      <c r="N2830" s="261"/>
      <c r="O2830" s="261"/>
      <c r="P2830" s="261"/>
      <c r="Q2830" s="261"/>
      <c r="BR2830" s="261"/>
      <c r="BS2830" s="261"/>
      <c r="BT2830" s="261"/>
      <c r="BU2830" s="261"/>
      <c r="BV2830" s="261"/>
    </row>
    <row r="2831" spans="12:74">
      <c r="L2831" s="261"/>
      <c r="M2831" s="261"/>
      <c r="N2831" s="261"/>
      <c r="O2831" s="261"/>
      <c r="P2831" s="261"/>
      <c r="Q2831" s="261"/>
      <c r="BR2831" s="261"/>
      <c r="BS2831" s="261"/>
      <c r="BT2831" s="261"/>
      <c r="BU2831" s="261"/>
      <c r="BV2831" s="261"/>
    </row>
    <row r="2832" spans="12:74">
      <c r="L2832" s="261"/>
      <c r="M2832" s="261"/>
      <c r="N2832" s="261"/>
      <c r="O2832" s="261"/>
      <c r="P2832" s="261"/>
      <c r="Q2832" s="261"/>
      <c r="BR2832" s="261"/>
      <c r="BS2832" s="261"/>
      <c r="BT2832" s="261"/>
      <c r="BU2832" s="261"/>
      <c r="BV2832" s="261"/>
    </row>
    <row r="2833" spans="12:74">
      <c r="L2833" s="261"/>
      <c r="M2833" s="261"/>
      <c r="N2833" s="261"/>
      <c r="O2833" s="261"/>
      <c r="P2833" s="261"/>
      <c r="Q2833" s="261"/>
      <c r="BR2833" s="261"/>
      <c r="BS2833" s="261"/>
      <c r="BT2833" s="261"/>
      <c r="BU2833" s="261"/>
      <c r="BV2833" s="261"/>
    </row>
    <row r="2834" spans="12:74">
      <c r="L2834" s="261"/>
      <c r="M2834" s="261"/>
      <c r="N2834" s="261"/>
      <c r="O2834" s="261"/>
      <c r="P2834" s="261"/>
      <c r="Q2834" s="261"/>
      <c r="BR2834" s="261"/>
      <c r="BS2834" s="261"/>
      <c r="BT2834" s="261"/>
      <c r="BU2834" s="261"/>
      <c r="BV2834" s="261"/>
    </row>
    <row r="2835" spans="12:74">
      <c r="L2835" s="261"/>
      <c r="M2835" s="261"/>
      <c r="N2835" s="261"/>
      <c r="O2835" s="261"/>
      <c r="P2835" s="261"/>
      <c r="Q2835" s="261"/>
      <c r="BR2835" s="261"/>
      <c r="BS2835" s="261"/>
      <c r="BT2835" s="261"/>
      <c r="BU2835" s="261"/>
      <c r="BV2835" s="261"/>
    </row>
    <row r="2836" spans="12:74">
      <c r="L2836" s="261"/>
      <c r="M2836" s="261"/>
      <c r="N2836" s="261"/>
      <c r="O2836" s="261"/>
      <c r="P2836" s="261"/>
      <c r="Q2836" s="261"/>
      <c r="BR2836" s="261"/>
      <c r="BS2836" s="261"/>
      <c r="BT2836" s="261"/>
      <c r="BU2836" s="261"/>
      <c r="BV2836" s="261"/>
    </row>
    <row r="2837" spans="12:74">
      <c r="L2837" s="261"/>
      <c r="M2837" s="261"/>
      <c r="N2837" s="261"/>
      <c r="O2837" s="261"/>
      <c r="P2837" s="261"/>
      <c r="Q2837" s="261"/>
      <c r="BR2837" s="261"/>
      <c r="BS2837" s="261"/>
      <c r="BT2837" s="261"/>
      <c r="BU2837" s="261"/>
      <c r="BV2837" s="261"/>
    </row>
    <row r="2838" spans="12:74">
      <c r="L2838" s="261"/>
      <c r="M2838" s="261"/>
      <c r="N2838" s="261"/>
      <c r="O2838" s="261"/>
      <c r="P2838" s="261"/>
      <c r="Q2838" s="261"/>
      <c r="BR2838" s="261"/>
      <c r="BS2838" s="261"/>
      <c r="BT2838" s="261"/>
      <c r="BU2838" s="261"/>
      <c r="BV2838" s="261"/>
    </row>
    <row r="2839" spans="12:74">
      <c r="L2839" s="261"/>
      <c r="M2839" s="261"/>
      <c r="N2839" s="261"/>
      <c r="O2839" s="261"/>
      <c r="P2839" s="261"/>
      <c r="Q2839" s="261"/>
      <c r="BR2839" s="261"/>
      <c r="BS2839" s="261"/>
      <c r="BT2839" s="261"/>
      <c r="BU2839" s="261"/>
      <c r="BV2839" s="261"/>
    </row>
    <row r="2840" spans="12:74">
      <c r="L2840" s="261"/>
      <c r="M2840" s="261"/>
      <c r="N2840" s="261"/>
      <c r="O2840" s="261"/>
      <c r="P2840" s="261"/>
      <c r="Q2840" s="261"/>
      <c r="BR2840" s="261"/>
      <c r="BS2840" s="261"/>
      <c r="BT2840" s="261"/>
      <c r="BU2840" s="261"/>
      <c r="BV2840" s="261"/>
    </row>
    <row r="2841" spans="12:74">
      <c r="L2841" s="261"/>
      <c r="M2841" s="261"/>
      <c r="N2841" s="261"/>
      <c r="O2841" s="261"/>
      <c r="P2841" s="261"/>
      <c r="Q2841" s="261"/>
      <c r="BR2841" s="261"/>
      <c r="BS2841" s="261"/>
      <c r="BT2841" s="261"/>
      <c r="BU2841" s="261"/>
      <c r="BV2841" s="261"/>
    </row>
    <row r="2842" spans="12:74">
      <c r="L2842" s="261"/>
      <c r="M2842" s="261"/>
      <c r="N2842" s="261"/>
      <c r="O2842" s="261"/>
      <c r="P2842" s="261"/>
      <c r="Q2842" s="261"/>
      <c r="BR2842" s="261"/>
      <c r="BS2842" s="261"/>
      <c r="BT2842" s="261"/>
      <c r="BU2842" s="261"/>
      <c r="BV2842" s="261"/>
    </row>
    <row r="2843" spans="12:74">
      <c r="L2843" s="261"/>
      <c r="M2843" s="261"/>
      <c r="N2843" s="261"/>
      <c r="O2843" s="261"/>
      <c r="P2843" s="261"/>
      <c r="Q2843" s="261"/>
      <c r="BR2843" s="261"/>
      <c r="BS2843" s="261"/>
      <c r="BT2843" s="261"/>
      <c r="BU2843" s="261"/>
      <c r="BV2843" s="261"/>
    </row>
    <row r="2844" spans="12:74">
      <c r="L2844" s="261"/>
      <c r="M2844" s="261"/>
      <c r="N2844" s="261"/>
      <c r="O2844" s="261"/>
      <c r="P2844" s="261"/>
      <c r="Q2844" s="261"/>
      <c r="BR2844" s="261"/>
      <c r="BS2844" s="261"/>
      <c r="BT2844" s="261"/>
      <c r="BU2844" s="261"/>
      <c r="BV2844" s="261"/>
    </row>
    <row r="2845" spans="12:74">
      <c r="L2845" s="261"/>
      <c r="M2845" s="261"/>
      <c r="N2845" s="261"/>
      <c r="O2845" s="261"/>
      <c r="P2845" s="261"/>
      <c r="Q2845" s="261"/>
      <c r="BR2845" s="261"/>
      <c r="BS2845" s="261"/>
      <c r="BT2845" s="261"/>
      <c r="BU2845" s="261"/>
      <c r="BV2845" s="261"/>
    </row>
    <row r="2846" spans="12:74">
      <c r="L2846" s="261"/>
      <c r="M2846" s="261"/>
      <c r="N2846" s="261"/>
      <c r="O2846" s="261"/>
      <c r="P2846" s="261"/>
      <c r="Q2846" s="261"/>
      <c r="BR2846" s="261"/>
      <c r="BS2846" s="261"/>
      <c r="BT2846" s="261"/>
      <c r="BU2846" s="261"/>
      <c r="BV2846" s="261"/>
    </row>
    <row r="2847" spans="12:74">
      <c r="L2847" s="261"/>
      <c r="M2847" s="261"/>
      <c r="N2847" s="261"/>
      <c r="O2847" s="261"/>
      <c r="P2847" s="261"/>
      <c r="Q2847" s="261"/>
      <c r="BR2847" s="261"/>
      <c r="BS2847" s="261"/>
      <c r="BT2847" s="261"/>
      <c r="BU2847" s="261"/>
      <c r="BV2847" s="261"/>
    </row>
    <row r="2848" spans="12:74">
      <c r="L2848" s="261"/>
      <c r="M2848" s="261"/>
      <c r="N2848" s="261"/>
      <c r="O2848" s="261"/>
      <c r="P2848" s="261"/>
      <c r="Q2848" s="261"/>
      <c r="BR2848" s="261"/>
      <c r="BS2848" s="261"/>
      <c r="BT2848" s="261"/>
      <c r="BU2848" s="261"/>
      <c r="BV2848" s="261"/>
    </row>
    <row r="2849" spans="12:74">
      <c r="L2849" s="261"/>
      <c r="M2849" s="261"/>
      <c r="N2849" s="261"/>
      <c r="O2849" s="261"/>
      <c r="P2849" s="261"/>
      <c r="Q2849" s="261"/>
      <c r="BR2849" s="261"/>
      <c r="BS2849" s="261"/>
      <c r="BT2849" s="261"/>
      <c r="BU2849" s="261"/>
      <c r="BV2849" s="261"/>
    </row>
    <row r="2850" spans="12:74">
      <c r="L2850" s="261"/>
      <c r="M2850" s="261"/>
      <c r="N2850" s="261"/>
      <c r="O2850" s="261"/>
      <c r="P2850" s="261"/>
      <c r="Q2850" s="261"/>
      <c r="BR2850" s="261"/>
      <c r="BS2850" s="261"/>
      <c r="BT2850" s="261"/>
      <c r="BU2850" s="261"/>
      <c r="BV2850" s="261"/>
    </row>
    <row r="2851" spans="12:74">
      <c r="L2851" s="261"/>
      <c r="M2851" s="261"/>
      <c r="N2851" s="261"/>
      <c r="O2851" s="261"/>
      <c r="P2851" s="261"/>
      <c r="Q2851" s="261"/>
      <c r="BR2851" s="261"/>
      <c r="BS2851" s="261"/>
      <c r="BT2851" s="261"/>
      <c r="BU2851" s="261"/>
      <c r="BV2851" s="261"/>
    </row>
    <row r="2852" spans="12:74">
      <c r="L2852" s="261"/>
      <c r="M2852" s="261"/>
      <c r="N2852" s="261"/>
      <c r="O2852" s="261"/>
      <c r="P2852" s="261"/>
      <c r="Q2852" s="261"/>
      <c r="BR2852" s="261"/>
      <c r="BS2852" s="261"/>
      <c r="BT2852" s="261"/>
      <c r="BU2852" s="261"/>
      <c r="BV2852" s="261"/>
    </row>
    <row r="2853" spans="12:74">
      <c r="L2853" s="261"/>
      <c r="M2853" s="261"/>
      <c r="N2853" s="261"/>
      <c r="O2853" s="261"/>
      <c r="P2853" s="261"/>
      <c r="Q2853" s="261"/>
      <c r="BR2853" s="261"/>
      <c r="BS2853" s="261"/>
      <c r="BT2853" s="261"/>
      <c r="BU2853" s="261"/>
      <c r="BV2853" s="261"/>
    </row>
    <row r="2854" spans="12:74">
      <c r="L2854" s="261"/>
      <c r="M2854" s="261"/>
      <c r="N2854" s="261"/>
      <c r="O2854" s="261"/>
      <c r="P2854" s="261"/>
      <c r="Q2854" s="261"/>
      <c r="BR2854" s="261"/>
      <c r="BS2854" s="261"/>
      <c r="BT2854" s="261"/>
      <c r="BU2854" s="261"/>
      <c r="BV2854" s="261"/>
    </row>
    <row r="2855" spans="12:74">
      <c r="L2855" s="261"/>
      <c r="M2855" s="261"/>
      <c r="N2855" s="261"/>
      <c r="O2855" s="261"/>
      <c r="P2855" s="261"/>
      <c r="Q2855" s="261"/>
      <c r="BR2855" s="261"/>
      <c r="BS2855" s="261"/>
      <c r="BT2855" s="261"/>
      <c r="BU2855" s="261"/>
      <c r="BV2855" s="261"/>
    </row>
    <row r="2856" spans="12:74">
      <c r="L2856" s="261"/>
      <c r="M2856" s="261"/>
      <c r="N2856" s="261"/>
      <c r="O2856" s="261"/>
      <c r="P2856" s="261"/>
      <c r="Q2856" s="261"/>
      <c r="BR2856" s="261"/>
      <c r="BS2856" s="261"/>
      <c r="BT2856" s="261"/>
      <c r="BU2856" s="261"/>
      <c r="BV2856" s="261"/>
    </row>
    <row r="2857" spans="12:74">
      <c r="L2857" s="261"/>
      <c r="M2857" s="261"/>
      <c r="N2857" s="261"/>
      <c r="O2857" s="261"/>
      <c r="P2857" s="261"/>
      <c r="Q2857" s="261"/>
      <c r="BR2857" s="261"/>
      <c r="BS2857" s="261"/>
      <c r="BT2857" s="261"/>
      <c r="BU2857" s="261"/>
      <c r="BV2857" s="261"/>
    </row>
    <row r="2858" spans="12:74">
      <c r="L2858" s="261"/>
      <c r="M2858" s="261"/>
      <c r="N2858" s="261"/>
      <c r="O2858" s="261"/>
      <c r="P2858" s="261"/>
      <c r="Q2858" s="261"/>
      <c r="BR2858" s="261"/>
      <c r="BS2858" s="261"/>
      <c r="BT2858" s="261"/>
      <c r="BU2858" s="261"/>
      <c r="BV2858" s="261"/>
    </row>
    <row r="2859" spans="12:74">
      <c r="L2859" s="261"/>
      <c r="M2859" s="261"/>
      <c r="N2859" s="261"/>
      <c r="O2859" s="261"/>
      <c r="P2859" s="261"/>
      <c r="Q2859" s="261"/>
      <c r="BR2859" s="261"/>
      <c r="BS2859" s="261"/>
      <c r="BT2859" s="261"/>
      <c r="BU2859" s="261"/>
      <c r="BV2859" s="261"/>
    </row>
    <row r="2860" spans="12:74">
      <c r="L2860" s="261"/>
      <c r="M2860" s="261"/>
      <c r="N2860" s="261"/>
      <c r="O2860" s="261"/>
      <c r="P2860" s="261"/>
      <c r="Q2860" s="261"/>
      <c r="BR2860" s="261"/>
      <c r="BS2860" s="261"/>
      <c r="BT2860" s="261"/>
      <c r="BU2860" s="261"/>
      <c r="BV2860" s="261"/>
    </row>
    <row r="2861" spans="12:74">
      <c r="L2861" s="261"/>
      <c r="M2861" s="261"/>
      <c r="N2861" s="261"/>
      <c r="O2861" s="261"/>
      <c r="P2861" s="261"/>
      <c r="Q2861" s="261"/>
      <c r="BR2861" s="261"/>
      <c r="BS2861" s="261"/>
      <c r="BT2861" s="261"/>
      <c r="BU2861" s="261"/>
      <c r="BV2861" s="261"/>
    </row>
    <row r="2862" spans="12:74">
      <c r="L2862" s="261"/>
      <c r="M2862" s="261"/>
      <c r="N2862" s="261"/>
      <c r="O2862" s="261"/>
      <c r="P2862" s="261"/>
      <c r="Q2862" s="261"/>
      <c r="BR2862" s="261"/>
      <c r="BS2862" s="261"/>
      <c r="BT2862" s="261"/>
      <c r="BU2862" s="261"/>
      <c r="BV2862" s="261"/>
    </row>
    <row r="2863" spans="12:74">
      <c r="L2863" s="261"/>
      <c r="M2863" s="261"/>
      <c r="N2863" s="261"/>
      <c r="O2863" s="261"/>
      <c r="P2863" s="261"/>
      <c r="Q2863" s="261"/>
      <c r="BR2863" s="261"/>
      <c r="BS2863" s="261"/>
      <c r="BT2863" s="261"/>
      <c r="BU2863" s="261"/>
      <c r="BV2863" s="261"/>
    </row>
    <row r="2864" spans="12:74">
      <c r="L2864" s="261"/>
      <c r="M2864" s="261"/>
      <c r="N2864" s="261"/>
      <c r="O2864" s="261"/>
      <c r="P2864" s="261"/>
      <c r="Q2864" s="261"/>
      <c r="BR2864" s="261"/>
      <c r="BS2864" s="261"/>
      <c r="BT2864" s="261"/>
      <c r="BU2864" s="261"/>
      <c r="BV2864" s="261"/>
    </row>
    <row r="2865" spans="12:74">
      <c r="L2865" s="261"/>
      <c r="M2865" s="261"/>
      <c r="N2865" s="261"/>
      <c r="O2865" s="261"/>
      <c r="P2865" s="261"/>
      <c r="Q2865" s="261"/>
      <c r="BR2865" s="261"/>
      <c r="BS2865" s="261"/>
      <c r="BT2865" s="261"/>
      <c r="BU2865" s="261"/>
      <c r="BV2865" s="261"/>
    </row>
    <row r="2866" spans="12:74">
      <c r="L2866" s="261"/>
      <c r="M2866" s="261"/>
      <c r="N2866" s="261"/>
      <c r="O2866" s="261"/>
      <c r="P2866" s="261"/>
      <c r="Q2866" s="261"/>
      <c r="BR2866" s="261"/>
      <c r="BS2866" s="261"/>
      <c r="BT2866" s="261"/>
      <c r="BU2866" s="261"/>
      <c r="BV2866" s="261"/>
    </row>
    <row r="2867" spans="12:74">
      <c r="L2867" s="261"/>
      <c r="M2867" s="261"/>
      <c r="N2867" s="261"/>
      <c r="O2867" s="261"/>
      <c r="P2867" s="261"/>
      <c r="Q2867" s="261"/>
      <c r="BR2867" s="261"/>
      <c r="BS2867" s="261"/>
      <c r="BT2867" s="261"/>
      <c r="BU2867" s="261"/>
      <c r="BV2867" s="261"/>
    </row>
    <row r="2868" spans="12:74">
      <c r="L2868" s="261"/>
      <c r="M2868" s="261"/>
      <c r="N2868" s="261"/>
      <c r="O2868" s="261"/>
      <c r="P2868" s="261"/>
      <c r="Q2868" s="261"/>
      <c r="BR2868" s="261"/>
      <c r="BS2868" s="261"/>
      <c r="BT2868" s="261"/>
      <c r="BU2868" s="261"/>
      <c r="BV2868" s="261"/>
    </row>
    <row r="2869" spans="12:74">
      <c r="L2869" s="261"/>
      <c r="M2869" s="261"/>
      <c r="N2869" s="261"/>
      <c r="O2869" s="261"/>
      <c r="P2869" s="261"/>
      <c r="Q2869" s="261"/>
      <c r="BR2869" s="261"/>
      <c r="BS2869" s="261"/>
      <c r="BT2869" s="261"/>
      <c r="BU2869" s="261"/>
      <c r="BV2869" s="261"/>
    </row>
    <row r="2870" spans="12:74">
      <c r="L2870" s="261"/>
      <c r="M2870" s="261"/>
      <c r="N2870" s="261"/>
      <c r="O2870" s="261"/>
      <c r="P2870" s="261"/>
      <c r="Q2870" s="261"/>
      <c r="BR2870" s="261"/>
      <c r="BS2870" s="261"/>
      <c r="BT2870" s="261"/>
      <c r="BU2870" s="261"/>
      <c r="BV2870" s="261"/>
    </row>
    <row r="2871" spans="12:74">
      <c r="L2871" s="261"/>
      <c r="M2871" s="261"/>
      <c r="N2871" s="261"/>
      <c r="O2871" s="261"/>
      <c r="P2871" s="261"/>
      <c r="Q2871" s="261"/>
      <c r="BR2871" s="261"/>
      <c r="BS2871" s="261"/>
      <c r="BT2871" s="261"/>
      <c r="BU2871" s="261"/>
      <c r="BV2871" s="261"/>
    </row>
    <row r="2872" spans="12:74">
      <c r="L2872" s="261"/>
      <c r="M2872" s="261"/>
      <c r="N2872" s="261"/>
      <c r="O2872" s="261"/>
      <c r="P2872" s="261"/>
      <c r="Q2872" s="261"/>
      <c r="BR2872" s="261"/>
      <c r="BS2872" s="261"/>
      <c r="BT2872" s="261"/>
      <c r="BU2872" s="261"/>
      <c r="BV2872" s="261"/>
    </row>
    <row r="2873" spans="12:74">
      <c r="L2873" s="261"/>
      <c r="M2873" s="261"/>
      <c r="N2873" s="261"/>
      <c r="O2873" s="261"/>
      <c r="P2873" s="261"/>
      <c r="Q2873" s="261"/>
      <c r="BR2873" s="261"/>
      <c r="BS2873" s="261"/>
      <c r="BT2873" s="261"/>
      <c r="BU2873" s="261"/>
      <c r="BV2873" s="261"/>
    </row>
    <row r="2874" spans="12:74">
      <c r="L2874" s="261"/>
      <c r="M2874" s="261"/>
      <c r="N2874" s="261"/>
      <c r="O2874" s="261"/>
      <c r="P2874" s="261"/>
      <c r="Q2874" s="261"/>
      <c r="BR2874" s="261"/>
      <c r="BS2874" s="261"/>
      <c r="BT2874" s="261"/>
      <c r="BU2874" s="261"/>
      <c r="BV2874" s="261"/>
    </row>
    <row r="2875" spans="12:74">
      <c r="L2875" s="261"/>
      <c r="M2875" s="261"/>
      <c r="N2875" s="261"/>
      <c r="O2875" s="261"/>
      <c r="P2875" s="261"/>
      <c r="Q2875" s="261"/>
      <c r="BR2875" s="261"/>
      <c r="BS2875" s="261"/>
      <c r="BT2875" s="261"/>
      <c r="BU2875" s="261"/>
      <c r="BV2875" s="261"/>
    </row>
    <row r="2876" spans="12:74">
      <c r="L2876" s="261"/>
      <c r="M2876" s="261"/>
      <c r="N2876" s="261"/>
      <c r="O2876" s="261"/>
      <c r="P2876" s="261"/>
      <c r="Q2876" s="261"/>
      <c r="BR2876" s="261"/>
      <c r="BS2876" s="261"/>
      <c r="BT2876" s="261"/>
      <c r="BU2876" s="261"/>
      <c r="BV2876" s="261"/>
    </row>
    <row r="2877" spans="12:74">
      <c r="L2877" s="261"/>
      <c r="M2877" s="261"/>
      <c r="N2877" s="261"/>
      <c r="O2877" s="261"/>
      <c r="P2877" s="261"/>
      <c r="Q2877" s="261"/>
      <c r="BR2877" s="261"/>
      <c r="BS2877" s="261"/>
      <c r="BT2877" s="261"/>
      <c r="BU2877" s="261"/>
      <c r="BV2877" s="261"/>
    </row>
    <row r="2878" spans="12:74">
      <c r="L2878" s="261"/>
      <c r="M2878" s="261"/>
      <c r="N2878" s="261"/>
      <c r="O2878" s="261"/>
      <c r="P2878" s="261"/>
      <c r="Q2878" s="261"/>
      <c r="BR2878" s="261"/>
      <c r="BS2878" s="261"/>
      <c r="BT2878" s="261"/>
      <c r="BU2878" s="261"/>
      <c r="BV2878" s="261"/>
    </row>
    <row r="2879" spans="12:74">
      <c r="L2879" s="261"/>
      <c r="M2879" s="261"/>
      <c r="N2879" s="261"/>
      <c r="O2879" s="261"/>
      <c r="P2879" s="261"/>
      <c r="Q2879" s="261"/>
      <c r="BR2879" s="261"/>
      <c r="BS2879" s="261"/>
      <c r="BT2879" s="261"/>
      <c r="BU2879" s="261"/>
      <c r="BV2879" s="261"/>
    </row>
    <row r="2880" spans="12:74">
      <c r="L2880" s="261"/>
      <c r="M2880" s="261"/>
      <c r="N2880" s="261"/>
      <c r="O2880" s="261"/>
      <c r="P2880" s="261"/>
      <c r="Q2880" s="261"/>
      <c r="BR2880" s="261"/>
      <c r="BS2880" s="261"/>
      <c r="BT2880" s="261"/>
      <c r="BU2880" s="261"/>
      <c r="BV2880" s="261"/>
    </row>
    <row r="2881" spans="12:74">
      <c r="L2881" s="261"/>
      <c r="M2881" s="261"/>
      <c r="N2881" s="261"/>
      <c r="O2881" s="261"/>
      <c r="P2881" s="261"/>
      <c r="Q2881" s="261"/>
      <c r="BR2881" s="261"/>
      <c r="BS2881" s="261"/>
      <c r="BT2881" s="261"/>
      <c r="BU2881" s="261"/>
      <c r="BV2881" s="261"/>
    </row>
    <row r="2882" spans="12:74">
      <c r="L2882" s="261"/>
      <c r="M2882" s="261"/>
      <c r="N2882" s="261"/>
      <c r="O2882" s="261"/>
      <c r="P2882" s="261"/>
      <c r="Q2882" s="261"/>
      <c r="BR2882" s="261"/>
      <c r="BS2882" s="261"/>
      <c r="BT2882" s="261"/>
      <c r="BU2882" s="261"/>
      <c r="BV2882" s="261"/>
    </row>
    <row r="2883" spans="12:74">
      <c r="L2883" s="261"/>
      <c r="M2883" s="261"/>
      <c r="N2883" s="261"/>
      <c r="O2883" s="261"/>
      <c r="P2883" s="261"/>
      <c r="Q2883" s="261"/>
      <c r="BR2883" s="261"/>
      <c r="BS2883" s="261"/>
      <c r="BT2883" s="261"/>
      <c r="BU2883" s="261"/>
      <c r="BV2883" s="261"/>
    </row>
    <row r="2884" spans="12:74">
      <c r="L2884" s="261"/>
      <c r="M2884" s="261"/>
      <c r="N2884" s="261"/>
      <c r="O2884" s="261"/>
      <c r="P2884" s="261"/>
      <c r="Q2884" s="261"/>
      <c r="BR2884" s="261"/>
      <c r="BS2884" s="261"/>
      <c r="BT2884" s="261"/>
      <c r="BU2884" s="261"/>
      <c r="BV2884" s="261"/>
    </row>
    <row r="2885" spans="12:74">
      <c r="L2885" s="261"/>
      <c r="M2885" s="261"/>
      <c r="N2885" s="261"/>
      <c r="O2885" s="261"/>
      <c r="P2885" s="261"/>
      <c r="Q2885" s="261"/>
      <c r="BR2885" s="261"/>
      <c r="BS2885" s="261"/>
      <c r="BT2885" s="261"/>
      <c r="BU2885" s="261"/>
      <c r="BV2885" s="261"/>
    </row>
    <row r="2886" spans="12:74">
      <c r="L2886" s="261"/>
      <c r="M2886" s="261"/>
      <c r="N2886" s="261"/>
      <c r="O2886" s="261"/>
      <c r="P2886" s="261"/>
      <c r="Q2886" s="261"/>
      <c r="BR2886" s="261"/>
      <c r="BS2886" s="261"/>
      <c r="BT2886" s="261"/>
      <c r="BU2886" s="261"/>
      <c r="BV2886" s="261"/>
    </row>
    <row r="2887" spans="12:74">
      <c r="L2887" s="261"/>
      <c r="M2887" s="261"/>
      <c r="N2887" s="261"/>
      <c r="O2887" s="261"/>
      <c r="P2887" s="261"/>
      <c r="Q2887" s="261"/>
      <c r="BR2887" s="261"/>
      <c r="BS2887" s="261"/>
      <c r="BT2887" s="261"/>
      <c r="BU2887" s="261"/>
      <c r="BV2887" s="261"/>
    </row>
    <row r="2888" spans="12:74">
      <c r="L2888" s="261"/>
      <c r="M2888" s="261"/>
      <c r="N2888" s="261"/>
      <c r="O2888" s="261"/>
      <c r="P2888" s="261"/>
      <c r="Q2888" s="261"/>
      <c r="BR2888" s="261"/>
      <c r="BS2888" s="261"/>
      <c r="BT2888" s="261"/>
      <c r="BU2888" s="261"/>
      <c r="BV2888" s="261"/>
    </row>
    <row r="2889" spans="12:74">
      <c r="L2889" s="261"/>
      <c r="M2889" s="261"/>
      <c r="N2889" s="261"/>
      <c r="O2889" s="261"/>
      <c r="P2889" s="261"/>
      <c r="Q2889" s="261"/>
      <c r="BR2889" s="261"/>
      <c r="BS2889" s="261"/>
      <c r="BT2889" s="261"/>
      <c r="BU2889" s="261"/>
      <c r="BV2889" s="261"/>
    </row>
    <row r="2890" spans="12:74">
      <c r="L2890" s="261"/>
      <c r="M2890" s="261"/>
      <c r="N2890" s="261"/>
      <c r="O2890" s="261"/>
      <c r="P2890" s="261"/>
      <c r="Q2890" s="261"/>
      <c r="BR2890" s="261"/>
      <c r="BS2890" s="261"/>
      <c r="BT2890" s="261"/>
      <c r="BU2890" s="261"/>
      <c r="BV2890" s="261"/>
    </row>
    <row r="2891" spans="12:74">
      <c r="L2891" s="261"/>
      <c r="M2891" s="261"/>
      <c r="N2891" s="261"/>
      <c r="O2891" s="261"/>
      <c r="P2891" s="261"/>
      <c r="Q2891" s="261"/>
      <c r="BR2891" s="261"/>
      <c r="BS2891" s="261"/>
      <c r="BT2891" s="261"/>
      <c r="BU2891" s="261"/>
      <c r="BV2891" s="261"/>
    </row>
    <row r="2892" spans="12:74">
      <c r="L2892" s="261"/>
      <c r="M2892" s="261"/>
      <c r="N2892" s="261"/>
      <c r="O2892" s="261"/>
      <c r="P2892" s="261"/>
      <c r="Q2892" s="261"/>
      <c r="BR2892" s="261"/>
      <c r="BS2892" s="261"/>
      <c r="BT2892" s="261"/>
      <c r="BU2892" s="261"/>
      <c r="BV2892" s="261"/>
    </row>
    <row r="2893" spans="12:74">
      <c r="L2893" s="261"/>
      <c r="M2893" s="261"/>
      <c r="N2893" s="261"/>
      <c r="O2893" s="261"/>
      <c r="P2893" s="261"/>
      <c r="Q2893" s="261"/>
      <c r="BR2893" s="261"/>
      <c r="BS2893" s="261"/>
      <c r="BT2893" s="261"/>
      <c r="BU2893" s="261"/>
      <c r="BV2893" s="261"/>
    </row>
    <row r="2894" spans="12:74">
      <c r="L2894" s="261"/>
      <c r="M2894" s="261"/>
      <c r="N2894" s="261"/>
      <c r="O2894" s="261"/>
      <c r="P2894" s="261"/>
      <c r="Q2894" s="261"/>
      <c r="BR2894" s="261"/>
      <c r="BS2894" s="261"/>
      <c r="BT2894" s="261"/>
      <c r="BU2894" s="261"/>
      <c r="BV2894" s="261"/>
    </row>
    <row r="2895" spans="12:74">
      <c r="L2895" s="261"/>
      <c r="M2895" s="261"/>
      <c r="N2895" s="261"/>
      <c r="O2895" s="261"/>
      <c r="P2895" s="261"/>
      <c r="Q2895" s="261"/>
      <c r="BR2895" s="261"/>
      <c r="BS2895" s="261"/>
      <c r="BT2895" s="261"/>
      <c r="BU2895" s="261"/>
      <c r="BV2895" s="261"/>
    </row>
    <row r="2896" spans="12:74">
      <c r="L2896" s="261"/>
      <c r="M2896" s="261"/>
      <c r="N2896" s="261"/>
      <c r="O2896" s="261"/>
      <c r="P2896" s="261"/>
      <c r="Q2896" s="261"/>
      <c r="BR2896" s="261"/>
      <c r="BS2896" s="261"/>
      <c r="BT2896" s="261"/>
      <c r="BU2896" s="261"/>
      <c r="BV2896" s="261"/>
    </row>
    <row r="2897" spans="12:74">
      <c r="L2897" s="261"/>
      <c r="M2897" s="261"/>
      <c r="N2897" s="261"/>
      <c r="O2897" s="261"/>
      <c r="P2897" s="261"/>
      <c r="Q2897" s="261"/>
      <c r="BR2897" s="261"/>
      <c r="BS2897" s="261"/>
      <c r="BT2897" s="261"/>
      <c r="BU2897" s="261"/>
      <c r="BV2897" s="261"/>
    </row>
    <row r="2898" spans="12:74">
      <c r="L2898" s="261"/>
      <c r="M2898" s="261"/>
      <c r="N2898" s="261"/>
      <c r="O2898" s="261"/>
      <c r="P2898" s="261"/>
      <c r="Q2898" s="261"/>
      <c r="BR2898" s="261"/>
      <c r="BS2898" s="261"/>
      <c r="BT2898" s="261"/>
      <c r="BU2898" s="261"/>
      <c r="BV2898" s="261"/>
    </row>
    <row r="2899" spans="12:74">
      <c r="L2899" s="261"/>
      <c r="M2899" s="261"/>
      <c r="N2899" s="261"/>
      <c r="O2899" s="261"/>
      <c r="P2899" s="261"/>
      <c r="Q2899" s="261"/>
      <c r="BR2899" s="261"/>
      <c r="BS2899" s="261"/>
      <c r="BT2899" s="261"/>
      <c r="BU2899" s="261"/>
      <c r="BV2899" s="261"/>
    </row>
    <row r="2900" spans="12:74">
      <c r="L2900" s="261"/>
      <c r="M2900" s="261"/>
      <c r="N2900" s="261"/>
      <c r="O2900" s="261"/>
      <c r="P2900" s="261"/>
      <c r="Q2900" s="261"/>
      <c r="BR2900" s="261"/>
      <c r="BS2900" s="261"/>
      <c r="BT2900" s="261"/>
      <c r="BU2900" s="261"/>
      <c r="BV2900" s="261"/>
    </row>
    <row r="2901" spans="12:74">
      <c r="L2901" s="261"/>
      <c r="M2901" s="261"/>
      <c r="N2901" s="261"/>
      <c r="O2901" s="261"/>
      <c r="P2901" s="261"/>
      <c r="Q2901" s="261"/>
      <c r="BR2901" s="261"/>
      <c r="BS2901" s="261"/>
      <c r="BT2901" s="261"/>
      <c r="BU2901" s="261"/>
      <c r="BV2901" s="261"/>
    </row>
    <row r="2902" spans="12:74">
      <c r="L2902" s="261"/>
      <c r="M2902" s="261"/>
      <c r="N2902" s="261"/>
      <c r="O2902" s="261"/>
      <c r="P2902" s="261"/>
      <c r="Q2902" s="261"/>
      <c r="BR2902" s="261"/>
      <c r="BS2902" s="261"/>
      <c r="BT2902" s="261"/>
      <c r="BU2902" s="261"/>
      <c r="BV2902" s="261"/>
    </row>
    <row r="2903" spans="12:74">
      <c r="L2903" s="261"/>
      <c r="M2903" s="261"/>
      <c r="N2903" s="261"/>
      <c r="O2903" s="261"/>
      <c r="P2903" s="261"/>
      <c r="Q2903" s="261"/>
      <c r="BR2903" s="261"/>
      <c r="BS2903" s="261"/>
      <c r="BT2903" s="261"/>
      <c r="BU2903" s="261"/>
      <c r="BV2903" s="261"/>
    </row>
    <row r="2904" spans="12:74">
      <c r="L2904" s="261"/>
      <c r="M2904" s="261"/>
      <c r="N2904" s="261"/>
      <c r="O2904" s="261"/>
      <c r="P2904" s="261"/>
      <c r="Q2904" s="261"/>
      <c r="BR2904" s="261"/>
      <c r="BS2904" s="261"/>
      <c r="BT2904" s="261"/>
      <c r="BU2904" s="261"/>
      <c r="BV2904" s="261"/>
    </row>
    <row r="2905" spans="12:74">
      <c r="L2905" s="261"/>
      <c r="M2905" s="261"/>
      <c r="N2905" s="261"/>
      <c r="O2905" s="261"/>
      <c r="P2905" s="261"/>
      <c r="Q2905" s="261"/>
      <c r="BR2905" s="261"/>
      <c r="BS2905" s="261"/>
      <c r="BT2905" s="261"/>
      <c r="BU2905" s="261"/>
      <c r="BV2905" s="261"/>
    </row>
    <row r="2906" spans="12:74">
      <c r="L2906" s="261"/>
      <c r="M2906" s="261"/>
      <c r="N2906" s="261"/>
      <c r="O2906" s="261"/>
      <c r="P2906" s="261"/>
      <c r="Q2906" s="261"/>
      <c r="BR2906" s="261"/>
      <c r="BS2906" s="261"/>
      <c r="BT2906" s="261"/>
      <c r="BU2906" s="261"/>
      <c r="BV2906" s="261"/>
    </row>
    <row r="2907" spans="12:74">
      <c r="L2907" s="261"/>
      <c r="M2907" s="261"/>
      <c r="N2907" s="261"/>
      <c r="O2907" s="261"/>
      <c r="P2907" s="261"/>
      <c r="Q2907" s="261"/>
      <c r="BR2907" s="261"/>
      <c r="BS2907" s="261"/>
      <c r="BT2907" s="261"/>
      <c r="BU2907" s="261"/>
      <c r="BV2907" s="261"/>
    </row>
    <row r="2908" spans="12:74">
      <c r="L2908" s="261"/>
      <c r="M2908" s="261"/>
      <c r="N2908" s="261"/>
      <c r="O2908" s="261"/>
      <c r="P2908" s="261"/>
      <c r="Q2908" s="261"/>
      <c r="BR2908" s="261"/>
      <c r="BS2908" s="261"/>
      <c r="BT2908" s="261"/>
      <c r="BU2908" s="261"/>
      <c r="BV2908" s="261"/>
    </row>
    <row r="2909" spans="12:74">
      <c r="L2909" s="261"/>
      <c r="M2909" s="261"/>
      <c r="N2909" s="261"/>
      <c r="O2909" s="261"/>
      <c r="P2909" s="261"/>
      <c r="Q2909" s="261"/>
      <c r="BR2909" s="261"/>
      <c r="BS2909" s="261"/>
      <c r="BT2909" s="261"/>
      <c r="BU2909" s="261"/>
      <c r="BV2909" s="261"/>
    </row>
    <row r="2910" spans="12:74">
      <c r="L2910" s="261"/>
      <c r="M2910" s="261"/>
      <c r="N2910" s="261"/>
      <c r="O2910" s="261"/>
      <c r="P2910" s="261"/>
      <c r="Q2910" s="261"/>
      <c r="BR2910" s="261"/>
      <c r="BS2910" s="261"/>
      <c r="BT2910" s="261"/>
      <c r="BU2910" s="261"/>
      <c r="BV2910" s="261"/>
    </row>
    <row r="2911" spans="12:74">
      <c r="L2911" s="261"/>
      <c r="M2911" s="261"/>
      <c r="N2911" s="261"/>
      <c r="O2911" s="261"/>
      <c r="P2911" s="261"/>
      <c r="Q2911" s="261"/>
      <c r="BR2911" s="261"/>
      <c r="BS2911" s="261"/>
      <c r="BT2911" s="261"/>
      <c r="BU2911" s="261"/>
      <c r="BV2911" s="261"/>
    </row>
    <row r="2912" spans="12:74">
      <c r="L2912" s="261"/>
      <c r="M2912" s="261"/>
      <c r="N2912" s="261"/>
      <c r="O2912" s="261"/>
      <c r="P2912" s="261"/>
      <c r="Q2912" s="261"/>
      <c r="BR2912" s="261"/>
      <c r="BS2912" s="261"/>
      <c r="BT2912" s="261"/>
      <c r="BU2912" s="261"/>
      <c r="BV2912" s="261"/>
    </row>
    <row r="2913" spans="12:74">
      <c r="L2913" s="261"/>
      <c r="M2913" s="261"/>
      <c r="N2913" s="261"/>
      <c r="O2913" s="261"/>
      <c r="P2913" s="261"/>
      <c r="Q2913" s="261"/>
      <c r="BR2913" s="261"/>
      <c r="BS2913" s="261"/>
      <c r="BT2913" s="261"/>
      <c r="BU2913" s="261"/>
      <c r="BV2913" s="261"/>
    </row>
    <row r="2914" spans="12:74">
      <c r="L2914" s="261"/>
      <c r="M2914" s="261"/>
      <c r="N2914" s="261"/>
      <c r="O2914" s="261"/>
      <c r="P2914" s="261"/>
      <c r="Q2914" s="261"/>
      <c r="BR2914" s="261"/>
      <c r="BS2914" s="261"/>
      <c r="BT2914" s="261"/>
      <c r="BU2914" s="261"/>
      <c r="BV2914" s="261"/>
    </row>
    <row r="2915" spans="12:74">
      <c r="L2915" s="261"/>
      <c r="M2915" s="261"/>
      <c r="N2915" s="261"/>
      <c r="O2915" s="261"/>
      <c r="P2915" s="261"/>
      <c r="Q2915" s="261"/>
      <c r="BR2915" s="261"/>
      <c r="BS2915" s="261"/>
      <c r="BT2915" s="261"/>
      <c r="BU2915" s="261"/>
      <c r="BV2915" s="261"/>
    </row>
    <row r="2916" spans="12:74">
      <c r="L2916" s="261"/>
      <c r="M2916" s="261"/>
      <c r="N2916" s="261"/>
      <c r="O2916" s="261"/>
      <c r="P2916" s="261"/>
      <c r="Q2916" s="261"/>
      <c r="BR2916" s="261"/>
      <c r="BS2916" s="261"/>
      <c r="BT2916" s="261"/>
      <c r="BU2916" s="261"/>
      <c r="BV2916" s="261"/>
    </row>
    <row r="2917" spans="12:74">
      <c r="L2917" s="261"/>
      <c r="M2917" s="261"/>
      <c r="N2917" s="261"/>
      <c r="O2917" s="261"/>
      <c r="P2917" s="261"/>
      <c r="Q2917" s="261"/>
      <c r="BR2917" s="261"/>
      <c r="BS2917" s="261"/>
      <c r="BT2917" s="261"/>
      <c r="BU2917" s="261"/>
      <c r="BV2917" s="261"/>
    </row>
    <row r="2918" spans="12:74">
      <c r="L2918" s="261"/>
      <c r="M2918" s="261"/>
      <c r="N2918" s="261"/>
      <c r="O2918" s="261"/>
      <c r="P2918" s="261"/>
      <c r="Q2918" s="261"/>
      <c r="BR2918" s="261"/>
      <c r="BS2918" s="261"/>
      <c r="BT2918" s="261"/>
      <c r="BU2918" s="261"/>
      <c r="BV2918" s="261"/>
    </row>
    <row r="2919" spans="12:74">
      <c r="L2919" s="261"/>
      <c r="M2919" s="261"/>
      <c r="N2919" s="261"/>
      <c r="O2919" s="261"/>
      <c r="P2919" s="261"/>
      <c r="Q2919" s="261"/>
      <c r="BR2919" s="261"/>
      <c r="BS2919" s="261"/>
      <c r="BT2919" s="261"/>
      <c r="BU2919" s="261"/>
      <c r="BV2919" s="261"/>
    </row>
    <row r="2920" spans="12:74">
      <c r="L2920" s="261"/>
      <c r="M2920" s="261"/>
      <c r="N2920" s="261"/>
      <c r="O2920" s="261"/>
      <c r="P2920" s="261"/>
      <c r="Q2920" s="261"/>
      <c r="BR2920" s="261"/>
      <c r="BS2920" s="261"/>
      <c r="BT2920" s="261"/>
      <c r="BU2920" s="261"/>
      <c r="BV2920" s="261"/>
    </row>
    <row r="2921" spans="12:74">
      <c r="L2921" s="261"/>
      <c r="M2921" s="261"/>
      <c r="N2921" s="261"/>
      <c r="O2921" s="261"/>
      <c r="P2921" s="261"/>
      <c r="Q2921" s="261"/>
      <c r="BR2921" s="261"/>
      <c r="BS2921" s="261"/>
      <c r="BT2921" s="261"/>
      <c r="BU2921" s="261"/>
      <c r="BV2921" s="261"/>
    </row>
    <row r="2922" spans="12:74">
      <c r="L2922" s="261"/>
      <c r="M2922" s="261"/>
      <c r="N2922" s="261"/>
      <c r="O2922" s="261"/>
      <c r="P2922" s="261"/>
      <c r="Q2922" s="261"/>
      <c r="BR2922" s="261"/>
      <c r="BS2922" s="261"/>
      <c r="BT2922" s="261"/>
      <c r="BU2922" s="261"/>
      <c r="BV2922" s="261"/>
    </row>
    <row r="2923" spans="12:74">
      <c r="L2923" s="261"/>
      <c r="M2923" s="261"/>
      <c r="N2923" s="261"/>
      <c r="O2923" s="261"/>
      <c r="P2923" s="261"/>
      <c r="Q2923" s="261"/>
      <c r="BR2923" s="261"/>
      <c r="BS2923" s="261"/>
      <c r="BT2923" s="261"/>
      <c r="BU2923" s="261"/>
      <c r="BV2923" s="261"/>
    </row>
    <row r="2924" spans="12:74">
      <c r="L2924" s="261"/>
      <c r="M2924" s="261"/>
      <c r="N2924" s="261"/>
      <c r="O2924" s="261"/>
      <c r="P2924" s="261"/>
      <c r="Q2924" s="261"/>
      <c r="BR2924" s="261"/>
      <c r="BS2924" s="261"/>
      <c r="BT2924" s="261"/>
      <c r="BU2924" s="261"/>
      <c r="BV2924" s="261"/>
    </row>
    <row r="2925" spans="12:74">
      <c r="L2925" s="261"/>
      <c r="M2925" s="261"/>
      <c r="N2925" s="261"/>
      <c r="O2925" s="261"/>
      <c r="P2925" s="261"/>
      <c r="Q2925" s="261"/>
      <c r="BR2925" s="261"/>
      <c r="BS2925" s="261"/>
      <c r="BT2925" s="261"/>
      <c r="BU2925" s="261"/>
      <c r="BV2925" s="261"/>
    </row>
    <row r="2926" spans="12:74">
      <c r="L2926" s="261"/>
      <c r="M2926" s="261"/>
      <c r="N2926" s="261"/>
      <c r="O2926" s="261"/>
      <c r="P2926" s="261"/>
      <c r="Q2926" s="261"/>
      <c r="BR2926" s="261"/>
      <c r="BS2926" s="261"/>
      <c r="BT2926" s="261"/>
      <c r="BU2926" s="261"/>
      <c r="BV2926" s="261"/>
    </row>
    <row r="2927" spans="12:74">
      <c r="L2927" s="261"/>
      <c r="M2927" s="261"/>
      <c r="N2927" s="261"/>
      <c r="O2927" s="261"/>
      <c r="P2927" s="261"/>
      <c r="Q2927" s="261"/>
      <c r="BR2927" s="261"/>
      <c r="BS2927" s="261"/>
      <c r="BT2927" s="261"/>
      <c r="BU2927" s="261"/>
      <c r="BV2927" s="261"/>
    </row>
    <row r="2928" spans="12:74">
      <c r="L2928" s="261"/>
      <c r="M2928" s="261"/>
      <c r="N2928" s="261"/>
      <c r="O2928" s="261"/>
      <c r="P2928" s="261"/>
      <c r="Q2928" s="261"/>
      <c r="BR2928" s="261"/>
      <c r="BS2928" s="261"/>
      <c r="BT2928" s="261"/>
      <c r="BU2928" s="261"/>
      <c r="BV2928" s="261"/>
    </row>
    <row r="2929" spans="12:74">
      <c r="L2929" s="261"/>
      <c r="M2929" s="261"/>
      <c r="N2929" s="261"/>
      <c r="O2929" s="261"/>
      <c r="P2929" s="261"/>
      <c r="Q2929" s="261"/>
      <c r="BR2929" s="261"/>
      <c r="BS2929" s="261"/>
      <c r="BT2929" s="261"/>
      <c r="BU2929" s="261"/>
      <c r="BV2929" s="261"/>
    </row>
    <row r="2930" spans="12:74">
      <c r="L2930" s="261"/>
      <c r="M2930" s="261"/>
      <c r="N2930" s="261"/>
      <c r="O2930" s="261"/>
      <c r="P2930" s="261"/>
      <c r="Q2930" s="261"/>
      <c r="BR2930" s="261"/>
      <c r="BS2930" s="261"/>
      <c r="BT2930" s="261"/>
      <c r="BU2930" s="261"/>
      <c r="BV2930" s="261"/>
    </row>
    <row r="2931" spans="12:74">
      <c r="L2931" s="261"/>
      <c r="M2931" s="261"/>
      <c r="N2931" s="261"/>
      <c r="O2931" s="261"/>
      <c r="P2931" s="261"/>
      <c r="Q2931" s="261"/>
      <c r="BR2931" s="261"/>
      <c r="BS2931" s="261"/>
      <c r="BT2931" s="261"/>
      <c r="BU2931" s="261"/>
      <c r="BV2931" s="261"/>
    </row>
    <row r="2932" spans="12:74">
      <c r="L2932" s="261"/>
      <c r="M2932" s="261"/>
      <c r="N2932" s="261"/>
      <c r="O2932" s="261"/>
      <c r="P2932" s="261"/>
      <c r="Q2932" s="261"/>
      <c r="BR2932" s="261"/>
      <c r="BS2932" s="261"/>
      <c r="BT2932" s="261"/>
      <c r="BU2932" s="261"/>
      <c r="BV2932" s="261"/>
    </row>
    <row r="2933" spans="12:74">
      <c r="L2933" s="261"/>
      <c r="M2933" s="261"/>
      <c r="N2933" s="261"/>
      <c r="O2933" s="261"/>
      <c r="P2933" s="261"/>
      <c r="Q2933" s="261"/>
      <c r="BR2933" s="261"/>
      <c r="BS2933" s="261"/>
      <c r="BT2933" s="261"/>
      <c r="BU2933" s="261"/>
      <c r="BV2933" s="261"/>
    </row>
    <row r="2934" spans="12:74">
      <c r="L2934" s="261"/>
      <c r="M2934" s="261"/>
      <c r="N2934" s="261"/>
      <c r="O2934" s="261"/>
      <c r="P2934" s="261"/>
      <c r="Q2934" s="261"/>
      <c r="BR2934" s="261"/>
      <c r="BS2934" s="261"/>
      <c r="BT2934" s="261"/>
      <c r="BU2934" s="261"/>
      <c r="BV2934" s="261"/>
    </row>
    <row r="2935" spans="12:74">
      <c r="L2935" s="261"/>
      <c r="M2935" s="261"/>
      <c r="N2935" s="261"/>
      <c r="O2935" s="261"/>
      <c r="P2935" s="261"/>
      <c r="Q2935" s="261"/>
      <c r="BR2935" s="261"/>
      <c r="BS2935" s="261"/>
      <c r="BT2935" s="261"/>
      <c r="BU2935" s="261"/>
      <c r="BV2935" s="261"/>
    </row>
    <row r="2936" spans="12:74">
      <c r="L2936" s="261"/>
      <c r="M2936" s="261"/>
      <c r="N2936" s="261"/>
      <c r="O2936" s="261"/>
      <c r="P2936" s="261"/>
      <c r="Q2936" s="261"/>
      <c r="BR2936" s="261"/>
      <c r="BS2936" s="261"/>
      <c r="BT2936" s="261"/>
      <c r="BU2936" s="261"/>
      <c r="BV2936" s="261"/>
    </row>
    <row r="2937" spans="12:74">
      <c r="L2937" s="261"/>
      <c r="M2937" s="261"/>
      <c r="N2937" s="261"/>
      <c r="O2937" s="261"/>
      <c r="P2937" s="261"/>
      <c r="Q2937" s="261"/>
      <c r="BR2937" s="261"/>
      <c r="BS2937" s="261"/>
      <c r="BT2937" s="261"/>
      <c r="BU2937" s="261"/>
      <c r="BV2937" s="261"/>
    </row>
    <row r="2938" spans="12:74">
      <c r="L2938" s="261"/>
      <c r="M2938" s="261"/>
      <c r="N2938" s="261"/>
      <c r="O2938" s="261"/>
      <c r="P2938" s="261"/>
      <c r="Q2938" s="261"/>
      <c r="BR2938" s="261"/>
      <c r="BS2938" s="261"/>
      <c r="BT2938" s="261"/>
      <c r="BU2938" s="261"/>
      <c r="BV2938" s="261"/>
    </row>
    <row r="2939" spans="12:74">
      <c r="L2939" s="261"/>
      <c r="M2939" s="261"/>
      <c r="N2939" s="261"/>
      <c r="O2939" s="261"/>
      <c r="P2939" s="261"/>
      <c r="Q2939" s="261"/>
      <c r="BR2939" s="261"/>
      <c r="BS2939" s="261"/>
      <c r="BT2939" s="261"/>
      <c r="BU2939" s="261"/>
      <c r="BV2939" s="261"/>
    </row>
    <row r="2940" spans="12:74">
      <c r="L2940" s="261"/>
      <c r="M2940" s="261"/>
      <c r="N2940" s="261"/>
      <c r="O2940" s="261"/>
      <c r="P2940" s="261"/>
      <c r="Q2940" s="261"/>
      <c r="BR2940" s="261"/>
      <c r="BS2940" s="261"/>
      <c r="BT2940" s="261"/>
      <c r="BU2940" s="261"/>
      <c r="BV2940" s="261"/>
    </row>
    <row r="2941" spans="12:74">
      <c r="L2941" s="261"/>
      <c r="M2941" s="261"/>
      <c r="N2941" s="261"/>
      <c r="O2941" s="261"/>
      <c r="P2941" s="261"/>
      <c r="Q2941" s="261"/>
      <c r="BR2941" s="261"/>
      <c r="BS2941" s="261"/>
      <c r="BT2941" s="261"/>
      <c r="BU2941" s="261"/>
      <c r="BV2941" s="261"/>
    </row>
    <row r="2942" spans="12:74">
      <c r="L2942" s="261"/>
      <c r="M2942" s="261"/>
      <c r="N2942" s="261"/>
      <c r="O2942" s="261"/>
      <c r="P2942" s="261"/>
      <c r="Q2942" s="261"/>
      <c r="BR2942" s="261"/>
      <c r="BS2942" s="261"/>
      <c r="BT2942" s="261"/>
      <c r="BU2942" s="261"/>
      <c r="BV2942" s="261"/>
    </row>
    <row r="2943" spans="12:74">
      <c r="L2943" s="261"/>
      <c r="M2943" s="261"/>
      <c r="N2943" s="261"/>
      <c r="O2943" s="261"/>
      <c r="P2943" s="261"/>
      <c r="Q2943" s="261"/>
      <c r="BR2943" s="261"/>
      <c r="BS2943" s="261"/>
      <c r="BT2943" s="261"/>
      <c r="BU2943" s="261"/>
      <c r="BV2943" s="261"/>
    </row>
    <row r="2944" spans="12:74">
      <c r="L2944" s="261"/>
      <c r="M2944" s="261"/>
      <c r="N2944" s="261"/>
      <c r="O2944" s="261"/>
      <c r="P2944" s="261"/>
      <c r="Q2944" s="261"/>
      <c r="BR2944" s="261"/>
      <c r="BS2944" s="261"/>
      <c r="BT2944" s="261"/>
      <c r="BU2944" s="261"/>
      <c r="BV2944" s="261"/>
    </row>
    <row r="2945" spans="12:74">
      <c r="L2945" s="261"/>
      <c r="M2945" s="261"/>
      <c r="N2945" s="261"/>
      <c r="O2945" s="261"/>
      <c r="P2945" s="261"/>
      <c r="Q2945" s="261"/>
      <c r="BR2945" s="261"/>
      <c r="BS2945" s="261"/>
      <c r="BT2945" s="261"/>
      <c r="BU2945" s="261"/>
      <c r="BV2945" s="261"/>
    </row>
    <row r="2946" spans="12:74">
      <c r="L2946" s="261"/>
      <c r="M2946" s="261"/>
      <c r="N2946" s="261"/>
      <c r="O2946" s="261"/>
      <c r="P2946" s="261"/>
      <c r="Q2946" s="261"/>
      <c r="BR2946" s="261"/>
      <c r="BS2946" s="261"/>
      <c r="BT2946" s="261"/>
      <c r="BU2946" s="261"/>
      <c r="BV2946" s="261"/>
    </row>
    <row r="2947" spans="12:74">
      <c r="L2947" s="261"/>
      <c r="M2947" s="261"/>
      <c r="N2947" s="261"/>
      <c r="O2947" s="261"/>
      <c r="P2947" s="261"/>
      <c r="Q2947" s="261"/>
      <c r="BR2947" s="261"/>
      <c r="BS2947" s="261"/>
      <c r="BT2947" s="261"/>
      <c r="BU2947" s="261"/>
      <c r="BV2947" s="261"/>
    </row>
    <row r="2948" spans="12:74">
      <c r="L2948" s="261"/>
      <c r="M2948" s="261"/>
      <c r="N2948" s="261"/>
      <c r="O2948" s="261"/>
      <c r="P2948" s="261"/>
      <c r="Q2948" s="261"/>
      <c r="BR2948" s="261"/>
      <c r="BS2948" s="261"/>
      <c r="BT2948" s="261"/>
      <c r="BU2948" s="261"/>
      <c r="BV2948" s="261"/>
    </row>
    <row r="2949" spans="12:74">
      <c r="L2949" s="261"/>
      <c r="M2949" s="261"/>
      <c r="N2949" s="261"/>
      <c r="O2949" s="261"/>
      <c r="P2949" s="261"/>
      <c r="Q2949" s="261"/>
      <c r="BR2949" s="261"/>
      <c r="BS2949" s="261"/>
      <c r="BT2949" s="261"/>
      <c r="BU2949" s="261"/>
      <c r="BV2949" s="261"/>
    </row>
    <row r="2950" spans="12:74">
      <c r="L2950" s="261"/>
      <c r="M2950" s="261"/>
      <c r="N2950" s="261"/>
      <c r="O2950" s="261"/>
      <c r="P2950" s="261"/>
      <c r="Q2950" s="261"/>
      <c r="BR2950" s="261"/>
      <c r="BS2950" s="261"/>
      <c r="BT2950" s="261"/>
      <c r="BU2950" s="261"/>
      <c r="BV2950" s="261"/>
    </row>
    <row r="2951" spans="12:74">
      <c r="L2951" s="261"/>
      <c r="M2951" s="261"/>
      <c r="N2951" s="261"/>
      <c r="O2951" s="261"/>
      <c r="P2951" s="261"/>
      <c r="Q2951" s="261"/>
      <c r="BR2951" s="261"/>
      <c r="BS2951" s="261"/>
      <c r="BT2951" s="261"/>
      <c r="BU2951" s="261"/>
      <c r="BV2951" s="261"/>
    </row>
    <row r="2952" spans="12:74">
      <c r="L2952" s="261"/>
      <c r="M2952" s="261"/>
      <c r="N2952" s="261"/>
      <c r="O2952" s="261"/>
      <c r="P2952" s="261"/>
      <c r="Q2952" s="261"/>
      <c r="BR2952" s="261"/>
      <c r="BS2952" s="261"/>
      <c r="BT2952" s="261"/>
      <c r="BU2952" s="261"/>
      <c r="BV2952" s="261"/>
    </row>
    <row r="2953" spans="12:74">
      <c r="L2953" s="261"/>
      <c r="M2953" s="261"/>
      <c r="N2953" s="261"/>
      <c r="O2953" s="261"/>
      <c r="P2953" s="261"/>
      <c r="Q2953" s="261"/>
      <c r="BR2953" s="261"/>
      <c r="BS2953" s="261"/>
      <c r="BT2953" s="261"/>
      <c r="BU2953" s="261"/>
      <c r="BV2953" s="261"/>
    </row>
    <row r="2954" spans="12:74">
      <c r="L2954" s="261"/>
      <c r="M2954" s="261"/>
      <c r="N2954" s="261"/>
      <c r="O2954" s="261"/>
      <c r="P2954" s="261"/>
      <c r="Q2954" s="261"/>
      <c r="BR2954" s="261"/>
      <c r="BS2954" s="261"/>
      <c r="BT2954" s="261"/>
      <c r="BU2954" s="261"/>
      <c r="BV2954" s="261"/>
    </row>
    <row r="2955" spans="12:74">
      <c r="L2955" s="261"/>
      <c r="M2955" s="261"/>
      <c r="N2955" s="261"/>
      <c r="O2955" s="261"/>
      <c r="P2955" s="261"/>
      <c r="Q2955" s="261"/>
      <c r="BR2955" s="261"/>
      <c r="BS2955" s="261"/>
      <c r="BT2955" s="261"/>
      <c r="BU2955" s="261"/>
      <c r="BV2955" s="261"/>
    </row>
    <row r="2956" spans="12:74">
      <c r="L2956" s="261"/>
      <c r="M2956" s="261"/>
      <c r="N2956" s="261"/>
      <c r="O2956" s="261"/>
      <c r="P2956" s="261"/>
      <c r="Q2956" s="261"/>
      <c r="BR2956" s="261"/>
      <c r="BS2956" s="261"/>
      <c r="BT2956" s="261"/>
      <c r="BU2956" s="261"/>
      <c r="BV2956" s="261"/>
    </row>
    <row r="2957" spans="12:74">
      <c r="L2957" s="261"/>
      <c r="M2957" s="261"/>
      <c r="N2957" s="261"/>
      <c r="O2957" s="261"/>
      <c r="P2957" s="261"/>
      <c r="Q2957" s="261"/>
      <c r="BR2957" s="261"/>
      <c r="BS2957" s="261"/>
      <c r="BT2957" s="261"/>
      <c r="BU2957" s="261"/>
      <c r="BV2957" s="261"/>
    </row>
    <row r="2958" spans="12:74">
      <c r="L2958" s="261"/>
      <c r="M2958" s="261"/>
      <c r="N2958" s="261"/>
      <c r="O2958" s="261"/>
      <c r="P2958" s="261"/>
      <c r="Q2958" s="261"/>
      <c r="BR2958" s="261"/>
      <c r="BS2958" s="261"/>
      <c r="BT2958" s="261"/>
      <c r="BU2958" s="261"/>
      <c r="BV2958" s="261"/>
    </row>
    <row r="2959" spans="12:74">
      <c r="L2959" s="261"/>
      <c r="M2959" s="261"/>
      <c r="N2959" s="261"/>
      <c r="O2959" s="261"/>
      <c r="P2959" s="261"/>
      <c r="Q2959" s="261"/>
      <c r="BR2959" s="261"/>
      <c r="BS2959" s="261"/>
      <c r="BT2959" s="261"/>
      <c r="BU2959" s="261"/>
      <c r="BV2959" s="261"/>
    </row>
    <row r="2960" spans="12:74">
      <c r="L2960" s="261"/>
      <c r="M2960" s="261"/>
      <c r="N2960" s="261"/>
      <c r="O2960" s="261"/>
      <c r="P2960" s="261"/>
      <c r="Q2960" s="261"/>
      <c r="BR2960" s="261"/>
      <c r="BS2960" s="261"/>
      <c r="BT2960" s="261"/>
      <c r="BU2960" s="261"/>
      <c r="BV2960" s="261"/>
    </row>
    <row r="2961" spans="12:74">
      <c r="L2961" s="261"/>
      <c r="M2961" s="261"/>
      <c r="N2961" s="261"/>
      <c r="O2961" s="261"/>
      <c r="P2961" s="261"/>
      <c r="Q2961" s="261"/>
      <c r="BR2961" s="261"/>
      <c r="BS2961" s="261"/>
      <c r="BT2961" s="261"/>
      <c r="BU2961" s="261"/>
      <c r="BV2961" s="261"/>
    </row>
    <row r="2962" spans="12:74">
      <c r="L2962" s="261"/>
      <c r="M2962" s="261"/>
      <c r="N2962" s="261"/>
      <c r="O2962" s="261"/>
      <c r="P2962" s="261"/>
      <c r="Q2962" s="261"/>
      <c r="BR2962" s="261"/>
      <c r="BS2962" s="261"/>
      <c r="BT2962" s="261"/>
      <c r="BU2962" s="261"/>
      <c r="BV2962" s="261"/>
    </row>
    <row r="2963" spans="12:74">
      <c r="L2963" s="261"/>
      <c r="M2963" s="261"/>
      <c r="N2963" s="261"/>
      <c r="O2963" s="261"/>
      <c r="P2963" s="261"/>
      <c r="Q2963" s="261"/>
      <c r="BR2963" s="261"/>
      <c r="BS2963" s="261"/>
      <c r="BT2963" s="261"/>
      <c r="BU2963" s="261"/>
      <c r="BV2963" s="261"/>
    </row>
    <row r="2964" spans="12:74">
      <c r="L2964" s="261"/>
      <c r="M2964" s="261"/>
      <c r="N2964" s="261"/>
      <c r="O2964" s="261"/>
      <c r="P2964" s="261"/>
      <c r="Q2964" s="261"/>
      <c r="BR2964" s="261"/>
      <c r="BS2964" s="261"/>
      <c r="BT2964" s="261"/>
      <c r="BU2964" s="261"/>
      <c r="BV2964" s="261"/>
    </row>
    <row r="2965" spans="12:74">
      <c r="L2965" s="261"/>
      <c r="M2965" s="261"/>
      <c r="N2965" s="261"/>
      <c r="O2965" s="261"/>
      <c r="P2965" s="261"/>
      <c r="Q2965" s="261"/>
      <c r="BR2965" s="261"/>
      <c r="BS2965" s="261"/>
      <c r="BT2965" s="261"/>
      <c r="BU2965" s="261"/>
      <c r="BV2965" s="261"/>
    </row>
    <row r="2966" spans="12:74">
      <c r="L2966" s="261"/>
      <c r="M2966" s="261"/>
      <c r="N2966" s="261"/>
      <c r="O2966" s="261"/>
      <c r="P2966" s="261"/>
      <c r="Q2966" s="261"/>
      <c r="BR2966" s="261"/>
      <c r="BS2966" s="261"/>
      <c r="BT2966" s="261"/>
      <c r="BU2966" s="261"/>
      <c r="BV2966" s="261"/>
    </row>
    <row r="2967" spans="12:74">
      <c r="L2967" s="261"/>
      <c r="M2967" s="261"/>
      <c r="N2967" s="261"/>
      <c r="O2967" s="261"/>
      <c r="P2967" s="261"/>
      <c r="Q2967" s="261"/>
      <c r="BR2967" s="261"/>
      <c r="BS2967" s="261"/>
      <c r="BT2967" s="261"/>
      <c r="BU2967" s="261"/>
      <c r="BV2967" s="261"/>
    </row>
    <row r="2968" spans="12:74">
      <c r="L2968" s="261"/>
      <c r="M2968" s="261"/>
      <c r="N2968" s="261"/>
      <c r="O2968" s="261"/>
      <c r="P2968" s="261"/>
      <c r="Q2968" s="261"/>
      <c r="BR2968" s="261"/>
      <c r="BS2968" s="261"/>
      <c r="BT2968" s="261"/>
      <c r="BU2968" s="261"/>
      <c r="BV2968" s="261"/>
    </row>
    <row r="2969" spans="12:74">
      <c r="L2969" s="261"/>
      <c r="M2969" s="261"/>
      <c r="N2969" s="261"/>
      <c r="O2969" s="261"/>
      <c r="P2969" s="261"/>
      <c r="Q2969" s="261"/>
      <c r="BR2969" s="261"/>
      <c r="BS2969" s="261"/>
      <c r="BT2969" s="261"/>
      <c r="BU2969" s="261"/>
      <c r="BV2969" s="261"/>
    </row>
    <row r="2970" spans="12:74">
      <c r="L2970" s="261"/>
      <c r="M2970" s="261"/>
      <c r="N2970" s="261"/>
      <c r="O2970" s="261"/>
      <c r="P2970" s="261"/>
      <c r="Q2970" s="261"/>
      <c r="BR2970" s="261"/>
      <c r="BS2970" s="261"/>
      <c r="BT2970" s="261"/>
      <c r="BU2970" s="261"/>
      <c r="BV2970" s="261"/>
    </row>
    <row r="2971" spans="12:74">
      <c r="L2971" s="261"/>
      <c r="M2971" s="261"/>
      <c r="N2971" s="261"/>
      <c r="O2971" s="261"/>
      <c r="P2971" s="261"/>
      <c r="Q2971" s="261"/>
      <c r="BR2971" s="261"/>
      <c r="BS2971" s="261"/>
      <c r="BT2971" s="261"/>
      <c r="BU2971" s="261"/>
      <c r="BV2971" s="261"/>
    </row>
    <row r="2972" spans="12:74">
      <c r="L2972" s="261"/>
      <c r="M2972" s="261"/>
      <c r="N2972" s="261"/>
      <c r="O2972" s="261"/>
      <c r="P2972" s="261"/>
      <c r="Q2972" s="261"/>
      <c r="BR2972" s="261"/>
      <c r="BS2972" s="261"/>
      <c r="BT2972" s="261"/>
      <c r="BU2972" s="261"/>
      <c r="BV2972" s="261"/>
    </row>
    <row r="2973" spans="12:74">
      <c r="L2973" s="261"/>
      <c r="M2973" s="261"/>
      <c r="N2973" s="261"/>
      <c r="O2973" s="261"/>
      <c r="P2973" s="261"/>
      <c r="Q2973" s="261"/>
      <c r="BR2973" s="261"/>
      <c r="BS2973" s="261"/>
      <c r="BT2973" s="261"/>
      <c r="BU2973" s="261"/>
      <c r="BV2973" s="261"/>
    </row>
    <row r="2974" spans="12:74">
      <c r="L2974" s="261"/>
      <c r="M2974" s="261"/>
      <c r="N2974" s="261"/>
      <c r="O2974" s="261"/>
      <c r="P2974" s="261"/>
      <c r="Q2974" s="261"/>
      <c r="BR2974" s="261"/>
      <c r="BS2974" s="261"/>
      <c r="BT2974" s="261"/>
      <c r="BU2974" s="261"/>
      <c r="BV2974" s="261"/>
    </row>
    <row r="2975" spans="12:74">
      <c r="L2975" s="261"/>
      <c r="M2975" s="261"/>
      <c r="N2975" s="261"/>
      <c r="O2975" s="261"/>
      <c r="P2975" s="261"/>
      <c r="Q2975" s="261"/>
      <c r="BR2975" s="261"/>
      <c r="BS2975" s="261"/>
      <c r="BT2975" s="261"/>
      <c r="BU2975" s="261"/>
      <c r="BV2975" s="261"/>
    </row>
    <row r="2976" spans="12:74">
      <c r="L2976" s="261"/>
      <c r="M2976" s="261"/>
      <c r="N2976" s="261"/>
      <c r="O2976" s="261"/>
      <c r="P2976" s="261"/>
      <c r="Q2976" s="261"/>
      <c r="BR2976" s="261"/>
      <c r="BS2976" s="261"/>
      <c r="BT2976" s="261"/>
      <c r="BU2976" s="261"/>
      <c r="BV2976" s="261"/>
    </row>
    <row r="2977" spans="12:74">
      <c r="L2977" s="261"/>
      <c r="M2977" s="261"/>
      <c r="N2977" s="261"/>
      <c r="O2977" s="261"/>
      <c r="P2977" s="261"/>
      <c r="Q2977" s="261"/>
      <c r="BR2977" s="261"/>
      <c r="BS2977" s="261"/>
      <c r="BT2977" s="261"/>
      <c r="BU2977" s="261"/>
      <c r="BV2977" s="261"/>
    </row>
    <row r="2978" spans="12:74">
      <c r="L2978" s="261"/>
      <c r="M2978" s="261"/>
      <c r="N2978" s="261"/>
      <c r="O2978" s="261"/>
      <c r="P2978" s="261"/>
      <c r="Q2978" s="261"/>
      <c r="BR2978" s="261"/>
      <c r="BS2978" s="261"/>
      <c r="BT2978" s="261"/>
      <c r="BU2978" s="261"/>
      <c r="BV2978" s="261"/>
    </row>
    <row r="2979" spans="12:74">
      <c r="L2979" s="261"/>
      <c r="M2979" s="261"/>
      <c r="N2979" s="261"/>
      <c r="O2979" s="261"/>
      <c r="P2979" s="261"/>
      <c r="Q2979" s="261"/>
      <c r="BR2979" s="261"/>
      <c r="BS2979" s="261"/>
      <c r="BT2979" s="261"/>
      <c r="BU2979" s="261"/>
      <c r="BV2979" s="261"/>
    </row>
    <row r="2980" spans="12:74">
      <c r="L2980" s="261"/>
      <c r="M2980" s="261"/>
      <c r="N2980" s="261"/>
      <c r="O2980" s="261"/>
      <c r="P2980" s="261"/>
      <c r="Q2980" s="261"/>
      <c r="BR2980" s="261"/>
      <c r="BS2980" s="261"/>
      <c r="BT2980" s="261"/>
      <c r="BU2980" s="261"/>
      <c r="BV2980" s="261"/>
    </row>
    <row r="2981" spans="12:74">
      <c r="L2981" s="261"/>
      <c r="M2981" s="261"/>
      <c r="N2981" s="261"/>
      <c r="O2981" s="261"/>
      <c r="P2981" s="261"/>
      <c r="Q2981" s="261"/>
      <c r="BR2981" s="261"/>
      <c r="BS2981" s="261"/>
      <c r="BT2981" s="261"/>
      <c r="BU2981" s="261"/>
      <c r="BV2981" s="261"/>
    </row>
    <row r="2982" spans="12:74">
      <c r="L2982" s="261"/>
      <c r="M2982" s="261"/>
      <c r="N2982" s="261"/>
      <c r="O2982" s="261"/>
      <c r="P2982" s="261"/>
      <c r="Q2982" s="261"/>
      <c r="BR2982" s="261"/>
      <c r="BS2982" s="261"/>
      <c r="BT2982" s="261"/>
      <c r="BU2982" s="261"/>
      <c r="BV2982" s="261"/>
    </row>
    <row r="2983" spans="12:74">
      <c r="L2983" s="261"/>
      <c r="M2983" s="261"/>
      <c r="N2983" s="261"/>
      <c r="O2983" s="261"/>
      <c r="P2983" s="261"/>
      <c r="Q2983" s="261"/>
      <c r="BR2983" s="261"/>
      <c r="BS2983" s="261"/>
      <c r="BT2983" s="261"/>
      <c r="BU2983" s="261"/>
      <c r="BV2983" s="261"/>
    </row>
    <row r="2984" spans="12:74">
      <c r="L2984" s="261"/>
      <c r="M2984" s="261"/>
      <c r="N2984" s="261"/>
      <c r="O2984" s="261"/>
      <c r="P2984" s="261"/>
      <c r="Q2984" s="261"/>
      <c r="BR2984" s="261"/>
      <c r="BS2984" s="261"/>
      <c r="BT2984" s="261"/>
      <c r="BU2984" s="261"/>
      <c r="BV2984" s="261"/>
    </row>
    <row r="2985" spans="12:74">
      <c r="L2985" s="261"/>
      <c r="M2985" s="261"/>
      <c r="N2985" s="261"/>
      <c r="O2985" s="261"/>
      <c r="P2985" s="261"/>
      <c r="Q2985" s="261"/>
      <c r="BR2985" s="261"/>
      <c r="BS2985" s="261"/>
      <c r="BT2985" s="261"/>
      <c r="BU2985" s="261"/>
      <c r="BV2985" s="261"/>
    </row>
    <row r="2986" spans="12:74">
      <c r="L2986" s="261"/>
      <c r="M2986" s="261"/>
      <c r="N2986" s="261"/>
      <c r="O2986" s="261"/>
      <c r="P2986" s="261"/>
      <c r="Q2986" s="261"/>
      <c r="BR2986" s="261"/>
      <c r="BS2986" s="261"/>
      <c r="BT2986" s="261"/>
      <c r="BU2986" s="261"/>
      <c r="BV2986" s="261"/>
    </row>
    <row r="2987" spans="12:74">
      <c r="L2987" s="261"/>
      <c r="M2987" s="261"/>
      <c r="N2987" s="261"/>
      <c r="O2987" s="261"/>
      <c r="P2987" s="261"/>
      <c r="Q2987" s="261"/>
      <c r="BR2987" s="261"/>
      <c r="BS2987" s="261"/>
      <c r="BT2987" s="261"/>
      <c r="BU2987" s="261"/>
      <c r="BV2987" s="261"/>
    </row>
    <row r="2988" spans="12:74">
      <c r="L2988" s="261"/>
      <c r="M2988" s="261"/>
      <c r="N2988" s="261"/>
      <c r="O2988" s="261"/>
      <c r="P2988" s="261"/>
      <c r="Q2988" s="261"/>
      <c r="BR2988" s="261"/>
      <c r="BS2988" s="261"/>
      <c r="BT2988" s="261"/>
      <c r="BU2988" s="261"/>
      <c r="BV2988" s="261"/>
    </row>
    <row r="2989" spans="12:74">
      <c r="L2989" s="261"/>
      <c r="M2989" s="261"/>
      <c r="N2989" s="261"/>
      <c r="O2989" s="261"/>
      <c r="P2989" s="261"/>
      <c r="Q2989" s="261"/>
      <c r="BR2989" s="261"/>
      <c r="BS2989" s="261"/>
      <c r="BT2989" s="261"/>
      <c r="BU2989" s="261"/>
      <c r="BV2989" s="261"/>
    </row>
    <row r="2990" spans="12:74">
      <c r="L2990" s="261"/>
      <c r="M2990" s="261"/>
      <c r="N2990" s="261"/>
      <c r="O2990" s="261"/>
      <c r="P2990" s="261"/>
      <c r="Q2990" s="261"/>
      <c r="BR2990" s="261"/>
      <c r="BS2990" s="261"/>
      <c r="BT2990" s="261"/>
      <c r="BU2990" s="261"/>
      <c r="BV2990" s="261"/>
    </row>
    <row r="2991" spans="12:74">
      <c r="L2991" s="261"/>
      <c r="M2991" s="261"/>
      <c r="N2991" s="261"/>
      <c r="O2991" s="261"/>
      <c r="P2991" s="261"/>
      <c r="Q2991" s="261"/>
      <c r="BR2991" s="261"/>
      <c r="BS2991" s="261"/>
      <c r="BT2991" s="261"/>
      <c r="BU2991" s="261"/>
      <c r="BV2991" s="261"/>
    </row>
    <row r="2992" spans="12:74">
      <c r="L2992" s="261"/>
      <c r="M2992" s="261"/>
      <c r="N2992" s="261"/>
      <c r="O2992" s="261"/>
      <c r="P2992" s="261"/>
      <c r="Q2992" s="261"/>
      <c r="BR2992" s="261"/>
      <c r="BS2992" s="261"/>
      <c r="BT2992" s="261"/>
      <c r="BU2992" s="261"/>
      <c r="BV2992" s="261"/>
    </row>
    <row r="2993" spans="12:74">
      <c r="L2993" s="261"/>
      <c r="M2993" s="261"/>
      <c r="N2993" s="261"/>
      <c r="O2993" s="261"/>
      <c r="P2993" s="261"/>
      <c r="Q2993" s="261"/>
      <c r="BR2993" s="261"/>
      <c r="BS2993" s="261"/>
      <c r="BT2993" s="261"/>
      <c r="BU2993" s="261"/>
      <c r="BV2993" s="261"/>
    </row>
    <row r="2994" spans="12:74">
      <c r="L2994" s="261"/>
      <c r="M2994" s="261"/>
      <c r="N2994" s="261"/>
      <c r="O2994" s="261"/>
      <c r="P2994" s="261"/>
      <c r="Q2994" s="261"/>
      <c r="BR2994" s="261"/>
      <c r="BS2994" s="261"/>
      <c r="BT2994" s="261"/>
      <c r="BU2994" s="261"/>
      <c r="BV2994" s="261"/>
    </row>
    <row r="2995" spans="12:74">
      <c r="L2995" s="261"/>
      <c r="M2995" s="261"/>
      <c r="N2995" s="261"/>
      <c r="O2995" s="261"/>
      <c r="P2995" s="261"/>
      <c r="Q2995" s="261"/>
      <c r="BR2995" s="261"/>
      <c r="BS2995" s="261"/>
      <c r="BT2995" s="261"/>
      <c r="BU2995" s="261"/>
      <c r="BV2995" s="261"/>
    </row>
    <row r="2996" spans="12:74">
      <c r="L2996" s="261"/>
      <c r="M2996" s="261"/>
      <c r="N2996" s="261"/>
      <c r="O2996" s="261"/>
      <c r="P2996" s="261"/>
      <c r="Q2996" s="261"/>
      <c r="BR2996" s="261"/>
      <c r="BS2996" s="261"/>
      <c r="BT2996" s="261"/>
      <c r="BU2996" s="261"/>
      <c r="BV2996" s="261"/>
    </row>
    <row r="2997" spans="12:74">
      <c r="L2997" s="261"/>
      <c r="M2997" s="261"/>
      <c r="N2997" s="261"/>
      <c r="O2997" s="261"/>
      <c r="P2997" s="261"/>
      <c r="Q2997" s="261"/>
      <c r="BR2997" s="261"/>
      <c r="BS2997" s="261"/>
      <c r="BT2997" s="261"/>
      <c r="BU2997" s="261"/>
      <c r="BV2997" s="261"/>
    </row>
    <row r="2998" spans="12:74">
      <c r="L2998" s="261"/>
      <c r="M2998" s="261"/>
      <c r="N2998" s="261"/>
      <c r="O2998" s="261"/>
      <c r="P2998" s="261"/>
      <c r="Q2998" s="261"/>
      <c r="BR2998" s="261"/>
      <c r="BS2998" s="261"/>
      <c r="BT2998" s="261"/>
      <c r="BU2998" s="261"/>
      <c r="BV2998" s="261"/>
    </row>
    <row r="2999" spans="12:74">
      <c r="L2999" s="261"/>
      <c r="M2999" s="261"/>
      <c r="N2999" s="261"/>
      <c r="O2999" s="261"/>
      <c r="P2999" s="261"/>
      <c r="Q2999" s="261"/>
      <c r="BR2999" s="261"/>
      <c r="BS2999" s="261"/>
      <c r="BT2999" s="261"/>
      <c r="BU2999" s="261"/>
      <c r="BV2999" s="261"/>
    </row>
    <row r="3000" spans="12:74">
      <c r="L3000" s="261"/>
      <c r="M3000" s="261"/>
      <c r="N3000" s="261"/>
      <c r="O3000" s="261"/>
      <c r="P3000" s="261"/>
      <c r="Q3000" s="261"/>
      <c r="BR3000" s="261"/>
      <c r="BS3000" s="261"/>
      <c r="BT3000" s="261"/>
      <c r="BU3000" s="261"/>
      <c r="BV3000" s="261"/>
    </row>
    <row r="3001" spans="12:74">
      <c r="L3001" s="261"/>
      <c r="M3001" s="261"/>
      <c r="N3001" s="261"/>
      <c r="O3001" s="261"/>
      <c r="P3001" s="261"/>
      <c r="Q3001" s="261"/>
      <c r="BR3001" s="261"/>
      <c r="BS3001" s="261"/>
      <c r="BT3001" s="261"/>
      <c r="BU3001" s="261"/>
      <c r="BV3001" s="261"/>
    </row>
    <row r="3002" spans="12:74">
      <c r="L3002" s="261"/>
      <c r="M3002" s="261"/>
      <c r="N3002" s="261"/>
      <c r="O3002" s="261"/>
      <c r="P3002" s="261"/>
      <c r="Q3002" s="261"/>
      <c r="BR3002" s="261"/>
      <c r="BS3002" s="261"/>
      <c r="BT3002" s="261"/>
      <c r="BU3002" s="261"/>
      <c r="BV3002" s="261"/>
    </row>
    <row r="3003" spans="12:74">
      <c r="L3003" s="261"/>
      <c r="M3003" s="261"/>
      <c r="N3003" s="261"/>
      <c r="O3003" s="261"/>
      <c r="P3003" s="261"/>
      <c r="Q3003" s="261"/>
      <c r="BR3003" s="261"/>
      <c r="BS3003" s="261"/>
      <c r="BT3003" s="261"/>
      <c r="BU3003" s="261"/>
      <c r="BV3003" s="261"/>
    </row>
    <row r="3004" spans="12:74">
      <c r="L3004" s="261"/>
      <c r="M3004" s="261"/>
      <c r="N3004" s="261"/>
      <c r="O3004" s="261"/>
      <c r="P3004" s="261"/>
      <c r="Q3004" s="261"/>
      <c r="BR3004" s="261"/>
      <c r="BS3004" s="261"/>
      <c r="BT3004" s="261"/>
      <c r="BU3004" s="261"/>
      <c r="BV3004" s="261"/>
    </row>
    <row r="3005" spans="12:74">
      <c r="L3005" s="261"/>
      <c r="M3005" s="261"/>
      <c r="N3005" s="261"/>
      <c r="O3005" s="261"/>
      <c r="P3005" s="261"/>
      <c r="Q3005" s="261"/>
      <c r="BR3005" s="261"/>
      <c r="BS3005" s="261"/>
      <c r="BT3005" s="261"/>
      <c r="BU3005" s="261"/>
      <c r="BV3005" s="261"/>
    </row>
    <row r="3006" spans="12:74">
      <c r="L3006" s="261"/>
      <c r="M3006" s="261"/>
      <c r="N3006" s="261"/>
      <c r="O3006" s="261"/>
      <c r="P3006" s="261"/>
      <c r="Q3006" s="261"/>
      <c r="BR3006" s="261"/>
      <c r="BS3006" s="261"/>
      <c r="BT3006" s="261"/>
      <c r="BU3006" s="261"/>
      <c r="BV3006" s="261"/>
    </row>
    <row r="3007" spans="12:74">
      <c r="L3007" s="261"/>
      <c r="M3007" s="261"/>
      <c r="N3007" s="261"/>
      <c r="O3007" s="261"/>
      <c r="P3007" s="261"/>
      <c r="Q3007" s="261"/>
      <c r="BR3007" s="261"/>
      <c r="BS3007" s="261"/>
      <c r="BT3007" s="261"/>
      <c r="BU3007" s="261"/>
      <c r="BV3007" s="261"/>
    </row>
    <row r="3008" spans="12:74">
      <c r="L3008" s="261"/>
      <c r="M3008" s="261"/>
      <c r="N3008" s="261"/>
      <c r="O3008" s="261"/>
      <c r="P3008" s="261"/>
      <c r="Q3008" s="261"/>
      <c r="BR3008" s="261"/>
      <c r="BS3008" s="261"/>
      <c r="BT3008" s="261"/>
      <c r="BU3008" s="261"/>
      <c r="BV3008" s="261"/>
    </row>
    <row r="3009" spans="12:74">
      <c r="L3009" s="261"/>
      <c r="M3009" s="261"/>
      <c r="N3009" s="261"/>
      <c r="O3009" s="261"/>
      <c r="P3009" s="261"/>
      <c r="Q3009" s="261"/>
      <c r="BR3009" s="261"/>
      <c r="BS3009" s="261"/>
      <c r="BT3009" s="261"/>
      <c r="BU3009" s="261"/>
      <c r="BV3009" s="261"/>
    </row>
    <row r="3010" spans="12:74">
      <c r="L3010" s="261"/>
      <c r="M3010" s="261"/>
      <c r="N3010" s="261"/>
      <c r="O3010" s="261"/>
      <c r="P3010" s="261"/>
      <c r="Q3010" s="261"/>
      <c r="BR3010" s="261"/>
      <c r="BS3010" s="261"/>
      <c r="BT3010" s="261"/>
      <c r="BU3010" s="261"/>
      <c r="BV3010" s="261"/>
    </row>
    <row r="3011" spans="12:74">
      <c r="L3011" s="261"/>
      <c r="M3011" s="261"/>
      <c r="N3011" s="261"/>
      <c r="O3011" s="261"/>
      <c r="P3011" s="261"/>
      <c r="Q3011" s="261"/>
      <c r="BR3011" s="261"/>
      <c r="BS3011" s="261"/>
      <c r="BT3011" s="261"/>
      <c r="BU3011" s="261"/>
      <c r="BV3011" s="261"/>
    </row>
    <row r="3012" spans="12:74">
      <c r="L3012" s="261"/>
      <c r="M3012" s="261"/>
      <c r="N3012" s="261"/>
      <c r="O3012" s="261"/>
      <c r="P3012" s="261"/>
      <c r="Q3012" s="261"/>
      <c r="BR3012" s="261"/>
      <c r="BS3012" s="261"/>
      <c r="BT3012" s="261"/>
      <c r="BU3012" s="261"/>
      <c r="BV3012" s="261"/>
    </row>
    <row r="3013" spans="12:74">
      <c r="L3013" s="261"/>
      <c r="M3013" s="261"/>
      <c r="N3013" s="261"/>
      <c r="O3013" s="261"/>
      <c r="P3013" s="261"/>
      <c r="Q3013" s="261"/>
      <c r="BR3013" s="261"/>
      <c r="BS3013" s="261"/>
      <c r="BT3013" s="261"/>
      <c r="BU3013" s="261"/>
      <c r="BV3013" s="261"/>
    </row>
    <row r="3014" spans="12:74">
      <c r="L3014" s="261"/>
      <c r="M3014" s="261"/>
      <c r="N3014" s="261"/>
      <c r="O3014" s="261"/>
      <c r="P3014" s="261"/>
      <c r="Q3014" s="261"/>
      <c r="BR3014" s="261"/>
      <c r="BS3014" s="261"/>
      <c r="BT3014" s="261"/>
      <c r="BU3014" s="261"/>
      <c r="BV3014" s="261"/>
    </row>
    <row r="3015" spans="12:74">
      <c r="L3015" s="261"/>
      <c r="M3015" s="261"/>
      <c r="N3015" s="261"/>
      <c r="O3015" s="261"/>
      <c r="P3015" s="261"/>
      <c r="Q3015" s="261"/>
      <c r="BR3015" s="261"/>
      <c r="BS3015" s="261"/>
      <c r="BT3015" s="261"/>
      <c r="BU3015" s="261"/>
      <c r="BV3015" s="261"/>
    </row>
    <row r="3016" spans="12:74">
      <c r="L3016" s="261"/>
      <c r="M3016" s="261"/>
      <c r="N3016" s="261"/>
      <c r="O3016" s="261"/>
      <c r="P3016" s="261"/>
      <c r="Q3016" s="261"/>
      <c r="BR3016" s="261"/>
      <c r="BS3016" s="261"/>
      <c r="BT3016" s="261"/>
      <c r="BU3016" s="261"/>
      <c r="BV3016" s="261"/>
    </row>
    <row r="3017" spans="12:74">
      <c r="L3017" s="261"/>
      <c r="M3017" s="261"/>
      <c r="N3017" s="261"/>
      <c r="O3017" s="261"/>
      <c r="P3017" s="261"/>
      <c r="Q3017" s="261"/>
      <c r="BR3017" s="261"/>
      <c r="BS3017" s="261"/>
      <c r="BT3017" s="261"/>
      <c r="BU3017" s="261"/>
      <c r="BV3017" s="261"/>
    </row>
    <row r="3018" spans="12:74">
      <c r="L3018" s="261"/>
      <c r="M3018" s="261"/>
      <c r="N3018" s="261"/>
      <c r="O3018" s="261"/>
      <c r="P3018" s="261"/>
      <c r="Q3018" s="261"/>
      <c r="BR3018" s="261"/>
      <c r="BS3018" s="261"/>
      <c r="BT3018" s="261"/>
      <c r="BU3018" s="261"/>
      <c r="BV3018" s="261"/>
    </row>
    <row r="3019" spans="12:74">
      <c r="L3019" s="261"/>
      <c r="M3019" s="261"/>
      <c r="N3019" s="261"/>
      <c r="O3019" s="261"/>
      <c r="P3019" s="261"/>
      <c r="Q3019" s="261"/>
      <c r="BR3019" s="261"/>
      <c r="BS3019" s="261"/>
      <c r="BT3019" s="261"/>
      <c r="BU3019" s="261"/>
      <c r="BV3019" s="261"/>
    </row>
    <row r="3020" spans="12:74">
      <c r="L3020" s="261"/>
      <c r="M3020" s="261"/>
      <c r="N3020" s="261"/>
      <c r="O3020" s="261"/>
      <c r="P3020" s="261"/>
      <c r="Q3020" s="261"/>
      <c r="BR3020" s="261"/>
      <c r="BS3020" s="261"/>
      <c r="BT3020" s="261"/>
      <c r="BU3020" s="261"/>
      <c r="BV3020" s="261"/>
    </row>
    <row r="3021" spans="12:74">
      <c r="L3021" s="261"/>
      <c r="M3021" s="261"/>
      <c r="N3021" s="261"/>
      <c r="O3021" s="261"/>
      <c r="P3021" s="261"/>
      <c r="Q3021" s="261"/>
      <c r="BR3021" s="261"/>
      <c r="BS3021" s="261"/>
      <c r="BT3021" s="261"/>
      <c r="BU3021" s="261"/>
      <c r="BV3021" s="261"/>
    </row>
    <row r="3022" spans="12:74">
      <c r="L3022" s="261"/>
      <c r="M3022" s="261"/>
      <c r="N3022" s="261"/>
      <c r="O3022" s="261"/>
      <c r="P3022" s="261"/>
      <c r="Q3022" s="261"/>
      <c r="BR3022" s="261"/>
      <c r="BS3022" s="261"/>
      <c r="BT3022" s="261"/>
      <c r="BU3022" s="261"/>
      <c r="BV3022" s="261"/>
    </row>
    <row r="3023" spans="12:74">
      <c r="L3023" s="261"/>
      <c r="M3023" s="261"/>
      <c r="N3023" s="261"/>
      <c r="O3023" s="261"/>
      <c r="P3023" s="261"/>
      <c r="Q3023" s="261"/>
      <c r="BR3023" s="261"/>
      <c r="BS3023" s="261"/>
      <c r="BT3023" s="261"/>
      <c r="BU3023" s="261"/>
      <c r="BV3023" s="261"/>
    </row>
    <row r="3024" spans="12:74">
      <c r="L3024" s="261"/>
      <c r="M3024" s="261"/>
      <c r="N3024" s="261"/>
      <c r="O3024" s="261"/>
      <c r="P3024" s="261"/>
      <c r="Q3024" s="261"/>
      <c r="BR3024" s="261"/>
      <c r="BS3024" s="261"/>
      <c r="BT3024" s="261"/>
      <c r="BU3024" s="261"/>
      <c r="BV3024" s="261"/>
    </row>
    <row r="3025" spans="12:74">
      <c r="L3025" s="261"/>
      <c r="M3025" s="261"/>
      <c r="N3025" s="261"/>
      <c r="O3025" s="261"/>
      <c r="P3025" s="261"/>
      <c r="Q3025" s="261"/>
      <c r="BR3025" s="261"/>
      <c r="BS3025" s="261"/>
      <c r="BT3025" s="261"/>
      <c r="BU3025" s="261"/>
      <c r="BV3025" s="261"/>
    </row>
    <row r="3026" spans="12:74">
      <c r="L3026" s="261"/>
      <c r="M3026" s="261"/>
      <c r="N3026" s="261"/>
      <c r="O3026" s="261"/>
      <c r="P3026" s="261"/>
      <c r="Q3026" s="261"/>
      <c r="BR3026" s="261"/>
      <c r="BS3026" s="261"/>
      <c r="BT3026" s="261"/>
      <c r="BU3026" s="261"/>
      <c r="BV3026" s="261"/>
    </row>
    <row r="3027" spans="12:74">
      <c r="L3027" s="261"/>
      <c r="M3027" s="261"/>
      <c r="N3027" s="261"/>
      <c r="O3027" s="261"/>
      <c r="P3027" s="261"/>
      <c r="Q3027" s="261"/>
      <c r="BR3027" s="261"/>
      <c r="BS3027" s="261"/>
      <c r="BT3027" s="261"/>
      <c r="BU3027" s="261"/>
      <c r="BV3027" s="261"/>
    </row>
    <row r="3028" spans="12:74">
      <c r="L3028" s="261"/>
      <c r="M3028" s="261"/>
      <c r="N3028" s="261"/>
      <c r="O3028" s="261"/>
      <c r="P3028" s="261"/>
      <c r="Q3028" s="261"/>
      <c r="BR3028" s="261"/>
      <c r="BS3028" s="261"/>
      <c r="BT3028" s="261"/>
      <c r="BU3028" s="261"/>
      <c r="BV3028" s="261"/>
    </row>
    <row r="3029" spans="12:74">
      <c r="L3029" s="261"/>
      <c r="M3029" s="261"/>
      <c r="N3029" s="261"/>
      <c r="O3029" s="261"/>
      <c r="P3029" s="261"/>
      <c r="Q3029" s="261"/>
      <c r="BR3029" s="261"/>
      <c r="BS3029" s="261"/>
      <c r="BT3029" s="261"/>
      <c r="BU3029" s="261"/>
      <c r="BV3029" s="261"/>
    </row>
    <row r="3030" spans="12:74">
      <c r="L3030" s="261"/>
      <c r="M3030" s="261"/>
      <c r="N3030" s="261"/>
      <c r="O3030" s="261"/>
      <c r="P3030" s="261"/>
      <c r="Q3030" s="261"/>
      <c r="BR3030" s="261"/>
      <c r="BS3030" s="261"/>
      <c r="BT3030" s="261"/>
      <c r="BU3030" s="261"/>
      <c r="BV3030" s="261"/>
    </row>
    <row r="3031" spans="12:74">
      <c r="L3031" s="261"/>
      <c r="M3031" s="261"/>
      <c r="N3031" s="261"/>
      <c r="O3031" s="261"/>
      <c r="P3031" s="261"/>
      <c r="Q3031" s="261"/>
      <c r="BR3031" s="261"/>
      <c r="BS3031" s="261"/>
      <c r="BT3031" s="261"/>
      <c r="BU3031" s="261"/>
      <c r="BV3031" s="261"/>
    </row>
    <row r="3032" spans="12:74">
      <c r="L3032" s="261"/>
      <c r="M3032" s="261"/>
      <c r="N3032" s="261"/>
      <c r="O3032" s="261"/>
      <c r="P3032" s="261"/>
      <c r="Q3032" s="261"/>
      <c r="BR3032" s="261"/>
      <c r="BS3032" s="261"/>
      <c r="BT3032" s="261"/>
      <c r="BU3032" s="261"/>
      <c r="BV3032" s="261"/>
    </row>
    <row r="3033" spans="12:74">
      <c r="L3033" s="261"/>
      <c r="M3033" s="261"/>
      <c r="N3033" s="261"/>
      <c r="O3033" s="261"/>
      <c r="P3033" s="261"/>
      <c r="Q3033" s="261"/>
      <c r="BR3033" s="261"/>
      <c r="BS3033" s="261"/>
      <c r="BT3033" s="261"/>
      <c r="BU3033" s="261"/>
      <c r="BV3033" s="261"/>
    </row>
    <row r="3034" spans="12:74">
      <c r="L3034" s="261"/>
      <c r="M3034" s="261"/>
      <c r="N3034" s="261"/>
      <c r="O3034" s="261"/>
      <c r="P3034" s="261"/>
      <c r="Q3034" s="261"/>
      <c r="BR3034" s="261"/>
      <c r="BS3034" s="261"/>
      <c r="BT3034" s="261"/>
      <c r="BU3034" s="261"/>
      <c r="BV3034" s="261"/>
    </row>
    <row r="3035" spans="12:74">
      <c r="L3035" s="261"/>
      <c r="M3035" s="261"/>
      <c r="N3035" s="261"/>
      <c r="O3035" s="261"/>
      <c r="P3035" s="261"/>
      <c r="Q3035" s="261"/>
      <c r="BR3035" s="261"/>
      <c r="BS3035" s="261"/>
      <c r="BT3035" s="261"/>
      <c r="BU3035" s="261"/>
      <c r="BV3035" s="261"/>
    </row>
    <row r="3036" spans="12:74">
      <c r="L3036" s="261"/>
      <c r="M3036" s="261"/>
      <c r="N3036" s="261"/>
      <c r="O3036" s="261"/>
      <c r="P3036" s="261"/>
      <c r="Q3036" s="261"/>
      <c r="BR3036" s="261"/>
      <c r="BS3036" s="261"/>
      <c r="BT3036" s="261"/>
      <c r="BU3036" s="261"/>
      <c r="BV3036" s="261"/>
    </row>
    <row r="3037" spans="12:74">
      <c r="L3037" s="261"/>
      <c r="M3037" s="261"/>
      <c r="N3037" s="261"/>
      <c r="O3037" s="261"/>
      <c r="P3037" s="261"/>
      <c r="Q3037" s="261"/>
      <c r="BR3037" s="261"/>
      <c r="BS3037" s="261"/>
      <c r="BT3037" s="261"/>
      <c r="BU3037" s="261"/>
      <c r="BV3037" s="261"/>
    </row>
    <row r="3038" spans="12:74">
      <c r="L3038" s="261"/>
      <c r="M3038" s="261"/>
      <c r="N3038" s="261"/>
      <c r="O3038" s="261"/>
      <c r="P3038" s="261"/>
      <c r="Q3038" s="261"/>
      <c r="BR3038" s="261"/>
      <c r="BS3038" s="261"/>
      <c r="BT3038" s="261"/>
      <c r="BU3038" s="261"/>
      <c r="BV3038" s="261"/>
    </row>
    <row r="3039" spans="12:74">
      <c r="L3039" s="261"/>
      <c r="M3039" s="261"/>
      <c r="N3039" s="261"/>
      <c r="O3039" s="261"/>
      <c r="P3039" s="261"/>
      <c r="Q3039" s="261"/>
      <c r="BR3039" s="261"/>
      <c r="BS3039" s="261"/>
      <c r="BT3039" s="261"/>
      <c r="BU3039" s="261"/>
      <c r="BV3039" s="261"/>
    </row>
    <row r="3040" spans="12:74">
      <c r="L3040" s="261"/>
      <c r="M3040" s="261"/>
      <c r="N3040" s="261"/>
      <c r="O3040" s="261"/>
      <c r="P3040" s="261"/>
      <c r="Q3040" s="261"/>
      <c r="BR3040" s="261"/>
      <c r="BS3040" s="261"/>
      <c r="BT3040" s="261"/>
      <c r="BU3040" s="261"/>
      <c r="BV3040" s="261"/>
    </row>
    <row r="3041" spans="12:74">
      <c r="L3041" s="261"/>
      <c r="M3041" s="261"/>
      <c r="N3041" s="261"/>
      <c r="O3041" s="261"/>
      <c r="P3041" s="261"/>
      <c r="Q3041" s="261"/>
      <c r="BR3041" s="261"/>
      <c r="BS3041" s="261"/>
      <c r="BT3041" s="261"/>
      <c r="BU3041" s="261"/>
      <c r="BV3041" s="261"/>
    </row>
    <row r="3042" spans="12:74">
      <c r="L3042" s="261"/>
      <c r="M3042" s="261"/>
      <c r="N3042" s="261"/>
      <c r="O3042" s="261"/>
      <c r="P3042" s="261"/>
      <c r="Q3042" s="261"/>
      <c r="BR3042" s="261"/>
      <c r="BS3042" s="261"/>
      <c r="BT3042" s="261"/>
      <c r="BU3042" s="261"/>
      <c r="BV3042" s="261"/>
    </row>
    <row r="3043" spans="12:74">
      <c r="L3043" s="261"/>
      <c r="M3043" s="261"/>
      <c r="N3043" s="261"/>
      <c r="O3043" s="261"/>
      <c r="P3043" s="261"/>
      <c r="Q3043" s="261"/>
      <c r="BR3043" s="261"/>
      <c r="BS3043" s="261"/>
      <c r="BT3043" s="261"/>
      <c r="BU3043" s="261"/>
      <c r="BV3043" s="261"/>
    </row>
    <row r="3044" spans="12:74">
      <c r="L3044" s="261"/>
      <c r="M3044" s="261"/>
      <c r="N3044" s="261"/>
      <c r="O3044" s="261"/>
      <c r="P3044" s="261"/>
      <c r="Q3044" s="261"/>
      <c r="BR3044" s="261"/>
      <c r="BS3044" s="261"/>
      <c r="BT3044" s="261"/>
      <c r="BU3044" s="261"/>
      <c r="BV3044" s="261"/>
    </row>
    <row r="3045" spans="12:74">
      <c r="L3045" s="261"/>
      <c r="M3045" s="261"/>
      <c r="N3045" s="261"/>
      <c r="O3045" s="261"/>
      <c r="P3045" s="261"/>
      <c r="Q3045" s="261"/>
      <c r="BR3045" s="261"/>
      <c r="BS3045" s="261"/>
      <c r="BT3045" s="261"/>
      <c r="BU3045" s="261"/>
      <c r="BV3045" s="261"/>
    </row>
    <row r="3046" spans="12:74">
      <c r="L3046" s="261"/>
      <c r="M3046" s="261"/>
      <c r="N3046" s="261"/>
      <c r="O3046" s="261"/>
      <c r="P3046" s="261"/>
      <c r="Q3046" s="261"/>
      <c r="BR3046" s="261"/>
      <c r="BS3046" s="261"/>
      <c r="BT3046" s="261"/>
      <c r="BU3046" s="261"/>
      <c r="BV3046" s="261"/>
    </row>
    <row r="3047" spans="12:74">
      <c r="L3047" s="261"/>
      <c r="M3047" s="261"/>
      <c r="N3047" s="261"/>
      <c r="O3047" s="261"/>
      <c r="P3047" s="261"/>
      <c r="Q3047" s="261"/>
      <c r="BR3047" s="261"/>
      <c r="BS3047" s="261"/>
      <c r="BT3047" s="261"/>
      <c r="BU3047" s="261"/>
      <c r="BV3047" s="261"/>
    </row>
    <row r="3048" spans="12:74">
      <c r="L3048" s="261"/>
      <c r="M3048" s="261"/>
      <c r="N3048" s="261"/>
      <c r="O3048" s="261"/>
      <c r="P3048" s="261"/>
      <c r="Q3048" s="261"/>
      <c r="BR3048" s="261"/>
      <c r="BS3048" s="261"/>
      <c r="BT3048" s="261"/>
      <c r="BU3048" s="261"/>
      <c r="BV3048" s="261"/>
    </row>
    <row r="3049" spans="12:74">
      <c r="L3049" s="261"/>
      <c r="M3049" s="261"/>
      <c r="N3049" s="261"/>
      <c r="O3049" s="261"/>
      <c r="P3049" s="261"/>
      <c r="Q3049" s="261"/>
      <c r="BR3049" s="261"/>
      <c r="BS3049" s="261"/>
      <c r="BT3049" s="261"/>
      <c r="BU3049" s="261"/>
      <c r="BV3049" s="261"/>
    </row>
    <row r="3050" spans="12:74">
      <c r="L3050" s="261"/>
      <c r="M3050" s="261"/>
      <c r="N3050" s="261"/>
      <c r="O3050" s="261"/>
      <c r="P3050" s="261"/>
      <c r="Q3050" s="261"/>
      <c r="BR3050" s="261"/>
      <c r="BS3050" s="261"/>
      <c r="BT3050" s="261"/>
      <c r="BU3050" s="261"/>
      <c r="BV3050" s="261"/>
    </row>
    <row r="3051" spans="12:74">
      <c r="L3051" s="261"/>
      <c r="M3051" s="261"/>
      <c r="N3051" s="261"/>
      <c r="O3051" s="261"/>
      <c r="P3051" s="261"/>
      <c r="Q3051" s="261"/>
      <c r="BR3051" s="261"/>
      <c r="BS3051" s="261"/>
      <c r="BT3051" s="261"/>
      <c r="BU3051" s="261"/>
      <c r="BV3051" s="261"/>
    </row>
    <row r="3052" spans="12:74">
      <c r="L3052" s="261"/>
      <c r="M3052" s="261"/>
      <c r="N3052" s="261"/>
      <c r="O3052" s="261"/>
      <c r="P3052" s="261"/>
      <c r="Q3052" s="261"/>
      <c r="BR3052" s="261"/>
      <c r="BS3052" s="261"/>
      <c r="BT3052" s="261"/>
      <c r="BU3052" s="261"/>
      <c r="BV3052" s="261"/>
    </row>
    <row r="3053" spans="12:74">
      <c r="L3053" s="261"/>
      <c r="M3053" s="261"/>
      <c r="N3053" s="261"/>
      <c r="O3053" s="261"/>
      <c r="P3053" s="261"/>
      <c r="Q3053" s="261"/>
      <c r="BR3053" s="261"/>
      <c r="BS3053" s="261"/>
      <c r="BT3053" s="261"/>
      <c r="BU3053" s="261"/>
      <c r="BV3053" s="261"/>
    </row>
    <row r="3054" spans="12:74">
      <c r="L3054" s="261"/>
      <c r="M3054" s="261"/>
      <c r="N3054" s="261"/>
      <c r="O3054" s="261"/>
      <c r="P3054" s="261"/>
      <c r="Q3054" s="261"/>
      <c r="BR3054" s="261"/>
      <c r="BS3054" s="261"/>
      <c r="BT3054" s="261"/>
      <c r="BU3054" s="261"/>
      <c r="BV3054" s="261"/>
    </row>
    <row r="3055" spans="12:74">
      <c r="L3055" s="261"/>
      <c r="M3055" s="261"/>
      <c r="N3055" s="261"/>
      <c r="O3055" s="261"/>
      <c r="P3055" s="261"/>
      <c r="Q3055" s="261"/>
      <c r="BR3055" s="261"/>
      <c r="BS3055" s="261"/>
      <c r="BT3055" s="261"/>
      <c r="BU3055" s="261"/>
      <c r="BV3055" s="261"/>
    </row>
    <row r="3056" spans="12:74">
      <c r="L3056" s="261"/>
      <c r="M3056" s="261"/>
      <c r="N3056" s="261"/>
      <c r="O3056" s="261"/>
      <c r="P3056" s="261"/>
      <c r="Q3056" s="261"/>
      <c r="BR3056" s="261"/>
      <c r="BS3056" s="261"/>
      <c r="BT3056" s="261"/>
      <c r="BU3056" s="261"/>
      <c r="BV3056" s="261"/>
    </row>
    <row r="3057" spans="12:74">
      <c r="L3057" s="261"/>
      <c r="M3057" s="261"/>
      <c r="N3057" s="261"/>
      <c r="O3057" s="261"/>
      <c r="P3057" s="261"/>
      <c r="Q3057" s="261"/>
      <c r="BR3057" s="261"/>
      <c r="BS3057" s="261"/>
      <c r="BT3057" s="261"/>
      <c r="BU3057" s="261"/>
      <c r="BV3057" s="261"/>
    </row>
    <row r="3058" spans="12:74">
      <c r="L3058" s="261"/>
      <c r="M3058" s="261"/>
      <c r="N3058" s="261"/>
      <c r="O3058" s="261"/>
      <c r="P3058" s="261"/>
      <c r="Q3058" s="261"/>
      <c r="BR3058" s="261"/>
      <c r="BS3058" s="261"/>
      <c r="BT3058" s="261"/>
      <c r="BU3058" s="261"/>
      <c r="BV3058" s="261"/>
    </row>
    <row r="3059" spans="12:74">
      <c r="L3059" s="261"/>
      <c r="M3059" s="261"/>
      <c r="N3059" s="261"/>
      <c r="O3059" s="261"/>
      <c r="P3059" s="261"/>
      <c r="Q3059" s="261"/>
      <c r="BR3059" s="261"/>
      <c r="BS3059" s="261"/>
      <c r="BT3059" s="261"/>
      <c r="BU3059" s="261"/>
      <c r="BV3059" s="261"/>
    </row>
    <row r="3060" spans="12:74">
      <c r="L3060" s="261"/>
      <c r="M3060" s="261"/>
      <c r="N3060" s="261"/>
      <c r="O3060" s="261"/>
      <c r="P3060" s="261"/>
      <c r="Q3060" s="261"/>
      <c r="BR3060" s="261"/>
      <c r="BS3060" s="261"/>
      <c r="BT3060" s="261"/>
      <c r="BU3060" s="261"/>
      <c r="BV3060" s="261"/>
    </row>
    <row r="3061" spans="12:74">
      <c r="L3061" s="261"/>
      <c r="M3061" s="261"/>
      <c r="N3061" s="261"/>
      <c r="O3061" s="261"/>
      <c r="P3061" s="261"/>
      <c r="Q3061" s="261"/>
      <c r="BR3061" s="261"/>
      <c r="BS3061" s="261"/>
      <c r="BT3061" s="261"/>
      <c r="BU3061" s="261"/>
      <c r="BV3061" s="261"/>
    </row>
    <row r="3062" spans="12:74">
      <c r="L3062" s="261"/>
      <c r="M3062" s="261"/>
      <c r="N3062" s="261"/>
      <c r="O3062" s="261"/>
      <c r="P3062" s="261"/>
      <c r="Q3062" s="261"/>
      <c r="BR3062" s="261"/>
      <c r="BS3062" s="261"/>
      <c r="BT3062" s="261"/>
      <c r="BU3062" s="261"/>
      <c r="BV3062" s="261"/>
    </row>
    <row r="3063" spans="12:74">
      <c r="L3063" s="261"/>
      <c r="M3063" s="261"/>
      <c r="N3063" s="261"/>
      <c r="O3063" s="261"/>
      <c r="P3063" s="261"/>
      <c r="Q3063" s="261"/>
      <c r="BR3063" s="261"/>
      <c r="BS3063" s="261"/>
      <c r="BT3063" s="261"/>
      <c r="BU3063" s="261"/>
      <c r="BV3063" s="261"/>
    </row>
    <row r="3064" spans="12:74">
      <c r="L3064" s="261"/>
      <c r="M3064" s="261"/>
      <c r="N3064" s="261"/>
      <c r="O3064" s="261"/>
      <c r="P3064" s="261"/>
      <c r="Q3064" s="261"/>
      <c r="BR3064" s="261"/>
      <c r="BS3064" s="261"/>
      <c r="BT3064" s="261"/>
      <c r="BU3064" s="261"/>
      <c r="BV3064" s="261"/>
    </row>
    <row r="3065" spans="12:74">
      <c r="L3065" s="261"/>
      <c r="M3065" s="261"/>
      <c r="N3065" s="261"/>
      <c r="O3065" s="261"/>
      <c r="P3065" s="261"/>
      <c r="Q3065" s="261"/>
      <c r="BR3065" s="261"/>
      <c r="BS3065" s="261"/>
      <c r="BT3065" s="261"/>
      <c r="BU3065" s="261"/>
      <c r="BV3065" s="261"/>
    </row>
    <row r="3066" spans="12:74">
      <c r="L3066" s="261"/>
      <c r="M3066" s="261"/>
      <c r="N3066" s="261"/>
      <c r="O3066" s="261"/>
      <c r="P3066" s="261"/>
      <c r="Q3066" s="261"/>
      <c r="BR3066" s="261"/>
      <c r="BS3066" s="261"/>
      <c r="BT3066" s="261"/>
      <c r="BU3066" s="261"/>
      <c r="BV3066" s="261"/>
    </row>
    <row r="3067" spans="12:74">
      <c r="L3067" s="261"/>
      <c r="M3067" s="261"/>
      <c r="N3067" s="261"/>
      <c r="O3067" s="261"/>
      <c r="P3067" s="261"/>
      <c r="Q3067" s="261"/>
      <c r="BR3067" s="261"/>
      <c r="BS3067" s="261"/>
      <c r="BT3067" s="261"/>
      <c r="BU3067" s="261"/>
      <c r="BV3067" s="261"/>
    </row>
    <row r="3068" spans="12:74">
      <c r="L3068" s="261"/>
      <c r="M3068" s="261"/>
      <c r="N3068" s="261"/>
      <c r="O3068" s="261"/>
      <c r="P3068" s="261"/>
      <c r="Q3068" s="261"/>
      <c r="BR3068" s="261"/>
      <c r="BS3068" s="261"/>
      <c r="BT3068" s="261"/>
      <c r="BU3068" s="261"/>
      <c r="BV3068" s="261"/>
    </row>
    <row r="3069" spans="12:74">
      <c r="L3069" s="261"/>
      <c r="M3069" s="261"/>
      <c r="N3069" s="261"/>
      <c r="O3069" s="261"/>
      <c r="P3069" s="261"/>
      <c r="Q3069" s="261"/>
      <c r="BR3069" s="261"/>
      <c r="BS3069" s="261"/>
      <c r="BT3069" s="261"/>
      <c r="BU3069" s="261"/>
      <c r="BV3069" s="261"/>
    </row>
    <row r="3070" spans="12:74">
      <c r="L3070" s="261"/>
      <c r="M3070" s="261"/>
      <c r="N3070" s="261"/>
      <c r="O3070" s="261"/>
      <c r="P3070" s="261"/>
      <c r="Q3070" s="261"/>
      <c r="BR3070" s="261"/>
      <c r="BS3070" s="261"/>
      <c r="BT3070" s="261"/>
      <c r="BU3070" s="261"/>
      <c r="BV3070" s="261"/>
    </row>
    <row r="3071" spans="12:74">
      <c r="L3071" s="261"/>
      <c r="M3071" s="261"/>
      <c r="N3071" s="261"/>
      <c r="O3071" s="261"/>
      <c r="P3071" s="261"/>
      <c r="Q3071" s="261"/>
      <c r="BR3071" s="261"/>
      <c r="BS3071" s="261"/>
      <c r="BT3071" s="261"/>
      <c r="BU3071" s="261"/>
      <c r="BV3071" s="261"/>
    </row>
    <row r="3072" spans="12:74">
      <c r="L3072" s="261"/>
      <c r="M3072" s="261"/>
      <c r="N3072" s="261"/>
      <c r="O3072" s="261"/>
      <c r="P3072" s="261"/>
      <c r="Q3072" s="261"/>
      <c r="BR3072" s="261"/>
      <c r="BS3072" s="261"/>
      <c r="BT3072" s="261"/>
      <c r="BU3072" s="261"/>
      <c r="BV3072" s="261"/>
    </row>
    <row r="3073" spans="12:74">
      <c r="L3073" s="261"/>
      <c r="M3073" s="261"/>
      <c r="N3073" s="261"/>
      <c r="O3073" s="261"/>
      <c r="P3073" s="261"/>
      <c r="Q3073" s="261"/>
      <c r="BR3073" s="261"/>
      <c r="BS3073" s="261"/>
      <c r="BT3073" s="261"/>
      <c r="BU3073" s="261"/>
      <c r="BV3073" s="261"/>
    </row>
    <row r="3074" spans="12:74">
      <c r="L3074" s="261"/>
      <c r="M3074" s="261"/>
      <c r="N3074" s="261"/>
      <c r="O3074" s="261"/>
      <c r="P3074" s="261"/>
      <c r="Q3074" s="261"/>
      <c r="BR3074" s="261"/>
      <c r="BS3074" s="261"/>
      <c r="BT3074" s="261"/>
      <c r="BU3074" s="261"/>
      <c r="BV3074" s="261"/>
    </row>
    <row r="3075" spans="12:74">
      <c r="L3075" s="261"/>
      <c r="M3075" s="261"/>
      <c r="N3075" s="261"/>
      <c r="O3075" s="261"/>
      <c r="P3075" s="261"/>
      <c r="Q3075" s="261"/>
      <c r="BR3075" s="261"/>
      <c r="BS3075" s="261"/>
      <c r="BT3075" s="261"/>
      <c r="BU3075" s="261"/>
      <c r="BV3075" s="261"/>
    </row>
    <row r="3076" spans="12:74">
      <c r="L3076" s="261"/>
      <c r="M3076" s="261"/>
      <c r="N3076" s="261"/>
      <c r="O3076" s="261"/>
      <c r="P3076" s="261"/>
      <c r="Q3076" s="261"/>
      <c r="BR3076" s="261"/>
      <c r="BS3076" s="261"/>
      <c r="BT3076" s="261"/>
      <c r="BU3076" s="261"/>
      <c r="BV3076" s="261"/>
    </row>
    <row r="3077" spans="12:74">
      <c r="L3077" s="261"/>
      <c r="M3077" s="261"/>
      <c r="N3077" s="261"/>
      <c r="O3077" s="261"/>
      <c r="P3077" s="261"/>
      <c r="Q3077" s="261"/>
      <c r="BR3077" s="261"/>
      <c r="BS3077" s="261"/>
      <c r="BT3077" s="261"/>
      <c r="BU3077" s="261"/>
      <c r="BV3077" s="261"/>
    </row>
    <row r="3078" spans="12:74">
      <c r="L3078" s="261"/>
      <c r="M3078" s="261"/>
      <c r="N3078" s="261"/>
      <c r="O3078" s="261"/>
      <c r="P3078" s="261"/>
      <c r="Q3078" s="261"/>
      <c r="BR3078" s="261"/>
      <c r="BS3078" s="261"/>
      <c r="BT3078" s="261"/>
      <c r="BU3078" s="261"/>
      <c r="BV3078" s="261"/>
    </row>
    <row r="3079" spans="12:74">
      <c r="L3079" s="261"/>
      <c r="M3079" s="261"/>
      <c r="N3079" s="261"/>
      <c r="O3079" s="261"/>
      <c r="P3079" s="261"/>
      <c r="Q3079" s="261"/>
      <c r="BR3079" s="261"/>
      <c r="BS3079" s="261"/>
      <c r="BT3079" s="261"/>
      <c r="BU3079" s="261"/>
      <c r="BV3079" s="261"/>
    </row>
    <row r="3080" spans="12:74">
      <c r="L3080" s="261"/>
      <c r="M3080" s="261"/>
      <c r="N3080" s="261"/>
      <c r="O3080" s="261"/>
      <c r="P3080" s="261"/>
      <c r="Q3080" s="261"/>
      <c r="BR3080" s="261"/>
      <c r="BS3080" s="261"/>
      <c r="BT3080" s="261"/>
      <c r="BU3080" s="261"/>
      <c r="BV3080" s="261"/>
    </row>
    <row r="3081" spans="12:74">
      <c r="L3081" s="261"/>
      <c r="M3081" s="261"/>
      <c r="N3081" s="261"/>
      <c r="O3081" s="261"/>
      <c r="P3081" s="261"/>
      <c r="Q3081" s="261"/>
      <c r="BR3081" s="261"/>
      <c r="BS3081" s="261"/>
      <c r="BT3081" s="261"/>
      <c r="BU3081" s="261"/>
      <c r="BV3081" s="261"/>
    </row>
    <row r="3082" spans="12:74">
      <c r="L3082" s="261"/>
      <c r="M3082" s="261"/>
      <c r="N3082" s="261"/>
      <c r="O3082" s="261"/>
      <c r="P3082" s="261"/>
      <c r="Q3082" s="261"/>
      <c r="BR3082" s="261"/>
      <c r="BS3082" s="261"/>
      <c r="BT3082" s="261"/>
      <c r="BU3082" s="261"/>
      <c r="BV3082" s="261"/>
    </row>
    <row r="3083" spans="12:74">
      <c r="L3083" s="261"/>
      <c r="M3083" s="261"/>
      <c r="N3083" s="261"/>
      <c r="O3083" s="261"/>
      <c r="P3083" s="261"/>
      <c r="Q3083" s="261"/>
      <c r="BR3083" s="261"/>
      <c r="BS3083" s="261"/>
      <c r="BT3083" s="261"/>
      <c r="BU3083" s="261"/>
      <c r="BV3083" s="261"/>
    </row>
    <row r="3084" spans="12:74">
      <c r="L3084" s="261"/>
      <c r="M3084" s="261"/>
      <c r="N3084" s="261"/>
      <c r="O3084" s="261"/>
      <c r="P3084" s="261"/>
      <c r="Q3084" s="261"/>
      <c r="BR3084" s="261"/>
      <c r="BS3084" s="261"/>
      <c r="BT3084" s="261"/>
      <c r="BU3084" s="261"/>
      <c r="BV3084" s="261"/>
    </row>
    <row r="3085" spans="12:74">
      <c r="L3085" s="261"/>
      <c r="M3085" s="261"/>
      <c r="N3085" s="261"/>
      <c r="O3085" s="261"/>
      <c r="P3085" s="261"/>
      <c r="Q3085" s="261"/>
      <c r="BR3085" s="261"/>
      <c r="BS3085" s="261"/>
      <c r="BT3085" s="261"/>
      <c r="BU3085" s="261"/>
      <c r="BV3085" s="261"/>
    </row>
    <row r="3086" spans="12:74">
      <c r="L3086" s="261"/>
      <c r="M3086" s="261"/>
      <c r="N3086" s="261"/>
      <c r="O3086" s="261"/>
      <c r="P3086" s="261"/>
      <c r="Q3086" s="261"/>
      <c r="BR3086" s="261"/>
      <c r="BS3086" s="261"/>
      <c r="BT3086" s="261"/>
      <c r="BU3086" s="261"/>
      <c r="BV3086" s="261"/>
    </row>
    <row r="3087" spans="12:74">
      <c r="L3087" s="261"/>
      <c r="M3087" s="261"/>
      <c r="N3087" s="261"/>
      <c r="O3087" s="261"/>
      <c r="P3087" s="261"/>
      <c r="Q3087" s="261"/>
      <c r="BR3087" s="261"/>
      <c r="BS3087" s="261"/>
      <c r="BT3087" s="261"/>
      <c r="BU3087" s="261"/>
      <c r="BV3087" s="261"/>
    </row>
    <row r="3088" spans="12:74">
      <c r="L3088" s="261"/>
      <c r="M3088" s="261"/>
      <c r="N3088" s="261"/>
      <c r="O3088" s="261"/>
      <c r="P3088" s="261"/>
      <c r="Q3088" s="261"/>
      <c r="BR3088" s="261"/>
      <c r="BS3088" s="261"/>
      <c r="BT3088" s="261"/>
      <c r="BU3088" s="261"/>
      <c r="BV3088" s="261"/>
    </row>
    <row r="3089" spans="12:74">
      <c r="L3089" s="261"/>
      <c r="M3089" s="261"/>
      <c r="N3089" s="261"/>
      <c r="O3089" s="261"/>
      <c r="P3089" s="261"/>
      <c r="Q3089" s="261"/>
      <c r="BR3089" s="261"/>
      <c r="BS3089" s="261"/>
      <c r="BT3089" s="261"/>
      <c r="BU3089" s="261"/>
      <c r="BV3089" s="261"/>
    </row>
    <row r="3090" spans="12:74">
      <c r="L3090" s="261"/>
      <c r="M3090" s="261"/>
      <c r="N3090" s="261"/>
      <c r="O3090" s="261"/>
      <c r="P3090" s="261"/>
      <c r="Q3090" s="261"/>
      <c r="BR3090" s="261"/>
      <c r="BS3090" s="261"/>
      <c r="BT3090" s="261"/>
      <c r="BU3090" s="261"/>
      <c r="BV3090" s="261"/>
    </row>
    <row r="3091" spans="12:74">
      <c r="L3091" s="261"/>
      <c r="M3091" s="261"/>
      <c r="N3091" s="261"/>
      <c r="O3091" s="261"/>
      <c r="P3091" s="261"/>
      <c r="Q3091" s="261"/>
      <c r="BR3091" s="261"/>
      <c r="BS3091" s="261"/>
      <c r="BT3091" s="261"/>
      <c r="BU3091" s="261"/>
      <c r="BV3091" s="261"/>
    </row>
    <row r="3092" spans="12:74">
      <c r="L3092" s="261"/>
      <c r="M3092" s="261"/>
      <c r="N3092" s="261"/>
      <c r="O3092" s="261"/>
      <c r="P3092" s="261"/>
      <c r="Q3092" s="261"/>
      <c r="BR3092" s="261"/>
      <c r="BS3092" s="261"/>
      <c r="BT3092" s="261"/>
      <c r="BU3092" s="261"/>
      <c r="BV3092" s="261"/>
    </row>
    <row r="3093" spans="12:74">
      <c r="L3093" s="261"/>
      <c r="M3093" s="261"/>
      <c r="N3093" s="261"/>
      <c r="O3093" s="261"/>
      <c r="P3093" s="261"/>
      <c r="Q3093" s="261"/>
      <c r="BR3093" s="261"/>
      <c r="BS3093" s="261"/>
      <c r="BT3093" s="261"/>
      <c r="BU3093" s="261"/>
      <c r="BV3093" s="261"/>
    </row>
    <row r="3094" spans="12:74">
      <c r="L3094" s="261"/>
      <c r="M3094" s="261"/>
      <c r="N3094" s="261"/>
      <c r="O3094" s="261"/>
      <c r="P3094" s="261"/>
      <c r="Q3094" s="261"/>
      <c r="BR3094" s="261"/>
      <c r="BS3094" s="261"/>
      <c r="BT3094" s="261"/>
      <c r="BU3094" s="261"/>
      <c r="BV3094" s="261"/>
    </row>
    <row r="3095" spans="12:74">
      <c r="L3095" s="261"/>
      <c r="M3095" s="261"/>
      <c r="N3095" s="261"/>
      <c r="O3095" s="261"/>
      <c r="P3095" s="261"/>
      <c r="Q3095" s="261"/>
      <c r="BR3095" s="261"/>
      <c r="BS3095" s="261"/>
      <c r="BT3095" s="261"/>
      <c r="BU3095" s="261"/>
      <c r="BV3095" s="261"/>
    </row>
    <row r="3096" spans="12:74">
      <c r="L3096" s="261"/>
      <c r="M3096" s="261"/>
      <c r="N3096" s="261"/>
      <c r="O3096" s="261"/>
      <c r="P3096" s="261"/>
      <c r="Q3096" s="261"/>
      <c r="BR3096" s="261"/>
      <c r="BS3096" s="261"/>
      <c r="BT3096" s="261"/>
      <c r="BU3096" s="261"/>
      <c r="BV3096" s="261"/>
    </row>
    <row r="3097" spans="12:74">
      <c r="L3097" s="261"/>
      <c r="M3097" s="261"/>
      <c r="N3097" s="261"/>
      <c r="O3097" s="261"/>
      <c r="P3097" s="261"/>
      <c r="Q3097" s="261"/>
      <c r="BR3097" s="261"/>
      <c r="BS3097" s="261"/>
      <c r="BT3097" s="261"/>
      <c r="BU3097" s="261"/>
      <c r="BV3097" s="261"/>
    </row>
    <row r="3098" spans="12:74">
      <c r="L3098" s="261"/>
      <c r="M3098" s="261"/>
      <c r="N3098" s="261"/>
      <c r="O3098" s="261"/>
      <c r="P3098" s="261"/>
      <c r="Q3098" s="261"/>
      <c r="BR3098" s="261"/>
      <c r="BS3098" s="261"/>
      <c r="BT3098" s="261"/>
      <c r="BU3098" s="261"/>
      <c r="BV3098" s="261"/>
    </row>
    <row r="3099" spans="12:74">
      <c r="L3099" s="261"/>
      <c r="M3099" s="261"/>
      <c r="N3099" s="261"/>
      <c r="O3099" s="261"/>
      <c r="P3099" s="261"/>
      <c r="Q3099" s="261"/>
      <c r="BR3099" s="261"/>
      <c r="BS3099" s="261"/>
      <c r="BT3099" s="261"/>
      <c r="BU3099" s="261"/>
      <c r="BV3099" s="261"/>
    </row>
    <row r="3100" spans="12:74">
      <c r="L3100" s="261"/>
      <c r="M3100" s="261"/>
      <c r="N3100" s="261"/>
      <c r="O3100" s="261"/>
      <c r="P3100" s="261"/>
      <c r="Q3100" s="261"/>
      <c r="BR3100" s="261"/>
      <c r="BS3100" s="261"/>
      <c r="BT3100" s="261"/>
      <c r="BU3100" s="261"/>
      <c r="BV3100" s="261"/>
    </row>
    <row r="3101" spans="12:74">
      <c r="L3101" s="261"/>
      <c r="M3101" s="261"/>
      <c r="N3101" s="261"/>
      <c r="O3101" s="261"/>
      <c r="P3101" s="261"/>
      <c r="Q3101" s="261"/>
      <c r="BR3101" s="261"/>
      <c r="BS3101" s="261"/>
      <c r="BT3101" s="261"/>
      <c r="BU3101" s="261"/>
      <c r="BV3101" s="261"/>
    </row>
    <row r="3102" spans="12:74">
      <c r="L3102" s="261"/>
      <c r="M3102" s="261"/>
      <c r="N3102" s="261"/>
      <c r="O3102" s="261"/>
      <c r="P3102" s="261"/>
      <c r="Q3102" s="261"/>
      <c r="BR3102" s="261"/>
      <c r="BS3102" s="261"/>
      <c r="BT3102" s="261"/>
      <c r="BU3102" s="261"/>
      <c r="BV3102" s="261"/>
    </row>
    <row r="3103" spans="12:74">
      <c r="L3103" s="261"/>
      <c r="M3103" s="261"/>
      <c r="N3103" s="261"/>
      <c r="O3103" s="261"/>
      <c r="P3103" s="261"/>
      <c r="Q3103" s="261"/>
      <c r="BR3103" s="261"/>
      <c r="BS3103" s="261"/>
      <c r="BT3103" s="261"/>
      <c r="BU3103" s="261"/>
      <c r="BV3103" s="261"/>
    </row>
    <row r="3104" spans="12:74">
      <c r="L3104" s="261"/>
      <c r="M3104" s="261"/>
      <c r="N3104" s="261"/>
      <c r="O3104" s="261"/>
      <c r="P3104" s="261"/>
      <c r="Q3104" s="261"/>
      <c r="BR3104" s="261"/>
      <c r="BS3104" s="261"/>
      <c r="BT3104" s="261"/>
      <c r="BU3104" s="261"/>
      <c r="BV3104" s="261"/>
    </row>
    <row r="3105" spans="12:74">
      <c r="L3105" s="261"/>
      <c r="M3105" s="261"/>
      <c r="N3105" s="261"/>
      <c r="O3105" s="261"/>
      <c r="P3105" s="261"/>
      <c r="Q3105" s="261"/>
      <c r="BR3105" s="261"/>
      <c r="BS3105" s="261"/>
      <c r="BT3105" s="261"/>
      <c r="BU3105" s="261"/>
      <c r="BV3105" s="261"/>
    </row>
    <row r="3106" spans="12:74">
      <c r="L3106" s="261"/>
      <c r="M3106" s="261"/>
      <c r="N3106" s="261"/>
      <c r="O3106" s="261"/>
      <c r="P3106" s="261"/>
      <c r="Q3106" s="261"/>
      <c r="BR3106" s="261"/>
      <c r="BS3106" s="261"/>
      <c r="BT3106" s="261"/>
      <c r="BU3106" s="261"/>
      <c r="BV3106" s="261"/>
    </row>
    <row r="3107" spans="12:74">
      <c r="L3107" s="261"/>
      <c r="M3107" s="261"/>
      <c r="N3107" s="261"/>
      <c r="O3107" s="261"/>
      <c r="P3107" s="261"/>
      <c r="Q3107" s="261"/>
      <c r="BR3107" s="261"/>
      <c r="BS3107" s="261"/>
      <c r="BT3107" s="261"/>
      <c r="BU3107" s="261"/>
      <c r="BV3107" s="261"/>
    </row>
    <row r="3108" spans="12:74">
      <c r="L3108" s="261"/>
      <c r="M3108" s="261"/>
      <c r="N3108" s="261"/>
      <c r="O3108" s="261"/>
      <c r="P3108" s="261"/>
      <c r="Q3108" s="261"/>
      <c r="BR3108" s="261"/>
      <c r="BS3108" s="261"/>
      <c r="BT3108" s="261"/>
      <c r="BU3108" s="261"/>
      <c r="BV3108" s="261"/>
    </row>
    <row r="3109" spans="12:74">
      <c r="L3109" s="261"/>
      <c r="M3109" s="261"/>
      <c r="N3109" s="261"/>
      <c r="O3109" s="261"/>
      <c r="P3109" s="261"/>
      <c r="Q3109" s="261"/>
      <c r="BR3109" s="261"/>
      <c r="BS3109" s="261"/>
      <c r="BT3109" s="261"/>
      <c r="BU3109" s="261"/>
      <c r="BV3109" s="261"/>
    </row>
    <row r="3110" spans="12:74">
      <c r="L3110" s="261"/>
      <c r="M3110" s="261"/>
      <c r="N3110" s="261"/>
      <c r="O3110" s="261"/>
      <c r="P3110" s="261"/>
      <c r="Q3110" s="261"/>
      <c r="BR3110" s="261"/>
      <c r="BS3110" s="261"/>
      <c r="BT3110" s="261"/>
      <c r="BU3110" s="261"/>
      <c r="BV3110" s="261"/>
    </row>
    <row r="3111" spans="12:74">
      <c r="L3111" s="261"/>
      <c r="M3111" s="261"/>
      <c r="N3111" s="261"/>
      <c r="O3111" s="261"/>
      <c r="P3111" s="261"/>
      <c r="Q3111" s="261"/>
      <c r="BR3111" s="261"/>
      <c r="BS3111" s="261"/>
      <c r="BT3111" s="261"/>
      <c r="BU3111" s="261"/>
      <c r="BV3111" s="261"/>
    </row>
    <row r="3112" spans="12:74">
      <c r="L3112" s="261"/>
      <c r="M3112" s="261"/>
      <c r="N3112" s="261"/>
      <c r="O3112" s="261"/>
      <c r="P3112" s="261"/>
      <c r="Q3112" s="261"/>
      <c r="BR3112" s="261"/>
      <c r="BS3112" s="261"/>
      <c r="BT3112" s="261"/>
      <c r="BU3112" s="261"/>
      <c r="BV3112" s="261"/>
    </row>
    <row r="3113" spans="12:74">
      <c r="L3113" s="261"/>
      <c r="M3113" s="261"/>
      <c r="N3113" s="261"/>
      <c r="O3113" s="261"/>
      <c r="P3113" s="261"/>
      <c r="Q3113" s="261"/>
      <c r="BR3113" s="261"/>
      <c r="BS3113" s="261"/>
      <c r="BT3113" s="261"/>
      <c r="BU3113" s="261"/>
      <c r="BV3113" s="261"/>
    </row>
    <row r="3114" spans="12:74">
      <c r="L3114" s="261"/>
      <c r="M3114" s="261"/>
      <c r="N3114" s="261"/>
      <c r="O3114" s="261"/>
      <c r="P3114" s="261"/>
      <c r="Q3114" s="261"/>
      <c r="BR3114" s="261"/>
      <c r="BS3114" s="261"/>
      <c r="BT3114" s="261"/>
      <c r="BU3114" s="261"/>
      <c r="BV3114" s="261"/>
    </row>
    <row r="3115" spans="12:74">
      <c r="L3115" s="261"/>
      <c r="M3115" s="261"/>
      <c r="N3115" s="261"/>
      <c r="O3115" s="261"/>
      <c r="P3115" s="261"/>
      <c r="Q3115" s="261"/>
      <c r="BR3115" s="261"/>
      <c r="BS3115" s="261"/>
      <c r="BT3115" s="261"/>
      <c r="BU3115" s="261"/>
      <c r="BV3115" s="261"/>
    </row>
    <row r="3116" spans="12:74">
      <c r="L3116" s="261"/>
      <c r="M3116" s="261"/>
      <c r="N3116" s="261"/>
      <c r="O3116" s="261"/>
      <c r="P3116" s="261"/>
      <c r="Q3116" s="261"/>
      <c r="BR3116" s="261"/>
      <c r="BS3116" s="261"/>
      <c r="BT3116" s="261"/>
      <c r="BU3116" s="261"/>
      <c r="BV3116" s="261"/>
    </row>
    <row r="3117" spans="12:74">
      <c r="L3117" s="261"/>
      <c r="M3117" s="261"/>
      <c r="N3117" s="261"/>
      <c r="O3117" s="261"/>
      <c r="P3117" s="261"/>
      <c r="Q3117" s="261"/>
      <c r="BR3117" s="261"/>
      <c r="BS3117" s="261"/>
      <c r="BT3117" s="261"/>
      <c r="BU3117" s="261"/>
      <c r="BV3117" s="261"/>
    </row>
    <row r="3118" spans="12:74">
      <c r="L3118" s="261"/>
      <c r="M3118" s="261"/>
      <c r="N3118" s="261"/>
      <c r="O3118" s="261"/>
      <c r="P3118" s="261"/>
      <c r="Q3118" s="261"/>
      <c r="BR3118" s="261"/>
      <c r="BS3118" s="261"/>
      <c r="BT3118" s="261"/>
      <c r="BU3118" s="261"/>
      <c r="BV3118" s="261"/>
    </row>
    <row r="3119" spans="12:74">
      <c r="L3119" s="261"/>
      <c r="M3119" s="261"/>
      <c r="N3119" s="261"/>
      <c r="O3119" s="261"/>
      <c r="P3119" s="261"/>
      <c r="Q3119" s="261"/>
      <c r="BR3119" s="261"/>
      <c r="BS3119" s="261"/>
      <c r="BT3119" s="261"/>
      <c r="BU3119" s="261"/>
      <c r="BV3119" s="261"/>
    </row>
    <row r="3120" spans="12:74">
      <c r="L3120" s="261"/>
      <c r="M3120" s="261"/>
      <c r="N3120" s="261"/>
      <c r="O3120" s="261"/>
      <c r="P3120" s="261"/>
      <c r="Q3120" s="261"/>
      <c r="BR3120" s="261"/>
      <c r="BS3120" s="261"/>
      <c r="BT3120" s="261"/>
      <c r="BU3120" s="261"/>
      <c r="BV3120" s="261"/>
    </row>
    <row r="3121" spans="12:74">
      <c r="L3121" s="261"/>
      <c r="M3121" s="261"/>
      <c r="N3121" s="261"/>
      <c r="O3121" s="261"/>
      <c r="P3121" s="261"/>
      <c r="Q3121" s="261"/>
      <c r="BR3121" s="261"/>
      <c r="BS3121" s="261"/>
      <c r="BT3121" s="261"/>
      <c r="BU3121" s="261"/>
      <c r="BV3121" s="261"/>
    </row>
    <row r="3122" spans="12:74">
      <c r="L3122" s="261"/>
      <c r="M3122" s="261"/>
      <c r="N3122" s="261"/>
      <c r="O3122" s="261"/>
      <c r="P3122" s="261"/>
      <c r="Q3122" s="261"/>
      <c r="BR3122" s="261"/>
      <c r="BS3122" s="261"/>
      <c r="BT3122" s="261"/>
      <c r="BU3122" s="261"/>
      <c r="BV3122" s="261"/>
    </row>
    <row r="3123" spans="12:74">
      <c r="L3123" s="261"/>
      <c r="M3123" s="261"/>
      <c r="N3123" s="261"/>
      <c r="O3123" s="261"/>
      <c r="P3123" s="261"/>
      <c r="Q3123" s="261"/>
      <c r="BR3123" s="261"/>
      <c r="BS3123" s="261"/>
      <c r="BT3123" s="261"/>
      <c r="BU3123" s="261"/>
      <c r="BV3123" s="261"/>
    </row>
    <row r="3124" spans="12:74">
      <c r="L3124" s="261"/>
      <c r="M3124" s="261"/>
      <c r="N3124" s="261"/>
      <c r="O3124" s="261"/>
      <c r="P3124" s="261"/>
      <c r="Q3124" s="261"/>
      <c r="BR3124" s="261"/>
      <c r="BS3124" s="261"/>
      <c r="BT3124" s="261"/>
      <c r="BU3124" s="261"/>
      <c r="BV3124" s="261"/>
    </row>
    <row r="3125" spans="12:74">
      <c r="L3125" s="261"/>
      <c r="M3125" s="261"/>
      <c r="N3125" s="261"/>
      <c r="O3125" s="261"/>
      <c r="P3125" s="261"/>
      <c r="Q3125" s="261"/>
      <c r="BR3125" s="261"/>
      <c r="BS3125" s="261"/>
      <c r="BT3125" s="261"/>
      <c r="BU3125" s="261"/>
      <c r="BV3125" s="261"/>
    </row>
    <row r="3126" spans="12:74">
      <c r="L3126" s="261"/>
      <c r="M3126" s="261"/>
      <c r="N3126" s="261"/>
      <c r="O3126" s="261"/>
      <c r="P3126" s="261"/>
      <c r="Q3126" s="261"/>
      <c r="BR3126" s="261"/>
      <c r="BS3126" s="261"/>
      <c r="BT3126" s="261"/>
      <c r="BU3126" s="261"/>
      <c r="BV3126" s="261"/>
    </row>
    <row r="3127" spans="12:74">
      <c r="L3127" s="261"/>
      <c r="M3127" s="261"/>
      <c r="N3127" s="261"/>
      <c r="O3127" s="261"/>
      <c r="P3127" s="261"/>
      <c r="Q3127" s="261"/>
      <c r="BR3127" s="261"/>
      <c r="BS3127" s="261"/>
      <c r="BT3127" s="261"/>
      <c r="BU3127" s="261"/>
      <c r="BV3127" s="261"/>
    </row>
    <row r="3128" spans="12:74">
      <c r="L3128" s="261"/>
      <c r="M3128" s="261"/>
      <c r="N3128" s="261"/>
      <c r="O3128" s="261"/>
      <c r="P3128" s="261"/>
      <c r="Q3128" s="261"/>
      <c r="BR3128" s="261"/>
      <c r="BS3128" s="261"/>
      <c r="BT3128" s="261"/>
      <c r="BU3128" s="261"/>
      <c r="BV3128" s="261"/>
    </row>
    <row r="3129" spans="12:74">
      <c r="L3129" s="261"/>
      <c r="M3129" s="261"/>
      <c r="N3129" s="261"/>
      <c r="O3129" s="261"/>
      <c r="P3129" s="261"/>
      <c r="Q3129" s="261"/>
      <c r="BR3129" s="261"/>
      <c r="BS3129" s="261"/>
      <c r="BT3129" s="261"/>
      <c r="BU3129" s="261"/>
      <c r="BV3129" s="261"/>
    </row>
    <row r="3130" spans="12:74">
      <c r="L3130" s="261"/>
      <c r="M3130" s="261"/>
      <c r="N3130" s="261"/>
      <c r="O3130" s="261"/>
      <c r="P3130" s="261"/>
      <c r="Q3130" s="261"/>
      <c r="BR3130" s="261"/>
      <c r="BS3130" s="261"/>
      <c r="BT3130" s="261"/>
      <c r="BU3130" s="261"/>
      <c r="BV3130" s="261"/>
    </row>
    <row r="3131" spans="12:74">
      <c r="L3131" s="261"/>
      <c r="M3131" s="261"/>
      <c r="N3131" s="261"/>
      <c r="O3131" s="261"/>
      <c r="P3131" s="261"/>
      <c r="Q3131" s="261"/>
      <c r="BR3131" s="261"/>
      <c r="BS3131" s="261"/>
      <c r="BT3131" s="261"/>
      <c r="BU3131" s="261"/>
      <c r="BV3131" s="261"/>
    </row>
    <row r="3132" spans="12:74">
      <c r="L3132" s="261"/>
      <c r="M3132" s="261"/>
      <c r="N3132" s="261"/>
      <c r="O3132" s="261"/>
      <c r="P3132" s="261"/>
      <c r="Q3132" s="261"/>
      <c r="BR3132" s="261"/>
      <c r="BS3132" s="261"/>
      <c r="BT3132" s="261"/>
      <c r="BU3132" s="261"/>
      <c r="BV3132" s="261"/>
    </row>
    <row r="3133" spans="12:74">
      <c r="L3133" s="261"/>
      <c r="M3133" s="261"/>
      <c r="N3133" s="261"/>
      <c r="O3133" s="261"/>
      <c r="P3133" s="261"/>
      <c r="Q3133" s="261"/>
      <c r="BR3133" s="261"/>
      <c r="BS3133" s="261"/>
      <c r="BT3133" s="261"/>
      <c r="BU3133" s="261"/>
      <c r="BV3133" s="261"/>
    </row>
    <row r="3134" spans="12:74">
      <c r="L3134" s="261"/>
      <c r="M3134" s="261"/>
      <c r="N3134" s="261"/>
      <c r="O3134" s="261"/>
      <c r="P3134" s="261"/>
      <c r="Q3134" s="261"/>
      <c r="BR3134" s="261"/>
      <c r="BS3134" s="261"/>
      <c r="BT3134" s="261"/>
      <c r="BU3134" s="261"/>
      <c r="BV3134" s="261"/>
    </row>
    <row r="3135" spans="12:74">
      <c r="L3135" s="261"/>
      <c r="M3135" s="261"/>
      <c r="N3135" s="261"/>
      <c r="O3135" s="261"/>
      <c r="P3135" s="261"/>
      <c r="Q3135" s="261"/>
      <c r="BR3135" s="261"/>
      <c r="BS3135" s="261"/>
      <c r="BT3135" s="261"/>
      <c r="BU3135" s="261"/>
      <c r="BV3135" s="261"/>
    </row>
    <row r="3136" spans="12:74">
      <c r="L3136" s="261"/>
      <c r="M3136" s="261"/>
      <c r="N3136" s="261"/>
      <c r="O3136" s="261"/>
      <c r="P3136" s="261"/>
      <c r="Q3136" s="261"/>
      <c r="BR3136" s="261"/>
      <c r="BS3136" s="261"/>
      <c r="BT3136" s="261"/>
      <c r="BU3136" s="261"/>
      <c r="BV3136" s="261"/>
    </row>
    <row r="3137" spans="12:74">
      <c r="L3137" s="261"/>
      <c r="M3137" s="261"/>
      <c r="N3137" s="261"/>
      <c r="O3137" s="261"/>
      <c r="P3137" s="261"/>
      <c r="Q3137" s="261"/>
      <c r="BR3137" s="261"/>
      <c r="BS3137" s="261"/>
      <c r="BT3137" s="261"/>
      <c r="BU3137" s="261"/>
      <c r="BV3137" s="261"/>
    </row>
    <row r="3138" spans="12:74">
      <c r="L3138" s="261"/>
      <c r="M3138" s="261"/>
      <c r="N3138" s="261"/>
      <c r="O3138" s="261"/>
      <c r="P3138" s="261"/>
      <c r="Q3138" s="261"/>
      <c r="BR3138" s="261"/>
      <c r="BS3138" s="261"/>
      <c r="BT3138" s="261"/>
      <c r="BU3138" s="261"/>
      <c r="BV3138" s="261"/>
    </row>
    <row r="3139" spans="12:74">
      <c r="L3139" s="261"/>
      <c r="M3139" s="261"/>
      <c r="N3139" s="261"/>
      <c r="O3139" s="261"/>
      <c r="P3139" s="261"/>
      <c r="Q3139" s="261"/>
      <c r="BR3139" s="261"/>
      <c r="BS3139" s="261"/>
      <c r="BT3139" s="261"/>
      <c r="BU3139" s="261"/>
      <c r="BV3139" s="261"/>
    </row>
    <row r="3140" spans="12:74">
      <c r="L3140" s="261"/>
      <c r="M3140" s="261"/>
      <c r="N3140" s="261"/>
      <c r="O3140" s="261"/>
      <c r="P3140" s="261"/>
      <c r="Q3140" s="261"/>
      <c r="BR3140" s="261"/>
      <c r="BS3140" s="261"/>
      <c r="BT3140" s="261"/>
      <c r="BU3140" s="261"/>
      <c r="BV3140" s="261"/>
    </row>
    <row r="3141" spans="12:74">
      <c r="L3141" s="261"/>
      <c r="M3141" s="261"/>
      <c r="N3141" s="261"/>
      <c r="O3141" s="261"/>
      <c r="P3141" s="261"/>
      <c r="Q3141" s="261"/>
      <c r="BR3141" s="261"/>
      <c r="BS3141" s="261"/>
      <c r="BT3141" s="261"/>
      <c r="BU3141" s="261"/>
      <c r="BV3141" s="261"/>
    </row>
    <row r="3142" spans="12:74">
      <c r="L3142" s="261"/>
      <c r="M3142" s="261"/>
      <c r="N3142" s="261"/>
      <c r="O3142" s="261"/>
      <c r="P3142" s="261"/>
      <c r="Q3142" s="261"/>
      <c r="BR3142" s="261"/>
      <c r="BS3142" s="261"/>
      <c r="BT3142" s="261"/>
      <c r="BU3142" s="261"/>
      <c r="BV3142" s="261"/>
    </row>
    <row r="3143" spans="12:74">
      <c r="L3143" s="261"/>
      <c r="M3143" s="261"/>
      <c r="N3143" s="261"/>
      <c r="O3143" s="261"/>
      <c r="P3143" s="261"/>
      <c r="Q3143" s="261"/>
      <c r="BR3143" s="261"/>
      <c r="BS3143" s="261"/>
      <c r="BT3143" s="261"/>
      <c r="BU3143" s="261"/>
      <c r="BV3143" s="261"/>
    </row>
    <row r="3144" spans="12:74">
      <c r="L3144" s="261"/>
      <c r="M3144" s="261"/>
      <c r="N3144" s="261"/>
      <c r="O3144" s="261"/>
      <c r="P3144" s="261"/>
      <c r="Q3144" s="261"/>
      <c r="BR3144" s="261"/>
      <c r="BS3144" s="261"/>
      <c r="BT3144" s="261"/>
      <c r="BU3144" s="261"/>
      <c r="BV3144" s="261"/>
    </row>
    <row r="3145" spans="12:74">
      <c r="L3145" s="261"/>
      <c r="M3145" s="261"/>
      <c r="N3145" s="261"/>
      <c r="O3145" s="261"/>
      <c r="P3145" s="261"/>
      <c r="Q3145" s="261"/>
      <c r="BR3145" s="261"/>
      <c r="BS3145" s="261"/>
      <c r="BT3145" s="261"/>
      <c r="BU3145" s="261"/>
      <c r="BV3145" s="261"/>
    </row>
    <row r="3146" spans="12:74">
      <c r="L3146" s="261"/>
      <c r="M3146" s="261"/>
      <c r="N3146" s="261"/>
      <c r="O3146" s="261"/>
      <c r="P3146" s="261"/>
      <c r="Q3146" s="261"/>
      <c r="BR3146" s="261"/>
      <c r="BS3146" s="261"/>
      <c r="BT3146" s="261"/>
      <c r="BU3146" s="261"/>
      <c r="BV3146" s="261"/>
    </row>
    <row r="3147" spans="12:74">
      <c r="L3147" s="261"/>
      <c r="M3147" s="261"/>
      <c r="N3147" s="261"/>
      <c r="O3147" s="261"/>
      <c r="P3147" s="261"/>
      <c r="Q3147" s="261"/>
      <c r="BR3147" s="261"/>
      <c r="BS3147" s="261"/>
      <c r="BT3147" s="261"/>
      <c r="BU3147" s="261"/>
      <c r="BV3147" s="261"/>
    </row>
    <row r="3148" spans="12:74">
      <c r="L3148" s="261"/>
      <c r="M3148" s="261"/>
      <c r="N3148" s="261"/>
      <c r="O3148" s="261"/>
      <c r="P3148" s="261"/>
      <c r="Q3148" s="261"/>
      <c r="BR3148" s="261"/>
      <c r="BS3148" s="261"/>
      <c r="BT3148" s="261"/>
      <c r="BU3148" s="261"/>
      <c r="BV3148" s="261"/>
    </row>
    <row r="3149" spans="12:74">
      <c r="L3149" s="261"/>
      <c r="M3149" s="261"/>
      <c r="N3149" s="261"/>
      <c r="O3149" s="261"/>
      <c r="P3149" s="261"/>
      <c r="Q3149" s="261"/>
      <c r="BR3149" s="261"/>
      <c r="BS3149" s="261"/>
      <c r="BT3149" s="261"/>
      <c r="BU3149" s="261"/>
      <c r="BV3149" s="261"/>
    </row>
    <row r="3150" spans="12:74">
      <c r="L3150" s="261"/>
      <c r="M3150" s="261"/>
      <c r="N3150" s="261"/>
      <c r="O3150" s="261"/>
      <c r="P3150" s="261"/>
      <c r="Q3150" s="261"/>
      <c r="BR3150" s="261"/>
      <c r="BS3150" s="261"/>
      <c r="BT3150" s="261"/>
      <c r="BU3150" s="261"/>
      <c r="BV3150" s="261"/>
    </row>
    <row r="3151" spans="12:74">
      <c r="L3151" s="261"/>
      <c r="M3151" s="261"/>
      <c r="N3151" s="261"/>
      <c r="O3151" s="261"/>
      <c r="P3151" s="261"/>
      <c r="Q3151" s="261"/>
      <c r="BR3151" s="261"/>
      <c r="BS3151" s="261"/>
      <c r="BT3151" s="261"/>
      <c r="BU3151" s="261"/>
      <c r="BV3151" s="261"/>
    </row>
    <row r="3152" spans="12:74">
      <c r="L3152" s="261"/>
      <c r="M3152" s="261"/>
      <c r="N3152" s="261"/>
      <c r="O3152" s="261"/>
      <c r="P3152" s="261"/>
      <c r="Q3152" s="261"/>
      <c r="BR3152" s="261"/>
      <c r="BS3152" s="261"/>
      <c r="BT3152" s="261"/>
      <c r="BU3152" s="261"/>
      <c r="BV3152" s="261"/>
    </row>
    <row r="3153" spans="12:74">
      <c r="L3153" s="261"/>
      <c r="M3153" s="261"/>
      <c r="N3153" s="261"/>
      <c r="O3153" s="261"/>
      <c r="P3153" s="261"/>
      <c r="Q3153" s="261"/>
      <c r="BR3153" s="261"/>
      <c r="BS3153" s="261"/>
      <c r="BT3153" s="261"/>
      <c r="BU3153" s="261"/>
      <c r="BV3153" s="261"/>
    </row>
    <row r="3154" spans="12:74">
      <c r="L3154" s="261"/>
      <c r="M3154" s="261"/>
      <c r="N3154" s="261"/>
      <c r="O3154" s="261"/>
      <c r="P3154" s="261"/>
      <c r="Q3154" s="261"/>
      <c r="BR3154" s="261"/>
      <c r="BS3154" s="261"/>
      <c r="BT3154" s="261"/>
      <c r="BU3154" s="261"/>
      <c r="BV3154" s="261"/>
    </row>
    <row r="3155" spans="12:74">
      <c r="L3155" s="261"/>
      <c r="M3155" s="261"/>
      <c r="N3155" s="261"/>
      <c r="O3155" s="261"/>
      <c r="P3155" s="261"/>
      <c r="Q3155" s="261"/>
      <c r="BR3155" s="261"/>
      <c r="BS3155" s="261"/>
      <c r="BT3155" s="261"/>
      <c r="BU3155" s="261"/>
      <c r="BV3155" s="261"/>
    </row>
    <row r="3156" spans="12:74">
      <c r="L3156" s="261"/>
      <c r="M3156" s="261"/>
      <c r="N3156" s="261"/>
      <c r="O3156" s="261"/>
      <c r="P3156" s="261"/>
      <c r="Q3156" s="261"/>
      <c r="BR3156" s="261"/>
      <c r="BS3156" s="261"/>
      <c r="BT3156" s="261"/>
      <c r="BU3156" s="261"/>
      <c r="BV3156" s="261"/>
    </row>
    <row r="3157" spans="12:74">
      <c r="L3157" s="261"/>
      <c r="M3157" s="261"/>
      <c r="N3157" s="261"/>
      <c r="O3157" s="261"/>
      <c r="P3157" s="261"/>
      <c r="Q3157" s="261"/>
      <c r="BR3157" s="261"/>
      <c r="BS3157" s="261"/>
      <c r="BT3157" s="261"/>
      <c r="BU3157" s="261"/>
      <c r="BV3157" s="261"/>
    </row>
    <row r="3158" spans="12:74">
      <c r="L3158" s="261"/>
      <c r="M3158" s="261"/>
      <c r="N3158" s="261"/>
      <c r="O3158" s="261"/>
      <c r="P3158" s="261"/>
      <c r="Q3158" s="261"/>
      <c r="BR3158" s="261"/>
      <c r="BS3158" s="261"/>
      <c r="BT3158" s="261"/>
      <c r="BU3158" s="261"/>
      <c r="BV3158" s="261"/>
    </row>
    <row r="3159" spans="12:74">
      <c r="L3159" s="261"/>
      <c r="M3159" s="261"/>
      <c r="N3159" s="261"/>
      <c r="O3159" s="261"/>
      <c r="P3159" s="261"/>
      <c r="Q3159" s="261"/>
      <c r="BR3159" s="261"/>
      <c r="BS3159" s="261"/>
      <c r="BT3159" s="261"/>
      <c r="BU3159" s="261"/>
      <c r="BV3159" s="261"/>
    </row>
    <row r="3160" spans="12:74">
      <c r="L3160" s="261"/>
      <c r="M3160" s="261"/>
      <c r="N3160" s="261"/>
      <c r="O3160" s="261"/>
      <c r="P3160" s="261"/>
      <c r="Q3160" s="261"/>
      <c r="BR3160" s="261"/>
      <c r="BS3160" s="261"/>
      <c r="BT3160" s="261"/>
      <c r="BU3160" s="261"/>
      <c r="BV3160" s="261"/>
    </row>
    <row r="3161" spans="12:74">
      <c r="L3161" s="261"/>
      <c r="M3161" s="261"/>
      <c r="N3161" s="261"/>
      <c r="O3161" s="261"/>
      <c r="P3161" s="261"/>
      <c r="Q3161" s="261"/>
      <c r="BR3161" s="261"/>
      <c r="BS3161" s="261"/>
      <c r="BT3161" s="261"/>
      <c r="BU3161" s="261"/>
      <c r="BV3161" s="261"/>
    </row>
    <row r="3162" spans="12:74">
      <c r="L3162" s="261"/>
      <c r="M3162" s="261"/>
      <c r="N3162" s="261"/>
      <c r="O3162" s="261"/>
      <c r="P3162" s="261"/>
      <c r="Q3162" s="261"/>
      <c r="BR3162" s="261"/>
      <c r="BS3162" s="261"/>
      <c r="BT3162" s="261"/>
      <c r="BU3162" s="261"/>
      <c r="BV3162" s="261"/>
    </row>
    <row r="3163" spans="12:74">
      <c r="L3163" s="261"/>
      <c r="M3163" s="261"/>
      <c r="N3163" s="261"/>
      <c r="O3163" s="261"/>
      <c r="P3163" s="261"/>
      <c r="Q3163" s="261"/>
      <c r="BR3163" s="261"/>
      <c r="BS3163" s="261"/>
      <c r="BT3163" s="261"/>
      <c r="BU3163" s="261"/>
      <c r="BV3163" s="261"/>
    </row>
    <row r="3164" spans="12:74">
      <c r="L3164" s="261"/>
      <c r="M3164" s="261"/>
      <c r="N3164" s="261"/>
      <c r="O3164" s="261"/>
      <c r="P3164" s="261"/>
      <c r="Q3164" s="261"/>
      <c r="BR3164" s="261"/>
      <c r="BS3164" s="261"/>
      <c r="BT3164" s="261"/>
      <c r="BU3164" s="261"/>
      <c r="BV3164" s="261"/>
    </row>
    <row r="3165" spans="12:74">
      <c r="L3165" s="261"/>
      <c r="M3165" s="261"/>
      <c r="N3165" s="261"/>
      <c r="O3165" s="261"/>
      <c r="P3165" s="261"/>
      <c r="Q3165" s="261"/>
      <c r="BR3165" s="261"/>
      <c r="BS3165" s="261"/>
      <c r="BT3165" s="261"/>
      <c r="BU3165" s="261"/>
      <c r="BV3165" s="261"/>
    </row>
    <row r="3166" spans="12:74">
      <c r="L3166" s="261"/>
      <c r="M3166" s="261"/>
      <c r="N3166" s="261"/>
      <c r="O3166" s="261"/>
      <c r="P3166" s="261"/>
      <c r="Q3166" s="261"/>
      <c r="BR3166" s="261"/>
      <c r="BS3166" s="261"/>
      <c r="BT3166" s="261"/>
      <c r="BU3166" s="261"/>
      <c r="BV3166" s="261"/>
    </row>
    <row r="3167" spans="12:74">
      <c r="L3167" s="261"/>
      <c r="M3167" s="261"/>
      <c r="N3167" s="261"/>
      <c r="O3167" s="261"/>
      <c r="P3167" s="261"/>
      <c r="Q3167" s="261"/>
      <c r="BR3167" s="261"/>
      <c r="BS3167" s="261"/>
      <c r="BT3167" s="261"/>
      <c r="BU3167" s="261"/>
      <c r="BV3167" s="261"/>
    </row>
    <row r="3168" spans="12:74">
      <c r="L3168" s="261"/>
      <c r="M3168" s="261"/>
      <c r="N3168" s="261"/>
      <c r="O3168" s="261"/>
      <c r="P3168" s="261"/>
      <c r="Q3168" s="261"/>
      <c r="BR3168" s="261"/>
      <c r="BS3168" s="261"/>
      <c r="BT3168" s="261"/>
      <c r="BU3168" s="261"/>
      <c r="BV3168" s="261"/>
    </row>
    <row r="3169" spans="12:74">
      <c r="L3169" s="261"/>
      <c r="M3169" s="261"/>
      <c r="N3169" s="261"/>
      <c r="O3169" s="261"/>
      <c r="P3169" s="261"/>
      <c r="Q3169" s="261"/>
      <c r="BR3169" s="261"/>
      <c r="BS3169" s="261"/>
      <c r="BT3169" s="261"/>
      <c r="BU3169" s="261"/>
      <c r="BV3169" s="261"/>
    </row>
    <row r="3170" spans="12:74">
      <c r="L3170" s="261"/>
      <c r="M3170" s="261"/>
      <c r="N3170" s="261"/>
      <c r="O3170" s="261"/>
      <c r="P3170" s="261"/>
      <c r="Q3170" s="261"/>
      <c r="BR3170" s="261"/>
      <c r="BS3170" s="261"/>
      <c r="BT3170" s="261"/>
      <c r="BU3170" s="261"/>
      <c r="BV3170" s="261"/>
    </row>
    <row r="3171" spans="12:74">
      <c r="L3171" s="261"/>
      <c r="M3171" s="261"/>
      <c r="N3171" s="261"/>
      <c r="O3171" s="261"/>
      <c r="P3171" s="261"/>
      <c r="Q3171" s="261"/>
      <c r="BR3171" s="261"/>
      <c r="BS3171" s="261"/>
      <c r="BT3171" s="261"/>
      <c r="BU3171" s="261"/>
      <c r="BV3171" s="261"/>
    </row>
    <row r="3172" spans="12:74">
      <c r="L3172" s="261"/>
      <c r="M3172" s="261"/>
      <c r="N3172" s="261"/>
      <c r="O3172" s="261"/>
      <c r="P3172" s="261"/>
      <c r="Q3172" s="261"/>
      <c r="BR3172" s="261"/>
      <c r="BS3172" s="261"/>
      <c r="BT3172" s="261"/>
      <c r="BU3172" s="261"/>
      <c r="BV3172" s="261"/>
    </row>
    <row r="3173" spans="12:74">
      <c r="L3173" s="261"/>
      <c r="M3173" s="261"/>
      <c r="N3173" s="261"/>
      <c r="O3173" s="261"/>
      <c r="P3173" s="261"/>
      <c r="Q3173" s="261"/>
      <c r="BR3173" s="261"/>
      <c r="BS3173" s="261"/>
      <c r="BT3173" s="261"/>
      <c r="BU3173" s="261"/>
      <c r="BV3173" s="261"/>
    </row>
    <row r="3174" spans="12:74">
      <c r="L3174" s="261"/>
      <c r="M3174" s="261"/>
      <c r="N3174" s="261"/>
      <c r="O3174" s="261"/>
      <c r="P3174" s="261"/>
      <c r="Q3174" s="261"/>
      <c r="BR3174" s="261"/>
      <c r="BS3174" s="261"/>
      <c r="BT3174" s="261"/>
      <c r="BU3174" s="261"/>
      <c r="BV3174" s="261"/>
    </row>
    <row r="3175" spans="12:74">
      <c r="L3175" s="261"/>
      <c r="M3175" s="261"/>
      <c r="N3175" s="261"/>
      <c r="O3175" s="261"/>
      <c r="P3175" s="261"/>
      <c r="Q3175" s="261"/>
      <c r="BR3175" s="261"/>
      <c r="BS3175" s="261"/>
      <c r="BT3175" s="261"/>
      <c r="BU3175" s="261"/>
      <c r="BV3175" s="261"/>
    </row>
    <row r="3176" spans="12:74">
      <c r="L3176" s="261"/>
      <c r="M3176" s="261"/>
      <c r="N3176" s="261"/>
      <c r="O3176" s="261"/>
      <c r="P3176" s="261"/>
      <c r="Q3176" s="261"/>
      <c r="BR3176" s="261"/>
      <c r="BS3176" s="261"/>
      <c r="BT3176" s="261"/>
      <c r="BU3176" s="261"/>
      <c r="BV3176" s="261"/>
    </row>
    <row r="3177" spans="12:74">
      <c r="L3177" s="261"/>
      <c r="M3177" s="261"/>
      <c r="N3177" s="261"/>
      <c r="O3177" s="261"/>
      <c r="P3177" s="261"/>
      <c r="Q3177" s="261"/>
      <c r="BR3177" s="261"/>
      <c r="BS3177" s="261"/>
      <c r="BT3177" s="261"/>
      <c r="BU3177" s="261"/>
      <c r="BV3177" s="261"/>
    </row>
    <row r="3178" spans="12:74">
      <c r="L3178" s="261"/>
      <c r="M3178" s="261"/>
      <c r="N3178" s="261"/>
      <c r="O3178" s="261"/>
      <c r="P3178" s="261"/>
      <c r="Q3178" s="261"/>
      <c r="BR3178" s="261"/>
      <c r="BS3178" s="261"/>
      <c r="BT3178" s="261"/>
      <c r="BU3178" s="261"/>
      <c r="BV3178" s="261"/>
    </row>
    <row r="3179" spans="12:74">
      <c r="L3179" s="261"/>
      <c r="M3179" s="261"/>
      <c r="N3179" s="261"/>
      <c r="O3179" s="261"/>
      <c r="P3179" s="261"/>
      <c r="Q3179" s="261"/>
      <c r="BR3179" s="261"/>
      <c r="BS3179" s="261"/>
      <c r="BT3179" s="261"/>
      <c r="BU3179" s="261"/>
      <c r="BV3179" s="261"/>
    </row>
    <row r="3180" spans="12:74">
      <c r="L3180" s="261"/>
      <c r="M3180" s="261"/>
      <c r="N3180" s="261"/>
      <c r="O3180" s="261"/>
      <c r="P3180" s="261"/>
      <c r="Q3180" s="261"/>
      <c r="BR3180" s="261"/>
      <c r="BS3180" s="261"/>
      <c r="BT3180" s="261"/>
      <c r="BU3180" s="261"/>
      <c r="BV3180" s="261"/>
    </row>
    <row r="3181" spans="12:74">
      <c r="L3181" s="261"/>
      <c r="M3181" s="261"/>
      <c r="N3181" s="261"/>
      <c r="O3181" s="261"/>
      <c r="P3181" s="261"/>
      <c r="Q3181" s="261"/>
      <c r="BR3181" s="261"/>
      <c r="BS3181" s="261"/>
      <c r="BT3181" s="261"/>
      <c r="BU3181" s="261"/>
      <c r="BV3181" s="261"/>
    </row>
    <row r="3182" spans="12:74">
      <c r="L3182" s="261"/>
      <c r="M3182" s="261"/>
      <c r="N3182" s="261"/>
      <c r="O3182" s="261"/>
      <c r="P3182" s="261"/>
      <c r="Q3182" s="261"/>
      <c r="BR3182" s="261"/>
      <c r="BS3182" s="261"/>
      <c r="BT3182" s="261"/>
      <c r="BU3182" s="261"/>
      <c r="BV3182" s="261"/>
    </row>
    <row r="3183" spans="12:74">
      <c r="L3183" s="261"/>
      <c r="M3183" s="261"/>
      <c r="N3183" s="261"/>
      <c r="O3183" s="261"/>
      <c r="P3183" s="261"/>
      <c r="Q3183" s="261"/>
      <c r="BR3183" s="261"/>
      <c r="BS3183" s="261"/>
      <c r="BT3183" s="261"/>
      <c r="BU3183" s="261"/>
      <c r="BV3183" s="261"/>
    </row>
    <row r="3184" spans="12:74">
      <c r="L3184" s="261"/>
      <c r="M3184" s="261"/>
      <c r="N3184" s="261"/>
      <c r="O3184" s="261"/>
      <c r="P3184" s="261"/>
      <c r="Q3184" s="261"/>
      <c r="BR3184" s="261"/>
      <c r="BS3184" s="261"/>
      <c r="BT3184" s="261"/>
      <c r="BU3184" s="261"/>
      <c r="BV3184" s="261"/>
    </row>
    <row r="3185" spans="12:74">
      <c r="L3185" s="261"/>
      <c r="M3185" s="261"/>
      <c r="N3185" s="261"/>
      <c r="O3185" s="261"/>
      <c r="P3185" s="261"/>
      <c r="Q3185" s="261"/>
      <c r="BR3185" s="261"/>
      <c r="BS3185" s="261"/>
      <c r="BT3185" s="261"/>
      <c r="BU3185" s="261"/>
      <c r="BV3185" s="261"/>
    </row>
    <row r="3186" spans="12:74">
      <c r="L3186" s="261"/>
      <c r="M3186" s="261"/>
      <c r="N3186" s="261"/>
      <c r="O3186" s="261"/>
      <c r="P3186" s="261"/>
      <c r="Q3186" s="261"/>
      <c r="BR3186" s="261"/>
      <c r="BS3186" s="261"/>
      <c r="BT3186" s="261"/>
      <c r="BU3186" s="261"/>
      <c r="BV3186" s="261"/>
    </row>
    <row r="3187" spans="12:74">
      <c r="L3187" s="261"/>
      <c r="M3187" s="261"/>
      <c r="N3187" s="261"/>
      <c r="O3187" s="261"/>
      <c r="P3187" s="261"/>
      <c r="Q3187" s="261"/>
      <c r="BR3187" s="261"/>
      <c r="BS3187" s="261"/>
      <c r="BT3187" s="261"/>
      <c r="BU3187" s="261"/>
      <c r="BV3187" s="261"/>
    </row>
    <row r="3188" spans="12:74">
      <c r="L3188" s="261"/>
      <c r="M3188" s="261"/>
      <c r="N3188" s="261"/>
      <c r="O3188" s="261"/>
      <c r="P3188" s="261"/>
      <c r="Q3188" s="261"/>
      <c r="BR3188" s="261"/>
      <c r="BS3188" s="261"/>
      <c r="BT3188" s="261"/>
      <c r="BU3188" s="261"/>
      <c r="BV3188" s="261"/>
    </row>
    <row r="3189" spans="12:74">
      <c r="L3189" s="261"/>
      <c r="M3189" s="261"/>
      <c r="N3189" s="261"/>
      <c r="O3189" s="261"/>
      <c r="P3189" s="261"/>
      <c r="Q3189" s="261"/>
      <c r="BR3189" s="261"/>
      <c r="BS3189" s="261"/>
      <c r="BT3189" s="261"/>
      <c r="BU3189" s="261"/>
      <c r="BV3189" s="261"/>
    </row>
    <row r="3190" spans="12:74">
      <c r="L3190" s="261"/>
      <c r="M3190" s="261"/>
      <c r="N3190" s="261"/>
      <c r="O3190" s="261"/>
      <c r="P3190" s="261"/>
      <c r="Q3190" s="261"/>
      <c r="BR3190" s="261"/>
      <c r="BS3190" s="261"/>
      <c r="BT3190" s="261"/>
      <c r="BU3190" s="261"/>
      <c r="BV3190" s="261"/>
    </row>
    <row r="3191" spans="12:74">
      <c r="L3191" s="261"/>
      <c r="M3191" s="261"/>
      <c r="N3191" s="261"/>
      <c r="O3191" s="261"/>
      <c r="P3191" s="261"/>
      <c r="Q3191" s="261"/>
      <c r="BR3191" s="261"/>
      <c r="BS3191" s="261"/>
      <c r="BT3191" s="261"/>
      <c r="BU3191" s="261"/>
      <c r="BV3191" s="261"/>
    </row>
    <row r="3192" spans="12:74">
      <c r="L3192" s="261"/>
      <c r="M3192" s="261"/>
      <c r="N3192" s="261"/>
      <c r="O3192" s="261"/>
      <c r="P3192" s="261"/>
      <c r="Q3192" s="261"/>
      <c r="BR3192" s="261"/>
      <c r="BS3192" s="261"/>
      <c r="BT3192" s="261"/>
      <c r="BU3192" s="261"/>
      <c r="BV3192" s="261"/>
    </row>
    <row r="3193" spans="12:74">
      <c r="L3193" s="261"/>
      <c r="M3193" s="261"/>
      <c r="N3193" s="261"/>
      <c r="O3193" s="261"/>
      <c r="P3193" s="261"/>
      <c r="Q3193" s="261"/>
      <c r="BR3193" s="261"/>
      <c r="BS3193" s="261"/>
      <c r="BT3193" s="261"/>
      <c r="BU3193" s="261"/>
      <c r="BV3193" s="261"/>
    </row>
    <row r="3194" spans="12:74">
      <c r="L3194" s="261"/>
      <c r="M3194" s="261"/>
      <c r="N3194" s="261"/>
      <c r="O3194" s="261"/>
      <c r="P3194" s="261"/>
      <c r="Q3194" s="261"/>
      <c r="BR3194" s="261"/>
      <c r="BS3194" s="261"/>
      <c r="BT3194" s="261"/>
      <c r="BU3194" s="261"/>
      <c r="BV3194" s="261"/>
    </row>
    <row r="3195" spans="12:74">
      <c r="L3195" s="261"/>
      <c r="M3195" s="261"/>
      <c r="N3195" s="261"/>
      <c r="O3195" s="261"/>
      <c r="P3195" s="261"/>
      <c r="Q3195" s="261"/>
      <c r="BR3195" s="261"/>
      <c r="BS3195" s="261"/>
      <c r="BT3195" s="261"/>
      <c r="BU3195" s="261"/>
      <c r="BV3195" s="261"/>
    </row>
    <row r="3196" spans="12:74">
      <c r="L3196" s="261"/>
      <c r="M3196" s="261"/>
      <c r="N3196" s="261"/>
      <c r="O3196" s="261"/>
      <c r="P3196" s="261"/>
      <c r="Q3196" s="261"/>
      <c r="BR3196" s="261"/>
      <c r="BS3196" s="261"/>
      <c r="BT3196" s="261"/>
      <c r="BU3196" s="261"/>
      <c r="BV3196" s="261"/>
    </row>
    <row r="3197" spans="12:74">
      <c r="L3197" s="261"/>
      <c r="M3197" s="261"/>
      <c r="N3197" s="261"/>
      <c r="O3197" s="261"/>
      <c r="P3197" s="261"/>
      <c r="Q3197" s="261"/>
      <c r="BR3197" s="261"/>
      <c r="BS3197" s="261"/>
      <c r="BT3197" s="261"/>
      <c r="BU3197" s="261"/>
      <c r="BV3197" s="261"/>
    </row>
    <row r="3198" spans="12:74">
      <c r="L3198" s="261"/>
      <c r="M3198" s="261"/>
      <c r="N3198" s="261"/>
      <c r="O3198" s="261"/>
      <c r="P3198" s="261"/>
      <c r="Q3198" s="261"/>
      <c r="BR3198" s="261"/>
      <c r="BS3198" s="261"/>
      <c r="BT3198" s="261"/>
      <c r="BU3198" s="261"/>
      <c r="BV3198" s="261"/>
    </row>
    <row r="3199" spans="12:74">
      <c r="L3199" s="261"/>
      <c r="M3199" s="261"/>
      <c r="N3199" s="261"/>
      <c r="O3199" s="261"/>
      <c r="P3199" s="261"/>
      <c r="Q3199" s="261"/>
      <c r="BR3199" s="261"/>
      <c r="BS3199" s="261"/>
      <c r="BT3199" s="261"/>
      <c r="BU3199" s="261"/>
      <c r="BV3199" s="261"/>
    </row>
    <row r="3200" spans="12:74">
      <c r="L3200" s="261"/>
      <c r="M3200" s="261"/>
      <c r="N3200" s="261"/>
      <c r="O3200" s="261"/>
      <c r="P3200" s="261"/>
      <c r="Q3200" s="261"/>
      <c r="BR3200" s="261"/>
      <c r="BS3200" s="261"/>
      <c r="BT3200" s="261"/>
      <c r="BU3200" s="261"/>
      <c r="BV3200" s="261"/>
    </row>
    <row r="3201" spans="12:74">
      <c r="L3201" s="261"/>
      <c r="M3201" s="261"/>
      <c r="N3201" s="261"/>
      <c r="O3201" s="261"/>
      <c r="P3201" s="261"/>
      <c r="Q3201" s="261"/>
      <c r="BR3201" s="261"/>
      <c r="BS3201" s="261"/>
      <c r="BT3201" s="261"/>
      <c r="BU3201" s="261"/>
      <c r="BV3201" s="261"/>
    </row>
    <row r="3202" spans="12:74">
      <c r="L3202" s="261"/>
      <c r="M3202" s="261"/>
      <c r="N3202" s="261"/>
      <c r="O3202" s="261"/>
      <c r="P3202" s="261"/>
      <c r="Q3202" s="261"/>
      <c r="BR3202" s="261"/>
      <c r="BS3202" s="261"/>
      <c r="BT3202" s="261"/>
      <c r="BU3202" s="261"/>
      <c r="BV3202" s="261"/>
    </row>
    <row r="3203" spans="12:74">
      <c r="L3203" s="261"/>
      <c r="M3203" s="261"/>
      <c r="N3203" s="261"/>
      <c r="O3203" s="261"/>
      <c r="P3203" s="261"/>
      <c r="Q3203" s="261"/>
      <c r="BR3203" s="261"/>
      <c r="BS3203" s="261"/>
      <c r="BT3203" s="261"/>
      <c r="BU3203" s="261"/>
      <c r="BV3203" s="261"/>
    </row>
    <row r="3204" spans="12:74">
      <c r="L3204" s="261"/>
      <c r="M3204" s="261"/>
      <c r="N3204" s="261"/>
      <c r="O3204" s="261"/>
      <c r="P3204" s="261"/>
      <c r="Q3204" s="261"/>
      <c r="BR3204" s="261"/>
      <c r="BS3204" s="261"/>
      <c r="BT3204" s="261"/>
      <c r="BU3204" s="261"/>
      <c r="BV3204" s="261"/>
    </row>
    <row r="3205" spans="12:74">
      <c r="L3205" s="261"/>
      <c r="M3205" s="261"/>
      <c r="N3205" s="261"/>
      <c r="O3205" s="261"/>
      <c r="P3205" s="261"/>
      <c r="Q3205" s="261"/>
      <c r="BR3205" s="261"/>
      <c r="BS3205" s="261"/>
      <c r="BT3205" s="261"/>
      <c r="BU3205" s="261"/>
      <c r="BV3205" s="261"/>
    </row>
    <row r="3206" spans="12:74">
      <c r="L3206" s="261"/>
      <c r="M3206" s="261"/>
      <c r="N3206" s="261"/>
      <c r="O3206" s="261"/>
      <c r="P3206" s="261"/>
      <c r="Q3206" s="261"/>
      <c r="BR3206" s="261"/>
      <c r="BS3206" s="261"/>
      <c r="BT3206" s="261"/>
      <c r="BU3206" s="261"/>
      <c r="BV3206" s="261"/>
    </row>
    <row r="3207" spans="12:74">
      <c r="L3207" s="261"/>
      <c r="M3207" s="261"/>
      <c r="N3207" s="261"/>
      <c r="O3207" s="261"/>
      <c r="P3207" s="261"/>
      <c r="Q3207" s="261"/>
      <c r="BR3207" s="261"/>
      <c r="BS3207" s="261"/>
      <c r="BT3207" s="261"/>
      <c r="BU3207" s="261"/>
      <c r="BV3207" s="261"/>
    </row>
    <row r="3208" spans="12:74">
      <c r="L3208" s="261"/>
      <c r="M3208" s="261"/>
      <c r="N3208" s="261"/>
      <c r="O3208" s="261"/>
      <c r="P3208" s="261"/>
      <c r="Q3208" s="261"/>
      <c r="BR3208" s="261"/>
      <c r="BS3208" s="261"/>
      <c r="BT3208" s="261"/>
      <c r="BU3208" s="261"/>
      <c r="BV3208" s="261"/>
    </row>
    <row r="3209" spans="12:74">
      <c r="L3209" s="261"/>
      <c r="M3209" s="261"/>
      <c r="N3209" s="261"/>
      <c r="O3209" s="261"/>
      <c r="P3209" s="261"/>
      <c r="Q3209" s="261"/>
      <c r="BR3209" s="261"/>
      <c r="BS3209" s="261"/>
      <c r="BT3209" s="261"/>
      <c r="BU3209" s="261"/>
      <c r="BV3209" s="261"/>
    </row>
    <row r="3210" spans="12:74">
      <c r="L3210" s="261"/>
      <c r="M3210" s="261"/>
      <c r="N3210" s="261"/>
      <c r="O3210" s="261"/>
      <c r="P3210" s="261"/>
      <c r="Q3210" s="261"/>
      <c r="BR3210" s="261"/>
      <c r="BS3210" s="261"/>
      <c r="BT3210" s="261"/>
      <c r="BU3210" s="261"/>
      <c r="BV3210" s="261"/>
    </row>
    <row r="3211" spans="12:74">
      <c r="L3211" s="261"/>
      <c r="M3211" s="261"/>
      <c r="N3211" s="261"/>
      <c r="O3211" s="261"/>
      <c r="P3211" s="261"/>
      <c r="Q3211" s="261"/>
      <c r="BR3211" s="261"/>
      <c r="BS3211" s="261"/>
      <c r="BT3211" s="261"/>
      <c r="BU3211" s="261"/>
      <c r="BV3211" s="261"/>
    </row>
    <row r="3212" spans="12:74">
      <c r="L3212" s="261"/>
      <c r="M3212" s="261"/>
      <c r="N3212" s="261"/>
      <c r="O3212" s="261"/>
      <c r="P3212" s="261"/>
      <c r="Q3212" s="261"/>
      <c r="BR3212" s="261"/>
      <c r="BS3212" s="261"/>
      <c r="BT3212" s="261"/>
      <c r="BU3212" s="261"/>
      <c r="BV3212" s="261"/>
    </row>
    <row r="3213" spans="12:74">
      <c r="L3213" s="261"/>
      <c r="M3213" s="261"/>
      <c r="N3213" s="261"/>
      <c r="O3213" s="261"/>
      <c r="P3213" s="261"/>
      <c r="Q3213" s="261"/>
      <c r="BR3213" s="261"/>
      <c r="BS3213" s="261"/>
      <c r="BT3213" s="261"/>
      <c r="BU3213" s="261"/>
      <c r="BV3213" s="261"/>
    </row>
    <row r="3214" spans="12:74">
      <c r="L3214" s="261"/>
      <c r="M3214" s="261"/>
      <c r="N3214" s="261"/>
      <c r="O3214" s="261"/>
      <c r="P3214" s="261"/>
      <c r="Q3214" s="261"/>
      <c r="BR3214" s="261"/>
      <c r="BS3214" s="261"/>
      <c r="BT3214" s="261"/>
      <c r="BU3214" s="261"/>
      <c r="BV3214" s="261"/>
    </row>
    <row r="3215" spans="12:74">
      <c r="L3215" s="261"/>
      <c r="M3215" s="261"/>
      <c r="N3215" s="261"/>
      <c r="O3215" s="261"/>
      <c r="P3215" s="261"/>
      <c r="Q3215" s="261"/>
      <c r="BR3215" s="261"/>
      <c r="BS3215" s="261"/>
      <c r="BT3215" s="261"/>
      <c r="BU3215" s="261"/>
      <c r="BV3215" s="261"/>
    </row>
    <row r="3216" spans="12:74">
      <c r="L3216" s="261"/>
      <c r="M3216" s="261"/>
      <c r="N3216" s="261"/>
      <c r="O3216" s="261"/>
      <c r="P3216" s="261"/>
      <c r="Q3216" s="261"/>
      <c r="BR3216" s="261"/>
      <c r="BS3216" s="261"/>
      <c r="BT3216" s="261"/>
      <c r="BU3216" s="261"/>
      <c r="BV3216" s="261"/>
    </row>
    <row r="3217" spans="12:74">
      <c r="L3217" s="261"/>
      <c r="M3217" s="261"/>
      <c r="N3217" s="261"/>
      <c r="O3217" s="261"/>
      <c r="P3217" s="261"/>
      <c r="Q3217" s="261"/>
      <c r="BR3217" s="261"/>
      <c r="BS3217" s="261"/>
      <c r="BT3217" s="261"/>
      <c r="BU3217" s="261"/>
      <c r="BV3217" s="261"/>
    </row>
    <row r="3218" spans="12:74">
      <c r="L3218" s="261"/>
      <c r="M3218" s="261"/>
      <c r="N3218" s="261"/>
      <c r="O3218" s="261"/>
      <c r="P3218" s="261"/>
      <c r="Q3218" s="261"/>
      <c r="BR3218" s="261"/>
      <c r="BS3218" s="261"/>
      <c r="BT3218" s="261"/>
      <c r="BU3218" s="261"/>
      <c r="BV3218" s="261"/>
    </row>
    <row r="3219" spans="12:74">
      <c r="L3219" s="261"/>
      <c r="M3219" s="261"/>
      <c r="N3219" s="261"/>
      <c r="O3219" s="261"/>
      <c r="P3219" s="261"/>
      <c r="Q3219" s="261"/>
      <c r="BR3219" s="261"/>
      <c r="BS3219" s="261"/>
      <c r="BT3219" s="261"/>
      <c r="BU3219" s="261"/>
      <c r="BV3219" s="261"/>
    </row>
    <row r="3220" spans="12:74">
      <c r="L3220" s="261"/>
      <c r="M3220" s="261"/>
      <c r="N3220" s="261"/>
      <c r="O3220" s="261"/>
      <c r="P3220" s="261"/>
      <c r="Q3220" s="261"/>
      <c r="BR3220" s="261"/>
      <c r="BS3220" s="261"/>
      <c r="BT3220" s="261"/>
      <c r="BU3220" s="261"/>
      <c r="BV3220" s="261"/>
    </row>
    <row r="3221" spans="12:74">
      <c r="L3221" s="261"/>
      <c r="M3221" s="261"/>
      <c r="N3221" s="261"/>
      <c r="O3221" s="261"/>
      <c r="P3221" s="261"/>
      <c r="Q3221" s="261"/>
      <c r="BR3221" s="261"/>
      <c r="BS3221" s="261"/>
      <c r="BT3221" s="261"/>
      <c r="BU3221" s="261"/>
      <c r="BV3221" s="261"/>
    </row>
    <row r="3222" spans="12:74">
      <c r="L3222" s="261"/>
      <c r="M3222" s="261"/>
      <c r="N3222" s="261"/>
      <c r="O3222" s="261"/>
      <c r="P3222" s="261"/>
      <c r="Q3222" s="261"/>
      <c r="BR3222" s="261"/>
      <c r="BS3222" s="261"/>
      <c r="BT3222" s="261"/>
      <c r="BU3222" s="261"/>
      <c r="BV3222" s="261"/>
    </row>
    <row r="3223" spans="12:74">
      <c r="L3223" s="261"/>
      <c r="M3223" s="261"/>
      <c r="N3223" s="261"/>
      <c r="O3223" s="261"/>
      <c r="P3223" s="261"/>
      <c r="Q3223" s="261"/>
      <c r="BR3223" s="261"/>
      <c r="BS3223" s="261"/>
      <c r="BT3223" s="261"/>
      <c r="BU3223" s="261"/>
      <c r="BV3223" s="261"/>
    </row>
    <row r="3224" spans="12:74">
      <c r="L3224" s="261"/>
      <c r="M3224" s="261"/>
      <c r="N3224" s="261"/>
      <c r="O3224" s="261"/>
      <c r="P3224" s="261"/>
      <c r="Q3224" s="261"/>
      <c r="BR3224" s="261"/>
      <c r="BS3224" s="261"/>
      <c r="BT3224" s="261"/>
      <c r="BU3224" s="261"/>
      <c r="BV3224" s="261"/>
    </row>
    <row r="3225" spans="12:74">
      <c r="L3225" s="261"/>
      <c r="M3225" s="261"/>
      <c r="N3225" s="261"/>
      <c r="O3225" s="261"/>
      <c r="P3225" s="261"/>
      <c r="Q3225" s="261"/>
      <c r="BR3225" s="261"/>
      <c r="BS3225" s="261"/>
      <c r="BT3225" s="261"/>
      <c r="BU3225" s="261"/>
      <c r="BV3225" s="261"/>
    </row>
    <row r="3226" spans="12:74">
      <c r="L3226" s="261"/>
      <c r="M3226" s="261"/>
      <c r="N3226" s="261"/>
      <c r="O3226" s="261"/>
      <c r="P3226" s="261"/>
      <c r="Q3226" s="261"/>
      <c r="BR3226" s="261"/>
      <c r="BS3226" s="261"/>
      <c r="BT3226" s="261"/>
      <c r="BU3226" s="261"/>
      <c r="BV3226" s="261"/>
    </row>
    <row r="3227" spans="12:74">
      <c r="L3227" s="261"/>
      <c r="M3227" s="261"/>
      <c r="N3227" s="261"/>
      <c r="O3227" s="261"/>
      <c r="P3227" s="261"/>
      <c r="Q3227" s="261"/>
      <c r="BR3227" s="261"/>
      <c r="BS3227" s="261"/>
      <c r="BT3227" s="261"/>
      <c r="BU3227" s="261"/>
      <c r="BV3227" s="261"/>
    </row>
    <row r="3228" spans="12:74">
      <c r="L3228" s="261"/>
      <c r="M3228" s="261"/>
      <c r="N3228" s="261"/>
      <c r="O3228" s="261"/>
      <c r="P3228" s="261"/>
      <c r="Q3228" s="261"/>
      <c r="BR3228" s="261"/>
      <c r="BS3228" s="261"/>
      <c r="BT3228" s="261"/>
      <c r="BU3228" s="261"/>
      <c r="BV3228" s="261"/>
    </row>
    <row r="3229" spans="12:74">
      <c r="L3229" s="261"/>
      <c r="M3229" s="261"/>
      <c r="N3229" s="261"/>
      <c r="O3229" s="261"/>
      <c r="P3229" s="261"/>
      <c r="Q3229" s="261"/>
      <c r="BR3229" s="261"/>
      <c r="BS3229" s="261"/>
      <c r="BT3229" s="261"/>
      <c r="BU3229" s="261"/>
      <c r="BV3229" s="261"/>
    </row>
    <row r="3230" spans="12:74">
      <c r="L3230" s="261"/>
      <c r="M3230" s="261"/>
      <c r="N3230" s="261"/>
      <c r="O3230" s="261"/>
      <c r="P3230" s="261"/>
      <c r="Q3230" s="261"/>
      <c r="BR3230" s="261"/>
      <c r="BS3230" s="261"/>
      <c r="BT3230" s="261"/>
      <c r="BU3230" s="261"/>
      <c r="BV3230" s="261"/>
    </row>
    <row r="3231" spans="12:74">
      <c r="L3231" s="261"/>
      <c r="M3231" s="261"/>
      <c r="N3231" s="261"/>
      <c r="O3231" s="261"/>
      <c r="P3231" s="261"/>
      <c r="Q3231" s="261"/>
      <c r="BR3231" s="261"/>
      <c r="BS3231" s="261"/>
      <c r="BT3231" s="261"/>
      <c r="BU3231" s="261"/>
      <c r="BV3231" s="261"/>
    </row>
    <row r="3232" spans="12:74">
      <c r="L3232" s="261"/>
      <c r="M3232" s="261"/>
      <c r="N3232" s="261"/>
      <c r="O3232" s="261"/>
      <c r="P3232" s="261"/>
      <c r="Q3232" s="261"/>
      <c r="BR3232" s="261"/>
      <c r="BS3232" s="261"/>
      <c r="BT3232" s="261"/>
      <c r="BU3232" s="261"/>
      <c r="BV3232" s="261"/>
    </row>
    <row r="3233" spans="12:74">
      <c r="L3233" s="261"/>
      <c r="M3233" s="261"/>
      <c r="N3233" s="261"/>
      <c r="O3233" s="261"/>
      <c r="P3233" s="261"/>
      <c r="Q3233" s="261"/>
      <c r="BR3233" s="261"/>
      <c r="BS3233" s="261"/>
      <c r="BT3233" s="261"/>
      <c r="BU3233" s="261"/>
      <c r="BV3233" s="261"/>
    </row>
    <row r="3234" spans="12:74">
      <c r="L3234" s="261"/>
      <c r="M3234" s="261"/>
      <c r="N3234" s="261"/>
      <c r="O3234" s="261"/>
      <c r="P3234" s="261"/>
      <c r="Q3234" s="261"/>
      <c r="BR3234" s="261"/>
      <c r="BS3234" s="261"/>
      <c r="BT3234" s="261"/>
      <c r="BU3234" s="261"/>
      <c r="BV3234" s="261"/>
    </row>
    <row r="3235" spans="12:74">
      <c r="L3235" s="261"/>
      <c r="M3235" s="261"/>
      <c r="N3235" s="261"/>
      <c r="O3235" s="261"/>
      <c r="P3235" s="261"/>
      <c r="Q3235" s="261"/>
      <c r="BR3235" s="261"/>
      <c r="BS3235" s="261"/>
      <c r="BT3235" s="261"/>
      <c r="BU3235" s="261"/>
      <c r="BV3235" s="261"/>
    </row>
    <row r="3236" spans="12:74">
      <c r="L3236" s="261"/>
      <c r="M3236" s="261"/>
      <c r="N3236" s="261"/>
      <c r="O3236" s="261"/>
      <c r="P3236" s="261"/>
      <c r="Q3236" s="261"/>
      <c r="BR3236" s="261"/>
      <c r="BS3236" s="261"/>
      <c r="BT3236" s="261"/>
      <c r="BU3236" s="261"/>
      <c r="BV3236" s="261"/>
    </row>
    <row r="3237" spans="12:74">
      <c r="L3237" s="261"/>
      <c r="M3237" s="261"/>
      <c r="N3237" s="261"/>
      <c r="O3237" s="261"/>
      <c r="P3237" s="261"/>
      <c r="Q3237" s="261"/>
      <c r="BR3237" s="261"/>
      <c r="BS3237" s="261"/>
      <c r="BT3237" s="261"/>
      <c r="BU3237" s="261"/>
      <c r="BV3237" s="261"/>
    </row>
    <row r="3238" spans="12:74">
      <c r="L3238" s="261"/>
      <c r="M3238" s="261"/>
      <c r="N3238" s="261"/>
      <c r="O3238" s="261"/>
      <c r="P3238" s="261"/>
      <c r="Q3238" s="261"/>
      <c r="BR3238" s="261"/>
      <c r="BS3238" s="261"/>
      <c r="BT3238" s="261"/>
      <c r="BU3238" s="261"/>
      <c r="BV3238" s="261"/>
    </row>
    <row r="3239" spans="12:74">
      <c r="L3239" s="261"/>
      <c r="M3239" s="261"/>
      <c r="N3239" s="261"/>
      <c r="O3239" s="261"/>
      <c r="P3239" s="261"/>
      <c r="Q3239" s="261"/>
      <c r="BR3239" s="261"/>
      <c r="BS3239" s="261"/>
      <c r="BT3239" s="261"/>
      <c r="BU3239" s="261"/>
      <c r="BV3239" s="261"/>
    </row>
    <row r="3240" spans="12:74">
      <c r="L3240" s="261"/>
      <c r="M3240" s="261"/>
      <c r="N3240" s="261"/>
      <c r="O3240" s="261"/>
      <c r="P3240" s="261"/>
      <c r="Q3240" s="261"/>
      <c r="BR3240" s="261"/>
      <c r="BS3240" s="261"/>
      <c r="BT3240" s="261"/>
      <c r="BU3240" s="261"/>
      <c r="BV3240" s="261"/>
    </row>
    <row r="3241" spans="12:74">
      <c r="L3241" s="261"/>
      <c r="M3241" s="261"/>
      <c r="N3241" s="261"/>
      <c r="O3241" s="261"/>
      <c r="P3241" s="261"/>
      <c r="Q3241" s="261"/>
      <c r="BR3241" s="261"/>
      <c r="BS3241" s="261"/>
      <c r="BT3241" s="261"/>
      <c r="BU3241" s="261"/>
      <c r="BV3241" s="261"/>
    </row>
    <row r="3242" spans="12:74">
      <c r="L3242" s="261"/>
      <c r="M3242" s="261"/>
      <c r="N3242" s="261"/>
      <c r="O3242" s="261"/>
      <c r="P3242" s="261"/>
      <c r="Q3242" s="261"/>
      <c r="BR3242" s="261"/>
      <c r="BS3242" s="261"/>
      <c r="BT3242" s="261"/>
      <c r="BU3242" s="261"/>
      <c r="BV3242" s="261"/>
    </row>
    <row r="3243" spans="12:74">
      <c r="L3243" s="261"/>
      <c r="M3243" s="261"/>
      <c r="N3243" s="261"/>
      <c r="O3243" s="261"/>
      <c r="P3243" s="261"/>
      <c r="Q3243" s="261"/>
      <c r="BR3243" s="261"/>
      <c r="BS3243" s="261"/>
      <c r="BT3243" s="261"/>
      <c r="BU3243" s="261"/>
      <c r="BV3243" s="261"/>
    </row>
    <row r="3244" spans="12:74">
      <c r="L3244" s="261"/>
      <c r="M3244" s="261"/>
      <c r="N3244" s="261"/>
      <c r="O3244" s="261"/>
      <c r="P3244" s="261"/>
      <c r="Q3244" s="261"/>
      <c r="BR3244" s="261"/>
      <c r="BS3244" s="261"/>
      <c r="BT3244" s="261"/>
      <c r="BU3244" s="261"/>
      <c r="BV3244" s="261"/>
    </row>
    <row r="3245" spans="12:74">
      <c r="L3245" s="261"/>
      <c r="M3245" s="261"/>
      <c r="N3245" s="261"/>
      <c r="O3245" s="261"/>
      <c r="P3245" s="261"/>
      <c r="Q3245" s="261"/>
      <c r="BR3245" s="261"/>
      <c r="BS3245" s="261"/>
      <c r="BT3245" s="261"/>
      <c r="BU3245" s="261"/>
      <c r="BV3245" s="261"/>
    </row>
    <row r="3246" spans="12:74">
      <c r="L3246" s="261"/>
      <c r="M3246" s="261"/>
      <c r="N3246" s="261"/>
      <c r="O3246" s="261"/>
      <c r="P3246" s="261"/>
      <c r="Q3246" s="261"/>
      <c r="BR3246" s="261"/>
      <c r="BS3246" s="261"/>
      <c r="BT3246" s="261"/>
      <c r="BU3246" s="261"/>
      <c r="BV3246" s="261"/>
    </row>
    <row r="3247" spans="12:74">
      <c r="L3247" s="261"/>
      <c r="M3247" s="261"/>
      <c r="N3247" s="261"/>
      <c r="O3247" s="261"/>
      <c r="P3247" s="261"/>
      <c r="Q3247" s="261"/>
      <c r="BR3247" s="261"/>
      <c r="BS3247" s="261"/>
      <c r="BT3247" s="261"/>
      <c r="BU3247" s="261"/>
      <c r="BV3247" s="261"/>
    </row>
    <row r="3248" spans="12:74">
      <c r="L3248" s="261"/>
      <c r="M3248" s="261"/>
      <c r="N3248" s="261"/>
      <c r="O3248" s="261"/>
      <c r="P3248" s="261"/>
      <c r="Q3248" s="261"/>
      <c r="BR3248" s="261"/>
      <c r="BS3248" s="261"/>
      <c r="BT3248" s="261"/>
      <c r="BU3248" s="261"/>
      <c r="BV3248" s="261"/>
    </row>
    <row r="3249" spans="12:74">
      <c r="L3249" s="261"/>
      <c r="M3249" s="261"/>
      <c r="N3249" s="261"/>
      <c r="O3249" s="261"/>
      <c r="P3249" s="261"/>
      <c r="Q3249" s="261"/>
      <c r="BR3249" s="261"/>
      <c r="BS3249" s="261"/>
      <c r="BT3249" s="261"/>
      <c r="BU3249" s="261"/>
      <c r="BV3249" s="261"/>
    </row>
    <row r="3250" spans="12:74">
      <c r="L3250" s="261"/>
      <c r="M3250" s="261"/>
      <c r="N3250" s="261"/>
      <c r="O3250" s="261"/>
      <c r="P3250" s="261"/>
      <c r="Q3250" s="261"/>
      <c r="BR3250" s="261"/>
      <c r="BS3250" s="261"/>
      <c r="BT3250" s="261"/>
      <c r="BU3250" s="261"/>
      <c r="BV3250" s="261"/>
    </row>
    <row r="3251" spans="12:74">
      <c r="L3251" s="261"/>
      <c r="M3251" s="261"/>
      <c r="N3251" s="261"/>
      <c r="O3251" s="261"/>
      <c r="P3251" s="261"/>
      <c r="Q3251" s="261"/>
      <c r="BR3251" s="261"/>
      <c r="BS3251" s="261"/>
      <c r="BT3251" s="261"/>
      <c r="BU3251" s="261"/>
      <c r="BV3251" s="261"/>
    </row>
    <row r="3252" spans="12:74">
      <c r="L3252" s="261"/>
      <c r="M3252" s="261"/>
      <c r="N3252" s="261"/>
      <c r="O3252" s="261"/>
      <c r="P3252" s="261"/>
      <c r="Q3252" s="261"/>
      <c r="BR3252" s="261"/>
      <c r="BS3252" s="261"/>
      <c r="BT3252" s="261"/>
      <c r="BU3252" s="261"/>
      <c r="BV3252" s="261"/>
    </row>
    <row r="3253" spans="12:74">
      <c r="L3253" s="261"/>
      <c r="M3253" s="261"/>
      <c r="N3253" s="261"/>
      <c r="O3253" s="261"/>
      <c r="P3253" s="261"/>
      <c r="Q3253" s="261"/>
      <c r="BR3253" s="261"/>
      <c r="BS3253" s="261"/>
      <c r="BT3253" s="261"/>
      <c r="BU3253" s="261"/>
      <c r="BV3253" s="261"/>
    </row>
    <row r="3254" spans="12:74">
      <c r="L3254" s="261"/>
      <c r="M3254" s="261"/>
      <c r="N3254" s="261"/>
      <c r="O3254" s="261"/>
      <c r="P3254" s="261"/>
      <c r="Q3254" s="261"/>
      <c r="BR3254" s="261"/>
      <c r="BS3254" s="261"/>
      <c r="BT3254" s="261"/>
      <c r="BU3254" s="261"/>
      <c r="BV3254" s="261"/>
    </row>
    <row r="3255" spans="12:74">
      <c r="L3255" s="261"/>
      <c r="M3255" s="261"/>
      <c r="N3255" s="261"/>
      <c r="O3255" s="261"/>
      <c r="P3255" s="261"/>
      <c r="Q3255" s="261"/>
      <c r="BR3255" s="261"/>
      <c r="BS3255" s="261"/>
      <c r="BT3255" s="261"/>
      <c r="BU3255" s="261"/>
      <c r="BV3255" s="261"/>
    </row>
    <row r="3256" spans="12:74">
      <c r="L3256" s="261"/>
      <c r="M3256" s="261"/>
      <c r="N3256" s="261"/>
      <c r="O3256" s="261"/>
      <c r="P3256" s="261"/>
      <c r="Q3256" s="261"/>
      <c r="BR3256" s="261"/>
      <c r="BS3256" s="261"/>
      <c r="BT3256" s="261"/>
      <c r="BU3256" s="261"/>
      <c r="BV3256" s="261"/>
    </row>
    <row r="3257" spans="12:74">
      <c r="L3257" s="261"/>
      <c r="M3257" s="261"/>
      <c r="N3257" s="261"/>
      <c r="O3257" s="261"/>
      <c r="P3257" s="261"/>
      <c r="Q3257" s="261"/>
      <c r="BR3257" s="261"/>
      <c r="BS3257" s="261"/>
      <c r="BT3257" s="261"/>
      <c r="BU3257" s="261"/>
      <c r="BV3257" s="261"/>
    </row>
    <row r="3258" spans="12:74">
      <c r="L3258" s="261"/>
      <c r="M3258" s="261"/>
      <c r="N3258" s="261"/>
      <c r="O3258" s="261"/>
      <c r="P3258" s="261"/>
      <c r="Q3258" s="261"/>
      <c r="BR3258" s="261"/>
      <c r="BS3258" s="261"/>
      <c r="BT3258" s="261"/>
      <c r="BU3258" s="261"/>
      <c r="BV3258" s="261"/>
    </row>
    <row r="3259" spans="12:74">
      <c r="L3259" s="261"/>
      <c r="M3259" s="261"/>
      <c r="N3259" s="261"/>
      <c r="O3259" s="261"/>
      <c r="P3259" s="261"/>
      <c r="Q3259" s="261"/>
      <c r="BR3259" s="261"/>
      <c r="BS3259" s="261"/>
      <c r="BT3259" s="261"/>
      <c r="BU3259" s="261"/>
      <c r="BV3259" s="261"/>
    </row>
    <row r="3260" spans="12:74">
      <c r="L3260" s="261"/>
      <c r="M3260" s="261"/>
      <c r="N3260" s="261"/>
      <c r="O3260" s="261"/>
      <c r="P3260" s="261"/>
      <c r="Q3260" s="261"/>
      <c r="BR3260" s="261"/>
      <c r="BS3260" s="261"/>
      <c r="BT3260" s="261"/>
      <c r="BU3260" s="261"/>
      <c r="BV3260" s="261"/>
    </row>
    <row r="3261" spans="12:74">
      <c r="L3261" s="261"/>
      <c r="M3261" s="261"/>
      <c r="N3261" s="261"/>
      <c r="O3261" s="261"/>
      <c r="P3261" s="261"/>
      <c r="Q3261" s="261"/>
      <c r="BR3261" s="261"/>
      <c r="BS3261" s="261"/>
      <c r="BT3261" s="261"/>
      <c r="BU3261" s="261"/>
      <c r="BV3261" s="261"/>
    </row>
    <row r="3262" spans="12:74">
      <c r="L3262" s="261"/>
      <c r="M3262" s="261"/>
      <c r="N3262" s="261"/>
      <c r="O3262" s="261"/>
      <c r="P3262" s="261"/>
      <c r="Q3262" s="261"/>
      <c r="BR3262" s="261"/>
      <c r="BS3262" s="261"/>
      <c r="BT3262" s="261"/>
      <c r="BU3262" s="261"/>
      <c r="BV3262" s="261"/>
    </row>
    <row r="3263" spans="12:74">
      <c r="L3263" s="261"/>
      <c r="M3263" s="261"/>
      <c r="N3263" s="261"/>
      <c r="O3263" s="261"/>
      <c r="P3263" s="261"/>
      <c r="Q3263" s="261"/>
      <c r="BR3263" s="261"/>
      <c r="BS3263" s="261"/>
      <c r="BT3263" s="261"/>
      <c r="BU3263" s="261"/>
      <c r="BV3263" s="261"/>
    </row>
    <row r="3264" spans="12:74">
      <c r="L3264" s="261"/>
      <c r="M3264" s="261"/>
      <c r="N3264" s="261"/>
      <c r="O3264" s="261"/>
      <c r="P3264" s="261"/>
      <c r="Q3264" s="261"/>
      <c r="BR3264" s="261"/>
      <c r="BS3264" s="261"/>
      <c r="BT3264" s="261"/>
      <c r="BU3264" s="261"/>
      <c r="BV3264" s="261"/>
    </row>
    <row r="3265" spans="12:74">
      <c r="L3265" s="261"/>
      <c r="M3265" s="261"/>
      <c r="N3265" s="261"/>
      <c r="O3265" s="261"/>
      <c r="P3265" s="261"/>
      <c r="Q3265" s="261"/>
      <c r="BR3265" s="261"/>
      <c r="BS3265" s="261"/>
      <c r="BT3265" s="261"/>
      <c r="BU3265" s="261"/>
      <c r="BV3265" s="261"/>
    </row>
    <row r="3266" spans="12:74">
      <c r="L3266" s="261"/>
      <c r="M3266" s="261"/>
      <c r="N3266" s="261"/>
      <c r="O3266" s="261"/>
      <c r="P3266" s="261"/>
      <c r="Q3266" s="261"/>
      <c r="BR3266" s="261"/>
      <c r="BS3266" s="261"/>
      <c r="BT3266" s="261"/>
      <c r="BU3266" s="261"/>
      <c r="BV3266" s="261"/>
    </row>
    <row r="3267" spans="12:74">
      <c r="L3267" s="261"/>
      <c r="M3267" s="261"/>
      <c r="N3267" s="261"/>
      <c r="O3267" s="261"/>
      <c r="P3267" s="261"/>
      <c r="Q3267" s="261"/>
      <c r="BR3267" s="261"/>
      <c r="BS3267" s="261"/>
      <c r="BT3267" s="261"/>
      <c r="BU3267" s="261"/>
      <c r="BV3267" s="261"/>
    </row>
    <row r="3268" spans="12:74">
      <c r="L3268" s="261"/>
      <c r="M3268" s="261"/>
      <c r="N3268" s="261"/>
      <c r="O3268" s="261"/>
      <c r="P3268" s="261"/>
      <c r="Q3268" s="261"/>
      <c r="BR3268" s="261"/>
      <c r="BS3268" s="261"/>
      <c r="BT3268" s="261"/>
      <c r="BU3268" s="261"/>
      <c r="BV3268" s="261"/>
    </row>
    <row r="3269" spans="12:74">
      <c r="L3269" s="261"/>
      <c r="M3269" s="261"/>
      <c r="N3269" s="261"/>
      <c r="O3269" s="261"/>
      <c r="P3269" s="261"/>
      <c r="Q3269" s="261"/>
      <c r="BR3269" s="261"/>
      <c r="BS3269" s="261"/>
      <c r="BT3269" s="261"/>
      <c r="BU3269" s="261"/>
      <c r="BV3269" s="261"/>
    </row>
    <row r="3270" spans="12:74">
      <c r="L3270" s="261"/>
      <c r="M3270" s="261"/>
      <c r="N3270" s="261"/>
      <c r="O3270" s="261"/>
      <c r="P3270" s="261"/>
      <c r="Q3270" s="261"/>
      <c r="BR3270" s="261"/>
      <c r="BS3270" s="261"/>
      <c r="BT3270" s="261"/>
      <c r="BU3270" s="261"/>
      <c r="BV3270" s="261"/>
    </row>
    <row r="3271" spans="12:74">
      <c r="L3271" s="261"/>
      <c r="M3271" s="261"/>
      <c r="N3271" s="261"/>
      <c r="O3271" s="261"/>
      <c r="P3271" s="261"/>
      <c r="Q3271" s="261"/>
      <c r="BR3271" s="261"/>
      <c r="BS3271" s="261"/>
      <c r="BT3271" s="261"/>
      <c r="BU3271" s="261"/>
      <c r="BV3271" s="261"/>
    </row>
    <row r="3272" spans="12:74">
      <c r="L3272" s="261"/>
      <c r="M3272" s="261"/>
      <c r="N3272" s="261"/>
      <c r="O3272" s="261"/>
      <c r="P3272" s="261"/>
      <c r="Q3272" s="261"/>
      <c r="BR3272" s="261"/>
      <c r="BS3272" s="261"/>
      <c r="BT3272" s="261"/>
      <c r="BU3272" s="261"/>
      <c r="BV3272" s="261"/>
    </row>
    <row r="3273" spans="12:74">
      <c r="L3273" s="261"/>
      <c r="M3273" s="261"/>
      <c r="N3273" s="261"/>
      <c r="O3273" s="261"/>
      <c r="P3273" s="261"/>
      <c r="Q3273" s="261"/>
      <c r="BR3273" s="261"/>
      <c r="BS3273" s="261"/>
      <c r="BT3273" s="261"/>
      <c r="BU3273" s="261"/>
      <c r="BV3273" s="261"/>
    </row>
    <row r="3274" spans="12:74">
      <c r="L3274" s="261"/>
      <c r="M3274" s="261"/>
      <c r="N3274" s="261"/>
      <c r="O3274" s="261"/>
      <c r="P3274" s="261"/>
      <c r="Q3274" s="261"/>
      <c r="BR3274" s="261"/>
      <c r="BS3274" s="261"/>
      <c r="BT3274" s="261"/>
      <c r="BU3274" s="261"/>
      <c r="BV3274" s="261"/>
    </row>
    <row r="3275" spans="12:74">
      <c r="L3275" s="261"/>
      <c r="M3275" s="261"/>
      <c r="N3275" s="261"/>
      <c r="O3275" s="261"/>
      <c r="P3275" s="261"/>
      <c r="Q3275" s="261"/>
      <c r="BR3275" s="261"/>
      <c r="BS3275" s="261"/>
      <c r="BT3275" s="261"/>
      <c r="BU3275" s="261"/>
      <c r="BV3275" s="261"/>
    </row>
    <row r="3276" spans="12:74">
      <c r="L3276" s="261"/>
      <c r="M3276" s="261"/>
      <c r="N3276" s="261"/>
      <c r="O3276" s="261"/>
      <c r="P3276" s="261"/>
      <c r="Q3276" s="261"/>
      <c r="BR3276" s="261"/>
      <c r="BS3276" s="261"/>
      <c r="BT3276" s="261"/>
      <c r="BU3276" s="261"/>
      <c r="BV3276" s="261"/>
    </row>
    <row r="3277" spans="12:74">
      <c r="L3277" s="261"/>
      <c r="M3277" s="261"/>
      <c r="N3277" s="261"/>
      <c r="O3277" s="261"/>
      <c r="P3277" s="261"/>
      <c r="Q3277" s="261"/>
      <c r="BR3277" s="261"/>
      <c r="BS3277" s="261"/>
      <c r="BT3277" s="261"/>
      <c r="BU3277" s="261"/>
      <c r="BV3277" s="261"/>
    </row>
    <row r="3278" spans="12:74">
      <c r="L3278" s="261"/>
      <c r="M3278" s="261"/>
      <c r="N3278" s="261"/>
      <c r="O3278" s="261"/>
      <c r="P3278" s="261"/>
      <c r="Q3278" s="261"/>
      <c r="BR3278" s="261"/>
      <c r="BS3278" s="261"/>
      <c r="BT3278" s="261"/>
      <c r="BU3278" s="261"/>
      <c r="BV3278" s="261"/>
    </row>
    <row r="3279" spans="12:74">
      <c r="L3279" s="261"/>
      <c r="M3279" s="261"/>
      <c r="N3279" s="261"/>
      <c r="O3279" s="261"/>
      <c r="P3279" s="261"/>
      <c r="Q3279" s="261"/>
      <c r="BR3279" s="261"/>
      <c r="BS3279" s="261"/>
      <c r="BT3279" s="261"/>
      <c r="BU3279" s="261"/>
      <c r="BV3279" s="261"/>
    </row>
    <row r="3280" spans="12:74">
      <c r="L3280" s="261"/>
      <c r="M3280" s="261"/>
      <c r="N3280" s="261"/>
      <c r="O3280" s="261"/>
      <c r="P3280" s="261"/>
      <c r="Q3280" s="261"/>
      <c r="BR3280" s="261"/>
      <c r="BS3280" s="261"/>
      <c r="BT3280" s="261"/>
      <c r="BU3280" s="261"/>
      <c r="BV3280" s="261"/>
    </row>
    <row r="3281" spans="12:74">
      <c r="L3281" s="261"/>
      <c r="M3281" s="261"/>
      <c r="N3281" s="261"/>
      <c r="O3281" s="261"/>
      <c r="P3281" s="261"/>
      <c r="Q3281" s="261"/>
      <c r="BR3281" s="261"/>
      <c r="BS3281" s="261"/>
      <c r="BT3281" s="261"/>
      <c r="BU3281" s="261"/>
      <c r="BV3281" s="261"/>
    </row>
    <row r="3282" spans="12:74">
      <c r="L3282" s="261"/>
      <c r="M3282" s="261"/>
      <c r="N3282" s="261"/>
      <c r="O3282" s="261"/>
      <c r="P3282" s="261"/>
      <c r="Q3282" s="261"/>
      <c r="BR3282" s="261"/>
      <c r="BS3282" s="261"/>
      <c r="BT3282" s="261"/>
      <c r="BU3282" s="261"/>
      <c r="BV3282" s="261"/>
    </row>
    <row r="3283" spans="12:74">
      <c r="L3283" s="261"/>
      <c r="M3283" s="261"/>
      <c r="N3283" s="261"/>
      <c r="O3283" s="261"/>
      <c r="P3283" s="261"/>
      <c r="Q3283" s="261"/>
      <c r="BR3283" s="261"/>
      <c r="BS3283" s="261"/>
      <c r="BT3283" s="261"/>
      <c r="BU3283" s="261"/>
      <c r="BV3283" s="261"/>
    </row>
    <row r="3284" spans="12:74">
      <c r="L3284" s="261"/>
      <c r="M3284" s="261"/>
      <c r="N3284" s="261"/>
      <c r="O3284" s="261"/>
      <c r="P3284" s="261"/>
      <c r="Q3284" s="261"/>
      <c r="BR3284" s="261"/>
      <c r="BS3284" s="261"/>
      <c r="BT3284" s="261"/>
      <c r="BU3284" s="261"/>
      <c r="BV3284" s="261"/>
    </row>
    <row r="3285" spans="12:74">
      <c r="L3285" s="261"/>
      <c r="M3285" s="261"/>
      <c r="N3285" s="261"/>
      <c r="O3285" s="261"/>
      <c r="P3285" s="261"/>
      <c r="Q3285" s="261"/>
      <c r="BR3285" s="261"/>
      <c r="BS3285" s="261"/>
      <c r="BT3285" s="261"/>
      <c r="BU3285" s="261"/>
      <c r="BV3285" s="261"/>
    </row>
    <row r="3286" spans="12:74">
      <c r="L3286" s="261"/>
      <c r="M3286" s="261"/>
      <c r="N3286" s="261"/>
      <c r="O3286" s="261"/>
      <c r="P3286" s="261"/>
      <c r="Q3286" s="261"/>
      <c r="BR3286" s="261"/>
      <c r="BS3286" s="261"/>
      <c r="BT3286" s="261"/>
      <c r="BU3286" s="261"/>
      <c r="BV3286" s="261"/>
    </row>
    <row r="3287" spans="12:74">
      <c r="L3287" s="261"/>
      <c r="M3287" s="261"/>
      <c r="N3287" s="261"/>
      <c r="O3287" s="261"/>
      <c r="P3287" s="261"/>
      <c r="Q3287" s="261"/>
      <c r="BR3287" s="261"/>
      <c r="BS3287" s="261"/>
      <c r="BT3287" s="261"/>
      <c r="BU3287" s="261"/>
      <c r="BV3287" s="261"/>
    </row>
    <row r="3288" spans="12:74">
      <c r="L3288" s="261"/>
      <c r="M3288" s="261"/>
      <c r="N3288" s="261"/>
      <c r="O3288" s="261"/>
      <c r="P3288" s="261"/>
      <c r="Q3288" s="261"/>
      <c r="BR3288" s="261"/>
      <c r="BS3288" s="261"/>
      <c r="BT3288" s="261"/>
      <c r="BU3288" s="261"/>
      <c r="BV3288" s="261"/>
    </row>
    <row r="3289" spans="12:74">
      <c r="L3289" s="261"/>
      <c r="M3289" s="261"/>
      <c r="N3289" s="261"/>
      <c r="O3289" s="261"/>
      <c r="P3289" s="261"/>
      <c r="Q3289" s="261"/>
      <c r="BR3289" s="261"/>
      <c r="BS3289" s="261"/>
      <c r="BT3289" s="261"/>
      <c r="BU3289" s="261"/>
      <c r="BV3289" s="261"/>
    </row>
    <row r="3290" spans="12:74">
      <c r="L3290" s="261"/>
      <c r="M3290" s="261"/>
      <c r="N3290" s="261"/>
      <c r="O3290" s="261"/>
      <c r="P3290" s="261"/>
      <c r="Q3290" s="261"/>
      <c r="BR3290" s="261"/>
      <c r="BS3290" s="261"/>
      <c r="BT3290" s="261"/>
      <c r="BU3290" s="261"/>
      <c r="BV3290" s="261"/>
    </row>
    <row r="3291" spans="12:74">
      <c r="L3291" s="261"/>
      <c r="M3291" s="261"/>
      <c r="N3291" s="261"/>
      <c r="O3291" s="261"/>
      <c r="P3291" s="261"/>
      <c r="Q3291" s="261"/>
      <c r="BR3291" s="261"/>
      <c r="BS3291" s="261"/>
      <c r="BT3291" s="261"/>
      <c r="BU3291" s="261"/>
      <c r="BV3291" s="261"/>
    </row>
    <row r="3292" spans="12:74">
      <c r="L3292" s="261"/>
      <c r="M3292" s="261"/>
      <c r="N3292" s="261"/>
      <c r="O3292" s="261"/>
      <c r="P3292" s="261"/>
      <c r="Q3292" s="261"/>
      <c r="BR3292" s="261"/>
      <c r="BS3292" s="261"/>
      <c r="BT3292" s="261"/>
      <c r="BU3292" s="261"/>
      <c r="BV3292" s="261"/>
    </row>
    <row r="3293" spans="12:74">
      <c r="L3293" s="261"/>
      <c r="M3293" s="261"/>
      <c r="N3293" s="261"/>
      <c r="O3293" s="261"/>
      <c r="P3293" s="261"/>
      <c r="Q3293" s="261"/>
      <c r="BR3293" s="261"/>
      <c r="BS3293" s="261"/>
      <c r="BT3293" s="261"/>
      <c r="BU3293" s="261"/>
      <c r="BV3293" s="261"/>
    </row>
    <row r="3294" spans="12:74">
      <c r="L3294" s="261"/>
      <c r="M3294" s="261"/>
      <c r="N3294" s="261"/>
      <c r="O3294" s="261"/>
      <c r="P3294" s="261"/>
      <c r="Q3294" s="261"/>
      <c r="BR3294" s="261"/>
      <c r="BS3294" s="261"/>
      <c r="BT3294" s="261"/>
      <c r="BU3294" s="261"/>
      <c r="BV3294" s="261"/>
    </row>
    <row r="3295" spans="12:74">
      <c r="L3295" s="261"/>
      <c r="M3295" s="261"/>
      <c r="N3295" s="261"/>
      <c r="O3295" s="261"/>
      <c r="P3295" s="261"/>
      <c r="Q3295" s="261"/>
      <c r="BR3295" s="261"/>
      <c r="BS3295" s="261"/>
      <c r="BT3295" s="261"/>
      <c r="BU3295" s="261"/>
      <c r="BV3295" s="261"/>
    </row>
    <row r="3296" spans="12:74">
      <c r="L3296" s="261"/>
      <c r="M3296" s="261"/>
      <c r="N3296" s="261"/>
      <c r="O3296" s="261"/>
      <c r="P3296" s="261"/>
      <c r="Q3296" s="261"/>
      <c r="BR3296" s="261"/>
      <c r="BS3296" s="261"/>
      <c r="BT3296" s="261"/>
      <c r="BU3296" s="261"/>
      <c r="BV3296" s="261"/>
    </row>
    <row r="3297" spans="12:74">
      <c r="L3297" s="261"/>
      <c r="M3297" s="261"/>
      <c r="N3297" s="261"/>
      <c r="O3297" s="261"/>
      <c r="P3297" s="261"/>
      <c r="Q3297" s="261"/>
      <c r="BR3297" s="261"/>
      <c r="BS3297" s="261"/>
      <c r="BT3297" s="261"/>
      <c r="BU3297" s="261"/>
      <c r="BV3297" s="261"/>
    </row>
    <row r="3298" spans="12:74">
      <c r="L3298" s="261"/>
      <c r="M3298" s="261"/>
      <c r="N3298" s="261"/>
      <c r="O3298" s="261"/>
      <c r="P3298" s="261"/>
      <c r="Q3298" s="261"/>
      <c r="BR3298" s="261"/>
      <c r="BS3298" s="261"/>
      <c r="BT3298" s="261"/>
      <c r="BU3298" s="261"/>
      <c r="BV3298" s="261"/>
    </row>
    <row r="3299" spans="12:74">
      <c r="L3299" s="261"/>
      <c r="M3299" s="261"/>
      <c r="N3299" s="261"/>
      <c r="O3299" s="261"/>
      <c r="P3299" s="261"/>
      <c r="Q3299" s="261"/>
      <c r="BR3299" s="261"/>
      <c r="BS3299" s="261"/>
      <c r="BT3299" s="261"/>
      <c r="BU3299" s="261"/>
      <c r="BV3299" s="261"/>
    </row>
    <row r="3300" spans="12:74">
      <c r="L3300" s="261"/>
      <c r="M3300" s="261"/>
      <c r="N3300" s="261"/>
      <c r="O3300" s="261"/>
      <c r="P3300" s="261"/>
      <c r="Q3300" s="261"/>
      <c r="BR3300" s="261"/>
      <c r="BS3300" s="261"/>
      <c r="BT3300" s="261"/>
      <c r="BU3300" s="261"/>
      <c r="BV3300" s="261"/>
    </row>
    <row r="3301" spans="12:74">
      <c r="L3301" s="261"/>
      <c r="M3301" s="261"/>
      <c r="N3301" s="261"/>
      <c r="O3301" s="261"/>
      <c r="P3301" s="261"/>
      <c r="Q3301" s="261"/>
      <c r="BR3301" s="261"/>
      <c r="BS3301" s="261"/>
      <c r="BT3301" s="261"/>
      <c r="BU3301" s="261"/>
      <c r="BV3301" s="261"/>
    </row>
    <row r="3302" spans="12:74">
      <c r="L3302" s="261"/>
      <c r="M3302" s="261"/>
      <c r="N3302" s="261"/>
      <c r="O3302" s="261"/>
      <c r="P3302" s="261"/>
      <c r="Q3302" s="261"/>
      <c r="BR3302" s="261"/>
      <c r="BS3302" s="261"/>
      <c r="BT3302" s="261"/>
      <c r="BU3302" s="261"/>
      <c r="BV3302" s="261"/>
    </row>
    <row r="3303" spans="12:74">
      <c r="L3303" s="261"/>
      <c r="M3303" s="261"/>
      <c r="N3303" s="261"/>
      <c r="O3303" s="261"/>
      <c r="P3303" s="261"/>
      <c r="Q3303" s="261"/>
      <c r="BR3303" s="261"/>
      <c r="BS3303" s="261"/>
      <c r="BT3303" s="261"/>
      <c r="BU3303" s="261"/>
      <c r="BV3303" s="261"/>
    </row>
    <row r="3304" spans="12:74">
      <c r="L3304" s="261"/>
      <c r="M3304" s="261"/>
      <c r="N3304" s="261"/>
      <c r="O3304" s="261"/>
      <c r="P3304" s="261"/>
      <c r="Q3304" s="261"/>
      <c r="BR3304" s="261"/>
      <c r="BS3304" s="261"/>
      <c r="BT3304" s="261"/>
      <c r="BU3304" s="261"/>
      <c r="BV3304" s="261"/>
    </row>
    <row r="3305" spans="12:74">
      <c r="L3305" s="261"/>
      <c r="M3305" s="261"/>
      <c r="N3305" s="261"/>
      <c r="O3305" s="261"/>
      <c r="P3305" s="261"/>
      <c r="Q3305" s="261"/>
      <c r="BR3305" s="261"/>
      <c r="BS3305" s="261"/>
      <c r="BT3305" s="261"/>
      <c r="BU3305" s="261"/>
      <c r="BV3305" s="261"/>
    </row>
    <row r="3306" spans="12:74">
      <c r="L3306" s="261"/>
      <c r="M3306" s="261"/>
      <c r="N3306" s="261"/>
      <c r="O3306" s="261"/>
      <c r="P3306" s="261"/>
      <c r="Q3306" s="261"/>
      <c r="BR3306" s="261"/>
      <c r="BS3306" s="261"/>
      <c r="BT3306" s="261"/>
      <c r="BU3306" s="261"/>
      <c r="BV3306" s="261"/>
    </row>
    <row r="3307" spans="12:74">
      <c r="L3307" s="261"/>
      <c r="M3307" s="261"/>
      <c r="N3307" s="261"/>
      <c r="O3307" s="261"/>
      <c r="P3307" s="261"/>
      <c r="Q3307" s="261"/>
      <c r="BR3307" s="261"/>
      <c r="BS3307" s="261"/>
      <c r="BT3307" s="261"/>
      <c r="BU3307" s="261"/>
      <c r="BV3307" s="261"/>
    </row>
    <row r="3308" spans="12:74">
      <c r="L3308" s="261"/>
      <c r="M3308" s="261"/>
      <c r="N3308" s="261"/>
      <c r="O3308" s="261"/>
      <c r="P3308" s="261"/>
      <c r="Q3308" s="261"/>
      <c r="BR3308" s="261"/>
      <c r="BS3308" s="261"/>
      <c r="BT3308" s="261"/>
      <c r="BU3308" s="261"/>
      <c r="BV3308" s="261"/>
    </row>
    <row r="3309" spans="12:74">
      <c r="L3309" s="261"/>
      <c r="M3309" s="261"/>
      <c r="N3309" s="261"/>
      <c r="O3309" s="261"/>
      <c r="P3309" s="261"/>
      <c r="Q3309" s="261"/>
      <c r="BR3309" s="261"/>
      <c r="BS3309" s="261"/>
      <c r="BT3309" s="261"/>
      <c r="BU3309" s="261"/>
      <c r="BV3309" s="261"/>
    </row>
    <row r="3310" spans="12:74">
      <c r="L3310" s="261"/>
      <c r="M3310" s="261"/>
      <c r="N3310" s="261"/>
      <c r="O3310" s="261"/>
      <c r="P3310" s="261"/>
      <c r="Q3310" s="261"/>
      <c r="BR3310" s="261"/>
      <c r="BS3310" s="261"/>
      <c r="BT3310" s="261"/>
      <c r="BU3310" s="261"/>
      <c r="BV3310" s="261"/>
    </row>
    <row r="3311" spans="12:74">
      <c r="L3311" s="261"/>
      <c r="M3311" s="261"/>
      <c r="N3311" s="261"/>
      <c r="O3311" s="261"/>
      <c r="P3311" s="261"/>
      <c r="Q3311" s="261"/>
      <c r="BR3311" s="261"/>
      <c r="BS3311" s="261"/>
      <c r="BT3311" s="261"/>
      <c r="BU3311" s="261"/>
      <c r="BV3311" s="261"/>
    </row>
    <row r="3312" spans="12:74">
      <c r="L3312" s="261"/>
      <c r="M3312" s="261"/>
      <c r="N3312" s="261"/>
      <c r="O3312" s="261"/>
      <c r="P3312" s="261"/>
      <c r="Q3312" s="261"/>
      <c r="BR3312" s="261"/>
      <c r="BS3312" s="261"/>
      <c r="BT3312" s="261"/>
      <c r="BU3312" s="261"/>
      <c r="BV3312" s="261"/>
    </row>
    <row r="3313" spans="12:74">
      <c r="L3313" s="261"/>
      <c r="M3313" s="261"/>
      <c r="N3313" s="261"/>
      <c r="O3313" s="261"/>
      <c r="P3313" s="261"/>
      <c r="Q3313" s="261"/>
      <c r="BR3313" s="261"/>
      <c r="BS3313" s="261"/>
      <c r="BT3313" s="261"/>
      <c r="BU3313" s="261"/>
      <c r="BV3313" s="261"/>
    </row>
    <row r="3314" spans="12:74">
      <c r="L3314" s="261"/>
      <c r="M3314" s="261"/>
      <c r="N3314" s="261"/>
      <c r="O3314" s="261"/>
      <c r="P3314" s="261"/>
      <c r="Q3314" s="261"/>
      <c r="BR3314" s="261"/>
      <c r="BS3314" s="261"/>
      <c r="BT3314" s="261"/>
      <c r="BU3314" s="261"/>
      <c r="BV3314" s="261"/>
    </row>
    <row r="3315" spans="12:74">
      <c r="L3315" s="261"/>
      <c r="M3315" s="261"/>
      <c r="N3315" s="261"/>
      <c r="O3315" s="261"/>
      <c r="P3315" s="261"/>
      <c r="Q3315" s="261"/>
      <c r="BR3315" s="261"/>
      <c r="BS3315" s="261"/>
      <c r="BT3315" s="261"/>
      <c r="BU3315" s="261"/>
      <c r="BV3315" s="261"/>
    </row>
    <row r="3316" spans="12:74">
      <c r="L3316" s="261"/>
      <c r="M3316" s="261"/>
      <c r="N3316" s="261"/>
      <c r="O3316" s="261"/>
      <c r="P3316" s="261"/>
      <c r="Q3316" s="261"/>
      <c r="BR3316" s="261"/>
      <c r="BS3316" s="261"/>
      <c r="BT3316" s="261"/>
      <c r="BU3316" s="261"/>
      <c r="BV3316" s="261"/>
    </row>
    <row r="3317" spans="12:74">
      <c r="L3317" s="261"/>
      <c r="M3317" s="261"/>
      <c r="N3317" s="261"/>
      <c r="O3317" s="261"/>
      <c r="P3317" s="261"/>
      <c r="Q3317" s="261"/>
      <c r="BR3317" s="261"/>
      <c r="BS3317" s="261"/>
      <c r="BT3317" s="261"/>
      <c r="BU3317" s="261"/>
      <c r="BV3317" s="261"/>
    </row>
    <row r="3318" spans="12:74">
      <c r="L3318" s="261"/>
      <c r="M3318" s="261"/>
      <c r="N3318" s="261"/>
      <c r="O3318" s="261"/>
      <c r="P3318" s="261"/>
      <c r="Q3318" s="261"/>
      <c r="BR3318" s="261"/>
      <c r="BS3318" s="261"/>
      <c r="BT3318" s="261"/>
      <c r="BU3318" s="261"/>
      <c r="BV3318" s="261"/>
    </row>
    <row r="3319" spans="12:74">
      <c r="L3319" s="261"/>
      <c r="M3319" s="261"/>
      <c r="N3319" s="261"/>
      <c r="O3319" s="261"/>
      <c r="P3319" s="261"/>
      <c r="Q3319" s="261"/>
      <c r="BR3319" s="261"/>
      <c r="BS3319" s="261"/>
      <c r="BT3319" s="261"/>
      <c r="BU3319" s="261"/>
      <c r="BV3319" s="261"/>
    </row>
    <row r="3320" spans="12:74">
      <c r="L3320" s="261"/>
      <c r="M3320" s="261"/>
      <c r="N3320" s="261"/>
      <c r="O3320" s="261"/>
      <c r="P3320" s="261"/>
      <c r="Q3320" s="261"/>
      <c r="BR3320" s="261"/>
      <c r="BS3320" s="261"/>
      <c r="BT3320" s="261"/>
      <c r="BU3320" s="261"/>
      <c r="BV3320" s="261"/>
    </row>
    <row r="3321" spans="12:74">
      <c r="L3321" s="261"/>
      <c r="M3321" s="261"/>
      <c r="N3321" s="261"/>
      <c r="O3321" s="261"/>
      <c r="P3321" s="261"/>
      <c r="Q3321" s="261"/>
      <c r="BR3321" s="261"/>
      <c r="BS3321" s="261"/>
      <c r="BT3321" s="261"/>
      <c r="BU3321" s="261"/>
      <c r="BV3321" s="261"/>
    </row>
    <row r="3322" spans="12:74">
      <c r="L3322" s="261"/>
      <c r="M3322" s="261"/>
      <c r="N3322" s="261"/>
      <c r="O3322" s="261"/>
      <c r="P3322" s="261"/>
      <c r="Q3322" s="261"/>
      <c r="BR3322" s="261"/>
      <c r="BS3322" s="261"/>
      <c r="BT3322" s="261"/>
      <c r="BU3322" s="261"/>
      <c r="BV3322" s="261"/>
    </row>
    <row r="3323" spans="12:74">
      <c r="L3323" s="261"/>
      <c r="M3323" s="261"/>
      <c r="N3323" s="261"/>
      <c r="O3323" s="261"/>
      <c r="P3323" s="261"/>
      <c r="Q3323" s="261"/>
      <c r="BR3323" s="261"/>
      <c r="BS3323" s="261"/>
      <c r="BT3323" s="261"/>
      <c r="BU3323" s="261"/>
      <c r="BV3323" s="261"/>
    </row>
    <row r="3324" spans="12:74">
      <c r="L3324" s="261"/>
      <c r="M3324" s="261"/>
      <c r="N3324" s="261"/>
      <c r="O3324" s="261"/>
      <c r="P3324" s="261"/>
      <c r="Q3324" s="261"/>
      <c r="BR3324" s="261"/>
      <c r="BS3324" s="261"/>
      <c r="BT3324" s="261"/>
      <c r="BU3324" s="261"/>
      <c r="BV3324" s="261"/>
    </row>
    <row r="3325" spans="12:74">
      <c r="L3325" s="261"/>
      <c r="M3325" s="261"/>
      <c r="N3325" s="261"/>
      <c r="O3325" s="261"/>
      <c r="P3325" s="261"/>
      <c r="Q3325" s="261"/>
      <c r="BR3325" s="261"/>
      <c r="BS3325" s="261"/>
      <c r="BT3325" s="261"/>
      <c r="BU3325" s="261"/>
      <c r="BV3325" s="261"/>
    </row>
    <row r="3326" spans="12:74">
      <c r="L3326" s="261"/>
      <c r="M3326" s="261"/>
      <c r="N3326" s="261"/>
      <c r="O3326" s="261"/>
      <c r="P3326" s="261"/>
      <c r="Q3326" s="261"/>
      <c r="BR3326" s="261"/>
      <c r="BS3326" s="261"/>
      <c r="BT3326" s="261"/>
      <c r="BU3326" s="261"/>
      <c r="BV3326" s="261"/>
    </row>
    <row r="3327" spans="12:74">
      <c r="L3327" s="261"/>
      <c r="M3327" s="261"/>
      <c r="N3327" s="261"/>
      <c r="O3327" s="261"/>
      <c r="P3327" s="261"/>
      <c r="Q3327" s="261"/>
      <c r="BR3327" s="261"/>
      <c r="BS3327" s="261"/>
      <c r="BT3327" s="261"/>
      <c r="BU3327" s="261"/>
      <c r="BV3327" s="261"/>
    </row>
    <row r="3328" spans="12:74">
      <c r="L3328" s="261"/>
      <c r="M3328" s="261"/>
      <c r="N3328" s="261"/>
      <c r="O3328" s="261"/>
      <c r="P3328" s="261"/>
      <c r="Q3328" s="261"/>
      <c r="BR3328" s="261"/>
      <c r="BS3328" s="261"/>
      <c r="BT3328" s="261"/>
      <c r="BU3328" s="261"/>
      <c r="BV3328" s="261"/>
    </row>
    <row r="3329" spans="12:74">
      <c r="L3329" s="261"/>
      <c r="M3329" s="261"/>
      <c r="N3329" s="261"/>
      <c r="O3329" s="261"/>
      <c r="P3329" s="261"/>
      <c r="Q3329" s="261"/>
      <c r="BR3329" s="261"/>
      <c r="BS3329" s="261"/>
      <c r="BT3329" s="261"/>
      <c r="BU3329" s="261"/>
      <c r="BV3329" s="261"/>
    </row>
    <row r="3330" spans="12:74">
      <c r="L3330" s="261"/>
      <c r="M3330" s="261"/>
      <c r="N3330" s="261"/>
      <c r="O3330" s="261"/>
      <c r="P3330" s="261"/>
      <c r="Q3330" s="261"/>
      <c r="BR3330" s="261"/>
      <c r="BS3330" s="261"/>
      <c r="BT3330" s="261"/>
      <c r="BU3330" s="261"/>
      <c r="BV3330" s="261"/>
    </row>
    <row r="3331" spans="12:74">
      <c r="L3331" s="261"/>
      <c r="M3331" s="261"/>
      <c r="N3331" s="261"/>
      <c r="O3331" s="261"/>
      <c r="P3331" s="261"/>
      <c r="Q3331" s="261"/>
      <c r="BR3331" s="261"/>
      <c r="BS3331" s="261"/>
      <c r="BT3331" s="261"/>
      <c r="BU3331" s="261"/>
      <c r="BV3331" s="261"/>
    </row>
    <row r="3332" spans="12:74">
      <c r="L3332" s="261"/>
      <c r="M3332" s="261"/>
      <c r="N3332" s="261"/>
      <c r="O3332" s="261"/>
      <c r="P3332" s="261"/>
      <c r="Q3332" s="261"/>
      <c r="BR3332" s="261"/>
      <c r="BS3332" s="261"/>
      <c r="BT3332" s="261"/>
      <c r="BU3332" s="261"/>
      <c r="BV3332" s="261"/>
    </row>
    <row r="3333" spans="12:74">
      <c r="L3333" s="261"/>
      <c r="M3333" s="261"/>
      <c r="N3333" s="261"/>
      <c r="O3333" s="261"/>
      <c r="P3333" s="261"/>
      <c r="Q3333" s="261"/>
      <c r="BR3333" s="261"/>
      <c r="BS3333" s="261"/>
      <c r="BT3333" s="261"/>
      <c r="BU3333" s="261"/>
      <c r="BV3333" s="261"/>
    </row>
    <row r="3334" spans="12:74">
      <c r="L3334" s="261"/>
      <c r="M3334" s="261"/>
      <c r="N3334" s="261"/>
      <c r="O3334" s="261"/>
      <c r="P3334" s="261"/>
      <c r="Q3334" s="261"/>
      <c r="BR3334" s="261"/>
      <c r="BS3334" s="261"/>
      <c r="BT3334" s="261"/>
      <c r="BU3334" s="261"/>
      <c r="BV3334" s="261"/>
    </row>
    <row r="3335" spans="12:74">
      <c r="L3335" s="261"/>
      <c r="M3335" s="261"/>
      <c r="N3335" s="261"/>
      <c r="O3335" s="261"/>
      <c r="P3335" s="261"/>
      <c r="Q3335" s="261"/>
      <c r="BR3335" s="261"/>
      <c r="BS3335" s="261"/>
      <c r="BT3335" s="261"/>
      <c r="BU3335" s="261"/>
      <c r="BV3335" s="261"/>
    </row>
    <row r="3336" spans="12:74">
      <c r="L3336" s="261"/>
      <c r="M3336" s="261"/>
      <c r="N3336" s="261"/>
      <c r="O3336" s="261"/>
      <c r="P3336" s="261"/>
      <c r="Q3336" s="261"/>
      <c r="BR3336" s="261"/>
      <c r="BS3336" s="261"/>
      <c r="BT3336" s="261"/>
      <c r="BU3336" s="261"/>
      <c r="BV3336" s="261"/>
    </row>
    <row r="3337" spans="12:74">
      <c r="L3337" s="261"/>
      <c r="M3337" s="261"/>
      <c r="N3337" s="261"/>
      <c r="O3337" s="261"/>
      <c r="P3337" s="261"/>
      <c r="Q3337" s="261"/>
      <c r="BR3337" s="261"/>
      <c r="BS3337" s="261"/>
      <c r="BT3337" s="261"/>
      <c r="BU3337" s="261"/>
      <c r="BV3337" s="261"/>
    </row>
    <row r="3338" spans="12:74">
      <c r="L3338" s="261"/>
      <c r="M3338" s="261"/>
      <c r="N3338" s="261"/>
      <c r="O3338" s="261"/>
      <c r="P3338" s="261"/>
      <c r="Q3338" s="261"/>
      <c r="BR3338" s="261"/>
      <c r="BS3338" s="261"/>
      <c r="BT3338" s="261"/>
      <c r="BU3338" s="261"/>
      <c r="BV3338" s="261"/>
    </row>
    <row r="3339" spans="12:74">
      <c r="L3339" s="261"/>
      <c r="M3339" s="261"/>
      <c r="N3339" s="261"/>
      <c r="O3339" s="261"/>
      <c r="P3339" s="261"/>
      <c r="Q3339" s="261"/>
      <c r="BR3339" s="261"/>
      <c r="BS3339" s="261"/>
      <c r="BT3339" s="261"/>
      <c r="BU3339" s="261"/>
      <c r="BV3339" s="261"/>
    </row>
    <row r="3340" spans="12:74">
      <c r="L3340" s="261"/>
      <c r="M3340" s="261"/>
      <c r="N3340" s="261"/>
      <c r="O3340" s="261"/>
      <c r="P3340" s="261"/>
      <c r="Q3340" s="261"/>
      <c r="BR3340" s="261"/>
      <c r="BS3340" s="261"/>
      <c r="BT3340" s="261"/>
      <c r="BU3340" s="261"/>
      <c r="BV3340" s="261"/>
    </row>
    <row r="3341" spans="12:74">
      <c r="L3341" s="261"/>
      <c r="M3341" s="261"/>
      <c r="N3341" s="261"/>
      <c r="O3341" s="261"/>
      <c r="P3341" s="261"/>
      <c r="Q3341" s="261"/>
      <c r="BR3341" s="261"/>
      <c r="BS3341" s="261"/>
      <c r="BT3341" s="261"/>
      <c r="BU3341" s="261"/>
      <c r="BV3341" s="261"/>
    </row>
    <row r="3342" spans="12:74">
      <c r="L3342" s="261"/>
      <c r="M3342" s="261"/>
      <c r="N3342" s="261"/>
      <c r="O3342" s="261"/>
      <c r="P3342" s="261"/>
      <c r="Q3342" s="261"/>
      <c r="BR3342" s="261"/>
      <c r="BS3342" s="261"/>
      <c r="BT3342" s="261"/>
      <c r="BU3342" s="261"/>
      <c r="BV3342" s="261"/>
    </row>
    <row r="3343" spans="12:74">
      <c r="L3343" s="261"/>
      <c r="M3343" s="261"/>
      <c r="N3343" s="261"/>
      <c r="O3343" s="261"/>
      <c r="P3343" s="261"/>
      <c r="Q3343" s="261"/>
      <c r="BR3343" s="261"/>
      <c r="BS3343" s="261"/>
      <c r="BT3343" s="261"/>
      <c r="BU3343" s="261"/>
      <c r="BV3343" s="261"/>
    </row>
    <row r="3344" spans="12:74">
      <c r="L3344" s="261"/>
      <c r="M3344" s="261"/>
      <c r="N3344" s="261"/>
      <c r="O3344" s="261"/>
      <c r="P3344" s="261"/>
      <c r="Q3344" s="261"/>
      <c r="BR3344" s="261"/>
      <c r="BS3344" s="261"/>
      <c r="BT3344" s="261"/>
      <c r="BU3344" s="261"/>
      <c r="BV3344" s="261"/>
    </row>
    <row r="3345" spans="12:74">
      <c r="L3345" s="261"/>
      <c r="M3345" s="261"/>
      <c r="N3345" s="261"/>
      <c r="O3345" s="261"/>
      <c r="P3345" s="261"/>
      <c r="Q3345" s="261"/>
      <c r="BR3345" s="261"/>
      <c r="BS3345" s="261"/>
      <c r="BT3345" s="261"/>
      <c r="BU3345" s="261"/>
      <c r="BV3345" s="261"/>
    </row>
    <row r="3346" spans="12:74">
      <c r="L3346" s="261"/>
      <c r="M3346" s="261"/>
      <c r="N3346" s="261"/>
      <c r="O3346" s="261"/>
      <c r="P3346" s="261"/>
      <c r="Q3346" s="261"/>
      <c r="BR3346" s="261"/>
      <c r="BS3346" s="261"/>
      <c r="BT3346" s="261"/>
      <c r="BU3346" s="261"/>
      <c r="BV3346" s="261"/>
    </row>
    <row r="3347" spans="12:74">
      <c r="L3347" s="261"/>
      <c r="M3347" s="261"/>
      <c r="N3347" s="261"/>
      <c r="O3347" s="261"/>
      <c r="P3347" s="261"/>
      <c r="Q3347" s="261"/>
      <c r="BR3347" s="261"/>
      <c r="BS3347" s="261"/>
      <c r="BT3347" s="261"/>
      <c r="BU3347" s="261"/>
      <c r="BV3347" s="261"/>
    </row>
    <row r="3348" spans="12:74">
      <c r="L3348" s="261"/>
      <c r="M3348" s="261"/>
      <c r="N3348" s="261"/>
      <c r="O3348" s="261"/>
      <c r="P3348" s="261"/>
      <c r="Q3348" s="261"/>
      <c r="BR3348" s="261"/>
      <c r="BS3348" s="261"/>
      <c r="BT3348" s="261"/>
      <c r="BU3348" s="261"/>
      <c r="BV3348" s="261"/>
    </row>
    <row r="3349" spans="12:74">
      <c r="L3349" s="261"/>
      <c r="M3349" s="261"/>
      <c r="N3349" s="261"/>
      <c r="O3349" s="261"/>
      <c r="P3349" s="261"/>
      <c r="Q3349" s="261"/>
      <c r="BR3349" s="261"/>
      <c r="BS3349" s="261"/>
      <c r="BT3349" s="261"/>
      <c r="BU3349" s="261"/>
      <c r="BV3349" s="261"/>
    </row>
    <row r="3350" spans="12:74">
      <c r="L3350" s="261"/>
      <c r="M3350" s="261"/>
      <c r="N3350" s="261"/>
      <c r="O3350" s="261"/>
      <c r="P3350" s="261"/>
      <c r="Q3350" s="261"/>
      <c r="BR3350" s="261"/>
      <c r="BS3350" s="261"/>
      <c r="BT3350" s="261"/>
      <c r="BU3350" s="261"/>
      <c r="BV3350" s="261"/>
    </row>
    <row r="3351" spans="12:74">
      <c r="L3351" s="261"/>
      <c r="M3351" s="261"/>
      <c r="N3351" s="261"/>
      <c r="O3351" s="261"/>
      <c r="P3351" s="261"/>
      <c r="Q3351" s="261"/>
      <c r="BR3351" s="261"/>
      <c r="BS3351" s="261"/>
      <c r="BT3351" s="261"/>
      <c r="BU3351" s="261"/>
      <c r="BV3351" s="261"/>
    </row>
    <row r="3352" spans="12:74">
      <c r="L3352" s="261"/>
      <c r="M3352" s="261"/>
      <c r="N3352" s="261"/>
      <c r="O3352" s="261"/>
      <c r="P3352" s="261"/>
      <c r="Q3352" s="261"/>
      <c r="BR3352" s="261"/>
      <c r="BS3352" s="261"/>
      <c r="BT3352" s="261"/>
      <c r="BU3352" s="261"/>
      <c r="BV3352" s="261"/>
    </row>
    <row r="3353" spans="12:74">
      <c r="L3353" s="261"/>
      <c r="M3353" s="261"/>
      <c r="N3353" s="261"/>
      <c r="O3353" s="261"/>
      <c r="P3353" s="261"/>
      <c r="Q3353" s="261"/>
      <c r="BR3353" s="261"/>
      <c r="BS3353" s="261"/>
      <c r="BT3353" s="261"/>
      <c r="BU3353" s="261"/>
      <c r="BV3353" s="261"/>
    </row>
    <row r="3354" spans="12:74">
      <c r="L3354" s="261"/>
      <c r="M3354" s="261"/>
      <c r="N3354" s="261"/>
      <c r="O3354" s="261"/>
      <c r="P3354" s="261"/>
      <c r="Q3354" s="261"/>
      <c r="BR3354" s="261"/>
      <c r="BS3354" s="261"/>
      <c r="BT3354" s="261"/>
      <c r="BU3354" s="261"/>
      <c r="BV3354" s="261"/>
    </row>
    <row r="3355" spans="12:74">
      <c r="L3355" s="261"/>
      <c r="M3355" s="261"/>
      <c r="N3355" s="261"/>
      <c r="O3355" s="261"/>
      <c r="P3355" s="261"/>
      <c r="Q3355" s="261"/>
      <c r="BR3355" s="261"/>
      <c r="BS3355" s="261"/>
      <c r="BT3355" s="261"/>
      <c r="BU3355" s="261"/>
      <c r="BV3355" s="261"/>
    </row>
    <row r="3356" spans="12:74">
      <c r="L3356" s="261"/>
      <c r="M3356" s="261"/>
      <c r="N3356" s="261"/>
      <c r="O3356" s="261"/>
      <c r="P3356" s="261"/>
      <c r="Q3356" s="261"/>
      <c r="BR3356" s="261"/>
      <c r="BS3356" s="261"/>
      <c r="BT3356" s="261"/>
      <c r="BU3356" s="261"/>
      <c r="BV3356" s="261"/>
    </row>
    <row r="3357" spans="12:74">
      <c r="L3357" s="261"/>
      <c r="M3357" s="261"/>
      <c r="N3357" s="261"/>
      <c r="O3357" s="261"/>
      <c r="P3357" s="261"/>
      <c r="Q3357" s="261"/>
      <c r="BR3357" s="261"/>
      <c r="BS3357" s="261"/>
      <c r="BT3357" s="261"/>
      <c r="BU3357" s="261"/>
      <c r="BV3357" s="261"/>
    </row>
    <row r="3358" spans="12:74">
      <c r="L3358" s="261"/>
      <c r="M3358" s="261"/>
      <c r="N3358" s="261"/>
      <c r="O3358" s="261"/>
      <c r="P3358" s="261"/>
      <c r="Q3358" s="261"/>
      <c r="BR3358" s="261"/>
      <c r="BS3358" s="261"/>
      <c r="BT3358" s="261"/>
      <c r="BU3358" s="261"/>
      <c r="BV3358" s="261"/>
    </row>
    <row r="3359" spans="12:74">
      <c r="L3359" s="261"/>
      <c r="M3359" s="261"/>
      <c r="N3359" s="261"/>
      <c r="O3359" s="261"/>
      <c r="P3359" s="261"/>
      <c r="Q3359" s="261"/>
      <c r="BR3359" s="261"/>
      <c r="BS3359" s="261"/>
      <c r="BT3359" s="261"/>
      <c r="BU3359" s="261"/>
      <c r="BV3359" s="261"/>
    </row>
    <row r="3360" spans="12:74">
      <c r="L3360" s="261"/>
      <c r="M3360" s="261"/>
      <c r="N3360" s="261"/>
      <c r="O3360" s="261"/>
      <c r="P3360" s="261"/>
      <c r="Q3360" s="261"/>
      <c r="BR3360" s="261"/>
      <c r="BS3360" s="261"/>
      <c r="BT3360" s="261"/>
      <c r="BU3360" s="261"/>
      <c r="BV3360" s="261"/>
    </row>
    <row r="3361" spans="12:74">
      <c r="L3361" s="261"/>
      <c r="M3361" s="261"/>
      <c r="N3361" s="261"/>
      <c r="O3361" s="261"/>
      <c r="P3361" s="261"/>
      <c r="Q3361" s="261"/>
      <c r="BR3361" s="261"/>
      <c r="BS3361" s="261"/>
      <c r="BT3361" s="261"/>
      <c r="BU3361" s="261"/>
      <c r="BV3361" s="261"/>
    </row>
    <row r="3362" spans="12:74">
      <c r="L3362" s="261"/>
      <c r="M3362" s="261"/>
      <c r="N3362" s="261"/>
      <c r="O3362" s="261"/>
      <c r="P3362" s="261"/>
      <c r="Q3362" s="261"/>
      <c r="BR3362" s="261"/>
      <c r="BS3362" s="261"/>
      <c r="BT3362" s="261"/>
      <c r="BU3362" s="261"/>
      <c r="BV3362" s="261"/>
    </row>
    <row r="3363" spans="12:74">
      <c r="L3363" s="261"/>
      <c r="M3363" s="261"/>
      <c r="N3363" s="261"/>
      <c r="O3363" s="261"/>
      <c r="P3363" s="261"/>
      <c r="Q3363" s="261"/>
      <c r="BR3363" s="261"/>
      <c r="BS3363" s="261"/>
      <c r="BT3363" s="261"/>
      <c r="BU3363" s="261"/>
      <c r="BV3363" s="261"/>
    </row>
    <row r="3364" spans="12:74">
      <c r="L3364" s="261"/>
      <c r="M3364" s="261"/>
      <c r="N3364" s="261"/>
      <c r="O3364" s="261"/>
      <c r="P3364" s="261"/>
      <c r="Q3364" s="261"/>
      <c r="BR3364" s="261"/>
      <c r="BS3364" s="261"/>
      <c r="BT3364" s="261"/>
      <c r="BU3364" s="261"/>
      <c r="BV3364" s="261"/>
    </row>
    <row r="3365" spans="12:74">
      <c r="L3365" s="261"/>
      <c r="M3365" s="261"/>
      <c r="N3365" s="261"/>
      <c r="O3365" s="261"/>
      <c r="P3365" s="261"/>
      <c r="Q3365" s="261"/>
      <c r="BR3365" s="261"/>
      <c r="BS3365" s="261"/>
      <c r="BT3365" s="261"/>
      <c r="BU3365" s="261"/>
      <c r="BV3365" s="261"/>
    </row>
    <row r="3366" spans="12:74">
      <c r="L3366" s="261"/>
      <c r="M3366" s="261"/>
      <c r="N3366" s="261"/>
      <c r="O3366" s="261"/>
      <c r="P3366" s="261"/>
      <c r="Q3366" s="261"/>
      <c r="BR3366" s="261"/>
      <c r="BS3366" s="261"/>
      <c r="BT3366" s="261"/>
      <c r="BU3366" s="261"/>
      <c r="BV3366" s="261"/>
    </row>
    <row r="3367" spans="12:74">
      <c r="L3367" s="261"/>
      <c r="M3367" s="261"/>
      <c r="N3367" s="261"/>
      <c r="O3367" s="261"/>
      <c r="P3367" s="261"/>
      <c r="Q3367" s="261"/>
      <c r="BR3367" s="261"/>
      <c r="BS3367" s="261"/>
      <c r="BT3367" s="261"/>
      <c r="BU3367" s="261"/>
      <c r="BV3367" s="261"/>
    </row>
    <row r="3368" spans="12:74">
      <c r="L3368" s="261"/>
      <c r="M3368" s="261"/>
      <c r="N3368" s="261"/>
      <c r="O3368" s="261"/>
      <c r="P3368" s="261"/>
      <c r="Q3368" s="261"/>
      <c r="BR3368" s="261"/>
      <c r="BS3368" s="261"/>
      <c r="BT3368" s="261"/>
      <c r="BU3368" s="261"/>
      <c r="BV3368" s="261"/>
    </row>
    <row r="3369" spans="12:74">
      <c r="L3369" s="261"/>
      <c r="M3369" s="261"/>
      <c r="N3369" s="261"/>
      <c r="O3369" s="261"/>
      <c r="P3369" s="261"/>
      <c r="Q3369" s="261"/>
      <c r="BR3369" s="261"/>
      <c r="BS3369" s="261"/>
      <c r="BT3369" s="261"/>
      <c r="BU3369" s="261"/>
      <c r="BV3369" s="261"/>
    </row>
    <row r="3370" spans="12:74">
      <c r="L3370" s="261"/>
      <c r="M3370" s="261"/>
      <c r="N3370" s="261"/>
      <c r="O3370" s="261"/>
      <c r="P3370" s="261"/>
      <c r="Q3370" s="261"/>
      <c r="BR3370" s="261"/>
      <c r="BS3370" s="261"/>
      <c r="BT3370" s="261"/>
      <c r="BU3370" s="261"/>
      <c r="BV3370" s="261"/>
    </row>
    <row r="3371" spans="12:74">
      <c r="L3371" s="261"/>
      <c r="M3371" s="261"/>
      <c r="N3371" s="261"/>
      <c r="O3371" s="261"/>
      <c r="P3371" s="261"/>
      <c r="Q3371" s="261"/>
      <c r="BR3371" s="261"/>
      <c r="BS3371" s="261"/>
      <c r="BT3371" s="261"/>
      <c r="BU3371" s="261"/>
      <c r="BV3371" s="261"/>
    </row>
    <row r="3372" spans="12:74">
      <c r="L3372" s="261"/>
      <c r="M3372" s="261"/>
      <c r="N3372" s="261"/>
      <c r="O3372" s="261"/>
      <c r="P3372" s="261"/>
      <c r="Q3372" s="261"/>
      <c r="BR3372" s="261"/>
      <c r="BS3372" s="261"/>
      <c r="BT3372" s="261"/>
      <c r="BU3372" s="261"/>
      <c r="BV3372" s="261"/>
    </row>
    <row r="3373" spans="12:74">
      <c r="L3373" s="261"/>
      <c r="M3373" s="261"/>
      <c r="N3373" s="261"/>
      <c r="O3373" s="261"/>
      <c r="P3373" s="261"/>
      <c r="Q3373" s="261"/>
      <c r="BR3373" s="261"/>
      <c r="BS3373" s="261"/>
      <c r="BT3373" s="261"/>
      <c r="BU3373" s="261"/>
      <c r="BV3373" s="261"/>
    </row>
    <row r="3374" spans="12:74">
      <c r="L3374" s="261"/>
      <c r="M3374" s="261"/>
      <c r="N3374" s="261"/>
      <c r="O3374" s="261"/>
      <c r="P3374" s="261"/>
      <c r="Q3374" s="261"/>
      <c r="BR3374" s="261"/>
      <c r="BS3374" s="261"/>
      <c r="BT3374" s="261"/>
      <c r="BU3374" s="261"/>
      <c r="BV3374" s="261"/>
    </row>
    <row r="3375" spans="12:74">
      <c r="L3375" s="261"/>
      <c r="M3375" s="261"/>
      <c r="N3375" s="261"/>
      <c r="O3375" s="261"/>
      <c r="P3375" s="261"/>
      <c r="Q3375" s="261"/>
      <c r="BR3375" s="261"/>
      <c r="BS3375" s="261"/>
      <c r="BT3375" s="261"/>
      <c r="BU3375" s="261"/>
      <c r="BV3375" s="261"/>
    </row>
    <row r="3376" spans="12:74">
      <c r="L3376" s="261"/>
      <c r="M3376" s="261"/>
      <c r="N3376" s="261"/>
      <c r="O3376" s="261"/>
      <c r="P3376" s="261"/>
      <c r="Q3376" s="261"/>
      <c r="BR3376" s="261"/>
      <c r="BS3376" s="261"/>
      <c r="BT3376" s="261"/>
      <c r="BU3376" s="261"/>
      <c r="BV3376" s="261"/>
    </row>
    <row r="3377" spans="12:74">
      <c r="L3377" s="261"/>
      <c r="M3377" s="261"/>
      <c r="N3377" s="261"/>
      <c r="O3377" s="261"/>
      <c r="P3377" s="261"/>
      <c r="Q3377" s="261"/>
      <c r="BR3377" s="261"/>
      <c r="BS3377" s="261"/>
      <c r="BT3377" s="261"/>
      <c r="BU3377" s="261"/>
      <c r="BV3377" s="261"/>
    </row>
    <row r="3378" spans="12:74">
      <c r="L3378" s="261"/>
      <c r="M3378" s="261"/>
      <c r="N3378" s="261"/>
      <c r="O3378" s="261"/>
      <c r="P3378" s="261"/>
      <c r="Q3378" s="261"/>
      <c r="BR3378" s="261"/>
      <c r="BS3378" s="261"/>
      <c r="BT3378" s="261"/>
      <c r="BU3378" s="261"/>
      <c r="BV3378" s="261"/>
    </row>
    <row r="3379" spans="12:74">
      <c r="L3379" s="261"/>
      <c r="M3379" s="261"/>
      <c r="N3379" s="261"/>
      <c r="O3379" s="261"/>
      <c r="P3379" s="261"/>
      <c r="Q3379" s="261"/>
      <c r="BR3379" s="261"/>
      <c r="BS3379" s="261"/>
      <c r="BT3379" s="261"/>
      <c r="BU3379" s="261"/>
      <c r="BV3379" s="261"/>
    </row>
    <row r="3380" spans="12:74">
      <c r="L3380" s="261"/>
      <c r="M3380" s="261"/>
      <c r="N3380" s="261"/>
      <c r="O3380" s="261"/>
      <c r="P3380" s="261"/>
      <c r="Q3380" s="261"/>
      <c r="BR3380" s="261"/>
      <c r="BS3380" s="261"/>
      <c r="BT3380" s="261"/>
      <c r="BU3380" s="261"/>
      <c r="BV3380" s="261"/>
    </row>
    <row r="3381" spans="12:74">
      <c r="L3381" s="261"/>
      <c r="M3381" s="261"/>
      <c r="N3381" s="261"/>
      <c r="O3381" s="261"/>
      <c r="P3381" s="261"/>
      <c r="Q3381" s="261"/>
      <c r="BR3381" s="261"/>
      <c r="BS3381" s="261"/>
      <c r="BT3381" s="261"/>
      <c r="BU3381" s="261"/>
      <c r="BV3381" s="261"/>
    </row>
    <row r="3382" spans="12:74">
      <c r="L3382" s="261"/>
      <c r="M3382" s="261"/>
      <c r="N3382" s="261"/>
      <c r="O3382" s="261"/>
      <c r="P3382" s="261"/>
      <c r="Q3382" s="261"/>
      <c r="BR3382" s="261"/>
      <c r="BS3382" s="261"/>
      <c r="BT3382" s="261"/>
      <c r="BU3382" s="261"/>
      <c r="BV3382" s="261"/>
    </row>
    <row r="3383" spans="12:74">
      <c r="L3383" s="261"/>
      <c r="M3383" s="261"/>
      <c r="N3383" s="261"/>
      <c r="O3383" s="261"/>
      <c r="P3383" s="261"/>
      <c r="Q3383" s="261"/>
      <c r="BR3383" s="261"/>
      <c r="BS3383" s="261"/>
      <c r="BT3383" s="261"/>
      <c r="BU3383" s="261"/>
      <c r="BV3383" s="261"/>
    </row>
    <row r="3384" spans="12:74">
      <c r="L3384" s="261"/>
      <c r="M3384" s="261"/>
      <c r="N3384" s="261"/>
      <c r="O3384" s="261"/>
      <c r="P3384" s="261"/>
      <c r="Q3384" s="261"/>
      <c r="BR3384" s="261"/>
      <c r="BS3384" s="261"/>
      <c r="BT3384" s="261"/>
      <c r="BU3384" s="261"/>
      <c r="BV3384" s="261"/>
    </row>
    <row r="3385" spans="12:74">
      <c r="L3385" s="261"/>
      <c r="M3385" s="261"/>
      <c r="N3385" s="261"/>
      <c r="O3385" s="261"/>
      <c r="P3385" s="261"/>
      <c r="Q3385" s="261"/>
      <c r="BR3385" s="261"/>
      <c r="BS3385" s="261"/>
      <c r="BT3385" s="261"/>
      <c r="BU3385" s="261"/>
      <c r="BV3385" s="261"/>
    </row>
    <row r="3386" spans="12:74">
      <c r="L3386" s="261"/>
      <c r="M3386" s="261"/>
      <c r="N3386" s="261"/>
      <c r="O3386" s="261"/>
      <c r="P3386" s="261"/>
      <c r="Q3386" s="261"/>
      <c r="BR3386" s="261"/>
      <c r="BS3386" s="261"/>
      <c r="BT3386" s="261"/>
      <c r="BU3386" s="261"/>
      <c r="BV3386" s="261"/>
    </row>
    <row r="3387" spans="12:74">
      <c r="L3387" s="261"/>
      <c r="M3387" s="261"/>
      <c r="N3387" s="261"/>
      <c r="O3387" s="261"/>
      <c r="P3387" s="261"/>
      <c r="Q3387" s="261"/>
      <c r="BR3387" s="261"/>
      <c r="BS3387" s="261"/>
      <c r="BT3387" s="261"/>
      <c r="BU3387" s="261"/>
      <c r="BV3387" s="261"/>
    </row>
    <row r="3388" spans="12:74">
      <c r="L3388" s="261"/>
      <c r="M3388" s="261"/>
      <c r="N3388" s="261"/>
      <c r="O3388" s="261"/>
      <c r="P3388" s="261"/>
      <c r="Q3388" s="261"/>
      <c r="BR3388" s="261"/>
      <c r="BS3388" s="261"/>
      <c r="BT3388" s="261"/>
      <c r="BU3388" s="261"/>
      <c r="BV3388" s="261"/>
    </row>
    <row r="3389" spans="12:74">
      <c r="L3389" s="261"/>
      <c r="M3389" s="261"/>
      <c r="N3389" s="261"/>
      <c r="O3389" s="261"/>
      <c r="P3389" s="261"/>
      <c r="Q3389" s="261"/>
      <c r="BR3389" s="261"/>
      <c r="BS3389" s="261"/>
      <c r="BT3389" s="261"/>
      <c r="BU3389" s="261"/>
      <c r="BV3389" s="261"/>
    </row>
    <row r="3390" spans="12:74">
      <c r="L3390" s="261"/>
      <c r="M3390" s="261"/>
      <c r="N3390" s="261"/>
      <c r="O3390" s="261"/>
      <c r="P3390" s="261"/>
      <c r="Q3390" s="261"/>
      <c r="BR3390" s="261"/>
      <c r="BS3390" s="261"/>
      <c r="BT3390" s="261"/>
      <c r="BU3390" s="261"/>
      <c r="BV3390" s="261"/>
    </row>
    <row r="3391" spans="12:74">
      <c r="L3391" s="261"/>
      <c r="M3391" s="261"/>
      <c r="N3391" s="261"/>
      <c r="O3391" s="261"/>
      <c r="P3391" s="261"/>
      <c r="Q3391" s="261"/>
      <c r="BR3391" s="261"/>
      <c r="BS3391" s="261"/>
      <c r="BT3391" s="261"/>
      <c r="BU3391" s="261"/>
      <c r="BV3391" s="261"/>
    </row>
    <row r="3392" spans="12:74">
      <c r="L3392" s="261"/>
      <c r="M3392" s="261"/>
      <c r="N3392" s="261"/>
      <c r="O3392" s="261"/>
      <c r="P3392" s="261"/>
      <c r="Q3392" s="261"/>
      <c r="BR3392" s="261"/>
      <c r="BS3392" s="261"/>
      <c r="BT3392" s="261"/>
      <c r="BU3392" s="261"/>
      <c r="BV3392" s="261"/>
    </row>
    <row r="3393" spans="12:74">
      <c r="L3393" s="261"/>
      <c r="M3393" s="261"/>
      <c r="N3393" s="261"/>
      <c r="O3393" s="261"/>
      <c r="P3393" s="261"/>
      <c r="Q3393" s="261"/>
      <c r="BR3393" s="261"/>
      <c r="BS3393" s="261"/>
      <c r="BT3393" s="261"/>
      <c r="BU3393" s="261"/>
      <c r="BV3393" s="261"/>
    </row>
    <row r="3394" spans="12:74">
      <c r="L3394" s="261"/>
      <c r="M3394" s="261"/>
      <c r="N3394" s="261"/>
      <c r="O3394" s="261"/>
      <c r="P3394" s="261"/>
      <c r="Q3394" s="261"/>
      <c r="BR3394" s="261"/>
      <c r="BS3394" s="261"/>
      <c r="BT3394" s="261"/>
      <c r="BU3394" s="261"/>
      <c r="BV3394" s="261"/>
    </row>
    <row r="3395" spans="12:74">
      <c r="L3395" s="261"/>
      <c r="M3395" s="261"/>
      <c r="N3395" s="261"/>
      <c r="O3395" s="261"/>
      <c r="P3395" s="261"/>
      <c r="Q3395" s="261"/>
      <c r="BR3395" s="261"/>
      <c r="BS3395" s="261"/>
      <c r="BT3395" s="261"/>
      <c r="BU3395" s="261"/>
      <c r="BV3395" s="261"/>
    </row>
    <row r="3396" spans="12:74">
      <c r="L3396" s="261"/>
      <c r="M3396" s="261"/>
      <c r="N3396" s="261"/>
      <c r="O3396" s="261"/>
      <c r="P3396" s="261"/>
      <c r="Q3396" s="261"/>
      <c r="BR3396" s="261"/>
      <c r="BS3396" s="261"/>
      <c r="BT3396" s="261"/>
      <c r="BU3396" s="261"/>
      <c r="BV3396" s="261"/>
    </row>
    <row r="3397" spans="12:74">
      <c r="L3397" s="261"/>
      <c r="M3397" s="261"/>
      <c r="N3397" s="261"/>
      <c r="O3397" s="261"/>
      <c r="P3397" s="261"/>
      <c r="Q3397" s="261"/>
      <c r="BR3397" s="261"/>
      <c r="BS3397" s="261"/>
      <c r="BT3397" s="261"/>
      <c r="BU3397" s="261"/>
      <c r="BV3397" s="261"/>
    </row>
    <row r="3398" spans="12:74">
      <c r="L3398" s="261"/>
      <c r="M3398" s="261"/>
      <c r="N3398" s="261"/>
      <c r="O3398" s="261"/>
      <c r="P3398" s="261"/>
      <c r="Q3398" s="261"/>
      <c r="BR3398" s="261"/>
      <c r="BS3398" s="261"/>
      <c r="BT3398" s="261"/>
      <c r="BU3398" s="261"/>
      <c r="BV3398" s="261"/>
    </row>
    <row r="3399" spans="12:74">
      <c r="L3399" s="261"/>
      <c r="M3399" s="261"/>
      <c r="N3399" s="261"/>
      <c r="O3399" s="261"/>
      <c r="P3399" s="261"/>
      <c r="Q3399" s="261"/>
      <c r="BR3399" s="261"/>
      <c r="BS3399" s="261"/>
      <c r="BT3399" s="261"/>
      <c r="BU3399" s="261"/>
      <c r="BV3399" s="261"/>
    </row>
    <row r="3400" spans="12:74">
      <c r="L3400" s="261"/>
      <c r="M3400" s="261"/>
      <c r="N3400" s="261"/>
      <c r="O3400" s="261"/>
      <c r="P3400" s="261"/>
      <c r="Q3400" s="261"/>
      <c r="BR3400" s="261"/>
      <c r="BS3400" s="261"/>
      <c r="BT3400" s="261"/>
      <c r="BU3400" s="261"/>
      <c r="BV3400" s="261"/>
    </row>
    <row r="3401" spans="12:74">
      <c r="L3401" s="261"/>
      <c r="M3401" s="261"/>
      <c r="N3401" s="261"/>
      <c r="O3401" s="261"/>
      <c r="P3401" s="261"/>
      <c r="Q3401" s="261"/>
      <c r="BR3401" s="261"/>
      <c r="BS3401" s="261"/>
      <c r="BT3401" s="261"/>
      <c r="BU3401" s="261"/>
      <c r="BV3401" s="261"/>
    </row>
    <row r="3402" spans="12:74">
      <c r="L3402" s="261"/>
      <c r="M3402" s="261"/>
      <c r="N3402" s="261"/>
      <c r="O3402" s="261"/>
      <c r="P3402" s="261"/>
      <c r="Q3402" s="261"/>
      <c r="BR3402" s="261"/>
      <c r="BS3402" s="261"/>
      <c r="BT3402" s="261"/>
      <c r="BU3402" s="261"/>
      <c r="BV3402" s="261"/>
    </row>
    <row r="3403" spans="12:74">
      <c r="L3403" s="261"/>
      <c r="M3403" s="261"/>
      <c r="N3403" s="261"/>
      <c r="O3403" s="261"/>
      <c r="P3403" s="261"/>
      <c r="Q3403" s="261"/>
      <c r="BR3403" s="261"/>
      <c r="BS3403" s="261"/>
      <c r="BT3403" s="261"/>
      <c r="BU3403" s="261"/>
      <c r="BV3403" s="261"/>
    </row>
    <row r="3404" spans="12:74">
      <c r="L3404" s="261"/>
      <c r="M3404" s="261"/>
      <c r="N3404" s="261"/>
      <c r="O3404" s="261"/>
      <c r="P3404" s="261"/>
      <c r="Q3404" s="261"/>
      <c r="BR3404" s="261"/>
      <c r="BS3404" s="261"/>
      <c r="BT3404" s="261"/>
      <c r="BU3404" s="261"/>
      <c r="BV3404" s="261"/>
    </row>
    <row r="3405" spans="12:74">
      <c r="L3405" s="261"/>
      <c r="M3405" s="261"/>
      <c r="N3405" s="261"/>
      <c r="O3405" s="261"/>
      <c r="P3405" s="261"/>
      <c r="Q3405" s="261"/>
      <c r="BR3405" s="261"/>
      <c r="BS3405" s="261"/>
      <c r="BT3405" s="261"/>
      <c r="BU3405" s="261"/>
      <c r="BV3405" s="261"/>
    </row>
    <row r="3406" spans="12:74">
      <c r="L3406" s="261"/>
      <c r="M3406" s="261"/>
      <c r="N3406" s="261"/>
      <c r="O3406" s="261"/>
      <c r="P3406" s="261"/>
      <c r="Q3406" s="261"/>
      <c r="BR3406" s="261"/>
      <c r="BS3406" s="261"/>
      <c r="BT3406" s="261"/>
      <c r="BU3406" s="261"/>
      <c r="BV3406" s="261"/>
    </row>
    <row r="3407" spans="12:74">
      <c r="L3407" s="261"/>
      <c r="M3407" s="261"/>
      <c r="N3407" s="261"/>
      <c r="O3407" s="261"/>
      <c r="P3407" s="261"/>
      <c r="Q3407" s="261"/>
      <c r="BR3407" s="261"/>
      <c r="BS3407" s="261"/>
      <c r="BT3407" s="261"/>
      <c r="BU3407" s="261"/>
      <c r="BV3407" s="261"/>
    </row>
    <row r="3408" spans="12:74">
      <c r="L3408" s="261"/>
      <c r="M3408" s="261"/>
      <c r="N3408" s="261"/>
      <c r="O3408" s="261"/>
      <c r="P3408" s="261"/>
      <c r="Q3408" s="261"/>
      <c r="BR3408" s="261"/>
      <c r="BS3408" s="261"/>
      <c r="BT3408" s="261"/>
      <c r="BU3408" s="261"/>
      <c r="BV3408" s="261"/>
    </row>
    <row r="3409" spans="12:74">
      <c r="L3409" s="261"/>
      <c r="M3409" s="261"/>
      <c r="N3409" s="261"/>
      <c r="O3409" s="261"/>
      <c r="P3409" s="261"/>
      <c r="Q3409" s="261"/>
      <c r="BR3409" s="261"/>
      <c r="BS3409" s="261"/>
      <c r="BT3409" s="261"/>
      <c r="BU3409" s="261"/>
      <c r="BV3409" s="261"/>
    </row>
    <row r="3410" spans="12:74">
      <c r="L3410" s="261"/>
      <c r="M3410" s="261"/>
      <c r="N3410" s="261"/>
      <c r="O3410" s="261"/>
      <c r="P3410" s="261"/>
      <c r="Q3410" s="261"/>
      <c r="BR3410" s="261"/>
      <c r="BS3410" s="261"/>
      <c r="BT3410" s="261"/>
      <c r="BU3410" s="261"/>
      <c r="BV3410" s="261"/>
    </row>
    <row r="3411" spans="12:74">
      <c r="L3411" s="261"/>
      <c r="M3411" s="261"/>
      <c r="N3411" s="261"/>
      <c r="O3411" s="261"/>
      <c r="P3411" s="261"/>
      <c r="Q3411" s="261"/>
      <c r="BR3411" s="261"/>
      <c r="BS3411" s="261"/>
      <c r="BT3411" s="261"/>
      <c r="BU3411" s="261"/>
      <c r="BV3411" s="261"/>
    </row>
    <row r="3412" spans="12:74">
      <c r="L3412" s="261"/>
      <c r="M3412" s="261"/>
      <c r="N3412" s="261"/>
      <c r="O3412" s="261"/>
      <c r="P3412" s="261"/>
      <c r="Q3412" s="261"/>
      <c r="BR3412" s="261"/>
      <c r="BS3412" s="261"/>
      <c r="BT3412" s="261"/>
      <c r="BU3412" s="261"/>
      <c r="BV3412" s="261"/>
    </row>
    <row r="3413" spans="12:74">
      <c r="L3413" s="261"/>
      <c r="M3413" s="261"/>
      <c r="N3413" s="261"/>
      <c r="O3413" s="261"/>
      <c r="P3413" s="261"/>
      <c r="Q3413" s="261"/>
      <c r="BR3413" s="261"/>
      <c r="BS3413" s="261"/>
      <c r="BT3413" s="261"/>
      <c r="BU3413" s="261"/>
      <c r="BV3413" s="261"/>
    </row>
    <row r="3414" spans="12:74">
      <c r="L3414" s="261"/>
      <c r="M3414" s="261"/>
      <c r="N3414" s="261"/>
      <c r="O3414" s="261"/>
      <c r="P3414" s="261"/>
      <c r="Q3414" s="261"/>
      <c r="BR3414" s="261"/>
      <c r="BS3414" s="261"/>
      <c r="BT3414" s="261"/>
      <c r="BU3414" s="261"/>
      <c r="BV3414" s="261"/>
    </row>
    <row r="3415" spans="12:74">
      <c r="L3415" s="261"/>
      <c r="M3415" s="261"/>
      <c r="N3415" s="261"/>
      <c r="O3415" s="261"/>
      <c r="P3415" s="261"/>
      <c r="Q3415" s="261"/>
      <c r="BR3415" s="261"/>
      <c r="BS3415" s="261"/>
      <c r="BT3415" s="261"/>
      <c r="BU3415" s="261"/>
      <c r="BV3415" s="261"/>
    </row>
    <row r="3416" spans="12:74">
      <c r="L3416" s="261"/>
      <c r="M3416" s="261"/>
      <c r="N3416" s="261"/>
      <c r="O3416" s="261"/>
      <c r="P3416" s="261"/>
      <c r="Q3416" s="261"/>
      <c r="BR3416" s="261"/>
      <c r="BS3416" s="261"/>
      <c r="BT3416" s="261"/>
      <c r="BU3416" s="261"/>
      <c r="BV3416" s="261"/>
    </row>
    <row r="3417" spans="12:74">
      <c r="L3417" s="261"/>
      <c r="M3417" s="261"/>
      <c r="N3417" s="261"/>
      <c r="O3417" s="261"/>
      <c r="P3417" s="261"/>
      <c r="Q3417" s="261"/>
      <c r="BR3417" s="261"/>
      <c r="BS3417" s="261"/>
      <c r="BT3417" s="261"/>
      <c r="BU3417" s="261"/>
      <c r="BV3417" s="261"/>
    </row>
    <row r="3418" spans="12:74">
      <c r="L3418" s="261"/>
      <c r="M3418" s="261"/>
      <c r="N3418" s="261"/>
      <c r="O3418" s="261"/>
      <c r="P3418" s="261"/>
      <c r="Q3418" s="261"/>
      <c r="BR3418" s="261"/>
      <c r="BS3418" s="261"/>
      <c r="BT3418" s="261"/>
      <c r="BU3418" s="261"/>
      <c r="BV3418" s="261"/>
    </row>
    <row r="3419" spans="12:74">
      <c r="L3419" s="261"/>
      <c r="M3419" s="261"/>
      <c r="N3419" s="261"/>
      <c r="O3419" s="261"/>
      <c r="P3419" s="261"/>
      <c r="Q3419" s="261"/>
      <c r="BR3419" s="261"/>
      <c r="BS3419" s="261"/>
      <c r="BT3419" s="261"/>
      <c r="BU3419" s="261"/>
      <c r="BV3419" s="261"/>
    </row>
    <row r="3420" spans="12:74">
      <c r="L3420" s="261"/>
      <c r="M3420" s="261"/>
      <c r="N3420" s="261"/>
      <c r="O3420" s="261"/>
      <c r="P3420" s="261"/>
      <c r="Q3420" s="261"/>
      <c r="BR3420" s="261"/>
      <c r="BS3420" s="261"/>
      <c r="BT3420" s="261"/>
      <c r="BU3420" s="261"/>
      <c r="BV3420" s="261"/>
    </row>
    <row r="3421" spans="12:74">
      <c r="L3421" s="261"/>
      <c r="M3421" s="261"/>
      <c r="N3421" s="261"/>
      <c r="O3421" s="261"/>
      <c r="P3421" s="261"/>
      <c r="Q3421" s="261"/>
      <c r="BR3421" s="261"/>
      <c r="BS3421" s="261"/>
      <c r="BT3421" s="261"/>
      <c r="BU3421" s="261"/>
      <c r="BV3421" s="261"/>
    </row>
    <row r="3422" spans="12:74">
      <c r="L3422" s="261"/>
      <c r="M3422" s="261"/>
      <c r="N3422" s="261"/>
      <c r="O3422" s="261"/>
      <c r="P3422" s="261"/>
      <c r="Q3422" s="261"/>
      <c r="BR3422" s="261"/>
      <c r="BS3422" s="261"/>
      <c r="BT3422" s="261"/>
      <c r="BU3422" s="261"/>
      <c r="BV3422" s="261"/>
    </row>
    <row r="3423" spans="12:74">
      <c r="L3423" s="261"/>
      <c r="M3423" s="261"/>
      <c r="N3423" s="261"/>
      <c r="O3423" s="261"/>
      <c r="P3423" s="261"/>
      <c r="Q3423" s="261"/>
      <c r="BR3423" s="261"/>
      <c r="BS3423" s="261"/>
      <c r="BT3423" s="261"/>
      <c r="BU3423" s="261"/>
      <c r="BV3423" s="261"/>
    </row>
    <row r="3424" spans="12:74">
      <c r="L3424" s="261"/>
      <c r="M3424" s="261"/>
      <c r="N3424" s="261"/>
      <c r="O3424" s="261"/>
      <c r="P3424" s="261"/>
      <c r="Q3424" s="261"/>
      <c r="BR3424" s="261"/>
      <c r="BS3424" s="261"/>
      <c r="BT3424" s="261"/>
      <c r="BU3424" s="261"/>
      <c r="BV3424" s="261"/>
    </row>
    <row r="3425" spans="12:74">
      <c r="L3425" s="261"/>
      <c r="M3425" s="261"/>
      <c r="N3425" s="261"/>
      <c r="O3425" s="261"/>
      <c r="P3425" s="261"/>
      <c r="Q3425" s="261"/>
      <c r="BR3425" s="261"/>
      <c r="BS3425" s="261"/>
      <c r="BT3425" s="261"/>
      <c r="BU3425" s="261"/>
      <c r="BV3425" s="261"/>
    </row>
    <row r="3426" spans="12:74">
      <c r="L3426" s="261"/>
      <c r="M3426" s="261"/>
      <c r="N3426" s="261"/>
      <c r="O3426" s="261"/>
      <c r="P3426" s="261"/>
      <c r="Q3426" s="261"/>
      <c r="BR3426" s="261"/>
      <c r="BS3426" s="261"/>
      <c r="BT3426" s="261"/>
      <c r="BU3426" s="261"/>
      <c r="BV3426" s="261"/>
    </row>
    <row r="3427" spans="12:74">
      <c r="L3427" s="261"/>
      <c r="M3427" s="261"/>
      <c r="N3427" s="261"/>
      <c r="O3427" s="261"/>
      <c r="P3427" s="261"/>
      <c r="Q3427" s="261"/>
      <c r="BR3427" s="261"/>
      <c r="BS3427" s="261"/>
      <c r="BT3427" s="261"/>
      <c r="BU3427" s="261"/>
      <c r="BV3427" s="261"/>
    </row>
    <row r="3428" spans="12:74">
      <c r="L3428" s="261"/>
      <c r="M3428" s="261"/>
      <c r="N3428" s="261"/>
      <c r="O3428" s="261"/>
      <c r="P3428" s="261"/>
      <c r="Q3428" s="261"/>
      <c r="BR3428" s="261"/>
      <c r="BS3428" s="261"/>
      <c r="BT3428" s="261"/>
      <c r="BU3428" s="261"/>
      <c r="BV3428" s="261"/>
    </row>
    <row r="3429" spans="12:74">
      <c r="L3429" s="261"/>
      <c r="M3429" s="261"/>
      <c r="N3429" s="261"/>
      <c r="O3429" s="261"/>
      <c r="P3429" s="261"/>
      <c r="Q3429" s="261"/>
      <c r="BR3429" s="261"/>
      <c r="BS3429" s="261"/>
      <c r="BT3429" s="261"/>
      <c r="BU3429" s="261"/>
      <c r="BV3429" s="261"/>
    </row>
    <row r="3430" spans="12:74">
      <c r="L3430" s="261"/>
      <c r="M3430" s="261"/>
      <c r="N3430" s="261"/>
      <c r="O3430" s="261"/>
      <c r="P3430" s="261"/>
      <c r="Q3430" s="261"/>
      <c r="BR3430" s="261"/>
      <c r="BS3430" s="261"/>
      <c r="BT3430" s="261"/>
      <c r="BU3430" s="261"/>
      <c r="BV3430" s="261"/>
    </row>
    <row r="3431" spans="12:74">
      <c r="L3431" s="261"/>
      <c r="M3431" s="261"/>
      <c r="N3431" s="261"/>
      <c r="O3431" s="261"/>
      <c r="P3431" s="261"/>
      <c r="Q3431" s="261"/>
      <c r="BR3431" s="261"/>
      <c r="BS3431" s="261"/>
      <c r="BT3431" s="261"/>
      <c r="BU3431" s="261"/>
      <c r="BV3431" s="261"/>
    </row>
    <row r="3432" spans="12:74">
      <c r="L3432" s="261"/>
      <c r="M3432" s="261"/>
      <c r="N3432" s="261"/>
      <c r="O3432" s="261"/>
      <c r="P3432" s="261"/>
      <c r="Q3432" s="261"/>
      <c r="BR3432" s="261"/>
      <c r="BS3432" s="261"/>
      <c r="BT3432" s="261"/>
      <c r="BU3432" s="261"/>
      <c r="BV3432" s="261"/>
    </row>
    <row r="3433" spans="12:74">
      <c r="L3433" s="261"/>
      <c r="M3433" s="261"/>
      <c r="N3433" s="261"/>
      <c r="O3433" s="261"/>
      <c r="P3433" s="261"/>
      <c r="Q3433" s="261"/>
      <c r="BR3433" s="261"/>
      <c r="BS3433" s="261"/>
      <c r="BT3433" s="261"/>
      <c r="BU3433" s="261"/>
      <c r="BV3433" s="261"/>
    </row>
    <row r="3434" spans="12:74">
      <c r="L3434" s="261"/>
      <c r="M3434" s="261"/>
      <c r="N3434" s="261"/>
      <c r="O3434" s="261"/>
      <c r="P3434" s="261"/>
      <c r="Q3434" s="261"/>
      <c r="BR3434" s="261"/>
      <c r="BS3434" s="261"/>
      <c r="BT3434" s="261"/>
      <c r="BU3434" s="261"/>
      <c r="BV3434" s="261"/>
    </row>
    <row r="3435" spans="12:74">
      <c r="L3435" s="261"/>
      <c r="M3435" s="261"/>
      <c r="N3435" s="261"/>
      <c r="O3435" s="261"/>
      <c r="P3435" s="261"/>
      <c r="Q3435" s="261"/>
      <c r="BR3435" s="261"/>
      <c r="BS3435" s="261"/>
      <c r="BT3435" s="261"/>
      <c r="BU3435" s="261"/>
      <c r="BV3435" s="261"/>
    </row>
    <row r="3436" spans="12:74">
      <c r="L3436" s="261"/>
      <c r="M3436" s="261"/>
      <c r="N3436" s="261"/>
      <c r="O3436" s="261"/>
      <c r="P3436" s="261"/>
      <c r="Q3436" s="261"/>
      <c r="BR3436" s="261"/>
      <c r="BS3436" s="261"/>
      <c r="BT3436" s="261"/>
      <c r="BU3436" s="261"/>
      <c r="BV3436" s="261"/>
    </row>
    <row r="3437" spans="12:74">
      <c r="L3437" s="261"/>
      <c r="M3437" s="261"/>
      <c r="N3437" s="261"/>
      <c r="O3437" s="261"/>
      <c r="P3437" s="261"/>
      <c r="Q3437" s="261"/>
      <c r="BR3437" s="261"/>
      <c r="BS3437" s="261"/>
      <c r="BT3437" s="261"/>
      <c r="BU3437" s="261"/>
      <c r="BV3437" s="261"/>
    </row>
    <row r="3438" spans="12:74">
      <c r="L3438" s="261"/>
      <c r="M3438" s="261"/>
      <c r="N3438" s="261"/>
      <c r="O3438" s="261"/>
      <c r="P3438" s="261"/>
      <c r="Q3438" s="261"/>
      <c r="BR3438" s="261"/>
      <c r="BS3438" s="261"/>
      <c r="BT3438" s="261"/>
      <c r="BU3438" s="261"/>
      <c r="BV3438" s="261"/>
    </row>
    <row r="3439" spans="12:74">
      <c r="L3439" s="261"/>
      <c r="M3439" s="261"/>
      <c r="N3439" s="261"/>
      <c r="O3439" s="261"/>
      <c r="P3439" s="261"/>
      <c r="Q3439" s="261"/>
      <c r="BR3439" s="261"/>
      <c r="BS3439" s="261"/>
      <c r="BT3439" s="261"/>
      <c r="BU3439" s="261"/>
      <c r="BV3439" s="261"/>
    </row>
    <row r="3440" spans="12:74">
      <c r="L3440" s="261"/>
      <c r="M3440" s="261"/>
      <c r="N3440" s="261"/>
      <c r="O3440" s="261"/>
      <c r="P3440" s="261"/>
      <c r="Q3440" s="261"/>
      <c r="BR3440" s="261"/>
      <c r="BS3440" s="261"/>
      <c r="BT3440" s="261"/>
      <c r="BU3440" s="261"/>
      <c r="BV3440" s="261"/>
    </row>
    <row r="3441" spans="12:74">
      <c r="L3441" s="261"/>
      <c r="M3441" s="261"/>
      <c r="N3441" s="261"/>
      <c r="O3441" s="261"/>
      <c r="P3441" s="261"/>
      <c r="Q3441" s="261"/>
      <c r="BR3441" s="261"/>
      <c r="BS3441" s="261"/>
      <c r="BT3441" s="261"/>
      <c r="BU3441" s="261"/>
      <c r="BV3441" s="261"/>
    </row>
    <row r="3442" spans="12:74">
      <c r="L3442" s="261"/>
      <c r="M3442" s="261"/>
      <c r="N3442" s="261"/>
      <c r="O3442" s="261"/>
      <c r="P3442" s="261"/>
      <c r="Q3442" s="261"/>
      <c r="BR3442" s="261"/>
      <c r="BS3442" s="261"/>
      <c r="BT3442" s="261"/>
      <c r="BU3442" s="261"/>
      <c r="BV3442" s="261"/>
    </row>
    <row r="3443" spans="12:74">
      <c r="L3443" s="261"/>
      <c r="M3443" s="261"/>
      <c r="N3443" s="261"/>
      <c r="O3443" s="261"/>
      <c r="P3443" s="261"/>
      <c r="Q3443" s="261"/>
      <c r="BR3443" s="261"/>
      <c r="BS3443" s="261"/>
      <c r="BT3443" s="261"/>
      <c r="BU3443" s="261"/>
      <c r="BV3443" s="261"/>
    </row>
    <row r="3444" spans="12:74">
      <c r="L3444" s="261"/>
      <c r="M3444" s="261"/>
      <c r="N3444" s="261"/>
      <c r="O3444" s="261"/>
      <c r="P3444" s="261"/>
      <c r="Q3444" s="261"/>
      <c r="BR3444" s="261"/>
      <c r="BS3444" s="261"/>
      <c r="BT3444" s="261"/>
      <c r="BU3444" s="261"/>
      <c r="BV3444" s="261"/>
    </row>
    <row r="3445" spans="12:74">
      <c r="L3445" s="261"/>
      <c r="M3445" s="261"/>
      <c r="N3445" s="261"/>
      <c r="O3445" s="261"/>
      <c r="P3445" s="261"/>
      <c r="Q3445" s="261"/>
      <c r="BR3445" s="261"/>
      <c r="BS3445" s="261"/>
      <c r="BT3445" s="261"/>
      <c r="BU3445" s="261"/>
      <c r="BV3445" s="261"/>
    </row>
    <row r="3446" spans="12:74">
      <c r="L3446" s="261"/>
      <c r="M3446" s="261"/>
      <c r="N3446" s="261"/>
      <c r="O3446" s="261"/>
      <c r="P3446" s="261"/>
      <c r="Q3446" s="261"/>
      <c r="BR3446" s="261"/>
      <c r="BS3446" s="261"/>
      <c r="BT3446" s="261"/>
      <c r="BU3446" s="261"/>
      <c r="BV3446" s="261"/>
    </row>
    <row r="3447" spans="12:74">
      <c r="L3447" s="261"/>
      <c r="M3447" s="261"/>
      <c r="N3447" s="261"/>
      <c r="O3447" s="261"/>
      <c r="P3447" s="261"/>
      <c r="Q3447" s="261"/>
      <c r="BR3447" s="261"/>
      <c r="BS3447" s="261"/>
      <c r="BT3447" s="261"/>
      <c r="BU3447" s="261"/>
      <c r="BV3447" s="261"/>
    </row>
    <row r="3448" spans="12:74">
      <c r="L3448" s="261"/>
      <c r="M3448" s="261"/>
      <c r="N3448" s="261"/>
      <c r="O3448" s="261"/>
      <c r="P3448" s="261"/>
      <c r="Q3448" s="261"/>
      <c r="BR3448" s="261"/>
      <c r="BS3448" s="261"/>
      <c r="BT3448" s="261"/>
      <c r="BU3448" s="261"/>
      <c r="BV3448" s="261"/>
    </row>
    <row r="3449" spans="12:74">
      <c r="L3449" s="261"/>
      <c r="M3449" s="261"/>
      <c r="N3449" s="261"/>
      <c r="O3449" s="261"/>
      <c r="P3449" s="261"/>
      <c r="Q3449" s="261"/>
      <c r="BR3449" s="261"/>
      <c r="BS3449" s="261"/>
      <c r="BT3449" s="261"/>
      <c r="BU3449" s="261"/>
      <c r="BV3449" s="261"/>
    </row>
    <row r="3450" spans="12:74">
      <c r="L3450" s="261"/>
      <c r="M3450" s="261"/>
      <c r="N3450" s="261"/>
      <c r="O3450" s="261"/>
      <c r="P3450" s="261"/>
      <c r="Q3450" s="261"/>
      <c r="BR3450" s="261"/>
      <c r="BS3450" s="261"/>
      <c r="BT3450" s="261"/>
      <c r="BU3450" s="261"/>
      <c r="BV3450" s="261"/>
    </row>
    <row r="3451" spans="12:74">
      <c r="L3451" s="261"/>
      <c r="M3451" s="261"/>
      <c r="N3451" s="261"/>
      <c r="O3451" s="261"/>
      <c r="P3451" s="261"/>
      <c r="Q3451" s="261"/>
      <c r="BR3451" s="261"/>
      <c r="BS3451" s="261"/>
      <c r="BT3451" s="261"/>
      <c r="BU3451" s="261"/>
      <c r="BV3451" s="261"/>
    </row>
    <row r="3452" spans="12:74">
      <c r="L3452" s="261"/>
      <c r="M3452" s="261"/>
      <c r="N3452" s="261"/>
      <c r="O3452" s="261"/>
      <c r="P3452" s="261"/>
      <c r="Q3452" s="261"/>
      <c r="BR3452" s="261"/>
      <c r="BS3452" s="261"/>
      <c r="BT3452" s="261"/>
      <c r="BU3452" s="261"/>
      <c r="BV3452" s="261"/>
    </row>
    <row r="3453" spans="12:74">
      <c r="L3453" s="261"/>
      <c r="M3453" s="261"/>
      <c r="N3453" s="261"/>
      <c r="O3453" s="261"/>
      <c r="P3453" s="261"/>
      <c r="Q3453" s="261"/>
      <c r="BR3453" s="261"/>
      <c r="BS3453" s="261"/>
      <c r="BT3453" s="261"/>
      <c r="BU3453" s="261"/>
      <c r="BV3453" s="261"/>
    </row>
    <row r="3454" spans="12:74">
      <c r="L3454" s="261"/>
      <c r="M3454" s="261"/>
      <c r="N3454" s="261"/>
      <c r="O3454" s="261"/>
      <c r="P3454" s="261"/>
      <c r="Q3454" s="261"/>
      <c r="BR3454" s="261"/>
      <c r="BS3454" s="261"/>
      <c r="BT3454" s="261"/>
      <c r="BU3454" s="261"/>
      <c r="BV3454" s="261"/>
    </row>
    <row r="3455" spans="12:74">
      <c r="L3455" s="261"/>
      <c r="M3455" s="261"/>
      <c r="N3455" s="261"/>
      <c r="O3455" s="261"/>
      <c r="P3455" s="261"/>
      <c r="Q3455" s="261"/>
      <c r="BR3455" s="261"/>
      <c r="BS3455" s="261"/>
      <c r="BT3455" s="261"/>
      <c r="BU3455" s="261"/>
      <c r="BV3455" s="261"/>
    </row>
    <row r="3456" spans="12:74">
      <c r="L3456" s="261"/>
      <c r="M3456" s="261"/>
      <c r="N3456" s="261"/>
      <c r="O3456" s="261"/>
      <c r="P3456" s="261"/>
      <c r="Q3456" s="261"/>
      <c r="BR3456" s="261"/>
      <c r="BS3456" s="261"/>
      <c r="BT3456" s="261"/>
      <c r="BU3456" s="261"/>
      <c r="BV3456" s="261"/>
    </row>
    <row r="3457" spans="12:74">
      <c r="L3457" s="261"/>
      <c r="M3457" s="261"/>
      <c r="N3457" s="261"/>
      <c r="O3457" s="261"/>
      <c r="P3457" s="261"/>
      <c r="Q3457" s="261"/>
      <c r="BR3457" s="261"/>
      <c r="BS3457" s="261"/>
      <c r="BT3457" s="261"/>
      <c r="BU3457" s="261"/>
      <c r="BV3457" s="261"/>
    </row>
    <row r="3458" spans="12:74">
      <c r="L3458" s="261"/>
      <c r="M3458" s="261"/>
      <c r="N3458" s="261"/>
      <c r="O3458" s="261"/>
      <c r="P3458" s="261"/>
      <c r="Q3458" s="261"/>
      <c r="BR3458" s="261"/>
      <c r="BS3458" s="261"/>
      <c r="BT3458" s="261"/>
      <c r="BU3458" s="261"/>
      <c r="BV3458" s="261"/>
    </row>
    <row r="3459" spans="12:74">
      <c r="L3459" s="261"/>
      <c r="M3459" s="261"/>
      <c r="N3459" s="261"/>
      <c r="O3459" s="261"/>
      <c r="P3459" s="261"/>
      <c r="Q3459" s="261"/>
      <c r="BR3459" s="261"/>
      <c r="BS3459" s="261"/>
      <c r="BT3459" s="261"/>
      <c r="BU3459" s="261"/>
      <c r="BV3459" s="261"/>
    </row>
    <row r="3460" spans="12:74">
      <c r="L3460" s="261"/>
      <c r="M3460" s="261"/>
      <c r="N3460" s="261"/>
      <c r="O3460" s="261"/>
      <c r="P3460" s="261"/>
      <c r="Q3460" s="261"/>
      <c r="BR3460" s="261"/>
      <c r="BS3460" s="261"/>
      <c r="BT3460" s="261"/>
      <c r="BU3460" s="261"/>
      <c r="BV3460" s="261"/>
    </row>
    <row r="3461" spans="12:74">
      <c r="L3461" s="261"/>
      <c r="M3461" s="261"/>
      <c r="N3461" s="261"/>
      <c r="O3461" s="261"/>
      <c r="P3461" s="261"/>
      <c r="Q3461" s="261"/>
      <c r="BR3461" s="261"/>
      <c r="BS3461" s="261"/>
      <c r="BT3461" s="261"/>
      <c r="BU3461" s="261"/>
      <c r="BV3461" s="261"/>
    </row>
    <row r="3462" spans="12:74">
      <c r="L3462" s="261"/>
      <c r="M3462" s="261"/>
      <c r="N3462" s="261"/>
      <c r="O3462" s="261"/>
      <c r="P3462" s="261"/>
      <c r="Q3462" s="261"/>
      <c r="BR3462" s="261"/>
      <c r="BS3462" s="261"/>
      <c r="BT3462" s="261"/>
      <c r="BU3462" s="261"/>
      <c r="BV3462" s="261"/>
    </row>
    <row r="3463" spans="12:74">
      <c r="L3463" s="261"/>
      <c r="M3463" s="261"/>
      <c r="N3463" s="261"/>
      <c r="O3463" s="261"/>
      <c r="P3463" s="261"/>
      <c r="Q3463" s="261"/>
      <c r="BR3463" s="261"/>
      <c r="BS3463" s="261"/>
      <c r="BT3463" s="261"/>
      <c r="BU3463" s="261"/>
      <c r="BV3463" s="261"/>
    </row>
    <row r="3464" spans="12:74">
      <c r="L3464" s="261"/>
      <c r="M3464" s="261"/>
      <c r="N3464" s="261"/>
      <c r="O3464" s="261"/>
      <c r="P3464" s="261"/>
      <c r="Q3464" s="261"/>
      <c r="BR3464" s="261"/>
      <c r="BS3464" s="261"/>
      <c r="BT3464" s="261"/>
      <c r="BU3464" s="261"/>
      <c r="BV3464" s="261"/>
    </row>
    <row r="3465" spans="12:74">
      <c r="L3465" s="261"/>
      <c r="M3465" s="261"/>
      <c r="N3465" s="261"/>
      <c r="O3465" s="261"/>
      <c r="P3465" s="261"/>
      <c r="Q3465" s="261"/>
      <c r="BR3465" s="261"/>
      <c r="BS3465" s="261"/>
      <c r="BT3465" s="261"/>
      <c r="BU3465" s="261"/>
      <c r="BV3465" s="261"/>
    </row>
    <row r="3466" spans="12:74">
      <c r="L3466" s="261"/>
      <c r="M3466" s="261"/>
      <c r="N3466" s="261"/>
      <c r="O3466" s="261"/>
      <c r="P3466" s="261"/>
      <c r="Q3466" s="261"/>
      <c r="BR3466" s="261"/>
      <c r="BS3466" s="261"/>
      <c r="BT3466" s="261"/>
      <c r="BU3466" s="261"/>
      <c r="BV3466" s="261"/>
    </row>
    <row r="3467" spans="12:74">
      <c r="L3467" s="261"/>
      <c r="M3467" s="261"/>
      <c r="N3467" s="261"/>
      <c r="O3467" s="261"/>
      <c r="P3467" s="261"/>
      <c r="Q3467" s="261"/>
      <c r="BR3467" s="261"/>
      <c r="BS3467" s="261"/>
      <c r="BT3467" s="261"/>
      <c r="BU3467" s="261"/>
      <c r="BV3467" s="261"/>
    </row>
    <row r="3468" spans="12:74">
      <c r="L3468" s="261"/>
      <c r="M3468" s="261"/>
      <c r="N3468" s="261"/>
      <c r="O3468" s="261"/>
      <c r="P3468" s="261"/>
      <c r="Q3468" s="261"/>
      <c r="BR3468" s="261"/>
      <c r="BS3468" s="261"/>
      <c r="BT3468" s="261"/>
      <c r="BU3468" s="261"/>
      <c r="BV3468" s="261"/>
    </row>
    <row r="3469" spans="12:74">
      <c r="L3469" s="261"/>
      <c r="M3469" s="261"/>
      <c r="N3469" s="261"/>
      <c r="O3469" s="261"/>
      <c r="P3469" s="261"/>
      <c r="Q3469" s="261"/>
      <c r="BR3469" s="261"/>
      <c r="BS3469" s="261"/>
      <c r="BT3469" s="261"/>
      <c r="BU3469" s="261"/>
      <c r="BV3469" s="261"/>
    </row>
    <row r="3470" spans="12:74">
      <c r="L3470" s="261"/>
      <c r="M3470" s="261"/>
      <c r="N3470" s="261"/>
      <c r="O3470" s="261"/>
      <c r="P3470" s="261"/>
      <c r="Q3470" s="261"/>
      <c r="BR3470" s="261"/>
      <c r="BS3470" s="261"/>
      <c r="BT3470" s="261"/>
      <c r="BU3470" s="261"/>
      <c r="BV3470" s="261"/>
    </row>
    <row r="3471" spans="12:74">
      <c r="L3471" s="261"/>
      <c r="M3471" s="261"/>
      <c r="N3471" s="261"/>
      <c r="O3471" s="261"/>
      <c r="P3471" s="261"/>
      <c r="Q3471" s="261"/>
      <c r="BR3471" s="261"/>
      <c r="BS3471" s="261"/>
      <c r="BT3471" s="261"/>
      <c r="BU3471" s="261"/>
      <c r="BV3471" s="261"/>
    </row>
    <row r="3472" spans="12:74">
      <c r="L3472" s="261"/>
      <c r="M3472" s="261"/>
      <c r="N3472" s="261"/>
      <c r="O3472" s="261"/>
      <c r="P3472" s="261"/>
      <c r="Q3472" s="261"/>
      <c r="BR3472" s="261"/>
      <c r="BS3472" s="261"/>
      <c r="BT3472" s="261"/>
      <c r="BU3472" s="261"/>
      <c r="BV3472" s="261"/>
    </row>
    <row r="3473" spans="12:74">
      <c r="L3473" s="261"/>
      <c r="M3473" s="261"/>
      <c r="N3473" s="261"/>
      <c r="O3473" s="261"/>
      <c r="P3473" s="261"/>
      <c r="Q3473" s="261"/>
      <c r="BR3473" s="261"/>
      <c r="BS3473" s="261"/>
      <c r="BT3473" s="261"/>
      <c r="BU3473" s="261"/>
      <c r="BV3473" s="261"/>
    </row>
    <row r="3474" spans="12:74">
      <c r="L3474" s="261"/>
      <c r="M3474" s="261"/>
      <c r="N3474" s="261"/>
      <c r="O3474" s="261"/>
      <c r="P3474" s="261"/>
      <c r="Q3474" s="261"/>
      <c r="BR3474" s="261"/>
      <c r="BS3474" s="261"/>
      <c r="BT3474" s="261"/>
      <c r="BU3474" s="261"/>
      <c r="BV3474" s="261"/>
    </row>
    <row r="3475" spans="12:74">
      <c r="L3475" s="261"/>
      <c r="M3475" s="261"/>
      <c r="N3475" s="261"/>
      <c r="O3475" s="261"/>
      <c r="P3475" s="261"/>
      <c r="Q3475" s="261"/>
      <c r="BR3475" s="261"/>
      <c r="BS3475" s="261"/>
      <c r="BT3475" s="261"/>
      <c r="BU3475" s="261"/>
      <c r="BV3475" s="261"/>
    </row>
    <row r="3476" spans="12:74">
      <c r="L3476" s="261"/>
      <c r="M3476" s="261"/>
      <c r="N3476" s="261"/>
      <c r="O3476" s="261"/>
      <c r="P3476" s="261"/>
      <c r="Q3476" s="261"/>
      <c r="BR3476" s="261"/>
      <c r="BS3476" s="261"/>
      <c r="BT3476" s="261"/>
      <c r="BU3476" s="261"/>
      <c r="BV3476" s="261"/>
    </row>
    <row r="3477" spans="12:74">
      <c r="L3477" s="261"/>
      <c r="M3477" s="261"/>
      <c r="N3477" s="261"/>
      <c r="O3477" s="261"/>
      <c r="P3477" s="261"/>
      <c r="Q3477" s="261"/>
      <c r="BR3477" s="261"/>
      <c r="BS3477" s="261"/>
      <c r="BT3477" s="261"/>
      <c r="BU3477" s="261"/>
      <c r="BV3477" s="261"/>
    </row>
    <row r="3478" spans="12:74">
      <c r="L3478" s="261"/>
      <c r="M3478" s="261"/>
      <c r="N3478" s="261"/>
      <c r="O3478" s="261"/>
      <c r="P3478" s="261"/>
      <c r="Q3478" s="261"/>
      <c r="BR3478" s="261"/>
      <c r="BS3478" s="261"/>
      <c r="BT3478" s="261"/>
      <c r="BU3478" s="261"/>
      <c r="BV3478" s="261"/>
    </row>
    <row r="3479" spans="12:74">
      <c r="L3479" s="261"/>
      <c r="M3479" s="261"/>
      <c r="N3479" s="261"/>
      <c r="O3479" s="261"/>
      <c r="P3479" s="261"/>
      <c r="Q3479" s="261"/>
      <c r="BR3479" s="261"/>
      <c r="BS3479" s="261"/>
      <c r="BT3479" s="261"/>
      <c r="BU3479" s="261"/>
      <c r="BV3479" s="261"/>
    </row>
    <row r="3480" spans="12:74">
      <c r="L3480" s="261"/>
      <c r="M3480" s="261"/>
      <c r="N3480" s="261"/>
      <c r="O3480" s="261"/>
      <c r="P3480" s="261"/>
      <c r="Q3480" s="261"/>
      <c r="BR3480" s="261"/>
      <c r="BS3480" s="261"/>
      <c r="BT3480" s="261"/>
      <c r="BU3480" s="261"/>
      <c r="BV3480" s="261"/>
    </row>
    <row r="3481" spans="12:74">
      <c r="L3481" s="261"/>
      <c r="M3481" s="261"/>
      <c r="N3481" s="261"/>
      <c r="O3481" s="261"/>
      <c r="P3481" s="261"/>
      <c r="Q3481" s="261"/>
      <c r="BR3481" s="261"/>
      <c r="BS3481" s="261"/>
      <c r="BT3481" s="261"/>
      <c r="BU3481" s="261"/>
      <c r="BV3481" s="261"/>
    </row>
    <row r="3482" spans="12:74">
      <c r="L3482" s="261"/>
      <c r="M3482" s="261"/>
      <c r="N3482" s="261"/>
      <c r="O3482" s="261"/>
      <c r="P3482" s="261"/>
      <c r="Q3482" s="261"/>
      <c r="BR3482" s="261"/>
      <c r="BS3482" s="261"/>
      <c r="BT3482" s="261"/>
      <c r="BU3482" s="261"/>
      <c r="BV3482" s="261"/>
    </row>
    <row r="3483" spans="12:74">
      <c r="L3483" s="261"/>
      <c r="M3483" s="261"/>
      <c r="N3483" s="261"/>
      <c r="O3483" s="261"/>
      <c r="P3483" s="261"/>
      <c r="Q3483" s="261"/>
      <c r="BR3483" s="261"/>
      <c r="BS3483" s="261"/>
      <c r="BT3483" s="261"/>
      <c r="BU3483" s="261"/>
      <c r="BV3483" s="261"/>
    </row>
    <row r="3484" spans="12:74">
      <c r="L3484" s="261"/>
      <c r="M3484" s="261"/>
      <c r="N3484" s="261"/>
      <c r="O3484" s="261"/>
      <c r="P3484" s="261"/>
      <c r="Q3484" s="261"/>
      <c r="BR3484" s="261"/>
      <c r="BS3484" s="261"/>
      <c r="BT3484" s="261"/>
      <c r="BU3484" s="261"/>
      <c r="BV3484" s="261"/>
    </row>
    <row r="3485" spans="12:74">
      <c r="L3485" s="261"/>
      <c r="M3485" s="261"/>
      <c r="N3485" s="261"/>
      <c r="O3485" s="261"/>
      <c r="P3485" s="261"/>
      <c r="Q3485" s="261"/>
      <c r="BR3485" s="261"/>
      <c r="BS3485" s="261"/>
      <c r="BT3485" s="261"/>
      <c r="BU3485" s="261"/>
      <c r="BV3485" s="261"/>
    </row>
    <row r="3486" spans="12:74">
      <c r="L3486" s="261"/>
      <c r="M3486" s="261"/>
      <c r="N3486" s="261"/>
      <c r="O3486" s="261"/>
      <c r="P3486" s="261"/>
      <c r="Q3486" s="261"/>
      <c r="BR3486" s="261"/>
      <c r="BS3486" s="261"/>
      <c r="BT3486" s="261"/>
      <c r="BU3486" s="261"/>
      <c r="BV3486" s="261"/>
    </row>
    <row r="3487" spans="12:74">
      <c r="L3487" s="261"/>
      <c r="M3487" s="261"/>
      <c r="N3487" s="261"/>
      <c r="O3487" s="261"/>
      <c r="P3487" s="261"/>
      <c r="Q3487" s="261"/>
      <c r="BR3487" s="261"/>
      <c r="BS3487" s="261"/>
      <c r="BT3487" s="261"/>
      <c r="BU3487" s="261"/>
      <c r="BV3487" s="261"/>
    </row>
    <row r="3488" spans="12:74">
      <c r="L3488" s="261"/>
      <c r="M3488" s="261"/>
      <c r="N3488" s="261"/>
      <c r="O3488" s="261"/>
      <c r="P3488" s="261"/>
      <c r="Q3488" s="261"/>
      <c r="BR3488" s="261"/>
      <c r="BS3488" s="261"/>
      <c r="BT3488" s="261"/>
      <c r="BU3488" s="261"/>
      <c r="BV3488" s="261"/>
    </row>
    <row r="3489" spans="12:74">
      <c r="L3489" s="261"/>
      <c r="M3489" s="261"/>
      <c r="N3489" s="261"/>
      <c r="O3489" s="261"/>
      <c r="P3489" s="261"/>
      <c r="Q3489" s="261"/>
      <c r="BR3489" s="261"/>
      <c r="BS3489" s="261"/>
      <c r="BT3489" s="261"/>
      <c r="BU3489" s="261"/>
      <c r="BV3489" s="261"/>
    </row>
    <row r="3490" spans="12:74">
      <c r="L3490" s="261"/>
      <c r="M3490" s="261"/>
      <c r="N3490" s="261"/>
      <c r="O3490" s="261"/>
      <c r="P3490" s="261"/>
      <c r="Q3490" s="261"/>
      <c r="BR3490" s="261"/>
      <c r="BS3490" s="261"/>
      <c r="BT3490" s="261"/>
      <c r="BU3490" s="261"/>
      <c r="BV3490" s="261"/>
    </row>
    <row r="3491" spans="12:74">
      <c r="L3491" s="261"/>
      <c r="M3491" s="261"/>
      <c r="N3491" s="261"/>
      <c r="O3491" s="261"/>
      <c r="P3491" s="261"/>
      <c r="Q3491" s="261"/>
      <c r="BR3491" s="261"/>
      <c r="BS3491" s="261"/>
      <c r="BT3491" s="261"/>
      <c r="BU3491" s="261"/>
      <c r="BV3491" s="261"/>
    </row>
    <row r="3492" spans="12:74">
      <c r="L3492" s="261"/>
      <c r="M3492" s="261"/>
      <c r="N3492" s="261"/>
      <c r="O3492" s="261"/>
      <c r="P3492" s="261"/>
      <c r="Q3492" s="261"/>
      <c r="BR3492" s="261"/>
      <c r="BS3492" s="261"/>
      <c r="BT3492" s="261"/>
      <c r="BU3492" s="261"/>
      <c r="BV3492" s="261"/>
    </row>
    <row r="3493" spans="12:74">
      <c r="L3493" s="261"/>
      <c r="M3493" s="261"/>
      <c r="N3493" s="261"/>
      <c r="O3493" s="261"/>
      <c r="P3493" s="261"/>
      <c r="Q3493" s="261"/>
      <c r="BR3493" s="261"/>
      <c r="BS3493" s="261"/>
      <c r="BT3493" s="261"/>
      <c r="BU3493" s="261"/>
      <c r="BV3493" s="261"/>
    </row>
    <row r="3494" spans="12:74">
      <c r="L3494" s="261"/>
      <c r="M3494" s="261"/>
      <c r="N3494" s="261"/>
      <c r="O3494" s="261"/>
      <c r="P3494" s="261"/>
      <c r="Q3494" s="261"/>
      <c r="BR3494" s="261"/>
      <c r="BS3494" s="261"/>
      <c r="BT3494" s="261"/>
      <c r="BU3494" s="261"/>
      <c r="BV3494" s="261"/>
    </row>
    <row r="3495" spans="12:74">
      <c r="L3495" s="261"/>
      <c r="M3495" s="261"/>
      <c r="N3495" s="261"/>
      <c r="O3495" s="261"/>
      <c r="P3495" s="261"/>
      <c r="Q3495" s="261"/>
      <c r="BR3495" s="261"/>
      <c r="BS3495" s="261"/>
      <c r="BT3495" s="261"/>
      <c r="BU3495" s="261"/>
      <c r="BV3495" s="261"/>
    </row>
    <row r="3496" spans="12:74">
      <c r="L3496" s="261"/>
      <c r="M3496" s="261"/>
      <c r="N3496" s="261"/>
      <c r="O3496" s="261"/>
      <c r="P3496" s="261"/>
      <c r="Q3496" s="261"/>
      <c r="BR3496" s="261"/>
      <c r="BS3496" s="261"/>
      <c r="BT3496" s="261"/>
      <c r="BU3496" s="261"/>
      <c r="BV3496" s="261"/>
    </row>
    <row r="3497" spans="12:74">
      <c r="L3497" s="261"/>
      <c r="M3497" s="261"/>
      <c r="N3497" s="261"/>
      <c r="O3497" s="261"/>
      <c r="P3497" s="261"/>
      <c r="Q3497" s="261"/>
      <c r="BR3497" s="261"/>
      <c r="BS3497" s="261"/>
      <c r="BT3497" s="261"/>
      <c r="BU3497" s="261"/>
      <c r="BV3497" s="261"/>
    </row>
    <row r="3498" spans="12:74">
      <c r="L3498" s="261"/>
      <c r="M3498" s="261"/>
      <c r="N3498" s="261"/>
      <c r="O3498" s="261"/>
      <c r="P3498" s="261"/>
      <c r="Q3498" s="261"/>
      <c r="BR3498" s="261"/>
      <c r="BS3498" s="261"/>
      <c r="BT3498" s="261"/>
      <c r="BU3498" s="261"/>
      <c r="BV3498" s="261"/>
    </row>
    <row r="3499" spans="12:74">
      <c r="L3499" s="261"/>
      <c r="M3499" s="261"/>
      <c r="N3499" s="261"/>
      <c r="O3499" s="261"/>
      <c r="P3499" s="261"/>
      <c r="Q3499" s="261"/>
      <c r="BR3499" s="261"/>
      <c r="BS3499" s="261"/>
      <c r="BT3499" s="261"/>
      <c r="BU3499" s="261"/>
      <c r="BV3499" s="261"/>
    </row>
    <row r="3500" spans="12:74">
      <c r="L3500" s="261"/>
      <c r="M3500" s="261"/>
      <c r="N3500" s="261"/>
      <c r="O3500" s="261"/>
      <c r="P3500" s="261"/>
      <c r="Q3500" s="261"/>
      <c r="BR3500" s="261"/>
      <c r="BS3500" s="261"/>
      <c r="BT3500" s="261"/>
      <c r="BU3500" s="261"/>
      <c r="BV3500" s="261"/>
    </row>
    <row r="3501" spans="12:74">
      <c r="L3501" s="261"/>
      <c r="M3501" s="261"/>
      <c r="N3501" s="261"/>
      <c r="O3501" s="261"/>
      <c r="P3501" s="261"/>
      <c r="Q3501" s="261"/>
      <c r="BR3501" s="261"/>
      <c r="BS3501" s="261"/>
      <c r="BT3501" s="261"/>
      <c r="BU3501" s="261"/>
      <c r="BV3501" s="261"/>
    </row>
    <row r="3502" spans="12:74">
      <c r="L3502" s="261"/>
      <c r="M3502" s="261"/>
      <c r="N3502" s="261"/>
      <c r="O3502" s="261"/>
      <c r="P3502" s="261"/>
      <c r="Q3502" s="261"/>
      <c r="BR3502" s="261"/>
      <c r="BS3502" s="261"/>
      <c r="BT3502" s="261"/>
      <c r="BU3502" s="261"/>
      <c r="BV3502" s="261"/>
    </row>
    <row r="3503" spans="12:74">
      <c r="L3503" s="261"/>
      <c r="M3503" s="261"/>
      <c r="N3503" s="261"/>
      <c r="O3503" s="261"/>
      <c r="P3503" s="261"/>
      <c r="Q3503" s="261"/>
      <c r="BR3503" s="261"/>
      <c r="BS3503" s="261"/>
      <c r="BT3503" s="261"/>
      <c r="BU3503" s="261"/>
      <c r="BV3503" s="261"/>
    </row>
    <row r="3504" spans="12:74">
      <c r="L3504" s="261"/>
      <c r="M3504" s="261"/>
      <c r="N3504" s="261"/>
      <c r="O3504" s="261"/>
      <c r="P3504" s="261"/>
      <c r="Q3504" s="261"/>
      <c r="BR3504" s="261"/>
      <c r="BS3504" s="261"/>
      <c r="BT3504" s="261"/>
      <c r="BU3504" s="261"/>
      <c r="BV3504" s="261"/>
    </row>
    <row r="3505" spans="12:74">
      <c r="L3505" s="261"/>
      <c r="M3505" s="261"/>
      <c r="N3505" s="261"/>
      <c r="O3505" s="261"/>
      <c r="P3505" s="261"/>
      <c r="Q3505" s="261"/>
      <c r="BR3505" s="261"/>
      <c r="BS3505" s="261"/>
      <c r="BT3505" s="261"/>
      <c r="BU3505" s="261"/>
      <c r="BV3505" s="261"/>
    </row>
    <row r="3506" spans="12:74">
      <c r="L3506" s="261"/>
      <c r="M3506" s="261"/>
      <c r="N3506" s="261"/>
      <c r="O3506" s="261"/>
      <c r="P3506" s="261"/>
      <c r="Q3506" s="261"/>
      <c r="BR3506" s="261"/>
      <c r="BS3506" s="261"/>
      <c r="BT3506" s="261"/>
      <c r="BU3506" s="261"/>
      <c r="BV3506" s="261"/>
    </row>
    <row r="3507" spans="12:74">
      <c r="L3507" s="261"/>
      <c r="M3507" s="261"/>
      <c r="N3507" s="261"/>
      <c r="O3507" s="261"/>
      <c r="P3507" s="261"/>
      <c r="Q3507" s="261"/>
      <c r="BR3507" s="261"/>
      <c r="BS3507" s="261"/>
      <c r="BT3507" s="261"/>
      <c r="BU3507" s="261"/>
      <c r="BV3507" s="261"/>
    </row>
    <row r="3508" spans="12:74">
      <c r="L3508" s="261"/>
      <c r="M3508" s="261"/>
      <c r="N3508" s="261"/>
      <c r="O3508" s="261"/>
      <c r="P3508" s="261"/>
      <c r="Q3508" s="261"/>
      <c r="BR3508" s="261"/>
      <c r="BS3508" s="261"/>
      <c r="BT3508" s="261"/>
      <c r="BU3508" s="261"/>
      <c r="BV3508" s="261"/>
    </row>
    <row r="3509" spans="12:74">
      <c r="L3509" s="261"/>
      <c r="M3509" s="261"/>
      <c r="N3509" s="261"/>
      <c r="O3509" s="261"/>
      <c r="P3509" s="261"/>
      <c r="Q3509" s="261"/>
      <c r="BR3509" s="261"/>
      <c r="BS3509" s="261"/>
      <c r="BT3509" s="261"/>
      <c r="BU3509" s="261"/>
      <c r="BV3509" s="261"/>
    </row>
    <row r="3510" spans="12:74">
      <c r="L3510" s="261"/>
      <c r="M3510" s="261"/>
      <c r="N3510" s="261"/>
      <c r="O3510" s="261"/>
      <c r="P3510" s="261"/>
      <c r="Q3510" s="261"/>
      <c r="BR3510" s="261"/>
      <c r="BS3510" s="261"/>
      <c r="BT3510" s="261"/>
      <c r="BU3510" s="261"/>
      <c r="BV3510" s="261"/>
    </row>
    <row r="3511" spans="12:74">
      <c r="L3511" s="261"/>
      <c r="M3511" s="261"/>
      <c r="N3511" s="261"/>
      <c r="O3511" s="261"/>
      <c r="P3511" s="261"/>
      <c r="Q3511" s="261"/>
      <c r="BR3511" s="261"/>
      <c r="BS3511" s="261"/>
      <c r="BT3511" s="261"/>
      <c r="BU3511" s="261"/>
      <c r="BV3511" s="261"/>
    </row>
    <row r="3512" spans="12:74">
      <c r="L3512" s="261"/>
      <c r="M3512" s="261"/>
      <c r="N3512" s="261"/>
      <c r="O3512" s="261"/>
      <c r="P3512" s="261"/>
      <c r="Q3512" s="261"/>
      <c r="BR3512" s="261"/>
      <c r="BS3512" s="261"/>
      <c r="BT3512" s="261"/>
      <c r="BU3512" s="261"/>
      <c r="BV3512" s="261"/>
    </row>
    <row r="3513" spans="12:74">
      <c r="L3513" s="261"/>
      <c r="M3513" s="261"/>
      <c r="N3513" s="261"/>
      <c r="O3513" s="261"/>
      <c r="P3513" s="261"/>
      <c r="Q3513" s="261"/>
      <c r="BR3513" s="261"/>
      <c r="BS3513" s="261"/>
      <c r="BT3513" s="261"/>
      <c r="BU3513" s="261"/>
      <c r="BV3513" s="261"/>
    </row>
    <row r="3514" spans="12:74">
      <c r="L3514" s="261"/>
      <c r="M3514" s="261"/>
      <c r="N3514" s="261"/>
      <c r="O3514" s="261"/>
      <c r="P3514" s="261"/>
      <c r="Q3514" s="261"/>
      <c r="BR3514" s="261"/>
      <c r="BS3514" s="261"/>
      <c r="BT3514" s="261"/>
      <c r="BU3514" s="261"/>
      <c r="BV3514" s="261"/>
    </row>
    <row r="3515" spans="12:74">
      <c r="L3515" s="261"/>
      <c r="M3515" s="261"/>
      <c r="N3515" s="261"/>
      <c r="O3515" s="261"/>
      <c r="P3515" s="261"/>
      <c r="Q3515" s="261"/>
      <c r="BR3515" s="261"/>
      <c r="BS3515" s="261"/>
      <c r="BT3515" s="261"/>
      <c r="BU3515" s="261"/>
      <c r="BV3515" s="261"/>
    </row>
    <row r="3516" spans="12:74">
      <c r="L3516" s="261"/>
      <c r="M3516" s="261"/>
      <c r="N3516" s="261"/>
      <c r="O3516" s="261"/>
      <c r="P3516" s="261"/>
      <c r="Q3516" s="261"/>
      <c r="BR3516" s="261"/>
      <c r="BS3516" s="261"/>
      <c r="BT3516" s="261"/>
      <c r="BU3516" s="261"/>
      <c r="BV3516" s="261"/>
    </row>
    <row r="3517" spans="12:74">
      <c r="L3517" s="261"/>
      <c r="M3517" s="261"/>
      <c r="N3517" s="261"/>
      <c r="O3517" s="261"/>
      <c r="P3517" s="261"/>
      <c r="Q3517" s="261"/>
      <c r="BR3517" s="261"/>
      <c r="BS3517" s="261"/>
      <c r="BT3517" s="261"/>
      <c r="BU3517" s="261"/>
      <c r="BV3517" s="261"/>
    </row>
    <row r="3518" spans="12:74">
      <c r="L3518" s="261"/>
      <c r="M3518" s="261"/>
      <c r="N3518" s="261"/>
      <c r="O3518" s="261"/>
      <c r="P3518" s="261"/>
      <c r="Q3518" s="261"/>
      <c r="BR3518" s="261"/>
      <c r="BS3518" s="261"/>
      <c r="BT3518" s="261"/>
      <c r="BU3518" s="261"/>
      <c r="BV3518" s="261"/>
    </row>
    <row r="3519" spans="12:74">
      <c r="L3519" s="261"/>
      <c r="M3519" s="261"/>
      <c r="N3519" s="261"/>
      <c r="O3519" s="261"/>
      <c r="P3519" s="261"/>
      <c r="Q3519" s="261"/>
      <c r="BR3519" s="261"/>
      <c r="BS3519" s="261"/>
      <c r="BT3519" s="261"/>
      <c r="BU3519" s="261"/>
      <c r="BV3519" s="261"/>
    </row>
    <row r="3520" spans="12:74">
      <c r="L3520" s="261"/>
      <c r="M3520" s="261"/>
      <c r="N3520" s="261"/>
      <c r="O3520" s="261"/>
      <c r="P3520" s="261"/>
      <c r="Q3520" s="261"/>
      <c r="BR3520" s="261"/>
      <c r="BS3520" s="261"/>
      <c r="BT3520" s="261"/>
      <c r="BU3520" s="261"/>
      <c r="BV3520" s="261"/>
    </row>
    <row r="3521" spans="12:74">
      <c r="L3521" s="261"/>
      <c r="M3521" s="261"/>
      <c r="N3521" s="261"/>
      <c r="O3521" s="261"/>
      <c r="P3521" s="261"/>
      <c r="Q3521" s="261"/>
      <c r="BR3521" s="261"/>
      <c r="BS3521" s="261"/>
      <c r="BT3521" s="261"/>
      <c r="BU3521" s="261"/>
      <c r="BV3521" s="261"/>
    </row>
    <row r="3522" spans="12:74">
      <c r="L3522" s="261"/>
      <c r="M3522" s="261"/>
      <c r="N3522" s="261"/>
      <c r="O3522" s="261"/>
      <c r="P3522" s="261"/>
      <c r="Q3522" s="261"/>
      <c r="BR3522" s="261"/>
      <c r="BS3522" s="261"/>
      <c r="BT3522" s="261"/>
      <c r="BU3522" s="261"/>
      <c r="BV3522" s="261"/>
    </row>
    <row r="3523" spans="12:74">
      <c r="L3523" s="261"/>
      <c r="M3523" s="261"/>
      <c r="N3523" s="261"/>
      <c r="O3523" s="261"/>
      <c r="P3523" s="261"/>
      <c r="Q3523" s="261"/>
      <c r="BR3523" s="261"/>
      <c r="BS3523" s="261"/>
      <c r="BT3523" s="261"/>
      <c r="BU3523" s="261"/>
      <c r="BV3523" s="261"/>
    </row>
    <row r="3524" spans="12:74">
      <c r="L3524" s="261"/>
      <c r="M3524" s="261"/>
      <c r="N3524" s="261"/>
      <c r="O3524" s="261"/>
      <c r="P3524" s="261"/>
      <c r="Q3524" s="261"/>
      <c r="BR3524" s="261"/>
      <c r="BS3524" s="261"/>
      <c r="BT3524" s="261"/>
      <c r="BU3524" s="261"/>
      <c r="BV3524" s="261"/>
    </row>
    <row r="3525" spans="12:74">
      <c r="L3525" s="261"/>
      <c r="M3525" s="261"/>
      <c r="N3525" s="261"/>
      <c r="O3525" s="261"/>
      <c r="P3525" s="261"/>
      <c r="Q3525" s="261"/>
      <c r="BR3525" s="261"/>
      <c r="BS3525" s="261"/>
      <c r="BT3525" s="261"/>
      <c r="BU3525" s="261"/>
      <c r="BV3525" s="261"/>
    </row>
    <row r="3526" spans="12:74">
      <c r="L3526" s="261"/>
      <c r="M3526" s="261"/>
      <c r="N3526" s="261"/>
      <c r="O3526" s="261"/>
      <c r="P3526" s="261"/>
      <c r="Q3526" s="261"/>
      <c r="BR3526" s="261"/>
      <c r="BS3526" s="261"/>
      <c r="BT3526" s="261"/>
      <c r="BU3526" s="261"/>
      <c r="BV3526" s="261"/>
    </row>
    <row r="3527" spans="12:74">
      <c r="L3527" s="261"/>
      <c r="M3527" s="261"/>
      <c r="N3527" s="261"/>
      <c r="O3527" s="261"/>
      <c r="P3527" s="261"/>
      <c r="Q3527" s="261"/>
      <c r="BR3527" s="261"/>
      <c r="BS3527" s="261"/>
      <c r="BT3527" s="261"/>
      <c r="BU3527" s="261"/>
      <c r="BV3527" s="261"/>
    </row>
    <row r="3528" spans="12:74">
      <c r="L3528" s="261"/>
      <c r="M3528" s="261"/>
      <c r="N3528" s="261"/>
      <c r="O3528" s="261"/>
      <c r="P3528" s="261"/>
      <c r="Q3528" s="261"/>
      <c r="BR3528" s="261"/>
      <c r="BS3528" s="261"/>
      <c r="BT3528" s="261"/>
      <c r="BU3528" s="261"/>
      <c r="BV3528" s="261"/>
    </row>
    <row r="3529" spans="12:74">
      <c r="L3529" s="261"/>
      <c r="M3529" s="261"/>
      <c r="N3529" s="261"/>
      <c r="O3529" s="261"/>
      <c r="P3529" s="261"/>
      <c r="Q3529" s="261"/>
      <c r="BR3529" s="261"/>
      <c r="BS3529" s="261"/>
      <c r="BT3529" s="261"/>
      <c r="BU3529" s="261"/>
      <c r="BV3529" s="261"/>
    </row>
    <row r="3530" spans="12:74">
      <c r="L3530" s="261"/>
      <c r="M3530" s="261"/>
      <c r="N3530" s="261"/>
      <c r="O3530" s="261"/>
      <c r="P3530" s="261"/>
      <c r="Q3530" s="261"/>
      <c r="BR3530" s="261"/>
      <c r="BS3530" s="261"/>
      <c r="BT3530" s="261"/>
      <c r="BU3530" s="261"/>
      <c r="BV3530" s="261"/>
    </row>
    <row r="3531" spans="12:74">
      <c r="L3531" s="261"/>
      <c r="M3531" s="261"/>
      <c r="N3531" s="261"/>
      <c r="O3531" s="261"/>
      <c r="P3531" s="261"/>
      <c r="Q3531" s="261"/>
      <c r="BR3531" s="261"/>
      <c r="BS3531" s="261"/>
      <c r="BT3531" s="261"/>
      <c r="BU3531" s="261"/>
      <c r="BV3531" s="261"/>
    </row>
    <row r="3532" spans="12:74">
      <c r="L3532" s="261"/>
      <c r="M3532" s="261"/>
      <c r="N3532" s="261"/>
      <c r="O3532" s="261"/>
      <c r="P3532" s="261"/>
      <c r="Q3532" s="261"/>
      <c r="BR3532" s="261"/>
      <c r="BS3532" s="261"/>
      <c r="BT3532" s="261"/>
      <c r="BU3532" s="261"/>
      <c r="BV3532" s="261"/>
    </row>
    <row r="3533" spans="12:74">
      <c r="L3533" s="261"/>
      <c r="M3533" s="261"/>
      <c r="N3533" s="261"/>
      <c r="O3533" s="261"/>
      <c r="P3533" s="261"/>
      <c r="Q3533" s="261"/>
      <c r="BR3533" s="261"/>
      <c r="BS3533" s="261"/>
      <c r="BT3533" s="261"/>
      <c r="BU3533" s="261"/>
      <c r="BV3533" s="261"/>
    </row>
    <row r="3534" spans="12:74">
      <c r="L3534" s="261"/>
      <c r="M3534" s="261"/>
      <c r="N3534" s="261"/>
      <c r="O3534" s="261"/>
      <c r="P3534" s="261"/>
      <c r="Q3534" s="261"/>
      <c r="BR3534" s="261"/>
      <c r="BS3534" s="261"/>
      <c r="BT3534" s="261"/>
      <c r="BU3534" s="261"/>
      <c r="BV3534" s="261"/>
    </row>
    <row r="3535" spans="12:74">
      <c r="L3535" s="261"/>
      <c r="M3535" s="261"/>
      <c r="N3535" s="261"/>
      <c r="O3535" s="261"/>
      <c r="P3535" s="261"/>
      <c r="Q3535" s="261"/>
      <c r="BR3535" s="261"/>
      <c r="BS3535" s="261"/>
      <c r="BT3535" s="261"/>
      <c r="BU3535" s="261"/>
      <c r="BV3535" s="261"/>
    </row>
    <row r="3536" spans="12:74">
      <c r="L3536" s="261"/>
      <c r="M3536" s="261"/>
      <c r="N3536" s="261"/>
      <c r="O3536" s="261"/>
      <c r="P3536" s="261"/>
      <c r="Q3536" s="261"/>
      <c r="BR3536" s="261"/>
      <c r="BS3536" s="261"/>
      <c r="BT3536" s="261"/>
      <c r="BU3536" s="261"/>
      <c r="BV3536" s="261"/>
    </row>
    <row r="3537" spans="12:74">
      <c r="L3537" s="261"/>
      <c r="M3537" s="261"/>
      <c r="N3537" s="261"/>
      <c r="O3537" s="261"/>
      <c r="P3537" s="261"/>
      <c r="Q3537" s="261"/>
      <c r="BR3537" s="261"/>
      <c r="BS3537" s="261"/>
      <c r="BT3537" s="261"/>
      <c r="BU3537" s="261"/>
      <c r="BV3537" s="261"/>
    </row>
    <row r="3538" spans="12:74">
      <c r="L3538" s="261"/>
      <c r="M3538" s="261"/>
      <c r="N3538" s="261"/>
      <c r="O3538" s="261"/>
      <c r="P3538" s="261"/>
      <c r="Q3538" s="261"/>
      <c r="BR3538" s="261"/>
      <c r="BS3538" s="261"/>
      <c r="BT3538" s="261"/>
      <c r="BU3538" s="261"/>
      <c r="BV3538" s="261"/>
    </row>
    <row r="3539" spans="12:74">
      <c r="L3539" s="261"/>
      <c r="M3539" s="261"/>
      <c r="N3539" s="261"/>
      <c r="O3539" s="261"/>
      <c r="P3539" s="261"/>
      <c r="Q3539" s="261"/>
      <c r="BR3539" s="261"/>
      <c r="BS3539" s="261"/>
      <c r="BT3539" s="261"/>
      <c r="BU3539" s="261"/>
      <c r="BV3539" s="261"/>
    </row>
    <row r="3540" spans="12:74">
      <c r="L3540" s="261"/>
      <c r="M3540" s="261"/>
      <c r="N3540" s="261"/>
      <c r="O3540" s="261"/>
      <c r="P3540" s="261"/>
      <c r="Q3540" s="261"/>
      <c r="BR3540" s="261"/>
      <c r="BS3540" s="261"/>
      <c r="BT3540" s="261"/>
      <c r="BU3540" s="261"/>
      <c r="BV3540" s="261"/>
    </row>
    <row r="3541" spans="12:74">
      <c r="L3541" s="261"/>
      <c r="M3541" s="261"/>
      <c r="N3541" s="261"/>
      <c r="O3541" s="261"/>
      <c r="P3541" s="261"/>
      <c r="Q3541" s="261"/>
      <c r="BR3541" s="261"/>
      <c r="BS3541" s="261"/>
      <c r="BT3541" s="261"/>
      <c r="BU3541" s="261"/>
      <c r="BV3541" s="261"/>
    </row>
    <row r="3542" spans="12:74">
      <c r="L3542" s="261"/>
      <c r="M3542" s="261"/>
      <c r="N3542" s="261"/>
      <c r="O3542" s="261"/>
      <c r="P3542" s="261"/>
      <c r="Q3542" s="261"/>
      <c r="BR3542" s="261"/>
      <c r="BS3542" s="261"/>
      <c r="BT3542" s="261"/>
      <c r="BU3542" s="261"/>
      <c r="BV3542" s="261"/>
    </row>
    <row r="3543" spans="12:74">
      <c r="L3543" s="261"/>
      <c r="M3543" s="261"/>
      <c r="N3543" s="261"/>
      <c r="O3543" s="261"/>
      <c r="P3543" s="261"/>
      <c r="Q3543" s="261"/>
      <c r="BR3543" s="261"/>
      <c r="BS3543" s="261"/>
      <c r="BT3543" s="261"/>
      <c r="BU3543" s="261"/>
      <c r="BV3543" s="261"/>
    </row>
    <row r="3544" spans="12:74">
      <c r="L3544" s="261"/>
      <c r="M3544" s="261"/>
      <c r="N3544" s="261"/>
      <c r="O3544" s="261"/>
      <c r="P3544" s="261"/>
      <c r="Q3544" s="261"/>
      <c r="BR3544" s="261"/>
      <c r="BS3544" s="261"/>
      <c r="BT3544" s="261"/>
      <c r="BU3544" s="261"/>
      <c r="BV3544" s="261"/>
    </row>
    <row r="3545" spans="12:74">
      <c r="L3545" s="261"/>
      <c r="M3545" s="261"/>
      <c r="N3545" s="261"/>
      <c r="O3545" s="261"/>
      <c r="P3545" s="261"/>
      <c r="Q3545" s="261"/>
      <c r="BR3545" s="261"/>
      <c r="BS3545" s="261"/>
      <c r="BT3545" s="261"/>
      <c r="BU3545" s="261"/>
      <c r="BV3545" s="261"/>
    </row>
    <row r="3546" spans="12:74">
      <c r="L3546" s="261"/>
      <c r="M3546" s="261"/>
      <c r="N3546" s="261"/>
      <c r="O3546" s="261"/>
      <c r="P3546" s="261"/>
      <c r="Q3546" s="261"/>
      <c r="BR3546" s="261"/>
      <c r="BS3546" s="261"/>
      <c r="BT3546" s="261"/>
      <c r="BU3546" s="261"/>
      <c r="BV3546" s="261"/>
    </row>
    <row r="3547" spans="12:74">
      <c r="L3547" s="261"/>
      <c r="M3547" s="261"/>
      <c r="N3547" s="261"/>
      <c r="O3547" s="261"/>
      <c r="P3547" s="261"/>
      <c r="Q3547" s="261"/>
      <c r="BR3547" s="261"/>
      <c r="BS3547" s="261"/>
      <c r="BT3547" s="261"/>
      <c r="BU3547" s="261"/>
      <c r="BV3547" s="261"/>
    </row>
    <row r="3548" spans="12:74">
      <c r="L3548" s="261"/>
      <c r="M3548" s="261"/>
      <c r="N3548" s="261"/>
      <c r="O3548" s="261"/>
      <c r="P3548" s="261"/>
      <c r="Q3548" s="261"/>
      <c r="BR3548" s="261"/>
      <c r="BS3548" s="261"/>
      <c r="BT3548" s="261"/>
      <c r="BU3548" s="261"/>
      <c r="BV3548" s="261"/>
    </row>
    <row r="3549" spans="12:74">
      <c r="L3549" s="261"/>
      <c r="M3549" s="261"/>
      <c r="N3549" s="261"/>
      <c r="O3549" s="261"/>
      <c r="P3549" s="261"/>
      <c r="Q3549" s="261"/>
      <c r="BR3549" s="261"/>
      <c r="BS3549" s="261"/>
      <c r="BT3549" s="261"/>
      <c r="BU3549" s="261"/>
      <c r="BV3549" s="261"/>
    </row>
    <row r="3550" spans="12:74">
      <c r="L3550" s="261"/>
      <c r="M3550" s="261"/>
      <c r="N3550" s="261"/>
      <c r="O3550" s="261"/>
      <c r="P3550" s="261"/>
      <c r="Q3550" s="261"/>
      <c r="BR3550" s="261"/>
      <c r="BS3550" s="261"/>
      <c r="BT3550" s="261"/>
      <c r="BU3550" s="261"/>
      <c r="BV3550" s="261"/>
    </row>
    <row r="3551" spans="12:74">
      <c r="L3551" s="261"/>
      <c r="M3551" s="261"/>
      <c r="N3551" s="261"/>
      <c r="O3551" s="261"/>
      <c r="P3551" s="261"/>
      <c r="Q3551" s="261"/>
      <c r="BR3551" s="261"/>
      <c r="BS3551" s="261"/>
      <c r="BT3551" s="261"/>
      <c r="BU3551" s="261"/>
      <c r="BV3551" s="261"/>
    </row>
    <row r="3552" spans="12:74">
      <c r="L3552" s="261"/>
      <c r="M3552" s="261"/>
      <c r="N3552" s="261"/>
      <c r="O3552" s="261"/>
      <c r="P3552" s="261"/>
      <c r="Q3552" s="261"/>
      <c r="BR3552" s="261"/>
      <c r="BS3552" s="261"/>
      <c r="BT3552" s="261"/>
      <c r="BU3552" s="261"/>
      <c r="BV3552" s="261"/>
    </row>
    <row r="3553" spans="12:74">
      <c r="L3553" s="261"/>
      <c r="M3553" s="261"/>
      <c r="N3553" s="261"/>
      <c r="O3553" s="261"/>
      <c r="P3553" s="261"/>
      <c r="Q3553" s="261"/>
      <c r="BR3553" s="261"/>
      <c r="BS3553" s="261"/>
      <c r="BT3553" s="261"/>
      <c r="BU3553" s="261"/>
      <c r="BV3553" s="261"/>
    </row>
    <row r="3554" spans="12:74">
      <c r="L3554" s="261"/>
      <c r="M3554" s="261"/>
      <c r="N3554" s="261"/>
      <c r="O3554" s="261"/>
      <c r="P3554" s="261"/>
      <c r="Q3554" s="261"/>
      <c r="BR3554" s="261"/>
      <c r="BS3554" s="261"/>
      <c r="BT3554" s="261"/>
      <c r="BU3554" s="261"/>
      <c r="BV3554" s="261"/>
    </row>
    <row r="3555" spans="12:74">
      <c r="L3555" s="261"/>
      <c r="M3555" s="261"/>
      <c r="N3555" s="261"/>
      <c r="O3555" s="261"/>
      <c r="P3555" s="261"/>
      <c r="Q3555" s="261"/>
      <c r="BR3555" s="261"/>
      <c r="BS3555" s="261"/>
      <c r="BT3555" s="261"/>
      <c r="BU3555" s="261"/>
      <c r="BV3555" s="261"/>
    </row>
    <row r="3556" spans="12:74">
      <c r="L3556" s="261"/>
      <c r="M3556" s="261"/>
      <c r="N3556" s="261"/>
      <c r="O3556" s="261"/>
      <c r="P3556" s="261"/>
      <c r="Q3556" s="261"/>
      <c r="BR3556" s="261"/>
      <c r="BS3556" s="261"/>
      <c r="BT3556" s="261"/>
      <c r="BU3556" s="261"/>
      <c r="BV3556" s="261"/>
    </row>
    <row r="3557" spans="12:74">
      <c r="L3557" s="261"/>
      <c r="M3557" s="261"/>
      <c r="N3557" s="261"/>
      <c r="O3557" s="261"/>
      <c r="P3557" s="261"/>
      <c r="Q3557" s="261"/>
      <c r="BR3557" s="261"/>
      <c r="BS3557" s="261"/>
      <c r="BT3557" s="261"/>
      <c r="BU3557" s="261"/>
      <c r="BV3557" s="261"/>
    </row>
    <row r="3558" spans="12:74">
      <c r="L3558" s="261"/>
      <c r="M3558" s="261"/>
      <c r="N3558" s="261"/>
      <c r="O3558" s="261"/>
      <c r="P3558" s="261"/>
      <c r="Q3558" s="261"/>
      <c r="BR3558" s="261"/>
      <c r="BS3558" s="261"/>
      <c r="BT3558" s="261"/>
      <c r="BU3558" s="261"/>
      <c r="BV3558" s="261"/>
    </row>
    <row r="3559" spans="12:74">
      <c r="L3559" s="261"/>
      <c r="M3559" s="261"/>
      <c r="N3559" s="261"/>
      <c r="O3559" s="261"/>
      <c r="P3559" s="261"/>
      <c r="Q3559" s="261"/>
      <c r="BR3559" s="261"/>
      <c r="BS3559" s="261"/>
      <c r="BT3559" s="261"/>
      <c r="BU3559" s="261"/>
      <c r="BV3559" s="261"/>
    </row>
    <row r="3560" spans="12:74">
      <c r="L3560" s="261"/>
      <c r="M3560" s="261"/>
      <c r="N3560" s="261"/>
      <c r="O3560" s="261"/>
      <c r="P3560" s="261"/>
      <c r="Q3560" s="261"/>
      <c r="BR3560" s="261"/>
      <c r="BS3560" s="261"/>
      <c r="BT3560" s="261"/>
      <c r="BU3560" s="261"/>
      <c r="BV3560" s="261"/>
    </row>
    <row r="3561" spans="12:74">
      <c r="L3561" s="261"/>
      <c r="M3561" s="261"/>
      <c r="N3561" s="261"/>
      <c r="O3561" s="261"/>
      <c r="P3561" s="261"/>
      <c r="Q3561" s="261"/>
      <c r="BR3561" s="261"/>
      <c r="BS3561" s="261"/>
      <c r="BT3561" s="261"/>
      <c r="BU3561" s="261"/>
      <c r="BV3561" s="261"/>
    </row>
    <row r="3562" spans="12:74">
      <c r="L3562" s="261"/>
      <c r="M3562" s="261"/>
      <c r="N3562" s="261"/>
      <c r="O3562" s="261"/>
      <c r="P3562" s="261"/>
      <c r="Q3562" s="261"/>
      <c r="BR3562" s="261"/>
      <c r="BS3562" s="261"/>
      <c r="BT3562" s="261"/>
      <c r="BU3562" s="261"/>
      <c r="BV3562" s="261"/>
    </row>
    <row r="3563" spans="12:74">
      <c r="L3563" s="261"/>
      <c r="M3563" s="261"/>
      <c r="N3563" s="261"/>
      <c r="O3563" s="261"/>
      <c r="P3563" s="261"/>
      <c r="Q3563" s="261"/>
      <c r="BR3563" s="261"/>
      <c r="BS3563" s="261"/>
      <c r="BT3563" s="261"/>
      <c r="BU3563" s="261"/>
      <c r="BV3563" s="261"/>
    </row>
    <row r="3564" spans="12:74">
      <c r="L3564" s="261"/>
      <c r="M3564" s="261"/>
      <c r="N3564" s="261"/>
      <c r="O3564" s="261"/>
      <c r="P3564" s="261"/>
      <c r="Q3564" s="261"/>
      <c r="BR3564" s="261"/>
      <c r="BS3564" s="261"/>
      <c r="BT3564" s="261"/>
      <c r="BU3564" s="261"/>
      <c r="BV3564" s="261"/>
    </row>
    <row r="3565" spans="12:74">
      <c r="L3565" s="261"/>
      <c r="M3565" s="261"/>
      <c r="N3565" s="261"/>
      <c r="O3565" s="261"/>
      <c r="P3565" s="261"/>
      <c r="Q3565" s="261"/>
      <c r="BR3565" s="261"/>
      <c r="BS3565" s="261"/>
      <c r="BT3565" s="261"/>
      <c r="BU3565" s="261"/>
      <c r="BV3565" s="261"/>
    </row>
    <row r="3566" spans="12:74">
      <c r="L3566" s="261"/>
      <c r="M3566" s="261"/>
      <c r="N3566" s="261"/>
      <c r="O3566" s="261"/>
      <c r="P3566" s="261"/>
      <c r="Q3566" s="261"/>
      <c r="BR3566" s="261"/>
      <c r="BS3566" s="261"/>
      <c r="BT3566" s="261"/>
      <c r="BU3566" s="261"/>
      <c r="BV3566" s="261"/>
    </row>
    <row r="3567" spans="12:74">
      <c r="L3567" s="261"/>
      <c r="M3567" s="261"/>
      <c r="N3567" s="261"/>
      <c r="O3567" s="261"/>
      <c r="P3567" s="261"/>
      <c r="Q3567" s="261"/>
      <c r="BR3567" s="261"/>
      <c r="BS3567" s="261"/>
      <c r="BT3567" s="261"/>
      <c r="BU3567" s="261"/>
      <c r="BV3567" s="261"/>
    </row>
    <row r="3568" spans="12:74">
      <c r="L3568" s="261"/>
      <c r="M3568" s="261"/>
      <c r="N3568" s="261"/>
      <c r="O3568" s="261"/>
      <c r="P3568" s="261"/>
      <c r="Q3568" s="261"/>
      <c r="BR3568" s="261"/>
      <c r="BS3568" s="261"/>
      <c r="BT3568" s="261"/>
      <c r="BU3568" s="261"/>
      <c r="BV3568" s="261"/>
    </row>
    <row r="3569" spans="12:74">
      <c r="L3569" s="261"/>
      <c r="M3569" s="261"/>
      <c r="N3569" s="261"/>
      <c r="O3569" s="261"/>
      <c r="P3569" s="261"/>
      <c r="Q3569" s="261"/>
      <c r="BR3569" s="261"/>
      <c r="BS3569" s="261"/>
      <c r="BT3569" s="261"/>
      <c r="BU3569" s="261"/>
      <c r="BV3569" s="261"/>
    </row>
    <row r="3570" spans="12:74">
      <c r="L3570" s="261"/>
      <c r="M3570" s="261"/>
      <c r="N3570" s="261"/>
      <c r="O3570" s="261"/>
      <c r="P3570" s="261"/>
      <c r="Q3570" s="261"/>
      <c r="BR3570" s="261"/>
      <c r="BS3570" s="261"/>
      <c r="BT3570" s="261"/>
      <c r="BU3570" s="261"/>
      <c r="BV3570" s="261"/>
    </row>
    <row r="3571" spans="12:74">
      <c r="L3571" s="261"/>
      <c r="M3571" s="261"/>
      <c r="N3571" s="261"/>
      <c r="O3571" s="261"/>
      <c r="P3571" s="261"/>
      <c r="Q3571" s="261"/>
      <c r="BR3571" s="261"/>
      <c r="BS3571" s="261"/>
      <c r="BT3571" s="261"/>
      <c r="BU3571" s="261"/>
      <c r="BV3571" s="261"/>
    </row>
    <row r="3572" spans="12:74">
      <c r="L3572" s="261"/>
      <c r="M3572" s="261"/>
      <c r="N3572" s="261"/>
      <c r="O3572" s="261"/>
      <c r="P3572" s="261"/>
      <c r="Q3572" s="261"/>
      <c r="BR3572" s="261"/>
      <c r="BS3572" s="261"/>
      <c r="BT3572" s="261"/>
      <c r="BU3572" s="261"/>
      <c r="BV3572" s="261"/>
    </row>
    <row r="3573" spans="12:74">
      <c r="L3573" s="261"/>
      <c r="M3573" s="261"/>
      <c r="N3573" s="261"/>
      <c r="O3573" s="261"/>
      <c r="P3573" s="261"/>
      <c r="Q3573" s="261"/>
      <c r="BR3573" s="261"/>
      <c r="BS3573" s="261"/>
      <c r="BT3573" s="261"/>
      <c r="BU3573" s="261"/>
      <c r="BV3573" s="261"/>
    </row>
    <row r="3574" spans="12:74">
      <c r="L3574" s="261"/>
      <c r="M3574" s="261"/>
      <c r="N3574" s="261"/>
      <c r="O3574" s="261"/>
      <c r="P3574" s="261"/>
      <c r="Q3574" s="261"/>
      <c r="BR3574" s="261"/>
      <c r="BS3574" s="261"/>
      <c r="BT3574" s="261"/>
      <c r="BU3574" s="261"/>
      <c r="BV3574" s="261"/>
    </row>
    <row r="3575" spans="12:74">
      <c r="L3575" s="261"/>
      <c r="M3575" s="261"/>
      <c r="N3575" s="261"/>
      <c r="O3575" s="261"/>
      <c r="P3575" s="261"/>
      <c r="Q3575" s="261"/>
      <c r="BR3575" s="261"/>
      <c r="BS3575" s="261"/>
      <c r="BT3575" s="261"/>
      <c r="BU3575" s="261"/>
      <c r="BV3575" s="261"/>
    </row>
    <row r="3576" spans="12:74">
      <c r="L3576" s="261"/>
      <c r="M3576" s="261"/>
      <c r="N3576" s="261"/>
      <c r="O3576" s="261"/>
      <c r="P3576" s="261"/>
      <c r="Q3576" s="261"/>
      <c r="BR3576" s="261"/>
      <c r="BS3576" s="261"/>
      <c r="BT3576" s="261"/>
      <c r="BU3576" s="261"/>
      <c r="BV3576" s="261"/>
    </row>
    <row r="3577" spans="12:74">
      <c r="L3577" s="261"/>
      <c r="M3577" s="261"/>
      <c r="N3577" s="261"/>
      <c r="O3577" s="261"/>
      <c r="P3577" s="261"/>
      <c r="Q3577" s="261"/>
      <c r="BR3577" s="261"/>
      <c r="BS3577" s="261"/>
      <c r="BT3577" s="261"/>
      <c r="BU3577" s="261"/>
      <c r="BV3577" s="261"/>
    </row>
    <row r="3578" spans="12:74">
      <c r="L3578" s="261"/>
      <c r="M3578" s="261"/>
      <c r="N3578" s="261"/>
      <c r="O3578" s="261"/>
      <c r="P3578" s="261"/>
      <c r="Q3578" s="261"/>
      <c r="BR3578" s="261"/>
      <c r="BS3578" s="261"/>
      <c r="BT3578" s="261"/>
      <c r="BU3578" s="261"/>
      <c r="BV3578" s="261"/>
    </row>
    <row r="3579" spans="12:74">
      <c r="L3579" s="261"/>
      <c r="M3579" s="261"/>
      <c r="N3579" s="261"/>
      <c r="O3579" s="261"/>
      <c r="P3579" s="261"/>
      <c r="Q3579" s="261"/>
      <c r="BR3579" s="261"/>
      <c r="BS3579" s="261"/>
      <c r="BT3579" s="261"/>
      <c r="BU3579" s="261"/>
      <c r="BV3579" s="261"/>
    </row>
    <row r="3580" spans="12:74">
      <c r="L3580" s="261"/>
      <c r="M3580" s="261"/>
      <c r="N3580" s="261"/>
      <c r="O3580" s="261"/>
      <c r="P3580" s="261"/>
      <c r="Q3580" s="261"/>
      <c r="BR3580" s="261"/>
      <c r="BS3580" s="261"/>
      <c r="BT3580" s="261"/>
      <c r="BU3580" s="261"/>
      <c r="BV3580" s="261"/>
    </row>
    <row r="3581" spans="12:74">
      <c r="L3581" s="261"/>
      <c r="M3581" s="261"/>
      <c r="N3581" s="261"/>
      <c r="O3581" s="261"/>
      <c r="P3581" s="261"/>
      <c r="Q3581" s="261"/>
      <c r="BR3581" s="261"/>
      <c r="BS3581" s="261"/>
      <c r="BT3581" s="261"/>
      <c r="BU3581" s="261"/>
      <c r="BV3581" s="261"/>
    </row>
    <row r="3582" spans="12:74">
      <c r="L3582" s="261"/>
      <c r="M3582" s="261"/>
      <c r="N3582" s="261"/>
      <c r="O3582" s="261"/>
      <c r="P3582" s="261"/>
      <c r="Q3582" s="261"/>
      <c r="BR3582" s="261"/>
      <c r="BS3582" s="261"/>
      <c r="BT3582" s="261"/>
      <c r="BU3582" s="261"/>
      <c r="BV3582" s="261"/>
    </row>
    <row r="3583" spans="12:74">
      <c r="L3583" s="261"/>
      <c r="M3583" s="261"/>
      <c r="N3583" s="261"/>
      <c r="O3583" s="261"/>
      <c r="P3583" s="261"/>
      <c r="Q3583" s="261"/>
      <c r="BR3583" s="261"/>
      <c r="BS3583" s="261"/>
      <c r="BT3583" s="261"/>
      <c r="BU3583" s="261"/>
      <c r="BV3583" s="261"/>
    </row>
    <row r="3584" spans="12:74">
      <c r="L3584" s="261"/>
      <c r="M3584" s="261"/>
      <c r="N3584" s="261"/>
      <c r="O3584" s="261"/>
      <c r="P3584" s="261"/>
      <c r="Q3584" s="261"/>
      <c r="BR3584" s="261"/>
      <c r="BS3584" s="261"/>
      <c r="BT3584" s="261"/>
      <c r="BU3584" s="261"/>
      <c r="BV3584" s="261"/>
    </row>
    <row r="3585" spans="12:74">
      <c r="L3585" s="261"/>
      <c r="M3585" s="261"/>
      <c r="N3585" s="261"/>
      <c r="O3585" s="261"/>
      <c r="P3585" s="261"/>
      <c r="Q3585" s="261"/>
      <c r="BR3585" s="261"/>
      <c r="BS3585" s="261"/>
      <c r="BT3585" s="261"/>
      <c r="BU3585" s="261"/>
      <c r="BV3585" s="261"/>
    </row>
    <row r="3586" spans="12:74">
      <c r="L3586" s="261"/>
      <c r="M3586" s="261"/>
      <c r="N3586" s="261"/>
      <c r="O3586" s="261"/>
      <c r="P3586" s="261"/>
      <c r="Q3586" s="261"/>
      <c r="BR3586" s="261"/>
      <c r="BS3586" s="261"/>
      <c r="BT3586" s="261"/>
      <c r="BU3586" s="261"/>
      <c r="BV3586" s="261"/>
    </row>
    <row r="3587" spans="12:74">
      <c r="L3587" s="261"/>
      <c r="M3587" s="261"/>
      <c r="N3587" s="261"/>
      <c r="O3587" s="261"/>
      <c r="P3587" s="261"/>
      <c r="Q3587" s="261"/>
      <c r="BR3587" s="261"/>
      <c r="BS3587" s="261"/>
      <c r="BT3587" s="261"/>
      <c r="BU3587" s="261"/>
      <c r="BV3587" s="261"/>
    </row>
    <row r="3588" spans="12:74">
      <c r="L3588" s="261"/>
      <c r="M3588" s="261"/>
      <c r="N3588" s="261"/>
      <c r="O3588" s="261"/>
      <c r="P3588" s="261"/>
      <c r="Q3588" s="261"/>
      <c r="BR3588" s="261"/>
      <c r="BS3588" s="261"/>
      <c r="BT3588" s="261"/>
      <c r="BU3588" s="261"/>
      <c r="BV3588" s="261"/>
    </row>
    <row r="3589" spans="12:74">
      <c r="L3589" s="261"/>
      <c r="M3589" s="261"/>
      <c r="N3589" s="261"/>
      <c r="O3589" s="261"/>
      <c r="P3589" s="261"/>
      <c r="Q3589" s="261"/>
      <c r="BR3589" s="261"/>
      <c r="BS3589" s="261"/>
      <c r="BT3589" s="261"/>
      <c r="BU3589" s="261"/>
      <c r="BV3589" s="261"/>
    </row>
    <row r="3590" spans="12:74">
      <c r="L3590" s="261"/>
      <c r="M3590" s="261"/>
      <c r="N3590" s="261"/>
      <c r="O3590" s="261"/>
      <c r="P3590" s="261"/>
      <c r="Q3590" s="261"/>
      <c r="BR3590" s="261"/>
      <c r="BS3590" s="261"/>
      <c r="BT3590" s="261"/>
      <c r="BU3590" s="261"/>
      <c r="BV3590" s="261"/>
    </row>
    <row r="3591" spans="12:74">
      <c r="L3591" s="261"/>
      <c r="M3591" s="261"/>
      <c r="N3591" s="261"/>
      <c r="O3591" s="261"/>
      <c r="P3591" s="261"/>
      <c r="Q3591" s="261"/>
      <c r="BR3591" s="261"/>
      <c r="BS3591" s="261"/>
      <c r="BT3591" s="261"/>
      <c r="BU3591" s="261"/>
      <c r="BV3591" s="261"/>
    </row>
    <row r="3592" spans="12:74">
      <c r="L3592" s="261"/>
      <c r="M3592" s="261"/>
      <c r="N3592" s="261"/>
      <c r="O3592" s="261"/>
      <c r="P3592" s="261"/>
      <c r="Q3592" s="261"/>
      <c r="BR3592" s="261"/>
      <c r="BS3592" s="261"/>
      <c r="BT3592" s="261"/>
      <c r="BU3592" s="261"/>
      <c r="BV3592" s="261"/>
    </row>
    <row r="3593" spans="12:74">
      <c r="L3593" s="261"/>
      <c r="M3593" s="261"/>
      <c r="N3593" s="261"/>
      <c r="O3593" s="261"/>
      <c r="P3593" s="261"/>
      <c r="Q3593" s="261"/>
      <c r="BR3593" s="261"/>
      <c r="BS3593" s="261"/>
      <c r="BT3593" s="261"/>
      <c r="BU3593" s="261"/>
      <c r="BV3593" s="261"/>
    </row>
    <row r="3594" spans="12:74">
      <c r="L3594" s="261"/>
      <c r="M3594" s="261"/>
      <c r="N3594" s="261"/>
      <c r="O3594" s="261"/>
      <c r="P3594" s="261"/>
      <c r="Q3594" s="261"/>
      <c r="BR3594" s="261"/>
      <c r="BS3594" s="261"/>
      <c r="BT3594" s="261"/>
      <c r="BU3594" s="261"/>
      <c r="BV3594" s="261"/>
    </row>
    <row r="3595" spans="12:74">
      <c r="L3595" s="261"/>
      <c r="M3595" s="261"/>
      <c r="N3595" s="261"/>
      <c r="O3595" s="261"/>
      <c r="P3595" s="261"/>
      <c r="Q3595" s="261"/>
      <c r="BR3595" s="261"/>
      <c r="BS3595" s="261"/>
      <c r="BT3595" s="261"/>
      <c r="BU3595" s="261"/>
      <c r="BV3595" s="261"/>
    </row>
    <row r="3596" spans="12:74">
      <c r="L3596" s="261"/>
      <c r="M3596" s="261"/>
      <c r="N3596" s="261"/>
      <c r="O3596" s="261"/>
      <c r="P3596" s="261"/>
      <c r="Q3596" s="261"/>
      <c r="BR3596" s="261"/>
      <c r="BS3596" s="261"/>
      <c r="BT3596" s="261"/>
      <c r="BU3596" s="261"/>
      <c r="BV3596" s="261"/>
    </row>
    <row r="3597" spans="12:74">
      <c r="L3597" s="261"/>
      <c r="M3597" s="261"/>
      <c r="N3597" s="261"/>
      <c r="O3597" s="261"/>
      <c r="P3597" s="261"/>
      <c r="Q3597" s="261"/>
      <c r="BR3597" s="261"/>
      <c r="BS3597" s="261"/>
      <c r="BT3597" s="261"/>
      <c r="BU3597" s="261"/>
      <c r="BV3597" s="261"/>
    </row>
    <row r="3598" spans="12:74">
      <c r="L3598" s="261"/>
      <c r="M3598" s="261"/>
      <c r="N3598" s="261"/>
      <c r="O3598" s="261"/>
      <c r="P3598" s="261"/>
      <c r="Q3598" s="261"/>
      <c r="BR3598" s="261"/>
      <c r="BS3598" s="261"/>
      <c r="BT3598" s="261"/>
      <c r="BU3598" s="261"/>
      <c r="BV3598" s="261"/>
    </row>
    <row r="3599" spans="12:74">
      <c r="L3599" s="261"/>
      <c r="M3599" s="261"/>
      <c r="N3599" s="261"/>
      <c r="O3599" s="261"/>
      <c r="P3599" s="261"/>
      <c r="Q3599" s="261"/>
      <c r="BR3599" s="261"/>
      <c r="BS3599" s="261"/>
      <c r="BT3599" s="261"/>
      <c r="BU3599" s="261"/>
      <c r="BV3599" s="261"/>
    </row>
    <row r="3600" spans="12:74">
      <c r="L3600" s="261"/>
      <c r="M3600" s="261"/>
      <c r="N3600" s="261"/>
      <c r="O3600" s="261"/>
      <c r="P3600" s="261"/>
      <c r="Q3600" s="261"/>
      <c r="BR3600" s="261"/>
      <c r="BS3600" s="261"/>
      <c r="BT3600" s="261"/>
      <c r="BU3600" s="261"/>
      <c r="BV3600" s="261"/>
    </row>
    <row r="3601" spans="12:74">
      <c r="L3601" s="261"/>
      <c r="M3601" s="261"/>
      <c r="N3601" s="261"/>
      <c r="O3601" s="261"/>
      <c r="P3601" s="261"/>
      <c r="Q3601" s="261"/>
      <c r="BR3601" s="261"/>
      <c r="BS3601" s="261"/>
      <c r="BT3601" s="261"/>
      <c r="BU3601" s="261"/>
      <c r="BV3601" s="261"/>
    </row>
    <row r="3602" spans="12:74">
      <c r="L3602" s="261"/>
      <c r="M3602" s="261"/>
      <c r="N3602" s="261"/>
      <c r="O3602" s="261"/>
      <c r="P3602" s="261"/>
      <c r="Q3602" s="261"/>
      <c r="BR3602" s="261"/>
      <c r="BS3602" s="261"/>
      <c r="BT3602" s="261"/>
      <c r="BU3602" s="261"/>
      <c r="BV3602" s="261"/>
    </row>
    <row r="3603" spans="12:74">
      <c r="L3603" s="261"/>
      <c r="M3603" s="261"/>
      <c r="N3603" s="261"/>
      <c r="O3603" s="261"/>
      <c r="P3603" s="261"/>
      <c r="Q3603" s="261"/>
      <c r="BR3603" s="261"/>
      <c r="BS3603" s="261"/>
      <c r="BT3603" s="261"/>
      <c r="BU3603" s="261"/>
      <c r="BV3603" s="261"/>
    </row>
    <row r="3604" spans="12:74">
      <c r="L3604" s="261"/>
      <c r="M3604" s="261"/>
      <c r="N3604" s="261"/>
      <c r="O3604" s="261"/>
      <c r="P3604" s="261"/>
      <c r="Q3604" s="261"/>
      <c r="BR3604" s="261"/>
      <c r="BS3604" s="261"/>
      <c r="BT3604" s="261"/>
      <c r="BU3604" s="261"/>
      <c r="BV3604" s="261"/>
    </row>
    <row r="3605" spans="12:74">
      <c r="L3605" s="261"/>
      <c r="M3605" s="261"/>
      <c r="N3605" s="261"/>
      <c r="O3605" s="261"/>
      <c r="P3605" s="261"/>
      <c r="Q3605" s="261"/>
      <c r="BR3605" s="261"/>
      <c r="BS3605" s="261"/>
      <c r="BT3605" s="261"/>
      <c r="BU3605" s="261"/>
      <c r="BV3605" s="261"/>
    </row>
    <row r="3606" spans="12:74">
      <c r="L3606" s="261"/>
      <c r="M3606" s="261"/>
      <c r="N3606" s="261"/>
      <c r="O3606" s="261"/>
      <c r="P3606" s="261"/>
      <c r="Q3606" s="261"/>
      <c r="BR3606" s="261"/>
      <c r="BS3606" s="261"/>
      <c r="BT3606" s="261"/>
      <c r="BU3606" s="261"/>
      <c r="BV3606" s="261"/>
    </row>
    <row r="3607" spans="12:74">
      <c r="L3607" s="261"/>
      <c r="M3607" s="261"/>
      <c r="N3607" s="261"/>
      <c r="O3607" s="261"/>
      <c r="P3607" s="261"/>
      <c r="Q3607" s="261"/>
      <c r="BR3607" s="261"/>
      <c r="BS3607" s="261"/>
      <c r="BT3607" s="261"/>
      <c r="BU3607" s="261"/>
      <c r="BV3607" s="261"/>
    </row>
    <row r="3608" spans="12:74">
      <c r="L3608" s="261"/>
      <c r="M3608" s="261"/>
      <c r="N3608" s="261"/>
      <c r="O3608" s="261"/>
      <c r="P3608" s="261"/>
      <c r="Q3608" s="261"/>
      <c r="BR3608" s="261"/>
      <c r="BS3608" s="261"/>
      <c r="BT3608" s="261"/>
      <c r="BU3608" s="261"/>
      <c r="BV3608" s="261"/>
    </row>
    <row r="3609" spans="12:74">
      <c r="L3609" s="261"/>
      <c r="M3609" s="261"/>
      <c r="N3609" s="261"/>
      <c r="O3609" s="261"/>
      <c r="P3609" s="261"/>
      <c r="Q3609" s="261"/>
      <c r="BR3609" s="261"/>
      <c r="BS3609" s="261"/>
      <c r="BT3609" s="261"/>
      <c r="BU3609" s="261"/>
      <c r="BV3609" s="261"/>
    </row>
    <row r="3610" spans="12:74">
      <c r="L3610" s="261"/>
      <c r="M3610" s="261"/>
      <c r="N3610" s="261"/>
      <c r="O3610" s="261"/>
      <c r="P3610" s="261"/>
      <c r="Q3610" s="261"/>
      <c r="BR3610" s="261"/>
      <c r="BS3610" s="261"/>
      <c r="BT3610" s="261"/>
      <c r="BU3610" s="261"/>
      <c r="BV3610" s="261"/>
    </row>
    <row r="3611" spans="12:74">
      <c r="L3611" s="261"/>
      <c r="M3611" s="261"/>
      <c r="N3611" s="261"/>
      <c r="O3611" s="261"/>
      <c r="P3611" s="261"/>
      <c r="Q3611" s="261"/>
      <c r="BR3611" s="261"/>
      <c r="BS3611" s="261"/>
      <c r="BT3611" s="261"/>
      <c r="BU3611" s="261"/>
      <c r="BV3611" s="261"/>
    </row>
    <row r="3612" spans="12:74">
      <c r="L3612" s="261"/>
      <c r="M3612" s="261"/>
      <c r="N3612" s="261"/>
      <c r="O3612" s="261"/>
      <c r="P3612" s="261"/>
      <c r="Q3612" s="261"/>
      <c r="BR3612" s="261"/>
      <c r="BS3612" s="261"/>
      <c r="BT3612" s="261"/>
      <c r="BU3612" s="261"/>
      <c r="BV3612" s="261"/>
    </row>
    <row r="3613" spans="12:74">
      <c r="L3613" s="261"/>
      <c r="M3613" s="261"/>
      <c r="N3613" s="261"/>
      <c r="O3613" s="261"/>
      <c r="P3613" s="261"/>
      <c r="Q3613" s="261"/>
      <c r="BR3613" s="261"/>
      <c r="BS3613" s="261"/>
      <c r="BT3613" s="261"/>
      <c r="BU3613" s="261"/>
      <c r="BV3613" s="261"/>
    </row>
    <row r="3614" spans="12:74">
      <c r="L3614" s="261"/>
      <c r="M3614" s="261"/>
      <c r="N3614" s="261"/>
      <c r="O3614" s="261"/>
      <c r="P3614" s="261"/>
      <c r="Q3614" s="261"/>
      <c r="BR3614" s="261"/>
      <c r="BS3614" s="261"/>
      <c r="BT3614" s="261"/>
      <c r="BU3614" s="261"/>
      <c r="BV3614" s="261"/>
    </row>
    <row r="3615" spans="12:74">
      <c r="L3615" s="261"/>
      <c r="M3615" s="261"/>
      <c r="N3615" s="261"/>
      <c r="O3615" s="261"/>
      <c r="P3615" s="261"/>
      <c r="Q3615" s="261"/>
      <c r="BR3615" s="261"/>
      <c r="BS3615" s="261"/>
      <c r="BT3615" s="261"/>
      <c r="BU3615" s="261"/>
      <c r="BV3615" s="261"/>
    </row>
    <row r="3616" spans="12:74">
      <c r="L3616" s="261"/>
      <c r="M3616" s="261"/>
      <c r="N3616" s="261"/>
      <c r="O3616" s="261"/>
      <c r="P3616" s="261"/>
      <c r="Q3616" s="261"/>
      <c r="BR3616" s="261"/>
      <c r="BS3616" s="261"/>
      <c r="BT3616" s="261"/>
      <c r="BU3616" s="261"/>
      <c r="BV3616" s="261"/>
    </row>
    <row r="3617" spans="12:74">
      <c r="L3617" s="261"/>
      <c r="M3617" s="261"/>
      <c r="N3617" s="261"/>
      <c r="O3617" s="261"/>
      <c r="P3617" s="261"/>
      <c r="Q3617" s="261"/>
      <c r="BR3617" s="261"/>
      <c r="BS3617" s="261"/>
      <c r="BT3617" s="261"/>
      <c r="BU3617" s="261"/>
      <c r="BV3617" s="261"/>
    </row>
    <row r="3618" spans="12:74">
      <c r="L3618" s="261"/>
      <c r="M3618" s="261"/>
      <c r="N3618" s="261"/>
      <c r="O3618" s="261"/>
      <c r="P3618" s="261"/>
      <c r="Q3618" s="261"/>
      <c r="BR3618" s="261"/>
      <c r="BS3618" s="261"/>
      <c r="BT3618" s="261"/>
      <c r="BU3618" s="261"/>
      <c r="BV3618" s="261"/>
    </row>
    <row r="3619" spans="12:74">
      <c r="L3619" s="261"/>
      <c r="M3619" s="261"/>
      <c r="N3619" s="261"/>
      <c r="O3619" s="261"/>
      <c r="P3619" s="261"/>
      <c r="Q3619" s="261"/>
      <c r="BR3619" s="261"/>
      <c r="BS3619" s="261"/>
      <c r="BT3619" s="261"/>
      <c r="BU3619" s="261"/>
      <c r="BV3619" s="261"/>
    </row>
    <row r="3620" spans="12:74">
      <c r="L3620" s="261"/>
      <c r="M3620" s="261"/>
      <c r="N3620" s="261"/>
      <c r="O3620" s="261"/>
      <c r="P3620" s="261"/>
      <c r="Q3620" s="261"/>
      <c r="BR3620" s="261"/>
      <c r="BS3620" s="261"/>
      <c r="BT3620" s="261"/>
      <c r="BU3620" s="261"/>
      <c r="BV3620" s="261"/>
    </row>
    <row r="3621" spans="12:74">
      <c r="L3621" s="261"/>
      <c r="M3621" s="261"/>
      <c r="N3621" s="261"/>
      <c r="O3621" s="261"/>
      <c r="P3621" s="261"/>
      <c r="Q3621" s="261"/>
      <c r="BR3621" s="261"/>
      <c r="BS3621" s="261"/>
      <c r="BT3621" s="261"/>
      <c r="BU3621" s="261"/>
      <c r="BV3621" s="261"/>
    </row>
    <row r="3622" spans="12:74">
      <c r="L3622" s="261"/>
      <c r="M3622" s="261"/>
      <c r="N3622" s="261"/>
      <c r="O3622" s="261"/>
      <c r="P3622" s="261"/>
      <c r="Q3622" s="261"/>
      <c r="BR3622" s="261"/>
      <c r="BS3622" s="261"/>
      <c r="BT3622" s="261"/>
      <c r="BU3622" s="261"/>
      <c r="BV3622" s="261"/>
    </row>
    <row r="3623" spans="12:74">
      <c r="L3623" s="261"/>
      <c r="M3623" s="261"/>
      <c r="N3623" s="261"/>
      <c r="O3623" s="261"/>
      <c r="P3623" s="261"/>
      <c r="Q3623" s="261"/>
      <c r="BR3623" s="261"/>
      <c r="BS3623" s="261"/>
      <c r="BT3623" s="261"/>
      <c r="BU3623" s="261"/>
      <c r="BV3623" s="261"/>
    </row>
    <row r="3624" spans="12:74">
      <c r="L3624" s="261"/>
      <c r="M3624" s="261"/>
      <c r="N3624" s="261"/>
      <c r="O3624" s="261"/>
      <c r="P3624" s="261"/>
      <c r="Q3624" s="261"/>
      <c r="BR3624" s="261"/>
      <c r="BS3624" s="261"/>
      <c r="BT3624" s="261"/>
      <c r="BU3624" s="261"/>
      <c r="BV3624" s="261"/>
    </row>
    <row r="3625" spans="12:74">
      <c r="L3625" s="261"/>
      <c r="M3625" s="261"/>
      <c r="N3625" s="261"/>
      <c r="O3625" s="261"/>
      <c r="P3625" s="261"/>
      <c r="Q3625" s="261"/>
      <c r="BR3625" s="261"/>
      <c r="BS3625" s="261"/>
      <c r="BT3625" s="261"/>
      <c r="BU3625" s="261"/>
      <c r="BV3625" s="261"/>
    </row>
    <row r="3626" spans="12:74">
      <c r="L3626" s="261"/>
      <c r="M3626" s="261"/>
      <c r="N3626" s="261"/>
      <c r="O3626" s="261"/>
      <c r="P3626" s="261"/>
      <c r="Q3626" s="261"/>
      <c r="BR3626" s="261"/>
      <c r="BS3626" s="261"/>
      <c r="BT3626" s="261"/>
      <c r="BU3626" s="261"/>
      <c r="BV3626" s="261"/>
    </row>
    <row r="3627" spans="12:74">
      <c r="L3627" s="261"/>
      <c r="M3627" s="261"/>
      <c r="N3627" s="261"/>
      <c r="O3627" s="261"/>
      <c r="P3627" s="261"/>
      <c r="Q3627" s="261"/>
      <c r="BR3627" s="261"/>
      <c r="BS3627" s="261"/>
      <c r="BT3627" s="261"/>
      <c r="BU3627" s="261"/>
      <c r="BV3627" s="261"/>
    </row>
    <row r="3628" spans="12:74">
      <c r="L3628" s="261"/>
      <c r="M3628" s="261"/>
      <c r="N3628" s="261"/>
      <c r="O3628" s="261"/>
      <c r="P3628" s="261"/>
      <c r="Q3628" s="261"/>
      <c r="BR3628" s="261"/>
      <c r="BS3628" s="261"/>
      <c r="BT3628" s="261"/>
      <c r="BU3628" s="261"/>
      <c r="BV3628" s="261"/>
    </row>
    <row r="3629" spans="12:74">
      <c r="L3629" s="261"/>
      <c r="M3629" s="261"/>
      <c r="N3629" s="261"/>
      <c r="O3629" s="261"/>
      <c r="P3629" s="261"/>
      <c r="Q3629" s="261"/>
      <c r="BR3629" s="261"/>
      <c r="BS3629" s="261"/>
      <c r="BT3629" s="261"/>
      <c r="BU3629" s="261"/>
      <c r="BV3629" s="261"/>
    </row>
    <row r="3630" spans="12:74">
      <c r="L3630" s="261"/>
      <c r="M3630" s="261"/>
      <c r="N3630" s="261"/>
      <c r="O3630" s="261"/>
      <c r="P3630" s="261"/>
      <c r="Q3630" s="261"/>
      <c r="BR3630" s="261"/>
      <c r="BS3630" s="261"/>
      <c r="BT3630" s="261"/>
      <c r="BU3630" s="261"/>
      <c r="BV3630" s="261"/>
    </row>
    <row r="3631" spans="12:74">
      <c r="L3631" s="261"/>
      <c r="M3631" s="261"/>
      <c r="N3631" s="261"/>
      <c r="O3631" s="261"/>
      <c r="P3631" s="261"/>
      <c r="Q3631" s="261"/>
      <c r="BR3631" s="261"/>
      <c r="BS3631" s="261"/>
      <c r="BT3631" s="261"/>
      <c r="BU3631" s="261"/>
      <c r="BV3631" s="261"/>
    </row>
    <row r="3632" spans="12:74">
      <c r="L3632" s="261"/>
      <c r="M3632" s="261"/>
      <c r="N3632" s="261"/>
      <c r="O3632" s="261"/>
      <c r="P3632" s="261"/>
      <c r="Q3632" s="261"/>
      <c r="BR3632" s="261"/>
      <c r="BS3632" s="261"/>
      <c r="BT3632" s="261"/>
      <c r="BU3632" s="261"/>
      <c r="BV3632" s="261"/>
    </row>
    <row r="3633" spans="12:74">
      <c r="L3633" s="261"/>
      <c r="M3633" s="261"/>
      <c r="N3633" s="261"/>
      <c r="O3633" s="261"/>
      <c r="P3633" s="261"/>
      <c r="Q3633" s="261"/>
      <c r="BR3633" s="261"/>
      <c r="BS3633" s="261"/>
      <c r="BT3633" s="261"/>
      <c r="BU3633" s="261"/>
      <c r="BV3633" s="261"/>
    </row>
    <row r="3634" spans="12:74">
      <c r="L3634" s="261"/>
      <c r="M3634" s="261"/>
      <c r="N3634" s="261"/>
      <c r="O3634" s="261"/>
      <c r="P3634" s="261"/>
      <c r="Q3634" s="261"/>
      <c r="BR3634" s="261"/>
      <c r="BS3634" s="261"/>
      <c r="BT3634" s="261"/>
      <c r="BU3634" s="261"/>
      <c r="BV3634" s="261"/>
    </row>
    <row r="3635" spans="12:74">
      <c r="L3635" s="261"/>
      <c r="M3635" s="261"/>
      <c r="N3635" s="261"/>
      <c r="O3635" s="261"/>
      <c r="P3635" s="261"/>
      <c r="Q3635" s="261"/>
      <c r="BR3635" s="261"/>
      <c r="BS3635" s="261"/>
      <c r="BT3635" s="261"/>
      <c r="BU3635" s="261"/>
      <c r="BV3635" s="261"/>
    </row>
    <row r="3636" spans="12:74">
      <c r="L3636" s="261"/>
      <c r="M3636" s="261"/>
      <c r="N3636" s="261"/>
      <c r="O3636" s="261"/>
      <c r="P3636" s="261"/>
      <c r="Q3636" s="261"/>
      <c r="BR3636" s="261"/>
      <c r="BS3636" s="261"/>
      <c r="BT3636" s="261"/>
      <c r="BU3636" s="261"/>
      <c r="BV3636" s="261"/>
    </row>
    <row r="3637" spans="12:74">
      <c r="L3637" s="261"/>
      <c r="M3637" s="261"/>
      <c r="N3637" s="261"/>
      <c r="O3637" s="261"/>
      <c r="P3637" s="261"/>
      <c r="Q3637" s="261"/>
      <c r="BR3637" s="261"/>
      <c r="BS3637" s="261"/>
      <c r="BT3637" s="261"/>
      <c r="BU3637" s="261"/>
      <c r="BV3637" s="261"/>
    </row>
    <row r="3638" spans="12:74">
      <c r="L3638" s="261"/>
      <c r="M3638" s="261"/>
      <c r="N3638" s="261"/>
      <c r="O3638" s="261"/>
      <c r="P3638" s="261"/>
      <c r="Q3638" s="261"/>
      <c r="BR3638" s="261"/>
      <c r="BS3638" s="261"/>
      <c r="BT3638" s="261"/>
      <c r="BU3638" s="261"/>
      <c r="BV3638" s="261"/>
    </row>
    <row r="3639" spans="12:74">
      <c r="L3639" s="261"/>
      <c r="M3639" s="261"/>
      <c r="N3639" s="261"/>
      <c r="O3639" s="261"/>
      <c r="P3639" s="261"/>
      <c r="Q3639" s="261"/>
      <c r="BR3639" s="261"/>
      <c r="BS3639" s="261"/>
      <c r="BT3639" s="261"/>
      <c r="BU3639" s="261"/>
      <c r="BV3639" s="261"/>
    </row>
    <row r="3640" spans="12:74">
      <c r="L3640" s="261"/>
      <c r="M3640" s="261"/>
      <c r="N3640" s="261"/>
      <c r="O3640" s="261"/>
      <c r="P3640" s="261"/>
      <c r="Q3640" s="261"/>
      <c r="BR3640" s="261"/>
      <c r="BS3640" s="261"/>
      <c r="BT3640" s="261"/>
      <c r="BU3640" s="261"/>
      <c r="BV3640" s="261"/>
    </row>
    <row r="3641" spans="12:74">
      <c r="L3641" s="261"/>
      <c r="M3641" s="261"/>
      <c r="N3641" s="261"/>
      <c r="O3641" s="261"/>
      <c r="P3641" s="261"/>
      <c r="Q3641" s="261"/>
      <c r="BR3641" s="261"/>
      <c r="BS3641" s="261"/>
      <c r="BT3641" s="261"/>
      <c r="BU3641" s="261"/>
      <c r="BV3641" s="261"/>
    </row>
    <row r="3642" spans="12:74">
      <c r="L3642" s="261"/>
      <c r="M3642" s="261"/>
      <c r="N3642" s="261"/>
      <c r="O3642" s="261"/>
      <c r="P3642" s="261"/>
      <c r="Q3642" s="261"/>
      <c r="BR3642" s="261"/>
      <c r="BS3642" s="261"/>
      <c r="BT3642" s="261"/>
      <c r="BU3642" s="261"/>
      <c r="BV3642" s="261"/>
    </row>
    <row r="3643" spans="12:74">
      <c r="L3643" s="261"/>
      <c r="M3643" s="261"/>
      <c r="N3643" s="261"/>
      <c r="O3643" s="261"/>
      <c r="P3643" s="261"/>
      <c r="Q3643" s="261"/>
      <c r="BR3643" s="261"/>
      <c r="BS3643" s="261"/>
      <c r="BT3643" s="261"/>
      <c r="BU3643" s="261"/>
      <c r="BV3643" s="261"/>
    </row>
    <row r="3644" spans="12:74">
      <c r="L3644" s="261"/>
      <c r="M3644" s="261"/>
      <c r="N3644" s="261"/>
      <c r="O3644" s="261"/>
      <c r="P3644" s="261"/>
      <c r="Q3644" s="261"/>
      <c r="BR3644" s="261"/>
      <c r="BS3644" s="261"/>
      <c r="BT3644" s="261"/>
      <c r="BU3644" s="261"/>
      <c r="BV3644" s="261"/>
    </row>
    <row r="3645" spans="12:74">
      <c r="L3645" s="261"/>
      <c r="M3645" s="261"/>
      <c r="N3645" s="261"/>
      <c r="O3645" s="261"/>
      <c r="P3645" s="261"/>
      <c r="Q3645" s="261"/>
      <c r="BR3645" s="261"/>
      <c r="BS3645" s="261"/>
      <c r="BT3645" s="261"/>
      <c r="BU3645" s="261"/>
      <c r="BV3645" s="261"/>
    </row>
    <row r="3646" spans="12:74">
      <c r="L3646" s="261"/>
      <c r="M3646" s="261"/>
      <c r="N3646" s="261"/>
      <c r="O3646" s="261"/>
      <c r="P3646" s="261"/>
      <c r="Q3646" s="261"/>
      <c r="BR3646" s="261"/>
      <c r="BS3646" s="261"/>
      <c r="BT3646" s="261"/>
      <c r="BU3646" s="261"/>
      <c r="BV3646" s="261"/>
    </row>
    <row r="3647" spans="12:74">
      <c r="L3647" s="261"/>
      <c r="M3647" s="261"/>
      <c r="N3647" s="261"/>
      <c r="O3647" s="261"/>
      <c r="P3647" s="261"/>
      <c r="Q3647" s="261"/>
      <c r="BR3647" s="261"/>
      <c r="BS3647" s="261"/>
      <c r="BT3647" s="261"/>
      <c r="BU3647" s="261"/>
      <c r="BV3647" s="261"/>
    </row>
    <row r="3648" spans="12:74">
      <c r="L3648" s="261"/>
      <c r="M3648" s="261"/>
      <c r="N3648" s="261"/>
      <c r="O3648" s="261"/>
      <c r="P3648" s="261"/>
      <c r="Q3648" s="261"/>
      <c r="BR3648" s="261"/>
      <c r="BS3648" s="261"/>
      <c r="BT3648" s="261"/>
      <c r="BU3648" s="261"/>
      <c r="BV3648" s="261"/>
    </row>
    <row r="3649" spans="12:74">
      <c r="L3649" s="261"/>
      <c r="M3649" s="261"/>
      <c r="N3649" s="261"/>
      <c r="O3649" s="261"/>
      <c r="P3649" s="261"/>
      <c r="Q3649" s="261"/>
      <c r="BR3649" s="261"/>
      <c r="BS3649" s="261"/>
      <c r="BT3649" s="261"/>
      <c r="BU3649" s="261"/>
      <c r="BV3649" s="261"/>
    </row>
    <row r="3650" spans="12:74">
      <c r="L3650" s="261"/>
      <c r="M3650" s="261"/>
      <c r="N3650" s="261"/>
      <c r="O3650" s="261"/>
      <c r="P3650" s="261"/>
      <c r="Q3650" s="261"/>
      <c r="BR3650" s="261"/>
      <c r="BS3650" s="261"/>
      <c r="BT3650" s="261"/>
      <c r="BU3650" s="261"/>
      <c r="BV3650" s="261"/>
    </row>
    <row r="3651" spans="12:74">
      <c r="L3651" s="261"/>
      <c r="M3651" s="261"/>
      <c r="N3651" s="261"/>
      <c r="O3651" s="261"/>
      <c r="P3651" s="261"/>
      <c r="Q3651" s="261"/>
      <c r="BR3651" s="261"/>
      <c r="BS3651" s="261"/>
      <c r="BT3651" s="261"/>
      <c r="BU3651" s="261"/>
      <c r="BV3651" s="261"/>
    </row>
    <row r="3652" spans="12:74">
      <c r="L3652" s="261"/>
      <c r="M3652" s="261"/>
      <c r="N3652" s="261"/>
      <c r="O3652" s="261"/>
      <c r="P3652" s="261"/>
      <c r="Q3652" s="261"/>
      <c r="BR3652" s="261"/>
      <c r="BS3652" s="261"/>
      <c r="BT3652" s="261"/>
      <c r="BU3652" s="261"/>
      <c r="BV3652" s="261"/>
    </row>
    <row r="3653" spans="12:74">
      <c r="L3653" s="261"/>
      <c r="M3653" s="261"/>
      <c r="N3653" s="261"/>
      <c r="O3653" s="261"/>
      <c r="P3653" s="261"/>
      <c r="Q3653" s="261"/>
      <c r="BR3653" s="261"/>
      <c r="BS3653" s="261"/>
      <c r="BT3653" s="261"/>
      <c r="BU3653" s="261"/>
      <c r="BV3653" s="261"/>
    </row>
    <row r="3654" spans="12:74">
      <c r="L3654" s="261"/>
      <c r="M3654" s="261"/>
      <c r="N3654" s="261"/>
      <c r="O3654" s="261"/>
      <c r="P3654" s="261"/>
      <c r="Q3654" s="261"/>
      <c r="BR3654" s="261"/>
      <c r="BS3654" s="261"/>
      <c r="BT3654" s="261"/>
      <c r="BU3654" s="261"/>
      <c r="BV3654" s="261"/>
    </row>
    <row r="3655" spans="12:74">
      <c r="L3655" s="261"/>
      <c r="M3655" s="261"/>
      <c r="N3655" s="261"/>
      <c r="O3655" s="261"/>
      <c r="P3655" s="261"/>
      <c r="Q3655" s="261"/>
      <c r="BR3655" s="261"/>
      <c r="BS3655" s="261"/>
      <c r="BT3655" s="261"/>
      <c r="BU3655" s="261"/>
      <c r="BV3655" s="261"/>
    </row>
    <row r="3656" spans="12:74">
      <c r="L3656" s="261"/>
      <c r="M3656" s="261"/>
      <c r="N3656" s="261"/>
      <c r="O3656" s="261"/>
      <c r="P3656" s="261"/>
      <c r="Q3656" s="261"/>
      <c r="BR3656" s="261"/>
      <c r="BS3656" s="261"/>
      <c r="BT3656" s="261"/>
      <c r="BU3656" s="261"/>
      <c r="BV3656" s="261"/>
    </row>
    <row r="3657" spans="12:74">
      <c r="L3657" s="261"/>
      <c r="M3657" s="261"/>
      <c r="N3657" s="261"/>
      <c r="O3657" s="261"/>
      <c r="P3657" s="261"/>
      <c r="Q3657" s="261"/>
      <c r="BR3657" s="261"/>
      <c r="BS3657" s="261"/>
      <c r="BT3657" s="261"/>
      <c r="BU3657" s="261"/>
      <c r="BV3657" s="261"/>
    </row>
    <row r="3658" spans="12:74">
      <c r="L3658" s="261"/>
      <c r="M3658" s="261"/>
      <c r="N3658" s="261"/>
      <c r="O3658" s="261"/>
      <c r="P3658" s="261"/>
      <c r="Q3658" s="261"/>
      <c r="BR3658" s="261"/>
      <c r="BS3658" s="261"/>
      <c r="BT3658" s="261"/>
      <c r="BU3658" s="261"/>
      <c r="BV3658" s="261"/>
    </row>
    <row r="3659" spans="12:74">
      <c r="L3659" s="261"/>
      <c r="M3659" s="261"/>
      <c r="N3659" s="261"/>
      <c r="O3659" s="261"/>
      <c r="P3659" s="261"/>
      <c r="Q3659" s="261"/>
      <c r="BR3659" s="261"/>
      <c r="BS3659" s="261"/>
      <c r="BT3659" s="261"/>
      <c r="BU3659" s="261"/>
      <c r="BV3659" s="261"/>
    </row>
    <row r="3660" spans="12:74">
      <c r="L3660" s="261"/>
      <c r="M3660" s="261"/>
      <c r="N3660" s="261"/>
      <c r="O3660" s="261"/>
      <c r="P3660" s="261"/>
      <c r="Q3660" s="261"/>
      <c r="BR3660" s="261"/>
      <c r="BS3660" s="261"/>
      <c r="BT3660" s="261"/>
      <c r="BU3660" s="261"/>
      <c r="BV3660" s="261"/>
    </row>
    <row r="3661" spans="12:74">
      <c r="L3661" s="261"/>
      <c r="M3661" s="261"/>
      <c r="N3661" s="261"/>
      <c r="O3661" s="261"/>
      <c r="P3661" s="261"/>
      <c r="Q3661" s="261"/>
      <c r="BR3661" s="261"/>
      <c r="BS3661" s="261"/>
      <c r="BT3661" s="261"/>
      <c r="BU3661" s="261"/>
      <c r="BV3661" s="261"/>
    </row>
    <row r="3662" spans="12:74">
      <c r="L3662" s="261"/>
      <c r="M3662" s="261"/>
      <c r="N3662" s="261"/>
      <c r="O3662" s="261"/>
      <c r="P3662" s="261"/>
      <c r="Q3662" s="261"/>
      <c r="BR3662" s="261"/>
      <c r="BS3662" s="261"/>
      <c r="BT3662" s="261"/>
      <c r="BU3662" s="261"/>
      <c r="BV3662" s="261"/>
    </row>
    <row r="3663" spans="12:74">
      <c r="L3663" s="261"/>
      <c r="M3663" s="261"/>
      <c r="N3663" s="261"/>
      <c r="O3663" s="261"/>
      <c r="P3663" s="261"/>
      <c r="Q3663" s="261"/>
      <c r="BR3663" s="261"/>
      <c r="BS3663" s="261"/>
      <c r="BT3663" s="261"/>
      <c r="BU3663" s="261"/>
      <c r="BV3663" s="261"/>
    </row>
    <row r="3664" spans="12:74">
      <c r="L3664" s="261"/>
      <c r="M3664" s="261"/>
      <c r="N3664" s="261"/>
      <c r="O3664" s="261"/>
      <c r="P3664" s="261"/>
      <c r="Q3664" s="261"/>
      <c r="BR3664" s="261"/>
      <c r="BS3664" s="261"/>
      <c r="BT3664" s="261"/>
      <c r="BU3664" s="261"/>
      <c r="BV3664" s="261"/>
    </row>
    <row r="3665" spans="12:74">
      <c r="L3665" s="261"/>
      <c r="M3665" s="261"/>
      <c r="N3665" s="261"/>
      <c r="O3665" s="261"/>
      <c r="P3665" s="261"/>
      <c r="Q3665" s="261"/>
      <c r="BR3665" s="261"/>
      <c r="BS3665" s="261"/>
      <c r="BT3665" s="261"/>
      <c r="BU3665" s="261"/>
      <c r="BV3665" s="261"/>
    </row>
    <row r="3666" spans="12:74">
      <c r="L3666" s="261"/>
      <c r="M3666" s="261"/>
      <c r="N3666" s="261"/>
      <c r="O3666" s="261"/>
      <c r="P3666" s="261"/>
      <c r="Q3666" s="261"/>
      <c r="BR3666" s="261"/>
      <c r="BS3666" s="261"/>
      <c r="BT3666" s="261"/>
      <c r="BU3666" s="261"/>
      <c r="BV3666" s="261"/>
    </row>
    <row r="3667" spans="12:74">
      <c r="L3667" s="261"/>
      <c r="M3667" s="261"/>
      <c r="N3667" s="261"/>
      <c r="O3667" s="261"/>
      <c r="P3667" s="261"/>
      <c r="Q3667" s="261"/>
      <c r="BR3667" s="261"/>
      <c r="BS3667" s="261"/>
      <c r="BT3667" s="261"/>
      <c r="BU3667" s="261"/>
      <c r="BV3667" s="261"/>
    </row>
    <row r="3668" spans="12:74">
      <c r="L3668" s="261"/>
      <c r="M3668" s="261"/>
      <c r="N3668" s="261"/>
      <c r="O3668" s="261"/>
      <c r="P3668" s="261"/>
      <c r="Q3668" s="261"/>
      <c r="BR3668" s="261"/>
      <c r="BS3668" s="261"/>
      <c r="BT3668" s="261"/>
      <c r="BU3668" s="261"/>
      <c r="BV3668" s="261"/>
    </row>
    <row r="3669" spans="12:74">
      <c r="L3669" s="261"/>
      <c r="M3669" s="261"/>
      <c r="N3669" s="261"/>
      <c r="O3669" s="261"/>
      <c r="P3669" s="261"/>
      <c r="Q3669" s="261"/>
      <c r="BR3669" s="261"/>
      <c r="BS3669" s="261"/>
      <c r="BT3669" s="261"/>
      <c r="BU3669" s="261"/>
      <c r="BV3669" s="261"/>
    </row>
    <row r="3670" spans="12:74">
      <c r="L3670" s="261"/>
      <c r="M3670" s="261"/>
      <c r="N3670" s="261"/>
      <c r="O3670" s="261"/>
      <c r="P3670" s="261"/>
      <c r="Q3670" s="261"/>
      <c r="BR3670" s="261"/>
      <c r="BS3670" s="261"/>
      <c r="BT3670" s="261"/>
      <c r="BU3670" s="261"/>
      <c r="BV3670" s="261"/>
    </row>
    <row r="3671" spans="12:74">
      <c r="L3671" s="261"/>
      <c r="M3671" s="261"/>
      <c r="N3671" s="261"/>
      <c r="O3671" s="261"/>
      <c r="P3671" s="261"/>
      <c r="Q3671" s="261"/>
      <c r="BR3671" s="261"/>
      <c r="BS3671" s="261"/>
      <c r="BT3671" s="261"/>
      <c r="BU3671" s="261"/>
      <c r="BV3671" s="261"/>
    </row>
    <row r="3672" spans="12:74">
      <c r="L3672" s="261"/>
      <c r="M3672" s="261"/>
      <c r="N3672" s="261"/>
      <c r="O3672" s="261"/>
      <c r="P3672" s="261"/>
      <c r="Q3672" s="261"/>
      <c r="BR3672" s="261"/>
      <c r="BS3672" s="261"/>
      <c r="BT3672" s="261"/>
      <c r="BU3672" s="261"/>
      <c r="BV3672" s="261"/>
    </row>
    <row r="3673" spans="12:74">
      <c r="L3673" s="261"/>
      <c r="M3673" s="261"/>
      <c r="N3673" s="261"/>
      <c r="O3673" s="261"/>
      <c r="P3673" s="261"/>
      <c r="Q3673" s="261"/>
      <c r="BR3673" s="261"/>
      <c r="BS3673" s="261"/>
      <c r="BT3673" s="261"/>
      <c r="BU3673" s="261"/>
      <c r="BV3673" s="261"/>
    </row>
    <row r="3674" spans="12:74">
      <c r="L3674" s="261"/>
      <c r="M3674" s="261"/>
      <c r="N3674" s="261"/>
      <c r="O3674" s="261"/>
      <c r="P3674" s="261"/>
      <c r="Q3674" s="261"/>
      <c r="BR3674" s="261"/>
      <c r="BS3674" s="261"/>
      <c r="BT3674" s="261"/>
      <c r="BU3674" s="261"/>
      <c r="BV3674" s="261"/>
    </row>
    <row r="3675" spans="12:74">
      <c r="L3675" s="261"/>
      <c r="M3675" s="261"/>
      <c r="N3675" s="261"/>
      <c r="O3675" s="261"/>
      <c r="P3675" s="261"/>
      <c r="Q3675" s="261"/>
      <c r="BR3675" s="261"/>
      <c r="BS3675" s="261"/>
      <c r="BT3675" s="261"/>
      <c r="BU3675" s="261"/>
      <c r="BV3675" s="261"/>
    </row>
    <row r="3676" spans="12:74">
      <c r="L3676" s="261"/>
      <c r="M3676" s="261"/>
      <c r="N3676" s="261"/>
      <c r="O3676" s="261"/>
      <c r="P3676" s="261"/>
      <c r="Q3676" s="261"/>
      <c r="BR3676" s="261"/>
      <c r="BS3676" s="261"/>
      <c r="BT3676" s="261"/>
      <c r="BU3676" s="261"/>
      <c r="BV3676" s="261"/>
    </row>
    <row r="3677" spans="12:74">
      <c r="L3677" s="261"/>
      <c r="M3677" s="261"/>
      <c r="N3677" s="261"/>
      <c r="O3677" s="261"/>
      <c r="P3677" s="261"/>
      <c r="Q3677" s="261"/>
      <c r="BR3677" s="261"/>
      <c r="BS3677" s="261"/>
      <c r="BT3677" s="261"/>
      <c r="BU3677" s="261"/>
      <c r="BV3677" s="261"/>
    </row>
    <row r="3678" spans="12:74">
      <c r="L3678" s="261"/>
      <c r="M3678" s="261"/>
      <c r="N3678" s="261"/>
      <c r="O3678" s="261"/>
      <c r="P3678" s="261"/>
      <c r="Q3678" s="261"/>
      <c r="BR3678" s="261"/>
      <c r="BS3678" s="261"/>
      <c r="BT3678" s="261"/>
      <c r="BU3678" s="261"/>
      <c r="BV3678" s="261"/>
    </row>
    <row r="3679" spans="12:74">
      <c r="L3679" s="261"/>
      <c r="M3679" s="261"/>
      <c r="N3679" s="261"/>
      <c r="O3679" s="261"/>
      <c r="P3679" s="261"/>
      <c r="Q3679" s="261"/>
      <c r="BR3679" s="261"/>
      <c r="BS3679" s="261"/>
      <c r="BT3679" s="261"/>
      <c r="BU3679" s="261"/>
      <c r="BV3679" s="261"/>
    </row>
    <row r="3680" spans="12:74">
      <c r="L3680" s="261"/>
      <c r="M3680" s="261"/>
      <c r="N3680" s="261"/>
      <c r="O3680" s="261"/>
      <c r="P3680" s="261"/>
      <c r="Q3680" s="261"/>
      <c r="BR3680" s="261"/>
      <c r="BS3680" s="261"/>
      <c r="BT3680" s="261"/>
      <c r="BU3680" s="261"/>
      <c r="BV3680" s="261"/>
    </row>
    <row r="3681" spans="12:74">
      <c r="L3681" s="261"/>
      <c r="M3681" s="261"/>
      <c r="N3681" s="261"/>
      <c r="O3681" s="261"/>
      <c r="P3681" s="261"/>
      <c r="Q3681" s="261"/>
      <c r="BR3681" s="261"/>
      <c r="BS3681" s="261"/>
      <c r="BT3681" s="261"/>
      <c r="BU3681" s="261"/>
      <c r="BV3681" s="261"/>
    </row>
    <row r="3682" spans="12:74">
      <c r="L3682" s="261"/>
      <c r="M3682" s="261"/>
      <c r="N3682" s="261"/>
      <c r="O3682" s="261"/>
      <c r="P3682" s="261"/>
      <c r="Q3682" s="261"/>
      <c r="BR3682" s="261"/>
      <c r="BS3682" s="261"/>
      <c r="BT3682" s="261"/>
      <c r="BU3682" s="261"/>
      <c r="BV3682" s="261"/>
    </row>
    <row r="3683" spans="12:74">
      <c r="L3683" s="261"/>
      <c r="M3683" s="261"/>
      <c r="N3683" s="261"/>
      <c r="O3683" s="261"/>
      <c r="P3683" s="261"/>
      <c r="Q3683" s="261"/>
      <c r="BR3683" s="261"/>
      <c r="BS3683" s="261"/>
      <c r="BT3683" s="261"/>
      <c r="BU3683" s="261"/>
      <c r="BV3683" s="261"/>
    </row>
    <row r="3684" spans="12:74">
      <c r="L3684" s="261"/>
      <c r="M3684" s="261"/>
      <c r="N3684" s="261"/>
      <c r="O3684" s="261"/>
      <c r="P3684" s="261"/>
      <c r="Q3684" s="261"/>
      <c r="BR3684" s="261"/>
      <c r="BS3684" s="261"/>
      <c r="BT3684" s="261"/>
      <c r="BU3684" s="261"/>
      <c r="BV3684" s="261"/>
    </row>
    <row r="3685" spans="12:74">
      <c r="L3685" s="261"/>
      <c r="M3685" s="261"/>
      <c r="N3685" s="261"/>
      <c r="O3685" s="261"/>
      <c r="P3685" s="261"/>
      <c r="Q3685" s="261"/>
      <c r="BR3685" s="261"/>
      <c r="BS3685" s="261"/>
      <c r="BT3685" s="261"/>
      <c r="BU3685" s="261"/>
      <c r="BV3685" s="261"/>
    </row>
    <row r="3686" spans="12:74">
      <c r="L3686" s="261"/>
      <c r="M3686" s="261"/>
      <c r="N3686" s="261"/>
      <c r="O3686" s="261"/>
      <c r="P3686" s="261"/>
      <c r="Q3686" s="261"/>
      <c r="BR3686" s="261"/>
      <c r="BS3686" s="261"/>
      <c r="BT3686" s="261"/>
      <c r="BU3686" s="261"/>
      <c r="BV3686" s="261"/>
    </row>
    <row r="3687" spans="12:74">
      <c r="L3687" s="261"/>
      <c r="M3687" s="261"/>
      <c r="N3687" s="261"/>
      <c r="O3687" s="261"/>
      <c r="P3687" s="261"/>
      <c r="Q3687" s="261"/>
      <c r="BR3687" s="261"/>
      <c r="BS3687" s="261"/>
      <c r="BT3687" s="261"/>
      <c r="BU3687" s="261"/>
      <c r="BV3687" s="261"/>
    </row>
    <row r="3688" spans="12:74">
      <c r="L3688" s="261"/>
      <c r="M3688" s="261"/>
      <c r="N3688" s="261"/>
      <c r="O3688" s="261"/>
      <c r="P3688" s="261"/>
      <c r="Q3688" s="261"/>
      <c r="BR3688" s="261"/>
      <c r="BS3688" s="261"/>
      <c r="BT3688" s="261"/>
      <c r="BU3688" s="261"/>
      <c r="BV3688" s="261"/>
    </row>
    <row r="3689" spans="12:74">
      <c r="L3689" s="261"/>
      <c r="M3689" s="261"/>
      <c r="N3689" s="261"/>
      <c r="O3689" s="261"/>
      <c r="P3689" s="261"/>
      <c r="Q3689" s="261"/>
      <c r="BR3689" s="261"/>
      <c r="BS3689" s="261"/>
      <c r="BT3689" s="261"/>
      <c r="BU3689" s="261"/>
      <c r="BV3689" s="261"/>
    </row>
    <row r="3690" spans="12:74">
      <c r="L3690" s="261"/>
      <c r="M3690" s="261"/>
      <c r="N3690" s="261"/>
      <c r="O3690" s="261"/>
      <c r="P3690" s="261"/>
      <c r="Q3690" s="261"/>
      <c r="BR3690" s="261"/>
      <c r="BS3690" s="261"/>
      <c r="BT3690" s="261"/>
      <c r="BU3690" s="261"/>
      <c r="BV3690" s="261"/>
    </row>
    <row r="3691" spans="12:74">
      <c r="L3691" s="261"/>
      <c r="M3691" s="261"/>
      <c r="N3691" s="261"/>
      <c r="O3691" s="261"/>
      <c r="P3691" s="261"/>
      <c r="Q3691" s="261"/>
      <c r="BR3691" s="261"/>
      <c r="BS3691" s="261"/>
      <c r="BT3691" s="261"/>
      <c r="BU3691" s="261"/>
      <c r="BV3691" s="261"/>
    </row>
    <row r="3692" spans="12:74">
      <c r="L3692" s="261"/>
      <c r="M3692" s="261"/>
      <c r="N3692" s="261"/>
      <c r="O3692" s="261"/>
      <c r="P3692" s="261"/>
      <c r="Q3692" s="261"/>
      <c r="BR3692" s="261"/>
      <c r="BS3692" s="261"/>
      <c r="BT3692" s="261"/>
      <c r="BU3692" s="261"/>
      <c r="BV3692" s="261"/>
    </row>
    <row r="3693" spans="12:74">
      <c r="L3693" s="261"/>
      <c r="M3693" s="261"/>
      <c r="N3693" s="261"/>
      <c r="O3693" s="261"/>
      <c r="P3693" s="261"/>
      <c r="Q3693" s="261"/>
      <c r="BR3693" s="261"/>
      <c r="BS3693" s="261"/>
      <c r="BT3693" s="261"/>
      <c r="BU3693" s="261"/>
      <c r="BV3693" s="261"/>
    </row>
    <row r="3694" spans="12:74">
      <c r="L3694" s="261"/>
      <c r="M3694" s="261"/>
      <c r="N3694" s="261"/>
      <c r="O3694" s="261"/>
      <c r="P3694" s="261"/>
      <c r="Q3694" s="261"/>
      <c r="BR3694" s="261"/>
      <c r="BS3694" s="261"/>
      <c r="BT3694" s="261"/>
      <c r="BU3694" s="261"/>
      <c r="BV3694" s="261"/>
    </row>
    <row r="3695" spans="12:74">
      <c r="L3695" s="261"/>
      <c r="M3695" s="261"/>
      <c r="N3695" s="261"/>
      <c r="O3695" s="261"/>
      <c r="P3695" s="261"/>
      <c r="Q3695" s="261"/>
      <c r="BR3695" s="261"/>
      <c r="BS3695" s="261"/>
      <c r="BT3695" s="261"/>
      <c r="BU3695" s="261"/>
      <c r="BV3695" s="261"/>
    </row>
    <row r="3696" spans="12:74">
      <c r="L3696" s="261"/>
      <c r="M3696" s="261"/>
      <c r="N3696" s="261"/>
      <c r="O3696" s="261"/>
      <c r="P3696" s="261"/>
      <c r="Q3696" s="261"/>
      <c r="BR3696" s="261"/>
      <c r="BS3696" s="261"/>
      <c r="BT3696" s="261"/>
      <c r="BU3696" s="261"/>
      <c r="BV3696" s="261"/>
    </row>
    <row r="3697" spans="12:74">
      <c r="L3697" s="261"/>
      <c r="M3697" s="261"/>
      <c r="N3697" s="261"/>
      <c r="O3697" s="261"/>
      <c r="P3697" s="261"/>
      <c r="Q3697" s="261"/>
      <c r="BR3697" s="261"/>
      <c r="BS3697" s="261"/>
      <c r="BT3697" s="261"/>
      <c r="BU3697" s="261"/>
      <c r="BV3697" s="261"/>
    </row>
    <row r="3698" spans="12:74">
      <c r="L3698" s="261"/>
      <c r="M3698" s="261"/>
      <c r="N3698" s="261"/>
      <c r="O3698" s="261"/>
      <c r="P3698" s="261"/>
      <c r="Q3698" s="261"/>
      <c r="BR3698" s="261"/>
      <c r="BS3698" s="261"/>
      <c r="BT3698" s="261"/>
      <c r="BU3698" s="261"/>
      <c r="BV3698" s="261"/>
    </row>
    <row r="3699" spans="12:74">
      <c r="L3699" s="261"/>
      <c r="M3699" s="261"/>
      <c r="N3699" s="261"/>
      <c r="O3699" s="261"/>
      <c r="P3699" s="261"/>
      <c r="Q3699" s="261"/>
      <c r="BR3699" s="261"/>
      <c r="BS3699" s="261"/>
      <c r="BT3699" s="261"/>
      <c r="BU3699" s="261"/>
      <c r="BV3699" s="261"/>
    </row>
    <row r="3700" spans="12:74">
      <c r="L3700" s="261"/>
      <c r="M3700" s="261"/>
      <c r="N3700" s="261"/>
      <c r="O3700" s="261"/>
      <c r="P3700" s="261"/>
      <c r="Q3700" s="261"/>
      <c r="BR3700" s="261"/>
      <c r="BS3700" s="261"/>
      <c r="BT3700" s="261"/>
      <c r="BU3700" s="261"/>
      <c r="BV3700" s="261"/>
    </row>
    <row r="3701" spans="12:74">
      <c r="L3701" s="261"/>
      <c r="M3701" s="261"/>
      <c r="N3701" s="261"/>
      <c r="O3701" s="261"/>
      <c r="P3701" s="261"/>
      <c r="Q3701" s="261"/>
      <c r="BR3701" s="261"/>
      <c r="BS3701" s="261"/>
      <c r="BT3701" s="261"/>
      <c r="BU3701" s="261"/>
      <c r="BV3701" s="261"/>
    </row>
    <row r="3702" spans="12:74">
      <c r="L3702" s="261"/>
      <c r="M3702" s="261"/>
      <c r="N3702" s="261"/>
      <c r="O3702" s="261"/>
      <c r="P3702" s="261"/>
      <c r="Q3702" s="261"/>
      <c r="BR3702" s="261"/>
      <c r="BS3702" s="261"/>
      <c r="BT3702" s="261"/>
      <c r="BU3702" s="261"/>
      <c r="BV3702" s="261"/>
    </row>
    <row r="3703" spans="12:74">
      <c r="L3703" s="261"/>
      <c r="M3703" s="261"/>
      <c r="N3703" s="261"/>
      <c r="O3703" s="261"/>
      <c r="P3703" s="261"/>
      <c r="Q3703" s="261"/>
      <c r="BR3703" s="261"/>
      <c r="BS3703" s="261"/>
      <c r="BT3703" s="261"/>
      <c r="BU3703" s="261"/>
      <c r="BV3703" s="261"/>
    </row>
    <row r="3704" spans="12:74">
      <c r="L3704" s="261"/>
      <c r="M3704" s="261"/>
      <c r="N3704" s="261"/>
      <c r="O3704" s="261"/>
      <c r="P3704" s="261"/>
      <c r="Q3704" s="261"/>
      <c r="BR3704" s="261"/>
      <c r="BS3704" s="261"/>
      <c r="BT3704" s="261"/>
      <c r="BU3704" s="261"/>
      <c r="BV3704" s="261"/>
    </row>
    <row r="3705" spans="12:74">
      <c r="L3705" s="261"/>
      <c r="M3705" s="261"/>
      <c r="N3705" s="261"/>
      <c r="O3705" s="261"/>
      <c r="P3705" s="261"/>
      <c r="Q3705" s="261"/>
      <c r="BR3705" s="261"/>
      <c r="BS3705" s="261"/>
      <c r="BT3705" s="261"/>
      <c r="BU3705" s="261"/>
      <c r="BV3705" s="261"/>
    </row>
    <row r="3706" spans="12:74">
      <c r="L3706" s="261"/>
      <c r="M3706" s="261"/>
      <c r="N3706" s="261"/>
      <c r="O3706" s="261"/>
      <c r="P3706" s="261"/>
      <c r="Q3706" s="261"/>
      <c r="BR3706" s="261"/>
      <c r="BS3706" s="261"/>
      <c r="BT3706" s="261"/>
      <c r="BU3706" s="261"/>
      <c r="BV3706" s="261"/>
    </row>
    <row r="3707" spans="12:74">
      <c r="L3707" s="261"/>
      <c r="M3707" s="261"/>
      <c r="N3707" s="261"/>
      <c r="O3707" s="261"/>
      <c r="P3707" s="261"/>
      <c r="Q3707" s="261"/>
      <c r="BR3707" s="261"/>
      <c r="BS3707" s="261"/>
      <c r="BT3707" s="261"/>
      <c r="BU3707" s="261"/>
      <c r="BV3707" s="261"/>
    </row>
    <row r="3708" spans="12:74">
      <c r="L3708" s="261"/>
      <c r="M3708" s="261"/>
      <c r="N3708" s="261"/>
      <c r="O3708" s="261"/>
      <c r="P3708" s="261"/>
      <c r="Q3708" s="261"/>
      <c r="BR3708" s="261"/>
      <c r="BS3708" s="261"/>
      <c r="BT3708" s="261"/>
      <c r="BU3708" s="261"/>
      <c r="BV3708" s="261"/>
    </row>
    <row r="3709" spans="12:74">
      <c r="L3709" s="261"/>
      <c r="M3709" s="261"/>
      <c r="N3709" s="261"/>
      <c r="O3709" s="261"/>
      <c r="P3709" s="261"/>
      <c r="Q3709" s="261"/>
      <c r="BR3709" s="261"/>
      <c r="BS3709" s="261"/>
      <c r="BT3709" s="261"/>
      <c r="BU3709" s="261"/>
      <c r="BV3709" s="261"/>
    </row>
    <row r="3710" spans="12:74">
      <c r="L3710" s="261"/>
      <c r="M3710" s="261"/>
      <c r="N3710" s="261"/>
      <c r="O3710" s="261"/>
      <c r="P3710" s="261"/>
      <c r="Q3710" s="261"/>
      <c r="BR3710" s="261"/>
      <c r="BS3710" s="261"/>
      <c r="BT3710" s="261"/>
      <c r="BU3710" s="261"/>
      <c r="BV3710" s="261"/>
    </row>
    <row r="3711" spans="12:74">
      <c r="L3711" s="261"/>
      <c r="M3711" s="261"/>
      <c r="N3711" s="261"/>
      <c r="O3711" s="261"/>
      <c r="P3711" s="261"/>
      <c r="Q3711" s="261"/>
      <c r="BR3711" s="261"/>
      <c r="BS3711" s="261"/>
      <c r="BT3711" s="261"/>
      <c r="BU3711" s="261"/>
      <c r="BV3711" s="261"/>
    </row>
    <row r="3712" spans="12:74">
      <c r="L3712" s="261"/>
      <c r="M3712" s="261"/>
      <c r="N3712" s="261"/>
      <c r="O3712" s="261"/>
      <c r="P3712" s="261"/>
      <c r="Q3712" s="261"/>
      <c r="BR3712" s="261"/>
      <c r="BS3712" s="261"/>
      <c r="BT3712" s="261"/>
      <c r="BU3712" s="261"/>
      <c r="BV3712" s="261"/>
    </row>
    <row r="3713" spans="12:74">
      <c r="L3713" s="261"/>
      <c r="M3713" s="261"/>
      <c r="N3713" s="261"/>
      <c r="O3713" s="261"/>
      <c r="P3713" s="261"/>
      <c r="Q3713" s="261"/>
      <c r="BR3713" s="261"/>
      <c r="BS3713" s="261"/>
      <c r="BT3713" s="261"/>
      <c r="BU3713" s="261"/>
      <c r="BV3713" s="261"/>
    </row>
    <row r="3714" spans="12:74">
      <c r="L3714" s="261"/>
      <c r="M3714" s="261"/>
      <c r="N3714" s="261"/>
      <c r="O3714" s="261"/>
      <c r="P3714" s="261"/>
      <c r="Q3714" s="261"/>
      <c r="BR3714" s="261"/>
      <c r="BS3714" s="261"/>
      <c r="BT3714" s="261"/>
      <c r="BU3714" s="261"/>
      <c r="BV3714" s="261"/>
    </row>
    <row r="3715" spans="12:74">
      <c r="L3715" s="261"/>
      <c r="M3715" s="261"/>
      <c r="N3715" s="261"/>
      <c r="O3715" s="261"/>
      <c r="P3715" s="261"/>
      <c r="Q3715" s="261"/>
      <c r="BR3715" s="261"/>
      <c r="BS3715" s="261"/>
      <c r="BT3715" s="261"/>
      <c r="BU3715" s="261"/>
      <c r="BV3715" s="261"/>
    </row>
    <row r="3716" spans="12:74">
      <c r="L3716" s="261"/>
      <c r="M3716" s="261"/>
      <c r="N3716" s="261"/>
      <c r="O3716" s="261"/>
      <c r="P3716" s="261"/>
      <c r="Q3716" s="261"/>
      <c r="BR3716" s="261"/>
      <c r="BS3716" s="261"/>
      <c r="BT3716" s="261"/>
      <c r="BU3716" s="261"/>
      <c r="BV3716" s="261"/>
    </row>
    <row r="3717" spans="12:74">
      <c r="L3717" s="261"/>
      <c r="M3717" s="261"/>
      <c r="N3717" s="261"/>
      <c r="O3717" s="261"/>
      <c r="P3717" s="261"/>
      <c r="Q3717" s="261"/>
      <c r="BR3717" s="261"/>
      <c r="BS3717" s="261"/>
      <c r="BT3717" s="261"/>
      <c r="BU3717" s="261"/>
      <c r="BV3717" s="261"/>
    </row>
    <row r="3718" spans="12:74">
      <c r="L3718" s="261"/>
      <c r="M3718" s="261"/>
      <c r="N3718" s="261"/>
      <c r="O3718" s="261"/>
      <c r="P3718" s="261"/>
      <c r="Q3718" s="261"/>
      <c r="BR3718" s="261"/>
      <c r="BS3718" s="261"/>
      <c r="BT3718" s="261"/>
      <c r="BU3718" s="261"/>
      <c r="BV3718" s="261"/>
    </row>
    <row r="3719" spans="12:74">
      <c r="L3719" s="261"/>
      <c r="M3719" s="261"/>
      <c r="N3719" s="261"/>
      <c r="O3719" s="261"/>
      <c r="P3719" s="261"/>
      <c r="Q3719" s="261"/>
      <c r="BR3719" s="261"/>
      <c r="BS3719" s="261"/>
      <c r="BT3719" s="261"/>
      <c r="BU3719" s="261"/>
      <c r="BV3719" s="261"/>
    </row>
    <row r="3720" spans="12:74">
      <c r="L3720" s="261"/>
      <c r="M3720" s="261"/>
      <c r="N3720" s="261"/>
      <c r="O3720" s="261"/>
      <c r="P3720" s="261"/>
      <c r="Q3720" s="261"/>
      <c r="BR3720" s="261"/>
      <c r="BS3720" s="261"/>
      <c r="BT3720" s="261"/>
      <c r="BU3720" s="261"/>
      <c r="BV3720" s="261"/>
    </row>
    <row r="3721" spans="12:74">
      <c r="L3721" s="261"/>
      <c r="M3721" s="261"/>
      <c r="N3721" s="261"/>
      <c r="O3721" s="261"/>
      <c r="P3721" s="261"/>
      <c r="Q3721" s="261"/>
      <c r="BR3721" s="261"/>
      <c r="BS3721" s="261"/>
      <c r="BT3721" s="261"/>
      <c r="BU3721" s="261"/>
      <c r="BV3721" s="261"/>
    </row>
    <row r="3722" spans="12:74">
      <c r="L3722" s="261"/>
      <c r="M3722" s="261"/>
      <c r="N3722" s="261"/>
      <c r="O3722" s="261"/>
      <c r="P3722" s="261"/>
      <c r="Q3722" s="261"/>
      <c r="BR3722" s="261"/>
      <c r="BS3722" s="261"/>
      <c r="BT3722" s="261"/>
      <c r="BU3722" s="261"/>
      <c r="BV3722" s="261"/>
    </row>
    <row r="3723" spans="12:74">
      <c r="L3723" s="261"/>
      <c r="M3723" s="261"/>
      <c r="N3723" s="261"/>
      <c r="O3723" s="261"/>
      <c r="P3723" s="261"/>
      <c r="Q3723" s="261"/>
      <c r="BR3723" s="261"/>
      <c r="BS3723" s="261"/>
      <c r="BT3723" s="261"/>
      <c r="BU3723" s="261"/>
      <c r="BV3723" s="261"/>
    </row>
    <row r="3724" spans="12:74">
      <c r="L3724" s="261"/>
      <c r="M3724" s="261"/>
      <c r="N3724" s="261"/>
      <c r="O3724" s="261"/>
      <c r="P3724" s="261"/>
      <c r="Q3724" s="261"/>
      <c r="BR3724" s="261"/>
      <c r="BS3724" s="261"/>
      <c r="BT3724" s="261"/>
      <c r="BU3724" s="261"/>
      <c r="BV3724" s="261"/>
    </row>
    <row r="3725" spans="12:74">
      <c r="L3725" s="261"/>
      <c r="M3725" s="261"/>
      <c r="N3725" s="261"/>
      <c r="O3725" s="261"/>
      <c r="P3725" s="261"/>
      <c r="Q3725" s="261"/>
      <c r="BR3725" s="261"/>
      <c r="BS3725" s="261"/>
      <c r="BT3725" s="261"/>
      <c r="BU3725" s="261"/>
      <c r="BV3725" s="261"/>
    </row>
    <row r="3726" spans="12:74">
      <c r="L3726" s="261"/>
      <c r="M3726" s="261"/>
      <c r="N3726" s="261"/>
      <c r="O3726" s="261"/>
      <c r="P3726" s="261"/>
      <c r="Q3726" s="261"/>
      <c r="BR3726" s="261"/>
      <c r="BS3726" s="261"/>
      <c r="BT3726" s="261"/>
      <c r="BU3726" s="261"/>
      <c r="BV3726" s="261"/>
    </row>
    <row r="3727" spans="12:74">
      <c r="L3727" s="261"/>
      <c r="M3727" s="261"/>
      <c r="N3727" s="261"/>
      <c r="O3727" s="261"/>
      <c r="P3727" s="261"/>
      <c r="Q3727" s="261"/>
      <c r="BR3727" s="261"/>
      <c r="BS3727" s="261"/>
      <c r="BT3727" s="261"/>
      <c r="BU3727" s="261"/>
      <c r="BV3727" s="261"/>
    </row>
    <row r="3728" spans="12:74">
      <c r="L3728" s="261"/>
      <c r="M3728" s="261"/>
      <c r="N3728" s="261"/>
      <c r="O3728" s="261"/>
      <c r="P3728" s="261"/>
      <c r="Q3728" s="261"/>
      <c r="BR3728" s="261"/>
      <c r="BS3728" s="261"/>
      <c r="BT3728" s="261"/>
      <c r="BU3728" s="261"/>
      <c r="BV3728" s="261"/>
    </row>
    <row r="3729" spans="12:74">
      <c r="L3729" s="261"/>
      <c r="M3729" s="261"/>
      <c r="N3729" s="261"/>
      <c r="O3729" s="261"/>
      <c r="P3729" s="261"/>
      <c r="Q3729" s="261"/>
      <c r="BR3729" s="261"/>
      <c r="BS3729" s="261"/>
      <c r="BT3729" s="261"/>
      <c r="BU3729" s="261"/>
      <c r="BV3729" s="261"/>
    </row>
    <row r="3730" spans="12:74">
      <c r="L3730" s="261"/>
      <c r="M3730" s="261"/>
      <c r="N3730" s="261"/>
      <c r="O3730" s="261"/>
      <c r="P3730" s="261"/>
      <c r="Q3730" s="261"/>
      <c r="BR3730" s="261"/>
      <c r="BS3730" s="261"/>
      <c r="BT3730" s="261"/>
      <c r="BU3730" s="261"/>
      <c r="BV3730" s="261"/>
    </row>
    <row r="3731" spans="12:74">
      <c r="L3731" s="261"/>
      <c r="M3731" s="261"/>
      <c r="N3731" s="261"/>
      <c r="O3731" s="261"/>
      <c r="P3731" s="261"/>
      <c r="Q3731" s="261"/>
      <c r="BR3731" s="261"/>
      <c r="BS3731" s="261"/>
      <c r="BT3731" s="261"/>
      <c r="BU3731" s="261"/>
      <c r="BV3731" s="261"/>
    </row>
    <row r="3732" spans="12:74">
      <c r="L3732" s="261"/>
      <c r="M3732" s="261"/>
      <c r="N3732" s="261"/>
      <c r="O3732" s="261"/>
      <c r="P3732" s="261"/>
      <c r="Q3732" s="261"/>
      <c r="BR3732" s="261"/>
      <c r="BS3732" s="261"/>
      <c r="BT3732" s="261"/>
      <c r="BU3732" s="261"/>
      <c r="BV3732" s="261"/>
    </row>
    <row r="3733" spans="12:74">
      <c r="L3733" s="261"/>
      <c r="M3733" s="261"/>
      <c r="N3733" s="261"/>
      <c r="O3733" s="261"/>
      <c r="P3733" s="261"/>
      <c r="Q3733" s="261"/>
      <c r="BR3733" s="261"/>
      <c r="BS3733" s="261"/>
      <c r="BT3733" s="261"/>
      <c r="BU3733" s="261"/>
      <c r="BV3733" s="261"/>
    </row>
    <row r="3734" spans="12:74">
      <c r="L3734" s="261"/>
      <c r="M3734" s="261"/>
      <c r="N3734" s="261"/>
      <c r="O3734" s="261"/>
      <c r="P3734" s="261"/>
      <c r="Q3734" s="261"/>
      <c r="BR3734" s="261"/>
      <c r="BS3734" s="261"/>
      <c r="BT3734" s="261"/>
      <c r="BU3734" s="261"/>
      <c r="BV3734" s="261"/>
    </row>
    <row r="3735" spans="12:74">
      <c r="L3735" s="261"/>
      <c r="M3735" s="261"/>
      <c r="N3735" s="261"/>
      <c r="O3735" s="261"/>
      <c r="P3735" s="261"/>
      <c r="Q3735" s="261"/>
      <c r="BR3735" s="261"/>
      <c r="BS3735" s="261"/>
      <c r="BT3735" s="261"/>
      <c r="BU3735" s="261"/>
      <c r="BV3735" s="261"/>
    </row>
    <row r="3736" spans="12:74">
      <c r="L3736" s="261"/>
      <c r="M3736" s="261"/>
      <c r="N3736" s="261"/>
      <c r="O3736" s="261"/>
      <c r="P3736" s="261"/>
      <c r="Q3736" s="261"/>
      <c r="BR3736" s="261"/>
      <c r="BS3736" s="261"/>
      <c r="BT3736" s="261"/>
      <c r="BU3736" s="261"/>
      <c r="BV3736" s="261"/>
    </row>
    <row r="3737" spans="12:74">
      <c r="L3737" s="261"/>
      <c r="M3737" s="261"/>
      <c r="N3737" s="261"/>
      <c r="O3737" s="261"/>
      <c r="P3737" s="261"/>
      <c r="Q3737" s="261"/>
      <c r="BR3737" s="261"/>
      <c r="BS3737" s="261"/>
      <c r="BT3737" s="261"/>
      <c r="BU3737" s="261"/>
      <c r="BV3737" s="261"/>
    </row>
    <row r="3738" spans="12:74">
      <c r="L3738" s="261"/>
      <c r="M3738" s="261"/>
      <c r="N3738" s="261"/>
      <c r="O3738" s="261"/>
      <c r="P3738" s="261"/>
      <c r="Q3738" s="261"/>
      <c r="BR3738" s="261"/>
      <c r="BS3738" s="261"/>
      <c r="BT3738" s="261"/>
      <c r="BU3738" s="261"/>
      <c r="BV3738" s="261"/>
    </row>
    <row r="3739" spans="12:74">
      <c r="L3739" s="261"/>
      <c r="M3739" s="261"/>
      <c r="N3739" s="261"/>
      <c r="O3739" s="261"/>
      <c r="P3739" s="261"/>
      <c r="Q3739" s="261"/>
      <c r="BR3739" s="261"/>
      <c r="BS3739" s="261"/>
      <c r="BT3739" s="261"/>
      <c r="BU3739" s="261"/>
      <c r="BV3739" s="261"/>
    </row>
    <row r="3740" spans="12:74">
      <c r="L3740" s="261"/>
      <c r="M3740" s="261"/>
      <c r="N3740" s="261"/>
      <c r="O3740" s="261"/>
      <c r="P3740" s="261"/>
      <c r="Q3740" s="261"/>
      <c r="BR3740" s="261"/>
      <c r="BS3740" s="261"/>
      <c r="BT3740" s="261"/>
      <c r="BU3740" s="261"/>
      <c r="BV3740" s="261"/>
    </row>
    <row r="3741" spans="12:74">
      <c r="L3741" s="261"/>
      <c r="M3741" s="261"/>
      <c r="N3741" s="261"/>
      <c r="O3741" s="261"/>
      <c r="P3741" s="261"/>
      <c r="Q3741" s="261"/>
      <c r="BR3741" s="261"/>
      <c r="BS3741" s="261"/>
      <c r="BT3741" s="261"/>
      <c r="BU3741" s="261"/>
      <c r="BV3741" s="261"/>
    </row>
    <row r="3742" spans="12:74">
      <c r="L3742" s="261"/>
      <c r="M3742" s="261"/>
      <c r="N3742" s="261"/>
      <c r="O3742" s="261"/>
      <c r="P3742" s="261"/>
      <c r="Q3742" s="261"/>
      <c r="BR3742" s="261"/>
      <c r="BS3742" s="261"/>
      <c r="BT3742" s="261"/>
      <c r="BU3742" s="261"/>
      <c r="BV3742" s="261"/>
    </row>
    <row r="3743" spans="12:74">
      <c r="L3743" s="261"/>
      <c r="M3743" s="261"/>
      <c r="N3743" s="261"/>
      <c r="O3743" s="261"/>
      <c r="P3743" s="261"/>
      <c r="Q3743" s="261"/>
      <c r="BR3743" s="261"/>
      <c r="BS3743" s="261"/>
      <c r="BT3743" s="261"/>
      <c r="BU3743" s="261"/>
      <c r="BV3743" s="261"/>
    </row>
    <row r="3744" spans="12:74">
      <c r="L3744" s="261"/>
      <c r="M3744" s="261"/>
      <c r="N3744" s="261"/>
      <c r="O3744" s="261"/>
      <c r="P3744" s="261"/>
      <c r="Q3744" s="261"/>
      <c r="BR3744" s="261"/>
      <c r="BS3744" s="261"/>
      <c r="BT3744" s="261"/>
      <c r="BU3744" s="261"/>
      <c r="BV3744" s="261"/>
    </row>
    <row r="3745" spans="12:74">
      <c r="L3745" s="261"/>
      <c r="M3745" s="261"/>
      <c r="N3745" s="261"/>
      <c r="O3745" s="261"/>
      <c r="P3745" s="261"/>
      <c r="Q3745" s="261"/>
      <c r="BR3745" s="261"/>
      <c r="BS3745" s="261"/>
      <c r="BT3745" s="261"/>
      <c r="BU3745" s="261"/>
      <c r="BV3745" s="261"/>
    </row>
    <row r="3746" spans="12:74">
      <c r="L3746" s="261"/>
      <c r="M3746" s="261"/>
      <c r="N3746" s="261"/>
      <c r="O3746" s="261"/>
      <c r="P3746" s="261"/>
      <c r="Q3746" s="261"/>
      <c r="BR3746" s="261"/>
      <c r="BS3746" s="261"/>
      <c r="BT3746" s="261"/>
      <c r="BU3746" s="261"/>
      <c r="BV3746" s="261"/>
    </row>
    <row r="3747" spans="12:74">
      <c r="L3747" s="261"/>
      <c r="M3747" s="261"/>
      <c r="N3747" s="261"/>
      <c r="O3747" s="261"/>
      <c r="P3747" s="261"/>
      <c r="Q3747" s="261"/>
      <c r="BR3747" s="261"/>
      <c r="BS3747" s="261"/>
      <c r="BT3747" s="261"/>
      <c r="BU3747" s="261"/>
      <c r="BV3747" s="261"/>
    </row>
    <row r="3748" spans="12:74">
      <c r="L3748" s="261"/>
      <c r="M3748" s="261"/>
      <c r="N3748" s="261"/>
      <c r="O3748" s="261"/>
      <c r="P3748" s="261"/>
      <c r="Q3748" s="261"/>
      <c r="BR3748" s="261"/>
      <c r="BS3748" s="261"/>
      <c r="BT3748" s="261"/>
      <c r="BU3748" s="261"/>
      <c r="BV3748" s="261"/>
    </row>
    <row r="3749" spans="12:74">
      <c r="L3749" s="261"/>
      <c r="M3749" s="261"/>
      <c r="N3749" s="261"/>
      <c r="O3749" s="261"/>
      <c r="P3749" s="261"/>
      <c r="Q3749" s="261"/>
      <c r="BR3749" s="261"/>
      <c r="BS3749" s="261"/>
      <c r="BT3749" s="261"/>
      <c r="BU3749" s="261"/>
      <c r="BV3749" s="261"/>
    </row>
    <row r="3750" spans="12:74">
      <c r="L3750" s="261"/>
      <c r="M3750" s="261"/>
      <c r="N3750" s="261"/>
      <c r="O3750" s="261"/>
      <c r="P3750" s="261"/>
      <c r="Q3750" s="261"/>
      <c r="BR3750" s="261"/>
      <c r="BS3750" s="261"/>
      <c r="BT3750" s="261"/>
      <c r="BU3750" s="261"/>
      <c r="BV3750" s="261"/>
    </row>
    <row r="3751" spans="12:74">
      <c r="L3751" s="261"/>
      <c r="M3751" s="261"/>
      <c r="N3751" s="261"/>
      <c r="O3751" s="261"/>
      <c r="P3751" s="261"/>
      <c r="Q3751" s="261"/>
      <c r="BR3751" s="261"/>
      <c r="BS3751" s="261"/>
      <c r="BT3751" s="261"/>
      <c r="BU3751" s="261"/>
      <c r="BV3751" s="261"/>
    </row>
    <row r="3752" spans="12:74">
      <c r="L3752" s="261"/>
      <c r="M3752" s="261"/>
      <c r="N3752" s="261"/>
      <c r="O3752" s="261"/>
      <c r="P3752" s="261"/>
      <c r="Q3752" s="261"/>
      <c r="BR3752" s="261"/>
      <c r="BS3752" s="261"/>
      <c r="BT3752" s="261"/>
      <c r="BU3752" s="261"/>
      <c r="BV3752" s="261"/>
    </row>
    <row r="3753" spans="12:74">
      <c r="L3753" s="261"/>
      <c r="M3753" s="261"/>
      <c r="N3753" s="261"/>
      <c r="O3753" s="261"/>
      <c r="P3753" s="261"/>
      <c r="Q3753" s="261"/>
      <c r="BR3753" s="261"/>
      <c r="BS3753" s="261"/>
      <c r="BT3753" s="261"/>
      <c r="BU3753" s="261"/>
      <c r="BV3753" s="261"/>
    </row>
    <row r="3754" spans="12:74">
      <c r="L3754" s="261"/>
      <c r="M3754" s="261"/>
      <c r="N3754" s="261"/>
      <c r="O3754" s="261"/>
      <c r="P3754" s="261"/>
      <c r="Q3754" s="261"/>
      <c r="BR3754" s="261"/>
      <c r="BS3754" s="261"/>
      <c r="BT3754" s="261"/>
      <c r="BU3754" s="261"/>
      <c r="BV3754" s="261"/>
    </row>
    <row r="3755" spans="12:74">
      <c r="L3755" s="261"/>
      <c r="M3755" s="261"/>
      <c r="N3755" s="261"/>
      <c r="O3755" s="261"/>
      <c r="P3755" s="261"/>
      <c r="Q3755" s="261"/>
      <c r="BR3755" s="261"/>
      <c r="BS3755" s="261"/>
      <c r="BT3755" s="261"/>
      <c r="BU3755" s="261"/>
      <c r="BV3755" s="261"/>
    </row>
    <row r="3756" spans="12:74">
      <c r="L3756" s="261"/>
      <c r="M3756" s="261"/>
      <c r="N3756" s="261"/>
      <c r="O3756" s="261"/>
      <c r="P3756" s="261"/>
      <c r="Q3756" s="261"/>
      <c r="BR3756" s="261"/>
      <c r="BS3756" s="261"/>
      <c r="BT3756" s="261"/>
      <c r="BU3756" s="261"/>
      <c r="BV3756" s="261"/>
    </row>
    <row r="3757" spans="12:74">
      <c r="L3757" s="261"/>
      <c r="M3757" s="261"/>
      <c r="N3757" s="261"/>
      <c r="O3757" s="261"/>
      <c r="P3757" s="261"/>
      <c r="Q3757" s="261"/>
      <c r="BR3757" s="261"/>
      <c r="BS3757" s="261"/>
      <c r="BT3757" s="261"/>
      <c r="BU3757" s="261"/>
      <c r="BV3757" s="261"/>
    </row>
    <row r="3758" spans="12:74">
      <c r="L3758" s="261"/>
      <c r="M3758" s="261"/>
      <c r="N3758" s="261"/>
      <c r="O3758" s="261"/>
      <c r="P3758" s="261"/>
      <c r="Q3758" s="261"/>
      <c r="BR3758" s="261"/>
      <c r="BS3758" s="261"/>
      <c r="BT3758" s="261"/>
      <c r="BU3758" s="261"/>
      <c r="BV3758" s="261"/>
    </row>
    <row r="3759" spans="12:74">
      <c r="L3759" s="261"/>
      <c r="M3759" s="261"/>
      <c r="N3759" s="261"/>
      <c r="O3759" s="261"/>
      <c r="P3759" s="261"/>
      <c r="Q3759" s="261"/>
      <c r="BR3759" s="261"/>
      <c r="BS3759" s="261"/>
      <c r="BT3759" s="261"/>
      <c r="BU3759" s="261"/>
      <c r="BV3759" s="261"/>
    </row>
    <row r="3760" spans="12:74">
      <c r="L3760" s="261"/>
      <c r="M3760" s="261"/>
      <c r="N3760" s="261"/>
      <c r="O3760" s="261"/>
      <c r="P3760" s="261"/>
      <c r="Q3760" s="261"/>
      <c r="BR3760" s="261"/>
      <c r="BS3760" s="261"/>
      <c r="BT3760" s="261"/>
      <c r="BU3760" s="261"/>
      <c r="BV3760" s="261"/>
    </row>
    <row r="3761" spans="12:74">
      <c r="L3761" s="261"/>
      <c r="M3761" s="261"/>
      <c r="N3761" s="261"/>
      <c r="O3761" s="261"/>
      <c r="P3761" s="261"/>
      <c r="Q3761" s="261"/>
      <c r="BR3761" s="261"/>
      <c r="BS3761" s="261"/>
      <c r="BT3761" s="261"/>
      <c r="BU3761" s="261"/>
      <c r="BV3761" s="261"/>
    </row>
    <row r="3762" spans="12:74">
      <c r="L3762" s="261"/>
      <c r="M3762" s="261"/>
      <c r="N3762" s="261"/>
      <c r="O3762" s="261"/>
      <c r="P3762" s="261"/>
      <c r="Q3762" s="261"/>
      <c r="BR3762" s="261"/>
      <c r="BS3762" s="261"/>
      <c r="BT3762" s="261"/>
      <c r="BU3762" s="261"/>
      <c r="BV3762" s="261"/>
    </row>
    <row r="3763" spans="12:74">
      <c r="L3763" s="261"/>
      <c r="M3763" s="261"/>
      <c r="N3763" s="261"/>
      <c r="O3763" s="261"/>
      <c r="P3763" s="261"/>
      <c r="Q3763" s="261"/>
      <c r="BR3763" s="261"/>
      <c r="BS3763" s="261"/>
      <c r="BT3763" s="261"/>
      <c r="BU3763" s="261"/>
      <c r="BV3763" s="261"/>
    </row>
    <row r="3764" spans="12:74">
      <c r="L3764" s="261"/>
      <c r="M3764" s="261"/>
      <c r="N3764" s="261"/>
      <c r="O3764" s="261"/>
      <c r="P3764" s="261"/>
      <c r="Q3764" s="261"/>
      <c r="BR3764" s="261"/>
      <c r="BS3764" s="261"/>
      <c r="BT3764" s="261"/>
      <c r="BU3764" s="261"/>
      <c r="BV3764" s="261"/>
    </row>
    <row r="3765" spans="12:74">
      <c r="L3765" s="261"/>
      <c r="M3765" s="261"/>
      <c r="N3765" s="261"/>
      <c r="O3765" s="261"/>
      <c r="P3765" s="261"/>
      <c r="Q3765" s="261"/>
      <c r="BR3765" s="261"/>
      <c r="BS3765" s="261"/>
      <c r="BT3765" s="261"/>
      <c r="BU3765" s="261"/>
      <c r="BV3765" s="261"/>
    </row>
    <row r="3766" spans="12:74">
      <c r="L3766" s="261"/>
      <c r="M3766" s="261"/>
      <c r="N3766" s="261"/>
      <c r="O3766" s="261"/>
      <c r="P3766" s="261"/>
      <c r="Q3766" s="261"/>
      <c r="BR3766" s="261"/>
      <c r="BS3766" s="261"/>
      <c r="BT3766" s="261"/>
      <c r="BU3766" s="261"/>
      <c r="BV3766" s="261"/>
    </row>
    <row r="3767" spans="12:74">
      <c r="L3767" s="261"/>
      <c r="M3767" s="261"/>
      <c r="N3767" s="261"/>
      <c r="O3767" s="261"/>
      <c r="P3767" s="261"/>
      <c r="Q3767" s="261"/>
      <c r="BR3767" s="261"/>
      <c r="BS3767" s="261"/>
      <c r="BT3767" s="261"/>
      <c r="BU3767" s="261"/>
      <c r="BV3767" s="261"/>
    </row>
    <row r="3768" spans="12:74">
      <c r="L3768" s="261"/>
      <c r="M3768" s="261"/>
      <c r="N3768" s="261"/>
      <c r="O3768" s="261"/>
      <c r="P3768" s="261"/>
      <c r="Q3768" s="261"/>
      <c r="BR3768" s="261"/>
      <c r="BS3768" s="261"/>
      <c r="BT3768" s="261"/>
      <c r="BU3768" s="261"/>
      <c r="BV3768" s="261"/>
    </row>
    <row r="3769" spans="12:74">
      <c r="L3769" s="261"/>
      <c r="M3769" s="261"/>
      <c r="N3769" s="261"/>
      <c r="O3769" s="261"/>
      <c r="P3769" s="261"/>
      <c r="Q3769" s="261"/>
      <c r="BR3769" s="261"/>
      <c r="BS3769" s="261"/>
      <c r="BT3769" s="261"/>
      <c r="BU3769" s="261"/>
      <c r="BV3769" s="261"/>
    </row>
    <row r="3770" spans="12:74">
      <c r="L3770" s="261"/>
      <c r="M3770" s="261"/>
      <c r="N3770" s="261"/>
      <c r="O3770" s="261"/>
      <c r="P3770" s="261"/>
      <c r="Q3770" s="261"/>
      <c r="BR3770" s="261"/>
      <c r="BS3770" s="261"/>
      <c r="BT3770" s="261"/>
      <c r="BU3770" s="261"/>
      <c r="BV3770" s="261"/>
    </row>
    <row r="3771" spans="12:74">
      <c r="L3771" s="261"/>
      <c r="M3771" s="261"/>
      <c r="N3771" s="261"/>
      <c r="O3771" s="261"/>
      <c r="P3771" s="261"/>
      <c r="Q3771" s="261"/>
      <c r="BR3771" s="261"/>
      <c r="BS3771" s="261"/>
      <c r="BT3771" s="261"/>
      <c r="BU3771" s="261"/>
      <c r="BV3771" s="261"/>
    </row>
    <row r="3772" spans="12:74">
      <c r="L3772" s="261"/>
      <c r="M3772" s="261"/>
      <c r="N3772" s="261"/>
      <c r="O3772" s="261"/>
      <c r="P3772" s="261"/>
      <c r="Q3772" s="261"/>
      <c r="BR3772" s="261"/>
      <c r="BS3772" s="261"/>
      <c r="BT3772" s="261"/>
      <c r="BU3772" s="261"/>
      <c r="BV3772" s="261"/>
    </row>
    <row r="3773" spans="12:74">
      <c r="L3773" s="261"/>
      <c r="M3773" s="261"/>
      <c r="N3773" s="261"/>
      <c r="O3773" s="261"/>
      <c r="P3773" s="261"/>
      <c r="Q3773" s="261"/>
      <c r="BR3773" s="261"/>
      <c r="BS3773" s="261"/>
      <c r="BT3773" s="261"/>
      <c r="BU3773" s="261"/>
      <c r="BV3773" s="261"/>
    </row>
    <row r="3774" spans="12:74">
      <c r="L3774" s="261"/>
      <c r="M3774" s="261"/>
      <c r="N3774" s="261"/>
      <c r="O3774" s="261"/>
      <c r="P3774" s="261"/>
      <c r="Q3774" s="261"/>
      <c r="BR3774" s="261"/>
      <c r="BS3774" s="261"/>
      <c r="BT3774" s="261"/>
      <c r="BU3774" s="261"/>
      <c r="BV3774" s="261"/>
    </row>
    <row r="3775" spans="12:74">
      <c r="L3775" s="261"/>
      <c r="M3775" s="261"/>
      <c r="N3775" s="261"/>
      <c r="O3775" s="261"/>
      <c r="P3775" s="261"/>
      <c r="Q3775" s="261"/>
      <c r="BR3775" s="261"/>
      <c r="BS3775" s="261"/>
      <c r="BT3775" s="261"/>
      <c r="BU3775" s="261"/>
      <c r="BV3775" s="261"/>
    </row>
    <row r="3776" spans="12:74">
      <c r="L3776" s="261"/>
      <c r="M3776" s="261"/>
      <c r="N3776" s="261"/>
      <c r="O3776" s="261"/>
      <c r="P3776" s="261"/>
      <c r="Q3776" s="261"/>
      <c r="BR3776" s="261"/>
      <c r="BS3776" s="261"/>
      <c r="BT3776" s="261"/>
      <c r="BU3776" s="261"/>
      <c r="BV3776" s="261"/>
    </row>
    <row r="3777" spans="12:74">
      <c r="L3777" s="261"/>
      <c r="M3777" s="261"/>
      <c r="N3777" s="261"/>
      <c r="O3777" s="261"/>
      <c r="P3777" s="261"/>
      <c r="Q3777" s="261"/>
      <c r="BR3777" s="261"/>
      <c r="BS3777" s="261"/>
      <c r="BT3777" s="261"/>
      <c r="BU3777" s="261"/>
      <c r="BV3777" s="261"/>
    </row>
    <row r="3778" spans="12:74">
      <c r="L3778" s="261"/>
      <c r="M3778" s="261"/>
      <c r="N3778" s="261"/>
      <c r="O3778" s="261"/>
      <c r="P3778" s="261"/>
      <c r="Q3778" s="261"/>
      <c r="BR3778" s="261"/>
      <c r="BS3778" s="261"/>
      <c r="BT3778" s="261"/>
      <c r="BU3778" s="261"/>
      <c r="BV3778" s="261"/>
    </row>
    <row r="3779" spans="12:74">
      <c r="L3779" s="261"/>
      <c r="M3779" s="261"/>
      <c r="N3779" s="261"/>
      <c r="O3779" s="261"/>
      <c r="P3779" s="261"/>
      <c r="Q3779" s="261"/>
      <c r="BR3779" s="261"/>
      <c r="BS3779" s="261"/>
      <c r="BT3779" s="261"/>
      <c r="BU3779" s="261"/>
      <c r="BV3779" s="261"/>
    </row>
    <row r="3780" spans="12:74">
      <c r="L3780" s="261"/>
      <c r="M3780" s="261"/>
      <c r="N3780" s="261"/>
      <c r="O3780" s="261"/>
      <c r="P3780" s="261"/>
      <c r="Q3780" s="261"/>
      <c r="BR3780" s="261"/>
      <c r="BS3780" s="261"/>
      <c r="BT3780" s="261"/>
      <c r="BU3780" s="261"/>
      <c r="BV3780" s="261"/>
    </row>
    <row r="3781" spans="12:74">
      <c r="L3781" s="261"/>
      <c r="M3781" s="261"/>
      <c r="N3781" s="261"/>
      <c r="O3781" s="261"/>
      <c r="P3781" s="261"/>
      <c r="Q3781" s="261"/>
      <c r="BR3781" s="261"/>
      <c r="BS3781" s="261"/>
      <c r="BT3781" s="261"/>
      <c r="BU3781" s="261"/>
      <c r="BV3781" s="261"/>
    </row>
    <row r="3782" spans="12:74">
      <c r="L3782" s="261"/>
      <c r="M3782" s="261"/>
      <c r="N3782" s="261"/>
      <c r="O3782" s="261"/>
      <c r="P3782" s="261"/>
      <c r="Q3782" s="261"/>
      <c r="BR3782" s="261"/>
      <c r="BS3782" s="261"/>
      <c r="BT3782" s="261"/>
      <c r="BU3782" s="261"/>
      <c r="BV3782" s="261"/>
    </row>
    <row r="3783" spans="12:74">
      <c r="L3783" s="261"/>
      <c r="M3783" s="261"/>
      <c r="N3783" s="261"/>
      <c r="O3783" s="261"/>
      <c r="P3783" s="261"/>
      <c r="Q3783" s="261"/>
      <c r="BR3783" s="261"/>
      <c r="BS3783" s="261"/>
      <c r="BT3783" s="261"/>
      <c r="BU3783" s="261"/>
      <c r="BV3783" s="261"/>
    </row>
    <row r="3784" spans="12:74">
      <c r="L3784" s="261"/>
      <c r="M3784" s="261"/>
      <c r="N3784" s="261"/>
      <c r="O3784" s="261"/>
      <c r="P3784" s="261"/>
      <c r="Q3784" s="261"/>
      <c r="BR3784" s="261"/>
      <c r="BS3784" s="261"/>
      <c r="BT3784" s="261"/>
      <c r="BU3784" s="261"/>
      <c r="BV3784" s="261"/>
    </row>
    <row r="3785" spans="12:74">
      <c r="L3785" s="261"/>
      <c r="M3785" s="261"/>
      <c r="N3785" s="261"/>
      <c r="O3785" s="261"/>
      <c r="P3785" s="261"/>
      <c r="Q3785" s="261"/>
      <c r="BR3785" s="261"/>
      <c r="BS3785" s="261"/>
      <c r="BT3785" s="261"/>
      <c r="BU3785" s="261"/>
      <c r="BV3785" s="261"/>
    </row>
    <row r="3786" spans="12:74">
      <c r="L3786" s="261"/>
      <c r="M3786" s="261"/>
      <c r="N3786" s="261"/>
      <c r="O3786" s="261"/>
      <c r="P3786" s="261"/>
      <c r="Q3786" s="261"/>
      <c r="BR3786" s="261"/>
      <c r="BS3786" s="261"/>
      <c r="BT3786" s="261"/>
      <c r="BU3786" s="261"/>
      <c r="BV3786" s="261"/>
    </row>
    <row r="3787" spans="12:74">
      <c r="L3787" s="261"/>
      <c r="M3787" s="261"/>
      <c r="N3787" s="261"/>
      <c r="O3787" s="261"/>
      <c r="P3787" s="261"/>
      <c r="Q3787" s="261"/>
      <c r="BR3787" s="261"/>
      <c r="BS3787" s="261"/>
      <c r="BT3787" s="261"/>
      <c r="BU3787" s="261"/>
      <c r="BV3787" s="261"/>
    </row>
    <row r="3788" spans="12:74">
      <c r="L3788" s="261"/>
      <c r="M3788" s="261"/>
      <c r="N3788" s="261"/>
      <c r="O3788" s="261"/>
      <c r="P3788" s="261"/>
      <c r="Q3788" s="261"/>
      <c r="BR3788" s="261"/>
      <c r="BS3788" s="261"/>
      <c r="BT3788" s="261"/>
      <c r="BU3788" s="261"/>
      <c r="BV3788" s="261"/>
    </row>
    <row r="3789" spans="12:74">
      <c r="L3789" s="261"/>
      <c r="M3789" s="261"/>
      <c r="N3789" s="261"/>
      <c r="O3789" s="261"/>
      <c r="P3789" s="261"/>
      <c r="Q3789" s="261"/>
      <c r="BR3789" s="261"/>
      <c r="BS3789" s="261"/>
      <c r="BT3789" s="261"/>
      <c r="BU3789" s="261"/>
      <c r="BV3789" s="261"/>
    </row>
    <row r="3790" spans="12:74">
      <c r="L3790" s="261"/>
      <c r="M3790" s="261"/>
      <c r="N3790" s="261"/>
      <c r="O3790" s="261"/>
      <c r="P3790" s="261"/>
      <c r="Q3790" s="261"/>
      <c r="BR3790" s="261"/>
      <c r="BS3790" s="261"/>
      <c r="BT3790" s="261"/>
      <c r="BU3790" s="261"/>
      <c r="BV3790" s="261"/>
    </row>
    <row r="3791" spans="12:74">
      <c r="L3791" s="261"/>
      <c r="M3791" s="261"/>
      <c r="N3791" s="261"/>
      <c r="O3791" s="261"/>
      <c r="P3791" s="261"/>
      <c r="Q3791" s="261"/>
      <c r="BR3791" s="261"/>
      <c r="BS3791" s="261"/>
      <c r="BT3791" s="261"/>
      <c r="BU3791" s="261"/>
      <c r="BV3791" s="261"/>
    </row>
    <row r="3792" spans="12:74">
      <c r="L3792" s="261"/>
      <c r="M3792" s="261"/>
      <c r="N3792" s="261"/>
      <c r="O3792" s="261"/>
      <c r="P3792" s="261"/>
      <c r="Q3792" s="261"/>
      <c r="BR3792" s="261"/>
      <c r="BS3792" s="261"/>
      <c r="BT3792" s="261"/>
      <c r="BU3792" s="261"/>
      <c r="BV3792" s="261"/>
    </row>
    <row r="3793" spans="12:74">
      <c r="L3793" s="261"/>
      <c r="M3793" s="261"/>
      <c r="N3793" s="261"/>
      <c r="O3793" s="261"/>
      <c r="P3793" s="261"/>
      <c r="Q3793" s="261"/>
      <c r="BR3793" s="261"/>
      <c r="BS3793" s="261"/>
      <c r="BT3793" s="261"/>
      <c r="BU3793" s="261"/>
      <c r="BV3793" s="261"/>
    </row>
    <row r="3794" spans="12:74">
      <c r="L3794" s="261"/>
      <c r="M3794" s="261"/>
      <c r="N3794" s="261"/>
      <c r="O3794" s="261"/>
      <c r="P3794" s="261"/>
      <c r="Q3794" s="261"/>
      <c r="BR3794" s="261"/>
      <c r="BS3794" s="261"/>
      <c r="BT3794" s="261"/>
      <c r="BU3794" s="261"/>
      <c r="BV3794" s="261"/>
    </row>
    <row r="3795" spans="12:74">
      <c r="L3795" s="261"/>
      <c r="M3795" s="261"/>
      <c r="N3795" s="261"/>
      <c r="O3795" s="261"/>
      <c r="P3795" s="261"/>
      <c r="Q3795" s="261"/>
      <c r="BR3795" s="261"/>
      <c r="BS3795" s="261"/>
      <c r="BT3795" s="261"/>
      <c r="BU3795" s="261"/>
      <c r="BV3795" s="261"/>
    </row>
    <row r="3796" spans="12:74">
      <c r="L3796" s="261"/>
      <c r="M3796" s="261"/>
      <c r="N3796" s="261"/>
      <c r="O3796" s="261"/>
      <c r="P3796" s="261"/>
      <c r="Q3796" s="261"/>
      <c r="BR3796" s="261"/>
      <c r="BS3796" s="261"/>
      <c r="BT3796" s="261"/>
      <c r="BU3796" s="261"/>
      <c r="BV3796" s="261"/>
    </row>
    <row r="3797" spans="12:74">
      <c r="L3797" s="261"/>
      <c r="M3797" s="261"/>
      <c r="N3797" s="261"/>
      <c r="O3797" s="261"/>
      <c r="P3797" s="261"/>
      <c r="Q3797" s="261"/>
      <c r="BR3797" s="261"/>
      <c r="BS3797" s="261"/>
      <c r="BT3797" s="261"/>
      <c r="BU3797" s="261"/>
      <c r="BV3797" s="261"/>
    </row>
    <row r="3798" spans="12:74">
      <c r="L3798" s="261"/>
      <c r="M3798" s="261"/>
      <c r="N3798" s="261"/>
      <c r="O3798" s="261"/>
      <c r="P3798" s="261"/>
      <c r="Q3798" s="261"/>
      <c r="BR3798" s="261"/>
      <c r="BS3798" s="261"/>
      <c r="BT3798" s="261"/>
      <c r="BU3798" s="261"/>
      <c r="BV3798" s="261"/>
    </row>
    <row r="3799" spans="12:74">
      <c r="L3799" s="261"/>
      <c r="M3799" s="261"/>
      <c r="N3799" s="261"/>
      <c r="O3799" s="261"/>
      <c r="P3799" s="261"/>
      <c r="Q3799" s="261"/>
      <c r="BR3799" s="261"/>
      <c r="BS3799" s="261"/>
      <c r="BT3799" s="261"/>
      <c r="BU3799" s="261"/>
      <c r="BV3799" s="261"/>
    </row>
    <row r="3800" spans="12:74">
      <c r="L3800" s="261"/>
      <c r="M3800" s="261"/>
      <c r="N3800" s="261"/>
      <c r="O3800" s="261"/>
      <c r="P3800" s="261"/>
      <c r="Q3800" s="261"/>
      <c r="BR3800" s="261"/>
      <c r="BS3800" s="261"/>
      <c r="BT3800" s="261"/>
      <c r="BU3800" s="261"/>
      <c r="BV3800" s="261"/>
    </row>
    <row r="3801" spans="12:74">
      <c r="L3801" s="261"/>
      <c r="M3801" s="261"/>
      <c r="N3801" s="261"/>
      <c r="O3801" s="261"/>
      <c r="P3801" s="261"/>
      <c r="Q3801" s="261"/>
      <c r="BR3801" s="261"/>
      <c r="BS3801" s="261"/>
      <c r="BT3801" s="261"/>
      <c r="BU3801" s="261"/>
      <c r="BV3801" s="261"/>
    </row>
    <row r="3802" spans="12:74">
      <c r="L3802" s="261"/>
      <c r="M3802" s="261"/>
      <c r="N3802" s="261"/>
      <c r="O3802" s="261"/>
      <c r="P3802" s="261"/>
      <c r="Q3802" s="261"/>
      <c r="BR3802" s="261"/>
      <c r="BS3802" s="261"/>
      <c r="BT3802" s="261"/>
      <c r="BU3802" s="261"/>
      <c r="BV3802" s="261"/>
    </row>
    <row r="3803" spans="12:74">
      <c r="L3803" s="261"/>
      <c r="M3803" s="261"/>
      <c r="N3803" s="261"/>
      <c r="O3803" s="261"/>
      <c r="P3803" s="261"/>
      <c r="Q3803" s="261"/>
      <c r="BR3803" s="261"/>
      <c r="BS3803" s="261"/>
      <c r="BT3803" s="261"/>
      <c r="BU3803" s="261"/>
      <c r="BV3803" s="261"/>
    </row>
    <row r="3804" spans="12:74">
      <c r="L3804" s="261"/>
      <c r="M3804" s="261"/>
      <c r="N3804" s="261"/>
      <c r="O3804" s="261"/>
      <c r="P3804" s="261"/>
      <c r="Q3804" s="261"/>
      <c r="BR3804" s="261"/>
      <c r="BS3804" s="261"/>
      <c r="BT3804" s="261"/>
      <c r="BU3804" s="261"/>
      <c r="BV3804" s="261"/>
    </row>
    <row r="3805" spans="12:74">
      <c r="L3805" s="261"/>
      <c r="M3805" s="261"/>
      <c r="N3805" s="261"/>
      <c r="O3805" s="261"/>
      <c r="P3805" s="261"/>
      <c r="Q3805" s="261"/>
      <c r="BR3805" s="261"/>
      <c r="BS3805" s="261"/>
      <c r="BT3805" s="261"/>
      <c r="BU3805" s="261"/>
      <c r="BV3805" s="261"/>
    </row>
    <row r="3806" spans="12:74">
      <c r="L3806" s="261"/>
      <c r="M3806" s="261"/>
      <c r="N3806" s="261"/>
      <c r="O3806" s="261"/>
      <c r="P3806" s="261"/>
      <c r="Q3806" s="261"/>
      <c r="BR3806" s="261"/>
      <c r="BS3806" s="261"/>
      <c r="BT3806" s="261"/>
      <c r="BU3806" s="261"/>
      <c r="BV3806" s="261"/>
    </row>
    <row r="3807" spans="12:74">
      <c r="L3807" s="261"/>
      <c r="M3807" s="261"/>
      <c r="N3807" s="261"/>
      <c r="O3807" s="261"/>
      <c r="P3807" s="261"/>
      <c r="Q3807" s="261"/>
      <c r="BR3807" s="261"/>
      <c r="BS3807" s="261"/>
      <c r="BT3807" s="261"/>
      <c r="BU3807" s="261"/>
      <c r="BV3807" s="261"/>
    </row>
    <row r="3808" spans="12:74">
      <c r="L3808" s="261"/>
      <c r="M3808" s="261"/>
      <c r="N3808" s="261"/>
      <c r="O3808" s="261"/>
      <c r="P3808" s="261"/>
      <c r="Q3808" s="261"/>
      <c r="BR3808" s="261"/>
      <c r="BS3808" s="261"/>
      <c r="BT3808" s="261"/>
      <c r="BU3808" s="261"/>
      <c r="BV3808" s="261"/>
    </row>
    <row r="3809" spans="12:74">
      <c r="L3809" s="261"/>
      <c r="M3809" s="261"/>
      <c r="N3809" s="261"/>
      <c r="O3809" s="261"/>
      <c r="P3809" s="261"/>
      <c r="Q3809" s="261"/>
      <c r="BR3809" s="261"/>
      <c r="BS3809" s="261"/>
      <c r="BT3809" s="261"/>
      <c r="BU3809" s="261"/>
      <c r="BV3809" s="261"/>
    </row>
    <row r="3810" spans="12:74">
      <c r="L3810" s="261"/>
      <c r="M3810" s="261"/>
      <c r="N3810" s="261"/>
      <c r="O3810" s="261"/>
      <c r="P3810" s="261"/>
      <c r="Q3810" s="261"/>
      <c r="BR3810" s="261"/>
      <c r="BS3810" s="261"/>
      <c r="BT3810" s="261"/>
      <c r="BU3810" s="261"/>
      <c r="BV3810" s="261"/>
    </row>
    <row r="3811" spans="12:74">
      <c r="L3811" s="261"/>
      <c r="M3811" s="261"/>
      <c r="N3811" s="261"/>
      <c r="O3811" s="261"/>
      <c r="P3811" s="261"/>
      <c r="Q3811" s="261"/>
      <c r="BR3811" s="261"/>
      <c r="BS3811" s="261"/>
      <c r="BT3811" s="261"/>
      <c r="BU3811" s="261"/>
      <c r="BV3811" s="261"/>
    </row>
    <row r="3812" spans="12:74">
      <c r="L3812" s="261"/>
      <c r="M3812" s="261"/>
      <c r="N3812" s="261"/>
      <c r="O3812" s="261"/>
      <c r="P3812" s="261"/>
      <c r="Q3812" s="261"/>
      <c r="BR3812" s="261"/>
      <c r="BS3812" s="261"/>
      <c r="BT3812" s="261"/>
      <c r="BU3812" s="261"/>
      <c r="BV3812" s="261"/>
    </row>
    <row r="3813" spans="12:74">
      <c r="L3813" s="261"/>
      <c r="M3813" s="261"/>
      <c r="N3813" s="261"/>
      <c r="O3813" s="261"/>
      <c r="P3813" s="261"/>
      <c r="Q3813" s="261"/>
      <c r="BR3813" s="261"/>
      <c r="BS3813" s="261"/>
      <c r="BT3813" s="261"/>
      <c r="BU3813" s="261"/>
      <c r="BV3813" s="261"/>
    </row>
    <row r="3814" spans="12:74">
      <c r="L3814" s="261"/>
      <c r="M3814" s="261"/>
      <c r="N3814" s="261"/>
      <c r="O3814" s="261"/>
      <c r="P3814" s="261"/>
      <c r="Q3814" s="261"/>
      <c r="BR3814" s="261"/>
      <c r="BS3814" s="261"/>
      <c r="BT3814" s="261"/>
      <c r="BU3814" s="261"/>
      <c r="BV3814" s="261"/>
    </row>
    <row r="3815" spans="12:74">
      <c r="L3815" s="261"/>
      <c r="M3815" s="261"/>
      <c r="N3815" s="261"/>
      <c r="O3815" s="261"/>
      <c r="P3815" s="261"/>
      <c r="Q3815" s="261"/>
      <c r="BR3815" s="261"/>
      <c r="BS3815" s="261"/>
      <c r="BT3815" s="261"/>
      <c r="BU3815" s="261"/>
      <c r="BV3815" s="261"/>
    </row>
    <row r="3816" spans="12:74">
      <c r="L3816" s="261"/>
      <c r="M3816" s="261"/>
      <c r="N3816" s="261"/>
      <c r="O3816" s="261"/>
      <c r="P3816" s="261"/>
      <c r="Q3816" s="261"/>
      <c r="BR3816" s="261"/>
      <c r="BS3816" s="261"/>
      <c r="BT3816" s="261"/>
      <c r="BU3816" s="261"/>
      <c r="BV3816" s="261"/>
    </row>
    <row r="3817" spans="12:74">
      <c r="L3817" s="261"/>
      <c r="M3817" s="261"/>
      <c r="N3817" s="261"/>
      <c r="O3817" s="261"/>
      <c r="P3817" s="261"/>
      <c r="Q3817" s="261"/>
      <c r="BR3817" s="261"/>
      <c r="BS3817" s="261"/>
      <c r="BT3817" s="261"/>
      <c r="BU3817" s="261"/>
      <c r="BV3817" s="261"/>
    </row>
    <row r="3818" spans="12:74">
      <c r="L3818" s="261"/>
      <c r="M3818" s="261"/>
      <c r="N3818" s="261"/>
      <c r="O3818" s="261"/>
      <c r="P3818" s="261"/>
      <c r="Q3818" s="261"/>
      <c r="BR3818" s="261"/>
      <c r="BS3818" s="261"/>
      <c r="BT3818" s="261"/>
      <c r="BU3818" s="261"/>
      <c r="BV3818" s="261"/>
    </row>
    <row r="3819" spans="12:74">
      <c r="L3819" s="261"/>
      <c r="M3819" s="261"/>
      <c r="N3819" s="261"/>
      <c r="O3819" s="261"/>
      <c r="P3819" s="261"/>
      <c r="Q3819" s="261"/>
      <c r="BR3819" s="261"/>
      <c r="BS3819" s="261"/>
      <c r="BT3819" s="261"/>
      <c r="BU3819" s="261"/>
      <c r="BV3819" s="261"/>
    </row>
    <row r="3820" spans="12:74">
      <c r="L3820" s="261"/>
      <c r="M3820" s="261"/>
      <c r="N3820" s="261"/>
      <c r="O3820" s="261"/>
      <c r="P3820" s="261"/>
      <c r="Q3820" s="261"/>
      <c r="BR3820" s="261"/>
      <c r="BS3820" s="261"/>
      <c r="BT3820" s="261"/>
      <c r="BU3820" s="261"/>
      <c r="BV3820" s="261"/>
    </row>
    <row r="3821" spans="12:74">
      <c r="L3821" s="261"/>
      <c r="M3821" s="261"/>
      <c r="N3821" s="261"/>
      <c r="O3821" s="261"/>
      <c r="P3821" s="261"/>
      <c r="Q3821" s="261"/>
      <c r="BR3821" s="261"/>
      <c r="BS3821" s="261"/>
      <c r="BT3821" s="261"/>
      <c r="BU3821" s="261"/>
      <c r="BV3821" s="261"/>
    </row>
    <row r="3822" spans="12:74">
      <c r="L3822" s="261"/>
      <c r="M3822" s="261"/>
      <c r="N3822" s="261"/>
      <c r="O3822" s="261"/>
      <c r="P3822" s="261"/>
      <c r="Q3822" s="261"/>
      <c r="BR3822" s="261"/>
      <c r="BS3822" s="261"/>
      <c r="BT3822" s="261"/>
      <c r="BU3822" s="261"/>
      <c r="BV3822" s="261"/>
    </row>
    <row r="3823" spans="12:74">
      <c r="L3823" s="261"/>
      <c r="M3823" s="261"/>
      <c r="N3823" s="261"/>
      <c r="O3823" s="261"/>
      <c r="P3823" s="261"/>
      <c r="Q3823" s="261"/>
      <c r="BR3823" s="261"/>
      <c r="BS3823" s="261"/>
      <c r="BT3823" s="261"/>
      <c r="BU3823" s="261"/>
      <c r="BV3823" s="261"/>
    </row>
    <row r="3824" spans="12:74">
      <c r="L3824" s="261"/>
      <c r="M3824" s="261"/>
      <c r="N3824" s="261"/>
      <c r="O3824" s="261"/>
      <c r="P3824" s="261"/>
      <c r="Q3824" s="261"/>
      <c r="BR3824" s="261"/>
      <c r="BS3824" s="261"/>
      <c r="BT3824" s="261"/>
      <c r="BU3824" s="261"/>
      <c r="BV3824" s="261"/>
    </row>
    <row r="3825" spans="12:74">
      <c r="L3825" s="261"/>
      <c r="M3825" s="261"/>
      <c r="N3825" s="261"/>
      <c r="O3825" s="261"/>
      <c r="P3825" s="261"/>
      <c r="Q3825" s="261"/>
      <c r="BR3825" s="261"/>
      <c r="BS3825" s="261"/>
      <c r="BT3825" s="261"/>
      <c r="BU3825" s="261"/>
      <c r="BV3825" s="261"/>
    </row>
    <row r="3826" spans="12:74">
      <c r="L3826" s="261"/>
      <c r="M3826" s="261"/>
      <c r="N3826" s="261"/>
      <c r="O3826" s="261"/>
      <c r="P3826" s="261"/>
      <c r="Q3826" s="261"/>
      <c r="BR3826" s="261"/>
      <c r="BS3826" s="261"/>
      <c r="BT3826" s="261"/>
      <c r="BU3826" s="261"/>
      <c r="BV3826" s="261"/>
    </row>
    <row r="3827" spans="12:74">
      <c r="L3827" s="261"/>
      <c r="M3827" s="261"/>
      <c r="N3827" s="261"/>
      <c r="O3827" s="261"/>
      <c r="P3827" s="261"/>
      <c r="Q3827" s="261"/>
      <c r="BR3827" s="261"/>
      <c r="BS3827" s="261"/>
      <c r="BT3827" s="261"/>
      <c r="BU3827" s="261"/>
      <c r="BV3827" s="261"/>
    </row>
    <row r="3828" spans="12:74">
      <c r="L3828" s="261"/>
      <c r="M3828" s="261"/>
      <c r="N3828" s="261"/>
      <c r="O3828" s="261"/>
      <c r="P3828" s="261"/>
      <c r="Q3828" s="261"/>
      <c r="BR3828" s="261"/>
      <c r="BS3828" s="261"/>
      <c r="BT3828" s="261"/>
      <c r="BU3828" s="261"/>
      <c r="BV3828" s="261"/>
    </row>
    <row r="3829" spans="12:74">
      <c r="L3829" s="261"/>
      <c r="M3829" s="261"/>
      <c r="N3829" s="261"/>
      <c r="O3829" s="261"/>
      <c r="P3829" s="261"/>
      <c r="Q3829" s="261"/>
      <c r="BR3829" s="261"/>
      <c r="BS3829" s="261"/>
      <c r="BT3829" s="261"/>
      <c r="BU3829" s="261"/>
      <c r="BV3829" s="261"/>
    </row>
    <row r="3830" spans="12:74">
      <c r="L3830" s="261"/>
      <c r="M3830" s="261"/>
      <c r="N3830" s="261"/>
      <c r="O3830" s="261"/>
      <c r="P3830" s="261"/>
      <c r="Q3830" s="261"/>
      <c r="BR3830" s="261"/>
      <c r="BS3830" s="261"/>
      <c r="BT3830" s="261"/>
      <c r="BU3830" s="261"/>
      <c r="BV3830" s="261"/>
    </row>
    <row r="3831" spans="12:74">
      <c r="L3831" s="261"/>
      <c r="M3831" s="261"/>
      <c r="N3831" s="261"/>
      <c r="O3831" s="261"/>
      <c r="P3831" s="261"/>
      <c r="Q3831" s="261"/>
      <c r="BR3831" s="261"/>
      <c r="BS3831" s="261"/>
      <c r="BT3831" s="261"/>
      <c r="BU3831" s="261"/>
      <c r="BV3831" s="261"/>
    </row>
    <row r="3832" spans="12:74">
      <c r="L3832" s="261"/>
      <c r="M3832" s="261"/>
      <c r="N3832" s="261"/>
      <c r="O3832" s="261"/>
      <c r="P3832" s="261"/>
      <c r="Q3832" s="261"/>
      <c r="BR3832" s="261"/>
      <c r="BS3832" s="261"/>
      <c r="BT3832" s="261"/>
      <c r="BU3832" s="261"/>
      <c r="BV3832" s="261"/>
    </row>
    <row r="3833" spans="12:74">
      <c r="L3833" s="261"/>
      <c r="M3833" s="261"/>
      <c r="N3833" s="261"/>
      <c r="O3833" s="261"/>
      <c r="P3833" s="261"/>
      <c r="Q3833" s="261"/>
      <c r="BR3833" s="261"/>
      <c r="BS3833" s="261"/>
      <c r="BT3833" s="261"/>
      <c r="BU3833" s="261"/>
      <c r="BV3833" s="261"/>
    </row>
    <row r="3834" spans="12:74">
      <c r="L3834" s="261"/>
      <c r="M3834" s="261"/>
      <c r="N3834" s="261"/>
      <c r="O3834" s="261"/>
      <c r="P3834" s="261"/>
      <c r="Q3834" s="261"/>
      <c r="BR3834" s="261"/>
      <c r="BS3834" s="261"/>
      <c r="BT3834" s="261"/>
      <c r="BU3834" s="261"/>
      <c r="BV3834" s="261"/>
    </row>
    <row r="3835" spans="12:74">
      <c r="L3835" s="261"/>
      <c r="M3835" s="261"/>
      <c r="N3835" s="261"/>
      <c r="O3835" s="261"/>
      <c r="P3835" s="261"/>
      <c r="Q3835" s="261"/>
      <c r="BR3835" s="261"/>
      <c r="BS3835" s="261"/>
      <c r="BT3835" s="261"/>
      <c r="BU3835" s="261"/>
      <c r="BV3835" s="261"/>
    </row>
    <row r="3836" spans="12:74">
      <c r="L3836" s="261"/>
      <c r="M3836" s="261"/>
      <c r="N3836" s="261"/>
      <c r="O3836" s="261"/>
      <c r="P3836" s="261"/>
      <c r="Q3836" s="261"/>
      <c r="BR3836" s="261"/>
      <c r="BS3836" s="261"/>
      <c r="BT3836" s="261"/>
      <c r="BU3836" s="261"/>
      <c r="BV3836" s="261"/>
    </row>
    <row r="3837" spans="12:74">
      <c r="L3837" s="261"/>
      <c r="M3837" s="261"/>
      <c r="N3837" s="261"/>
      <c r="O3837" s="261"/>
      <c r="P3837" s="261"/>
      <c r="Q3837" s="261"/>
      <c r="BR3837" s="261"/>
      <c r="BS3837" s="261"/>
      <c r="BT3837" s="261"/>
      <c r="BU3837" s="261"/>
      <c r="BV3837" s="261"/>
    </row>
    <row r="3838" spans="12:74">
      <c r="L3838" s="261"/>
      <c r="M3838" s="261"/>
      <c r="N3838" s="261"/>
      <c r="O3838" s="261"/>
      <c r="P3838" s="261"/>
      <c r="Q3838" s="261"/>
      <c r="BR3838" s="261"/>
      <c r="BS3838" s="261"/>
      <c r="BT3838" s="261"/>
      <c r="BU3838" s="261"/>
      <c r="BV3838" s="261"/>
    </row>
    <row r="3839" spans="12:74">
      <c r="L3839" s="261"/>
      <c r="M3839" s="261"/>
      <c r="N3839" s="261"/>
      <c r="O3839" s="261"/>
      <c r="P3839" s="261"/>
      <c r="Q3839" s="261"/>
      <c r="BR3839" s="261"/>
      <c r="BS3839" s="261"/>
      <c r="BT3839" s="261"/>
      <c r="BU3839" s="261"/>
      <c r="BV3839" s="261"/>
    </row>
    <row r="3840" spans="12:74">
      <c r="L3840" s="261"/>
      <c r="M3840" s="261"/>
      <c r="N3840" s="261"/>
      <c r="O3840" s="261"/>
      <c r="P3840" s="261"/>
      <c r="Q3840" s="261"/>
      <c r="BR3840" s="261"/>
      <c r="BS3840" s="261"/>
      <c r="BT3840" s="261"/>
      <c r="BU3840" s="261"/>
      <c r="BV3840" s="261"/>
    </row>
    <row r="3841" spans="12:74">
      <c r="L3841" s="261"/>
      <c r="M3841" s="261"/>
      <c r="N3841" s="261"/>
      <c r="O3841" s="261"/>
      <c r="P3841" s="261"/>
      <c r="Q3841" s="261"/>
      <c r="BR3841" s="261"/>
      <c r="BS3841" s="261"/>
      <c r="BT3841" s="261"/>
      <c r="BU3841" s="261"/>
      <c r="BV3841" s="261"/>
    </row>
    <row r="3842" spans="12:74">
      <c r="L3842" s="261"/>
      <c r="M3842" s="261"/>
      <c r="N3842" s="261"/>
      <c r="O3842" s="261"/>
      <c r="P3842" s="261"/>
      <c r="Q3842" s="261"/>
      <c r="BR3842" s="261"/>
      <c r="BS3842" s="261"/>
      <c r="BT3842" s="261"/>
      <c r="BU3842" s="261"/>
      <c r="BV3842" s="261"/>
    </row>
    <row r="3843" spans="12:74">
      <c r="L3843" s="261"/>
      <c r="M3843" s="261"/>
      <c r="N3843" s="261"/>
      <c r="O3843" s="261"/>
      <c r="P3843" s="261"/>
      <c r="Q3843" s="261"/>
      <c r="BR3843" s="261"/>
      <c r="BS3843" s="261"/>
      <c r="BT3843" s="261"/>
      <c r="BU3843" s="261"/>
      <c r="BV3843" s="261"/>
    </row>
    <row r="3844" spans="12:74">
      <c r="L3844" s="261"/>
      <c r="M3844" s="261"/>
      <c r="N3844" s="261"/>
      <c r="O3844" s="261"/>
      <c r="P3844" s="261"/>
      <c r="Q3844" s="261"/>
      <c r="BR3844" s="261"/>
      <c r="BS3844" s="261"/>
      <c r="BT3844" s="261"/>
      <c r="BU3844" s="261"/>
      <c r="BV3844" s="261"/>
    </row>
    <row r="3845" spans="12:74">
      <c r="L3845" s="261"/>
      <c r="M3845" s="261"/>
      <c r="N3845" s="261"/>
      <c r="O3845" s="261"/>
      <c r="P3845" s="261"/>
      <c r="Q3845" s="261"/>
      <c r="BR3845" s="261"/>
      <c r="BS3845" s="261"/>
      <c r="BT3845" s="261"/>
      <c r="BU3845" s="261"/>
      <c r="BV3845" s="261"/>
    </row>
    <row r="3846" spans="12:74">
      <c r="L3846" s="261"/>
      <c r="M3846" s="261"/>
      <c r="N3846" s="261"/>
      <c r="O3846" s="261"/>
      <c r="P3846" s="261"/>
      <c r="Q3846" s="261"/>
      <c r="BR3846" s="261"/>
      <c r="BS3846" s="261"/>
      <c r="BT3846" s="261"/>
      <c r="BU3846" s="261"/>
      <c r="BV3846" s="261"/>
    </row>
    <row r="3847" spans="12:74">
      <c r="L3847" s="261"/>
      <c r="M3847" s="261"/>
      <c r="N3847" s="261"/>
      <c r="O3847" s="261"/>
      <c r="P3847" s="261"/>
      <c r="Q3847" s="261"/>
      <c r="BR3847" s="261"/>
      <c r="BS3847" s="261"/>
      <c r="BT3847" s="261"/>
      <c r="BU3847" s="261"/>
      <c r="BV3847" s="261"/>
    </row>
    <row r="3848" spans="12:74">
      <c r="L3848" s="261"/>
      <c r="M3848" s="261"/>
      <c r="N3848" s="261"/>
      <c r="O3848" s="261"/>
      <c r="P3848" s="261"/>
      <c r="Q3848" s="261"/>
      <c r="BR3848" s="261"/>
      <c r="BS3848" s="261"/>
      <c r="BT3848" s="261"/>
      <c r="BU3848" s="261"/>
      <c r="BV3848" s="261"/>
    </row>
    <row r="3849" spans="12:74">
      <c r="L3849" s="261"/>
      <c r="M3849" s="261"/>
      <c r="N3849" s="261"/>
      <c r="O3849" s="261"/>
      <c r="P3849" s="261"/>
      <c r="Q3849" s="261"/>
      <c r="BR3849" s="261"/>
      <c r="BS3849" s="261"/>
      <c r="BT3849" s="261"/>
      <c r="BU3849" s="261"/>
      <c r="BV3849" s="261"/>
    </row>
    <row r="3850" spans="12:74">
      <c r="L3850" s="261"/>
      <c r="M3850" s="261"/>
      <c r="N3850" s="261"/>
      <c r="O3850" s="261"/>
      <c r="P3850" s="261"/>
      <c r="Q3850" s="261"/>
      <c r="BR3850" s="261"/>
      <c r="BS3850" s="261"/>
      <c r="BT3850" s="261"/>
      <c r="BU3850" s="261"/>
      <c r="BV3850" s="261"/>
    </row>
    <row r="3851" spans="12:74">
      <c r="L3851" s="261"/>
      <c r="M3851" s="261"/>
      <c r="N3851" s="261"/>
      <c r="O3851" s="261"/>
      <c r="P3851" s="261"/>
      <c r="Q3851" s="261"/>
      <c r="BR3851" s="261"/>
      <c r="BS3851" s="261"/>
      <c r="BT3851" s="261"/>
      <c r="BU3851" s="261"/>
      <c r="BV3851" s="261"/>
    </row>
    <row r="3852" spans="12:74">
      <c r="L3852" s="261"/>
      <c r="M3852" s="261"/>
      <c r="N3852" s="261"/>
      <c r="O3852" s="261"/>
      <c r="P3852" s="261"/>
      <c r="Q3852" s="261"/>
      <c r="BR3852" s="261"/>
      <c r="BS3852" s="261"/>
      <c r="BT3852" s="261"/>
      <c r="BU3852" s="261"/>
      <c r="BV3852" s="261"/>
    </row>
    <row r="3853" spans="12:74">
      <c r="L3853" s="261"/>
      <c r="M3853" s="261"/>
      <c r="N3853" s="261"/>
      <c r="O3853" s="261"/>
      <c r="P3853" s="261"/>
      <c r="Q3853" s="261"/>
      <c r="BR3853" s="261"/>
      <c r="BS3853" s="261"/>
      <c r="BT3853" s="261"/>
      <c r="BU3853" s="261"/>
      <c r="BV3853" s="261"/>
    </row>
    <row r="3854" spans="12:74">
      <c r="L3854" s="261"/>
      <c r="M3854" s="261"/>
      <c r="N3854" s="261"/>
      <c r="O3854" s="261"/>
      <c r="P3854" s="261"/>
      <c r="Q3854" s="261"/>
      <c r="BR3854" s="261"/>
      <c r="BS3854" s="261"/>
      <c r="BT3854" s="261"/>
      <c r="BU3854" s="261"/>
      <c r="BV3854" s="261"/>
    </row>
    <row r="3855" spans="12:74">
      <c r="L3855" s="261"/>
      <c r="M3855" s="261"/>
      <c r="N3855" s="261"/>
      <c r="O3855" s="261"/>
      <c r="P3855" s="261"/>
      <c r="Q3855" s="261"/>
      <c r="BR3855" s="261"/>
      <c r="BS3855" s="261"/>
      <c r="BT3855" s="261"/>
      <c r="BU3855" s="261"/>
      <c r="BV3855" s="261"/>
    </row>
    <row r="3856" spans="12:74">
      <c r="L3856" s="261"/>
      <c r="M3856" s="261"/>
      <c r="N3856" s="261"/>
      <c r="O3856" s="261"/>
      <c r="P3856" s="261"/>
      <c r="Q3856" s="261"/>
      <c r="BR3856" s="261"/>
      <c r="BS3856" s="261"/>
      <c r="BT3856" s="261"/>
      <c r="BU3856" s="261"/>
      <c r="BV3856" s="261"/>
    </row>
    <row r="3857" spans="12:74">
      <c r="L3857" s="261"/>
      <c r="M3857" s="261"/>
      <c r="N3857" s="261"/>
      <c r="O3857" s="261"/>
      <c r="P3857" s="261"/>
      <c r="Q3857" s="261"/>
      <c r="BR3857" s="261"/>
      <c r="BS3857" s="261"/>
      <c r="BT3857" s="261"/>
      <c r="BU3857" s="261"/>
      <c r="BV3857" s="261"/>
    </row>
    <row r="3858" spans="12:74">
      <c r="L3858" s="261"/>
      <c r="M3858" s="261"/>
      <c r="N3858" s="261"/>
      <c r="O3858" s="261"/>
      <c r="P3858" s="261"/>
      <c r="Q3858" s="261"/>
      <c r="BR3858" s="261"/>
      <c r="BS3858" s="261"/>
      <c r="BT3858" s="261"/>
      <c r="BU3858" s="261"/>
      <c r="BV3858" s="261"/>
    </row>
    <row r="3859" spans="12:74">
      <c r="L3859" s="261"/>
      <c r="M3859" s="261"/>
      <c r="N3859" s="261"/>
      <c r="O3859" s="261"/>
      <c r="P3859" s="261"/>
      <c r="Q3859" s="261"/>
      <c r="BR3859" s="261"/>
      <c r="BS3859" s="261"/>
      <c r="BT3859" s="261"/>
      <c r="BU3859" s="261"/>
      <c r="BV3859" s="261"/>
    </row>
    <row r="3860" spans="12:74">
      <c r="L3860" s="261"/>
      <c r="M3860" s="261"/>
      <c r="N3860" s="261"/>
      <c r="O3860" s="261"/>
      <c r="P3860" s="261"/>
      <c r="Q3860" s="261"/>
      <c r="BR3860" s="261"/>
      <c r="BS3860" s="261"/>
      <c r="BT3860" s="261"/>
      <c r="BU3860" s="261"/>
      <c r="BV3860" s="261"/>
    </row>
    <row r="3861" spans="12:74">
      <c r="L3861" s="261"/>
      <c r="M3861" s="261"/>
      <c r="N3861" s="261"/>
      <c r="O3861" s="261"/>
      <c r="P3861" s="261"/>
      <c r="Q3861" s="261"/>
      <c r="BR3861" s="261"/>
      <c r="BS3861" s="261"/>
      <c r="BT3861" s="261"/>
      <c r="BU3861" s="261"/>
      <c r="BV3861" s="261"/>
    </row>
    <row r="3862" spans="12:74">
      <c r="L3862" s="261"/>
      <c r="M3862" s="261"/>
      <c r="N3862" s="261"/>
      <c r="O3862" s="261"/>
      <c r="P3862" s="261"/>
      <c r="Q3862" s="261"/>
      <c r="BR3862" s="261"/>
      <c r="BS3862" s="261"/>
      <c r="BT3862" s="261"/>
      <c r="BU3862" s="261"/>
      <c r="BV3862" s="261"/>
    </row>
    <row r="3863" spans="12:74">
      <c r="L3863" s="261"/>
      <c r="M3863" s="261"/>
      <c r="N3863" s="261"/>
      <c r="O3863" s="261"/>
      <c r="P3863" s="261"/>
      <c r="Q3863" s="261"/>
      <c r="BR3863" s="261"/>
      <c r="BS3863" s="261"/>
      <c r="BT3863" s="261"/>
      <c r="BU3863" s="261"/>
      <c r="BV3863" s="261"/>
    </row>
    <row r="3864" spans="12:74">
      <c r="L3864" s="261"/>
      <c r="M3864" s="261"/>
      <c r="N3864" s="261"/>
      <c r="O3864" s="261"/>
      <c r="P3864" s="261"/>
      <c r="Q3864" s="261"/>
      <c r="BR3864" s="261"/>
      <c r="BS3864" s="261"/>
      <c r="BT3864" s="261"/>
      <c r="BU3864" s="261"/>
      <c r="BV3864" s="261"/>
    </row>
    <row r="3865" spans="12:74">
      <c r="L3865" s="261"/>
      <c r="M3865" s="261"/>
      <c r="N3865" s="261"/>
      <c r="O3865" s="261"/>
      <c r="P3865" s="261"/>
      <c r="Q3865" s="261"/>
      <c r="BR3865" s="261"/>
      <c r="BS3865" s="261"/>
      <c r="BT3865" s="261"/>
      <c r="BU3865" s="261"/>
      <c r="BV3865" s="261"/>
    </row>
    <row r="3866" spans="12:74">
      <c r="L3866" s="261"/>
      <c r="M3866" s="261"/>
      <c r="N3866" s="261"/>
      <c r="O3866" s="261"/>
      <c r="P3866" s="261"/>
      <c r="Q3866" s="261"/>
      <c r="BR3866" s="261"/>
      <c r="BS3866" s="261"/>
      <c r="BT3866" s="261"/>
      <c r="BU3866" s="261"/>
      <c r="BV3866" s="261"/>
    </row>
    <row r="3867" spans="12:74">
      <c r="L3867" s="261"/>
      <c r="M3867" s="261"/>
      <c r="N3867" s="261"/>
      <c r="O3867" s="261"/>
      <c r="P3867" s="261"/>
      <c r="Q3867" s="261"/>
      <c r="BR3867" s="261"/>
      <c r="BS3867" s="261"/>
      <c r="BT3867" s="261"/>
      <c r="BU3867" s="261"/>
      <c r="BV3867" s="261"/>
    </row>
    <row r="3868" spans="12:74">
      <c r="L3868" s="261"/>
      <c r="M3868" s="261"/>
      <c r="N3868" s="261"/>
      <c r="O3868" s="261"/>
      <c r="P3868" s="261"/>
      <c r="Q3868" s="261"/>
      <c r="BR3868" s="261"/>
      <c r="BS3868" s="261"/>
      <c r="BT3868" s="261"/>
      <c r="BU3868" s="261"/>
      <c r="BV3868" s="261"/>
    </row>
    <row r="3869" spans="12:74">
      <c r="L3869" s="261"/>
      <c r="M3869" s="261"/>
      <c r="N3869" s="261"/>
      <c r="O3869" s="261"/>
      <c r="P3869" s="261"/>
      <c r="Q3869" s="261"/>
      <c r="BR3869" s="261"/>
      <c r="BS3869" s="261"/>
      <c r="BT3869" s="261"/>
      <c r="BU3869" s="261"/>
      <c r="BV3869" s="261"/>
    </row>
    <row r="3870" spans="12:74">
      <c r="L3870" s="261"/>
      <c r="M3870" s="261"/>
      <c r="N3870" s="261"/>
      <c r="O3870" s="261"/>
      <c r="P3870" s="261"/>
      <c r="Q3870" s="261"/>
      <c r="BR3870" s="261"/>
      <c r="BS3870" s="261"/>
      <c r="BT3870" s="261"/>
      <c r="BU3870" s="261"/>
      <c r="BV3870" s="261"/>
    </row>
    <row r="3871" spans="12:74">
      <c r="L3871" s="261"/>
      <c r="M3871" s="261"/>
      <c r="N3871" s="261"/>
      <c r="O3871" s="261"/>
      <c r="P3871" s="261"/>
      <c r="Q3871" s="261"/>
      <c r="BR3871" s="261"/>
      <c r="BS3871" s="261"/>
      <c r="BT3871" s="261"/>
      <c r="BU3871" s="261"/>
      <c r="BV3871" s="261"/>
    </row>
    <row r="3872" spans="12:74">
      <c r="L3872" s="261"/>
      <c r="M3872" s="261"/>
      <c r="N3872" s="261"/>
      <c r="O3872" s="261"/>
      <c r="P3872" s="261"/>
      <c r="Q3872" s="261"/>
      <c r="BR3872" s="261"/>
      <c r="BS3872" s="261"/>
      <c r="BT3872" s="261"/>
      <c r="BU3872" s="261"/>
      <c r="BV3872" s="261"/>
    </row>
    <row r="3873" spans="12:74">
      <c r="L3873" s="261"/>
      <c r="M3873" s="261"/>
      <c r="N3873" s="261"/>
      <c r="O3873" s="261"/>
      <c r="P3873" s="261"/>
      <c r="Q3873" s="261"/>
      <c r="BR3873" s="261"/>
      <c r="BS3873" s="261"/>
      <c r="BT3873" s="261"/>
      <c r="BU3873" s="261"/>
      <c r="BV3873" s="261"/>
    </row>
    <row r="3874" spans="12:74">
      <c r="L3874" s="261"/>
      <c r="M3874" s="261"/>
      <c r="N3874" s="261"/>
      <c r="O3874" s="261"/>
      <c r="P3874" s="261"/>
      <c r="Q3874" s="261"/>
      <c r="BR3874" s="261"/>
      <c r="BS3874" s="261"/>
      <c r="BT3874" s="261"/>
      <c r="BU3874" s="261"/>
      <c r="BV3874" s="261"/>
    </row>
    <row r="3875" spans="12:74">
      <c r="L3875" s="261"/>
      <c r="M3875" s="261"/>
      <c r="N3875" s="261"/>
      <c r="O3875" s="261"/>
      <c r="P3875" s="261"/>
      <c r="Q3875" s="261"/>
      <c r="BR3875" s="261"/>
      <c r="BS3875" s="261"/>
      <c r="BT3875" s="261"/>
      <c r="BU3875" s="261"/>
      <c r="BV3875" s="261"/>
    </row>
    <row r="3876" spans="12:74">
      <c r="L3876" s="261"/>
      <c r="M3876" s="261"/>
      <c r="N3876" s="261"/>
      <c r="O3876" s="261"/>
      <c r="P3876" s="261"/>
      <c r="Q3876" s="261"/>
      <c r="BR3876" s="261"/>
      <c r="BS3876" s="261"/>
      <c r="BT3876" s="261"/>
      <c r="BU3876" s="261"/>
      <c r="BV3876" s="261"/>
    </row>
    <row r="3877" spans="12:74">
      <c r="L3877" s="261"/>
      <c r="M3877" s="261"/>
      <c r="N3877" s="261"/>
      <c r="O3877" s="261"/>
      <c r="P3877" s="261"/>
      <c r="Q3877" s="261"/>
      <c r="BR3877" s="261"/>
      <c r="BS3877" s="261"/>
      <c r="BT3877" s="261"/>
      <c r="BU3877" s="261"/>
      <c r="BV3877" s="261"/>
    </row>
    <row r="3878" spans="12:74">
      <c r="L3878" s="261"/>
      <c r="M3878" s="261"/>
      <c r="N3878" s="261"/>
      <c r="O3878" s="261"/>
      <c r="P3878" s="261"/>
      <c r="Q3878" s="261"/>
      <c r="BR3878" s="261"/>
      <c r="BS3878" s="261"/>
      <c r="BT3878" s="261"/>
      <c r="BU3878" s="261"/>
      <c r="BV3878" s="261"/>
    </row>
    <row r="3879" spans="12:74">
      <c r="L3879" s="261"/>
      <c r="M3879" s="261"/>
      <c r="N3879" s="261"/>
      <c r="O3879" s="261"/>
      <c r="P3879" s="261"/>
      <c r="Q3879" s="261"/>
      <c r="BR3879" s="261"/>
      <c r="BS3879" s="261"/>
      <c r="BT3879" s="261"/>
      <c r="BU3879" s="261"/>
      <c r="BV3879" s="261"/>
    </row>
    <row r="3880" spans="12:74">
      <c r="L3880" s="261"/>
      <c r="M3880" s="261"/>
      <c r="N3880" s="261"/>
      <c r="O3880" s="261"/>
      <c r="P3880" s="261"/>
      <c r="Q3880" s="261"/>
      <c r="BR3880" s="261"/>
      <c r="BS3880" s="261"/>
      <c r="BT3880" s="261"/>
      <c r="BU3880" s="261"/>
      <c r="BV3880" s="261"/>
    </row>
    <row r="3881" spans="12:74">
      <c r="L3881" s="261"/>
      <c r="M3881" s="261"/>
      <c r="N3881" s="261"/>
      <c r="O3881" s="261"/>
      <c r="P3881" s="261"/>
      <c r="Q3881" s="261"/>
      <c r="BR3881" s="261"/>
      <c r="BS3881" s="261"/>
      <c r="BT3881" s="261"/>
      <c r="BU3881" s="261"/>
      <c r="BV3881" s="261"/>
    </row>
    <row r="3882" spans="12:74">
      <c r="L3882" s="261"/>
      <c r="M3882" s="261"/>
      <c r="N3882" s="261"/>
      <c r="O3882" s="261"/>
      <c r="P3882" s="261"/>
      <c r="Q3882" s="261"/>
      <c r="BR3882" s="261"/>
      <c r="BS3882" s="261"/>
      <c r="BT3882" s="261"/>
      <c r="BU3882" s="261"/>
      <c r="BV3882" s="261"/>
    </row>
    <row r="3883" spans="12:74">
      <c r="L3883" s="261"/>
      <c r="M3883" s="261"/>
      <c r="N3883" s="261"/>
      <c r="O3883" s="261"/>
      <c r="P3883" s="261"/>
      <c r="Q3883" s="261"/>
      <c r="BR3883" s="261"/>
      <c r="BS3883" s="261"/>
      <c r="BT3883" s="261"/>
      <c r="BU3883" s="261"/>
      <c r="BV3883" s="261"/>
    </row>
    <row r="3884" spans="12:74">
      <c r="L3884" s="261"/>
      <c r="M3884" s="261"/>
      <c r="N3884" s="261"/>
      <c r="O3884" s="261"/>
      <c r="P3884" s="261"/>
      <c r="Q3884" s="261"/>
      <c r="BR3884" s="261"/>
      <c r="BS3884" s="261"/>
      <c r="BT3884" s="261"/>
      <c r="BU3884" s="261"/>
      <c r="BV3884" s="261"/>
    </row>
    <row r="3885" spans="12:74">
      <c r="L3885" s="261"/>
      <c r="M3885" s="261"/>
      <c r="N3885" s="261"/>
      <c r="O3885" s="261"/>
      <c r="P3885" s="261"/>
      <c r="Q3885" s="261"/>
      <c r="BR3885" s="261"/>
      <c r="BS3885" s="261"/>
      <c r="BT3885" s="261"/>
      <c r="BU3885" s="261"/>
      <c r="BV3885" s="261"/>
    </row>
    <row r="3886" spans="12:74">
      <c r="L3886" s="261"/>
      <c r="M3886" s="261"/>
      <c r="N3886" s="261"/>
      <c r="O3886" s="261"/>
      <c r="P3886" s="261"/>
      <c r="Q3886" s="261"/>
      <c r="BR3886" s="261"/>
      <c r="BS3886" s="261"/>
      <c r="BT3886" s="261"/>
      <c r="BU3886" s="261"/>
      <c r="BV3886" s="261"/>
    </row>
    <row r="3887" spans="12:74">
      <c r="L3887" s="261"/>
      <c r="M3887" s="261"/>
      <c r="N3887" s="261"/>
      <c r="O3887" s="261"/>
      <c r="P3887" s="261"/>
      <c r="Q3887" s="261"/>
      <c r="BR3887" s="261"/>
      <c r="BS3887" s="261"/>
      <c r="BT3887" s="261"/>
      <c r="BU3887" s="261"/>
      <c r="BV3887" s="261"/>
    </row>
    <row r="3888" spans="12:74">
      <c r="L3888" s="261"/>
      <c r="M3888" s="261"/>
      <c r="N3888" s="261"/>
      <c r="O3888" s="261"/>
      <c r="P3888" s="261"/>
      <c r="Q3888" s="261"/>
      <c r="BR3888" s="261"/>
      <c r="BS3888" s="261"/>
      <c r="BT3888" s="261"/>
      <c r="BU3888" s="261"/>
      <c r="BV3888" s="261"/>
    </row>
    <row r="3889" spans="12:74">
      <c r="L3889" s="261"/>
      <c r="M3889" s="261"/>
      <c r="N3889" s="261"/>
      <c r="O3889" s="261"/>
      <c r="P3889" s="261"/>
      <c r="Q3889" s="261"/>
      <c r="BR3889" s="261"/>
      <c r="BS3889" s="261"/>
      <c r="BT3889" s="261"/>
      <c r="BU3889" s="261"/>
      <c r="BV3889" s="261"/>
    </row>
    <row r="3890" spans="12:74">
      <c r="L3890" s="261"/>
      <c r="M3890" s="261"/>
      <c r="N3890" s="261"/>
      <c r="O3890" s="261"/>
      <c r="P3890" s="261"/>
      <c r="Q3890" s="261"/>
      <c r="BR3890" s="261"/>
      <c r="BS3890" s="261"/>
      <c r="BT3890" s="261"/>
      <c r="BU3890" s="261"/>
      <c r="BV3890" s="261"/>
    </row>
    <row r="3891" spans="12:74">
      <c r="L3891" s="261"/>
      <c r="M3891" s="261"/>
      <c r="N3891" s="261"/>
      <c r="O3891" s="261"/>
      <c r="P3891" s="261"/>
      <c r="Q3891" s="261"/>
      <c r="BR3891" s="261"/>
      <c r="BS3891" s="261"/>
      <c r="BT3891" s="261"/>
      <c r="BU3891" s="261"/>
      <c r="BV3891" s="261"/>
    </row>
    <row r="3892" spans="12:74">
      <c r="L3892" s="261"/>
      <c r="M3892" s="261"/>
      <c r="N3892" s="261"/>
      <c r="O3892" s="261"/>
      <c r="P3892" s="261"/>
      <c r="Q3892" s="261"/>
      <c r="BR3892" s="261"/>
      <c r="BS3892" s="261"/>
      <c r="BT3892" s="261"/>
      <c r="BU3892" s="261"/>
      <c r="BV3892" s="261"/>
    </row>
    <row r="3893" spans="12:74">
      <c r="L3893" s="261"/>
      <c r="M3893" s="261"/>
      <c r="N3893" s="261"/>
      <c r="O3893" s="261"/>
      <c r="P3893" s="261"/>
      <c r="Q3893" s="261"/>
      <c r="BR3893" s="261"/>
      <c r="BS3893" s="261"/>
      <c r="BT3893" s="261"/>
      <c r="BU3893" s="261"/>
      <c r="BV3893" s="261"/>
    </row>
    <row r="3894" spans="12:74">
      <c r="L3894" s="261"/>
      <c r="M3894" s="261"/>
      <c r="N3894" s="261"/>
      <c r="O3894" s="261"/>
      <c r="P3894" s="261"/>
      <c r="Q3894" s="261"/>
      <c r="BR3894" s="261"/>
      <c r="BS3894" s="261"/>
      <c r="BT3894" s="261"/>
      <c r="BU3894" s="261"/>
      <c r="BV3894" s="261"/>
    </row>
    <row r="3895" spans="12:74">
      <c r="L3895" s="261"/>
      <c r="M3895" s="261"/>
      <c r="N3895" s="261"/>
      <c r="O3895" s="261"/>
      <c r="P3895" s="261"/>
      <c r="Q3895" s="261"/>
      <c r="BR3895" s="261"/>
      <c r="BS3895" s="261"/>
      <c r="BT3895" s="261"/>
      <c r="BU3895" s="261"/>
      <c r="BV3895" s="261"/>
    </row>
    <row r="3896" spans="12:74">
      <c r="L3896" s="261"/>
      <c r="M3896" s="261"/>
      <c r="N3896" s="261"/>
      <c r="O3896" s="261"/>
      <c r="P3896" s="261"/>
      <c r="Q3896" s="261"/>
      <c r="BR3896" s="261"/>
      <c r="BS3896" s="261"/>
      <c r="BT3896" s="261"/>
      <c r="BU3896" s="261"/>
      <c r="BV3896" s="261"/>
    </row>
    <row r="3897" spans="12:74">
      <c r="L3897" s="261"/>
      <c r="M3897" s="261"/>
      <c r="N3897" s="261"/>
      <c r="O3897" s="261"/>
      <c r="P3897" s="261"/>
      <c r="Q3897" s="261"/>
      <c r="BR3897" s="261"/>
      <c r="BS3897" s="261"/>
      <c r="BT3897" s="261"/>
      <c r="BU3897" s="261"/>
      <c r="BV3897" s="261"/>
    </row>
    <row r="3898" spans="12:74">
      <c r="L3898" s="261"/>
      <c r="M3898" s="261"/>
      <c r="N3898" s="261"/>
      <c r="O3898" s="261"/>
      <c r="P3898" s="261"/>
      <c r="Q3898" s="261"/>
      <c r="BR3898" s="261"/>
      <c r="BS3898" s="261"/>
      <c r="BT3898" s="261"/>
      <c r="BU3898" s="261"/>
      <c r="BV3898" s="261"/>
    </row>
    <row r="3899" spans="12:74">
      <c r="L3899" s="261"/>
      <c r="M3899" s="261"/>
      <c r="N3899" s="261"/>
      <c r="O3899" s="261"/>
      <c r="P3899" s="261"/>
      <c r="Q3899" s="261"/>
      <c r="BR3899" s="261"/>
      <c r="BS3899" s="261"/>
      <c r="BT3899" s="261"/>
      <c r="BU3899" s="261"/>
      <c r="BV3899" s="261"/>
    </row>
    <row r="3900" spans="12:74">
      <c r="L3900" s="261"/>
      <c r="M3900" s="261"/>
      <c r="N3900" s="261"/>
      <c r="O3900" s="261"/>
      <c r="P3900" s="261"/>
      <c r="Q3900" s="261"/>
      <c r="BR3900" s="261"/>
      <c r="BS3900" s="261"/>
      <c r="BT3900" s="261"/>
      <c r="BU3900" s="261"/>
      <c r="BV3900" s="261"/>
    </row>
    <row r="3901" spans="12:74">
      <c r="L3901" s="261"/>
      <c r="M3901" s="261"/>
      <c r="N3901" s="261"/>
      <c r="O3901" s="261"/>
      <c r="P3901" s="261"/>
      <c r="Q3901" s="261"/>
      <c r="BR3901" s="261"/>
      <c r="BS3901" s="261"/>
      <c r="BT3901" s="261"/>
      <c r="BU3901" s="261"/>
      <c r="BV3901" s="261"/>
    </row>
    <row r="3902" spans="12:74">
      <c r="L3902" s="261"/>
      <c r="M3902" s="261"/>
      <c r="N3902" s="261"/>
      <c r="O3902" s="261"/>
      <c r="P3902" s="261"/>
      <c r="Q3902" s="261"/>
      <c r="BR3902" s="261"/>
      <c r="BS3902" s="261"/>
      <c r="BT3902" s="261"/>
      <c r="BU3902" s="261"/>
      <c r="BV3902" s="261"/>
    </row>
    <row r="3903" spans="12:74">
      <c r="L3903" s="261"/>
      <c r="M3903" s="261"/>
      <c r="N3903" s="261"/>
      <c r="O3903" s="261"/>
      <c r="P3903" s="261"/>
      <c r="Q3903" s="261"/>
      <c r="BR3903" s="261"/>
      <c r="BS3903" s="261"/>
      <c r="BT3903" s="261"/>
      <c r="BU3903" s="261"/>
      <c r="BV3903" s="261"/>
    </row>
    <row r="3904" spans="12:74">
      <c r="L3904" s="261"/>
      <c r="M3904" s="261"/>
      <c r="N3904" s="261"/>
      <c r="O3904" s="261"/>
      <c r="P3904" s="261"/>
      <c r="Q3904" s="261"/>
      <c r="BR3904" s="261"/>
      <c r="BS3904" s="261"/>
      <c r="BT3904" s="261"/>
      <c r="BU3904" s="261"/>
      <c r="BV3904" s="261"/>
    </row>
    <row r="3905" spans="12:74">
      <c r="L3905" s="261"/>
      <c r="M3905" s="261"/>
      <c r="N3905" s="261"/>
      <c r="O3905" s="261"/>
      <c r="P3905" s="261"/>
      <c r="Q3905" s="261"/>
      <c r="BR3905" s="261"/>
      <c r="BS3905" s="261"/>
      <c r="BT3905" s="261"/>
      <c r="BU3905" s="261"/>
      <c r="BV3905" s="261"/>
    </row>
    <row r="3906" spans="12:74">
      <c r="L3906" s="261"/>
      <c r="M3906" s="261"/>
      <c r="N3906" s="261"/>
      <c r="O3906" s="261"/>
      <c r="P3906" s="261"/>
      <c r="Q3906" s="261"/>
      <c r="BR3906" s="261"/>
      <c r="BS3906" s="261"/>
      <c r="BT3906" s="261"/>
      <c r="BU3906" s="261"/>
      <c r="BV3906" s="261"/>
    </row>
    <row r="3907" spans="12:74">
      <c r="L3907" s="261"/>
      <c r="M3907" s="261"/>
      <c r="N3907" s="261"/>
      <c r="O3907" s="261"/>
      <c r="P3907" s="261"/>
      <c r="Q3907" s="261"/>
      <c r="BR3907" s="261"/>
      <c r="BS3907" s="261"/>
      <c r="BT3907" s="261"/>
      <c r="BU3907" s="261"/>
      <c r="BV3907" s="261"/>
    </row>
    <row r="3908" spans="12:74">
      <c r="L3908" s="261"/>
      <c r="M3908" s="261"/>
      <c r="N3908" s="261"/>
      <c r="O3908" s="261"/>
      <c r="P3908" s="261"/>
      <c r="Q3908" s="261"/>
      <c r="BR3908" s="261"/>
      <c r="BS3908" s="261"/>
      <c r="BT3908" s="261"/>
      <c r="BU3908" s="261"/>
      <c r="BV3908" s="261"/>
    </row>
    <row r="3909" spans="12:74">
      <c r="L3909" s="261"/>
      <c r="M3909" s="261"/>
      <c r="N3909" s="261"/>
      <c r="O3909" s="261"/>
      <c r="P3909" s="261"/>
      <c r="Q3909" s="261"/>
      <c r="BR3909" s="261"/>
      <c r="BS3909" s="261"/>
      <c r="BT3909" s="261"/>
      <c r="BU3909" s="261"/>
      <c r="BV3909" s="261"/>
    </row>
    <row r="3910" spans="12:74">
      <c r="L3910" s="261"/>
      <c r="M3910" s="261"/>
      <c r="N3910" s="261"/>
      <c r="O3910" s="261"/>
      <c r="P3910" s="261"/>
      <c r="Q3910" s="261"/>
      <c r="BR3910" s="261"/>
      <c r="BS3910" s="261"/>
      <c r="BT3910" s="261"/>
      <c r="BU3910" s="261"/>
      <c r="BV3910" s="261"/>
    </row>
    <row r="3911" spans="12:74">
      <c r="L3911" s="261"/>
      <c r="M3911" s="261"/>
      <c r="N3911" s="261"/>
      <c r="O3911" s="261"/>
      <c r="P3911" s="261"/>
      <c r="Q3911" s="261"/>
      <c r="BR3911" s="261"/>
      <c r="BS3911" s="261"/>
      <c r="BT3911" s="261"/>
      <c r="BU3911" s="261"/>
      <c r="BV3911" s="261"/>
    </row>
    <row r="3912" spans="12:74">
      <c r="L3912" s="261"/>
      <c r="M3912" s="261"/>
      <c r="N3912" s="261"/>
      <c r="O3912" s="261"/>
      <c r="P3912" s="261"/>
      <c r="Q3912" s="261"/>
      <c r="BR3912" s="261"/>
      <c r="BS3912" s="261"/>
      <c r="BT3912" s="261"/>
      <c r="BU3912" s="261"/>
      <c r="BV3912" s="261"/>
    </row>
    <row r="3913" spans="12:74">
      <c r="L3913" s="261"/>
      <c r="M3913" s="261"/>
      <c r="N3913" s="261"/>
      <c r="O3913" s="261"/>
      <c r="P3913" s="261"/>
      <c r="Q3913" s="261"/>
      <c r="BR3913" s="261"/>
      <c r="BS3913" s="261"/>
      <c r="BT3913" s="261"/>
      <c r="BU3913" s="261"/>
      <c r="BV3913" s="261"/>
    </row>
    <row r="3914" spans="12:74">
      <c r="L3914" s="261"/>
      <c r="M3914" s="261"/>
      <c r="N3914" s="261"/>
      <c r="O3914" s="261"/>
      <c r="P3914" s="261"/>
      <c r="Q3914" s="261"/>
      <c r="BR3914" s="261"/>
      <c r="BS3914" s="261"/>
      <c r="BT3914" s="261"/>
      <c r="BU3914" s="261"/>
      <c r="BV3914" s="261"/>
    </row>
    <row r="3915" spans="12:74">
      <c r="L3915" s="261"/>
      <c r="M3915" s="261"/>
      <c r="N3915" s="261"/>
      <c r="O3915" s="261"/>
      <c r="P3915" s="261"/>
      <c r="Q3915" s="261"/>
      <c r="BR3915" s="261"/>
      <c r="BS3915" s="261"/>
      <c r="BT3915" s="261"/>
      <c r="BU3915" s="261"/>
      <c r="BV3915" s="261"/>
    </row>
    <row r="3916" spans="12:74">
      <c r="L3916" s="261"/>
      <c r="M3916" s="261"/>
      <c r="N3916" s="261"/>
      <c r="O3916" s="261"/>
      <c r="P3916" s="261"/>
      <c r="Q3916" s="261"/>
      <c r="BR3916" s="261"/>
      <c r="BS3916" s="261"/>
      <c r="BT3916" s="261"/>
      <c r="BU3916" s="261"/>
      <c r="BV3916" s="261"/>
    </row>
    <row r="3917" spans="12:74">
      <c r="L3917" s="261"/>
      <c r="M3917" s="261"/>
      <c r="N3917" s="261"/>
      <c r="O3917" s="261"/>
      <c r="P3917" s="261"/>
      <c r="Q3917" s="261"/>
      <c r="BR3917" s="261"/>
      <c r="BS3917" s="261"/>
      <c r="BT3917" s="261"/>
      <c r="BU3917" s="261"/>
      <c r="BV3917" s="261"/>
    </row>
    <row r="3918" spans="12:74">
      <c r="L3918" s="261"/>
      <c r="M3918" s="261"/>
      <c r="N3918" s="261"/>
      <c r="O3918" s="261"/>
      <c r="P3918" s="261"/>
      <c r="Q3918" s="261"/>
      <c r="BR3918" s="261"/>
      <c r="BS3918" s="261"/>
      <c r="BT3918" s="261"/>
      <c r="BU3918" s="261"/>
      <c r="BV3918" s="261"/>
    </row>
    <row r="3919" spans="12:74">
      <c r="L3919" s="261"/>
      <c r="M3919" s="261"/>
      <c r="N3919" s="261"/>
      <c r="O3919" s="261"/>
      <c r="P3919" s="261"/>
      <c r="Q3919" s="261"/>
      <c r="BR3919" s="261"/>
      <c r="BS3919" s="261"/>
      <c r="BT3919" s="261"/>
      <c r="BU3919" s="261"/>
      <c r="BV3919" s="261"/>
    </row>
    <row r="3920" spans="12:74">
      <c r="L3920" s="261"/>
      <c r="M3920" s="261"/>
      <c r="N3920" s="261"/>
      <c r="O3920" s="261"/>
      <c r="P3920" s="261"/>
      <c r="Q3920" s="261"/>
      <c r="BR3920" s="261"/>
      <c r="BS3920" s="261"/>
      <c r="BT3920" s="261"/>
      <c r="BU3920" s="261"/>
      <c r="BV3920" s="261"/>
    </row>
    <row r="3921" spans="12:74">
      <c r="L3921" s="261"/>
      <c r="M3921" s="261"/>
      <c r="N3921" s="261"/>
      <c r="O3921" s="261"/>
      <c r="P3921" s="261"/>
      <c r="Q3921" s="261"/>
      <c r="BR3921" s="261"/>
      <c r="BS3921" s="261"/>
      <c r="BT3921" s="261"/>
      <c r="BU3921" s="261"/>
      <c r="BV3921" s="261"/>
    </row>
    <row r="3922" spans="12:74">
      <c r="L3922" s="261"/>
      <c r="M3922" s="261"/>
      <c r="N3922" s="261"/>
      <c r="O3922" s="261"/>
      <c r="P3922" s="261"/>
      <c r="Q3922" s="261"/>
      <c r="BR3922" s="261"/>
      <c r="BS3922" s="261"/>
      <c r="BT3922" s="261"/>
      <c r="BU3922" s="261"/>
      <c r="BV3922" s="261"/>
    </row>
    <row r="3923" spans="12:74">
      <c r="L3923" s="261"/>
      <c r="M3923" s="261"/>
      <c r="N3923" s="261"/>
      <c r="O3923" s="261"/>
      <c r="P3923" s="261"/>
      <c r="Q3923" s="261"/>
      <c r="BR3923" s="261"/>
      <c r="BS3923" s="261"/>
      <c r="BT3923" s="261"/>
      <c r="BU3923" s="261"/>
      <c r="BV3923" s="261"/>
    </row>
    <row r="3924" spans="12:74">
      <c r="L3924" s="261"/>
      <c r="M3924" s="261"/>
      <c r="N3924" s="261"/>
      <c r="O3924" s="261"/>
      <c r="P3924" s="261"/>
      <c r="Q3924" s="261"/>
      <c r="BR3924" s="261"/>
      <c r="BS3924" s="261"/>
      <c r="BT3924" s="261"/>
      <c r="BU3924" s="261"/>
      <c r="BV3924" s="261"/>
    </row>
    <row r="3925" spans="12:74">
      <c r="L3925" s="261"/>
      <c r="M3925" s="261"/>
      <c r="N3925" s="261"/>
      <c r="O3925" s="261"/>
      <c r="P3925" s="261"/>
      <c r="Q3925" s="261"/>
      <c r="BR3925" s="261"/>
      <c r="BS3925" s="261"/>
      <c r="BT3925" s="261"/>
      <c r="BU3925" s="261"/>
      <c r="BV3925" s="261"/>
    </row>
    <row r="3926" spans="12:74">
      <c r="L3926" s="261"/>
      <c r="M3926" s="261"/>
      <c r="N3926" s="261"/>
      <c r="O3926" s="261"/>
      <c r="P3926" s="261"/>
      <c r="Q3926" s="261"/>
      <c r="BR3926" s="261"/>
      <c r="BS3926" s="261"/>
      <c r="BT3926" s="261"/>
      <c r="BU3926" s="261"/>
      <c r="BV3926" s="261"/>
    </row>
    <row r="3927" spans="12:74">
      <c r="L3927" s="261"/>
      <c r="M3927" s="261"/>
      <c r="N3927" s="261"/>
      <c r="O3927" s="261"/>
      <c r="P3927" s="261"/>
      <c r="Q3927" s="261"/>
      <c r="BR3927" s="261"/>
      <c r="BS3927" s="261"/>
      <c r="BT3927" s="261"/>
      <c r="BU3927" s="261"/>
      <c r="BV3927" s="261"/>
    </row>
    <row r="3928" spans="12:74">
      <c r="L3928" s="261"/>
      <c r="M3928" s="261"/>
      <c r="N3928" s="261"/>
      <c r="O3928" s="261"/>
      <c r="P3928" s="261"/>
      <c r="Q3928" s="261"/>
      <c r="BR3928" s="261"/>
      <c r="BS3928" s="261"/>
      <c r="BT3928" s="261"/>
      <c r="BU3928" s="261"/>
      <c r="BV3928" s="261"/>
    </row>
    <row r="3929" spans="12:74">
      <c r="L3929" s="261"/>
      <c r="M3929" s="261"/>
      <c r="N3929" s="261"/>
      <c r="O3929" s="261"/>
      <c r="P3929" s="261"/>
      <c r="Q3929" s="261"/>
      <c r="BR3929" s="261"/>
      <c r="BS3929" s="261"/>
      <c r="BT3929" s="261"/>
      <c r="BU3929" s="261"/>
      <c r="BV3929" s="261"/>
    </row>
    <row r="3930" spans="12:74">
      <c r="L3930" s="261"/>
      <c r="M3930" s="261"/>
      <c r="N3930" s="261"/>
      <c r="O3930" s="261"/>
      <c r="P3930" s="261"/>
      <c r="Q3930" s="261"/>
      <c r="BR3930" s="261"/>
      <c r="BS3930" s="261"/>
      <c r="BT3930" s="261"/>
      <c r="BU3930" s="261"/>
      <c r="BV3930" s="261"/>
    </row>
    <row r="3931" spans="12:74">
      <c r="L3931" s="261"/>
      <c r="M3931" s="261"/>
      <c r="N3931" s="261"/>
      <c r="O3931" s="261"/>
      <c r="P3931" s="261"/>
      <c r="Q3931" s="261"/>
      <c r="BR3931" s="261"/>
      <c r="BS3931" s="261"/>
      <c r="BT3931" s="261"/>
      <c r="BU3931" s="261"/>
      <c r="BV3931" s="261"/>
    </row>
    <row r="3932" spans="12:74">
      <c r="L3932" s="261"/>
      <c r="M3932" s="261"/>
      <c r="N3932" s="261"/>
      <c r="O3932" s="261"/>
      <c r="P3932" s="261"/>
      <c r="Q3932" s="261"/>
      <c r="BR3932" s="261"/>
      <c r="BS3932" s="261"/>
      <c r="BT3932" s="261"/>
      <c r="BU3932" s="261"/>
      <c r="BV3932" s="261"/>
    </row>
    <row r="3933" spans="12:74">
      <c r="L3933" s="261"/>
      <c r="M3933" s="261"/>
      <c r="N3933" s="261"/>
      <c r="O3933" s="261"/>
      <c r="P3933" s="261"/>
      <c r="Q3933" s="261"/>
      <c r="BR3933" s="261"/>
      <c r="BS3933" s="261"/>
      <c r="BT3933" s="261"/>
      <c r="BU3933" s="261"/>
      <c r="BV3933" s="261"/>
    </row>
    <row r="3934" spans="12:74">
      <c r="L3934" s="261"/>
      <c r="M3934" s="261"/>
      <c r="N3934" s="261"/>
      <c r="O3934" s="261"/>
      <c r="P3934" s="261"/>
      <c r="Q3934" s="261"/>
      <c r="BR3934" s="261"/>
      <c r="BS3934" s="261"/>
      <c r="BT3934" s="261"/>
      <c r="BU3934" s="261"/>
      <c r="BV3934" s="261"/>
    </row>
    <row r="3935" spans="12:74">
      <c r="L3935" s="261"/>
      <c r="M3935" s="261"/>
      <c r="N3935" s="261"/>
      <c r="O3935" s="261"/>
      <c r="P3935" s="261"/>
      <c r="Q3935" s="261"/>
      <c r="BR3935" s="261"/>
      <c r="BS3935" s="261"/>
      <c r="BT3935" s="261"/>
      <c r="BU3935" s="261"/>
      <c r="BV3935" s="261"/>
    </row>
    <row r="3936" spans="12:74">
      <c r="L3936" s="261"/>
      <c r="M3936" s="261"/>
      <c r="N3936" s="261"/>
      <c r="O3936" s="261"/>
      <c r="P3936" s="261"/>
      <c r="Q3936" s="261"/>
      <c r="BR3936" s="261"/>
      <c r="BS3936" s="261"/>
      <c r="BT3936" s="261"/>
      <c r="BU3936" s="261"/>
      <c r="BV3936" s="261"/>
    </row>
    <row r="3937" spans="12:74">
      <c r="L3937" s="261"/>
      <c r="M3937" s="261"/>
      <c r="N3937" s="261"/>
      <c r="O3937" s="261"/>
      <c r="P3937" s="261"/>
      <c r="Q3937" s="261"/>
      <c r="BR3937" s="261"/>
      <c r="BS3937" s="261"/>
      <c r="BT3937" s="261"/>
      <c r="BU3937" s="261"/>
      <c r="BV3937" s="261"/>
    </row>
    <row r="3938" spans="12:74">
      <c r="L3938" s="261"/>
      <c r="M3938" s="261"/>
      <c r="N3938" s="261"/>
      <c r="O3938" s="261"/>
      <c r="P3938" s="261"/>
      <c r="Q3938" s="261"/>
      <c r="BR3938" s="261"/>
      <c r="BS3938" s="261"/>
      <c r="BT3938" s="261"/>
      <c r="BU3938" s="261"/>
      <c r="BV3938" s="261"/>
    </row>
    <row r="3939" spans="12:74">
      <c r="L3939" s="261"/>
      <c r="M3939" s="261"/>
      <c r="N3939" s="261"/>
      <c r="O3939" s="261"/>
      <c r="P3939" s="261"/>
      <c r="Q3939" s="261"/>
      <c r="BR3939" s="261"/>
      <c r="BS3939" s="261"/>
      <c r="BT3939" s="261"/>
      <c r="BU3939" s="261"/>
      <c r="BV3939" s="261"/>
    </row>
    <row r="3940" spans="12:74">
      <c r="L3940" s="261"/>
      <c r="M3940" s="261"/>
      <c r="N3940" s="261"/>
      <c r="O3940" s="261"/>
      <c r="P3940" s="261"/>
      <c r="Q3940" s="261"/>
      <c r="BR3940" s="261"/>
      <c r="BS3940" s="261"/>
      <c r="BT3940" s="261"/>
      <c r="BU3940" s="261"/>
      <c r="BV3940" s="261"/>
    </row>
    <row r="3941" spans="12:74">
      <c r="L3941" s="261"/>
      <c r="M3941" s="261"/>
      <c r="N3941" s="261"/>
      <c r="O3941" s="261"/>
      <c r="P3941" s="261"/>
      <c r="Q3941" s="261"/>
      <c r="BR3941" s="261"/>
      <c r="BS3941" s="261"/>
      <c r="BT3941" s="261"/>
      <c r="BU3941" s="261"/>
      <c r="BV3941" s="261"/>
    </row>
    <row r="3942" spans="12:74">
      <c r="L3942" s="261"/>
      <c r="M3942" s="261"/>
      <c r="N3942" s="261"/>
      <c r="O3942" s="261"/>
      <c r="P3942" s="261"/>
      <c r="Q3942" s="261"/>
      <c r="BR3942" s="261"/>
      <c r="BS3942" s="261"/>
      <c r="BT3942" s="261"/>
      <c r="BU3942" s="261"/>
      <c r="BV3942" s="261"/>
    </row>
    <row r="3943" spans="12:74">
      <c r="L3943" s="261"/>
      <c r="M3943" s="261"/>
      <c r="N3943" s="261"/>
      <c r="O3943" s="261"/>
      <c r="P3943" s="261"/>
      <c r="Q3943" s="261"/>
      <c r="BR3943" s="261"/>
      <c r="BS3943" s="261"/>
      <c r="BT3943" s="261"/>
      <c r="BU3943" s="261"/>
      <c r="BV3943" s="261"/>
    </row>
    <row r="3944" spans="12:74">
      <c r="L3944" s="261"/>
      <c r="M3944" s="261"/>
      <c r="N3944" s="261"/>
      <c r="O3944" s="261"/>
      <c r="P3944" s="261"/>
      <c r="Q3944" s="261"/>
      <c r="BR3944" s="261"/>
      <c r="BS3944" s="261"/>
      <c r="BT3944" s="261"/>
      <c r="BU3944" s="261"/>
      <c r="BV3944" s="261"/>
    </row>
    <row r="3945" spans="12:74">
      <c r="L3945" s="261"/>
      <c r="M3945" s="261"/>
      <c r="N3945" s="261"/>
      <c r="O3945" s="261"/>
      <c r="P3945" s="261"/>
      <c r="Q3945" s="261"/>
      <c r="BR3945" s="261"/>
      <c r="BS3945" s="261"/>
      <c r="BT3945" s="261"/>
      <c r="BU3945" s="261"/>
      <c r="BV3945" s="261"/>
    </row>
    <row r="3946" spans="12:74">
      <c r="L3946" s="261"/>
      <c r="M3946" s="261"/>
      <c r="N3946" s="261"/>
      <c r="O3946" s="261"/>
      <c r="P3946" s="261"/>
      <c r="Q3946" s="261"/>
      <c r="BR3946" s="261"/>
      <c r="BS3946" s="261"/>
      <c r="BT3946" s="261"/>
      <c r="BU3946" s="261"/>
      <c r="BV3946" s="261"/>
    </row>
    <row r="3947" spans="12:74">
      <c r="L3947" s="261"/>
      <c r="M3947" s="261"/>
      <c r="N3947" s="261"/>
      <c r="O3947" s="261"/>
      <c r="P3947" s="261"/>
      <c r="Q3947" s="261"/>
      <c r="BR3947" s="261"/>
      <c r="BS3947" s="261"/>
      <c r="BT3947" s="261"/>
      <c r="BU3947" s="261"/>
      <c r="BV3947" s="261"/>
    </row>
    <row r="3948" spans="12:74">
      <c r="L3948" s="261"/>
      <c r="M3948" s="261"/>
      <c r="N3948" s="261"/>
      <c r="O3948" s="261"/>
      <c r="P3948" s="261"/>
      <c r="Q3948" s="261"/>
      <c r="BR3948" s="261"/>
      <c r="BS3948" s="261"/>
      <c r="BT3948" s="261"/>
      <c r="BU3948" s="261"/>
      <c r="BV3948" s="261"/>
    </row>
    <row r="3949" spans="12:74">
      <c r="L3949" s="261"/>
      <c r="M3949" s="261"/>
      <c r="N3949" s="261"/>
      <c r="O3949" s="261"/>
      <c r="P3949" s="261"/>
      <c r="Q3949" s="261"/>
      <c r="BR3949" s="261"/>
      <c r="BS3949" s="261"/>
      <c r="BT3949" s="261"/>
      <c r="BU3949" s="261"/>
      <c r="BV3949" s="261"/>
    </row>
    <row r="3950" spans="12:74">
      <c r="L3950" s="261"/>
      <c r="M3950" s="261"/>
      <c r="N3950" s="261"/>
      <c r="O3950" s="261"/>
      <c r="P3950" s="261"/>
      <c r="Q3950" s="261"/>
      <c r="BR3950" s="261"/>
      <c r="BS3950" s="261"/>
      <c r="BT3950" s="261"/>
      <c r="BU3950" s="261"/>
      <c r="BV3950" s="261"/>
    </row>
    <row r="3951" spans="12:74">
      <c r="L3951" s="261"/>
      <c r="M3951" s="261"/>
      <c r="N3951" s="261"/>
      <c r="O3951" s="261"/>
      <c r="P3951" s="261"/>
      <c r="Q3951" s="261"/>
      <c r="BR3951" s="261"/>
      <c r="BS3951" s="261"/>
      <c r="BT3951" s="261"/>
      <c r="BU3951" s="261"/>
      <c r="BV3951" s="261"/>
    </row>
    <row r="3952" spans="12:74">
      <c r="L3952" s="261"/>
      <c r="M3952" s="261"/>
      <c r="N3952" s="261"/>
      <c r="O3952" s="261"/>
      <c r="P3952" s="261"/>
      <c r="Q3952" s="261"/>
      <c r="BR3952" s="261"/>
      <c r="BS3952" s="261"/>
      <c r="BT3952" s="261"/>
      <c r="BU3952" s="261"/>
      <c r="BV3952" s="261"/>
    </row>
    <row r="3953" spans="12:74">
      <c r="L3953" s="261"/>
      <c r="M3953" s="261"/>
      <c r="N3953" s="261"/>
      <c r="O3953" s="261"/>
      <c r="P3953" s="261"/>
      <c r="Q3953" s="261"/>
      <c r="BR3953" s="261"/>
      <c r="BS3953" s="261"/>
      <c r="BT3953" s="261"/>
      <c r="BU3953" s="261"/>
      <c r="BV3953" s="261"/>
    </row>
    <row r="3954" spans="12:74">
      <c r="L3954" s="261"/>
      <c r="M3954" s="261"/>
      <c r="N3954" s="261"/>
      <c r="O3954" s="261"/>
      <c r="P3954" s="261"/>
      <c r="Q3954" s="261"/>
      <c r="BR3954" s="261"/>
      <c r="BS3954" s="261"/>
      <c r="BT3954" s="261"/>
      <c r="BU3954" s="261"/>
      <c r="BV3954" s="261"/>
    </row>
    <row r="3955" spans="12:74">
      <c r="L3955" s="261"/>
      <c r="M3955" s="261"/>
      <c r="N3955" s="261"/>
      <c r="O3955" s="261"/>
      <c r="P3955" s="261"/>
      <c r="Q3955" s="261"/>
      <c r="BR3955" s="261"/>
      <c r="BS3955" s="261"/>
      <c r="BT3955" s="261"/>
      <c r="BU3955" s="261"/>
      <c r="BV3955" s="261"/>
    </row>
    <row r="3956" spans="12:74">
      <c r="L3956" s="261"/>
      <c r="M3956" s="261"/>
      <c r="N3956" s="261"/>
      <c r="O3956" s="261"/>
      <c r="P3956" s="261"/>
      <c r="Q3956" s="261"/>
      <c r="BR3956" s="261"/>
      <c r="BS3956" s="261"/>
      <c r="BT3956" s="261"/>
      <c r="BU3956" s="261"/>
      <c r="BV3956" s="261"/>
    </row>
    <row r="3957" spans="12:74">
      <c r="L3957" s="261"/>
      <c r="M3957" s="261"/>
      <c r="N3957" s="261"/>
      <c r="O3957" s="261"/>
      <c r="P3957" s="261"/>
      <c r="Q3957" s="261"/>
      <c r="BR3957" s="261"/>
      <c r="BS3957" s="261"/>
      <c r="BT3957" s="261"/>
      <c r="BU3957" s="261"/>
      <c r="BV3957" s="261"/>
    </row>
    <row r="3958" spans="12:74">
      <c r="L3958" s="261"/>
      <c r="M3958" s="261"/>
      <c r="N3958" s="261"/>
      <c r="O3958" s="261"/>
      <c r="P3958" s="261"/>
      <c r="Q3958" s="261"/>
      <c r="BR3958" s="261"/>
      <c r="BS3958" s="261"/>
      <c r="BT3958" s="261"/>
      <c r="BU3958" s="261"/>
      <c r="BV3958" s="261"/>
    </row>
    <row r="3959" spans="12:74">
      <c r="L3959" s="261"/>
      <c r="M3959" s="261"/>
      <c r="N3959" s="261"/>
      <c r="O3959" s="261"/>
      <c r="P3959" s="261"/>
      <c r="Q3959" s="261"/>
      <c r="BR3959" s="261"/>
      <c r="BS3959" s="261"/>
      <c r="BT3959" s="261"/>
      <c r="BU3959" s="261"/>
      <c r="BV3959" s="261"/>
    </row>
    <row r="3960" spans="12:74">
      <c r="L3960" s="261"/>
      <c r="M3960" s="261"/>
      <c r="N3960" s="261"/>
      <c r="O3960" s="261"/>
      <c r="P3960" s="261"/>
      <c r="Q3960" s="261"/>
      <c r="BR3960" s="261"/>
      <c r="BS3960" s="261"/>
      <c r="BT3960" s="261"/>
      <c r="BU3960" s="261"/>
      <c r="BV3960" s="261"/>
    </row>
    <row r="3961" spans="12:74">
      <c r="L3961" s="261"/>
      <c r="M3961" s="261"/>
      <c r="N3961" s="261"/>
      <c r="O3961" s="261"/>
      <c r="P3961" s="261"/>
      <c r="Q3961" s="261"/>
      <c r="BR3961" s="261"/>
      <c r="BS3961" s="261"/>
      <c r="BT3961" s="261"/>
      <c r="BU3961" s="261"/>
      <c r="BV3961" s="261"/>
    </row>
    <row r="3962" spans="12:74">
      <c r="L3962" s="261"/>
      <c r="M3962" s="261"/>
      <c r="N3962" s="261"/>
      <c r="O3962" s="261"/>
      <c r="P3962" s="261"/>
      <c r="Q3962" s="261"/>
      <c r="BR3962" s="261"/>
      <c r="BS3962" s="261"/>
      <c r="BT3962" s="261"/>
      <c r="BU3962" s="261"/>
      <c r="BV3962" s="261"/>
    </row>
    <row r="3963" spans="12:74">
      <c r="L3963" s="261"/>
      <c r="M3963" s="261"/>
      <c r="N3963" s="261"/>
      <c r="O3963" s="261"/>
      <c r="P3963" s="261"/>
      <c r="Q3963" s="261"/>
      <c r="BR3963" s="261"/>
      <c r="BS3963" s="261"/>
      <c r="BT3963" s="261"/>
      <c r="BU3963" s="261"/>
      <c r="BV3963" s="261"/>
    </row>
    <row r="3964" spans="12:74">
      <c r="L3964" s="261"/>
      <c r="M3964" s="261"/>
      <c r="N3964" s="261"/>
      <c r="O3964" s="261"/>
      <c r="P3964" s="261"/>
      <c r="Q3964" s="261"/>
      <c r="BR3964" s="261"/>
      <c r="BS3964" s="261"/>
      <c r="BT3964" s="261"/>
      <c r="BU3964" s="261"/>
      <c r="BV3964" s="261"/>
    </row>
    <row r="3965" spans="12:74">
      <c r="L3965" s="261"/>
      <c r="M3965" s="261"/>
      <c r="N3965" s="261"/>
      <c r="O3965" s="261"/>
      <c r="P3965" s="261"/>
      <c r="Q3965" s="261"/>
      <c r="BR3965" s="261"/>
      <c r="BS3965" s="261"/>
      <c r="BT3965" s="261"/>
      <c r="BU3965" s="261"/>
      <c r="BV3965" s="261"/>
    </row>
    <row r="3966" spans="12:74">
      <c r="L3966" s="261"/>
      <c r="M3966" s="261"/>
      <c r="N3966" s="261"/>
      <c r="O3966" s="261"/>
      <c r="P3966" s="261"/>
      <c r="Q3966" s="261"/>
      <c r="BR3966" s="261"/>
      <c r="BS3966" s="261"/>
      <c r="BT3966" s="261"/>
      <c r="BU3966" s="261"/>
      <c r="BV3966" s="261"/>
    </row>
    <row r="3967" spans="12:74">
      <c r="L3967" s="261"/>
      <c r="M3967" s="261"/>
      <c r="N3967" s="261"/>
      <c r="O3967" s="261"/>
      <c r="P3967" s="261"/>
      <c r="Q3967" s="261"/>
      <c r="BR3967" s="261"/>
      <c r="BS3967" s="261"/>
      <c r="BT3967" s="261"/>
      <c r="BU3967" s="261"/>
      <c r="BV3967" s="261"/>
    </row>
    <row r="3968" spans="12:74">
      <c r="L3968" s="261"/>
      <c r="M3968" s="261"/>
      <c r="N3968" s="261"/>
      <c r="O3968" s="261"/>
      <c r="P3968" s="261"/>
      <c r="Q3968" s="261"/>
      <c r="BR3968" s="261"/>
      <c r="BS3968" s="261"/>
      <c r="BT3968" s="261"/>
      <c r="BU3968" s="261"/>
      <c r="BV3968" s="261"/>
    </row>
    <row r="3969" spans="12:74">
      <c r="L3969" s="261"/>
      <c r="M3969" s="261"/>
      <c r="N3969" s="261"/>
      <c r="O3969" s="261"/>
      <c r="P3969" s="261"/>
      <c r="Q3969" s="261"/>
      <c r="BR3969" s="261"/>
      <c r="BS3969" s="261"/>
      <c r="BT3969" s="261"/>
      <c r="BU3969" s="261"/>
      <c r="BV3969" s="261"/>
    </row>
    <row r="3970" spans="12:74">
      <c r="L3970" s="261"/>
      <c r="M3970" s="261"/>
      <c r="N3970" s="261"/>
      <c r="O3970" s="261"/>
      <c r="P3970" s="261"/>
      <c r="Q3970" s="261"/>
      <c r="BR3970" s="261"/>
      <c r="BS3970" s="261"/>
      <c r="BT3970" s="261"/>
      <c r="BU3970" s="261"/>
      <c r="BV3970" s="261"/>
    </row>
    <row r="3971" spans="12:74">
      <c r="L3971" s="261"/>
      <c r="M3971" s="261"/>
      <c r="N3971" s="261"/>
      <c r="O3971" s="261"/>
      <c r="P3971" s="261"/>
      <c r="Q3971" s="261"/>
      <c r="BR3971" s="261"/>
      <c r="BS3971" s="261"/>
      <c r="BT3971" s="261"/>
      <c r="BU3971" s="261"/>
      <c r="BV3971" s="261"/>
    </row>
    <row r="3972" spans="12:74">
      <c r="L3972" s="261"/>
      <c r="M3972" s="261"/>
      <c r="N3972" s="261"/>
      <c r="O3972" s="261"/>
      <c r="P3972" s="261"/>
      <c r="Q3972" s="261"/>
      <c r="BR3972" s="261"/>
      <c r="BS3972" s="261"/>
      <c r="BT3972" s="261"/>
      <c r="BU3972" s="261"/>
      <c r="BV3972" s="261"/>
    </row>
    <row r="3973" spans="12:74">
      <c r="L3973" s="261"/>
      <c r="M3973" s="261"/>
      <c r="N3973" s="261"/>
      <c r="O3973" s="261"/>
      <c r="P3973" s="261"/>
      <c r="Q3973" s="261"/>
      <c r="BR3973" s="261"/>
      <c r="BS3973" s="261"/>
      <c r="BT3973" s="261"/>
      <c r="BU3973" s="261"/>
      <c r="BV3973" s="261"/>
    </row>
    <row r="3974" spans="12:74">
      <c r="L3974" s="261"/>
      <c r="M3974" s="261"/>
      <c r="N3974" s="261"/>
      <c r="O3974" s="261"/>
      <c r="P3974" s="261"/>
      <c r="Q3974" s="261"/>
      <c r="BR3974" s="261"/>
      <c r="BS3974" s="261"/>
      <c r="BT3974" s="261"/>
      <c r="BU3974" s="261"/>
      <c r="BV3974" s="261"/>
    </row>
    <row r="3975" spans="12:74">
      <c r="L3975" s="261"/>
      <c r="M3975" s="261"/>
      <c r="N3975" s="261"/>
      <c r="O3975" s="261"/>
      <c r="P3975" s="261"/>
      <c r="Q3975" s="261"/>
      <c r="BR3975" s="261"/>
      <c r="BS3975" s="261"/>
      <c r="BT3975" s="261"/>
      <c r="BU3975" s="261"/>
      <c r="BV3975" s="261"/>
    </row>
    <row r="3976" spans="12:74">
      <c r="L3976" s="261"/>
      <c r="M3976" s="261"/>
      <c r="N3976" s="261"/>
      <c r="O3976" s="261"/>
      <c r="P3976" s="261"/>
      <c r="Q3976" s="261"/>
      <c r="BR3976" s="261"/>
      <c r="BS3976" s="261"/>
      <c r="BT3976" s="261"/>
      <c r="BU3976" s="261"/>
      <c r="BV3976" s="261"/>
    </row>
    <row r="3977" spans="12:74">
      <c r="L3977" s="261"/>
      <c r="M3977" s="261"/>
      <c r="N3977" s="261"/>
      <c r="O3977" s="261"/>
      <c r="P3977" s="261"/>
      <c r="Q3977" s="261"/>
      <c r="BR3977" s="261"/>
      <c r="BS3977" s="261"/>
      <c r="BT3977" s="261"/>
      <c r="BU3977" s="261"/>
      <c r="BV3977" s="261"/>
    </row>
    <row r="3978" spans="12:74">
      <c r="L3978" s="261"/>
      <c r="M3978" s="261"/>
      <c r="N3978" s="261"/>
      <c r="O3978" s="261"/>
      <c r="P3978" s="261"/>
      <c r="Q3978" s="261"/>
      <c r="BR3978" s="261"/>
      <c r="BS3978" s="261"/>
      <c r="BT3978" s="261"/>
      <c r="BU3978" s="261"/>
      <c r="BV3978" s="261"/>
    </row>
    <row r="3979" spans="12:74">
      <c r="L3979" s="261"/>
      <c r="M3979" s="261"/>
      <c r="N3979" s="261"/>
      <c r="O3979" s="261"/>
      <c r="P3979" s="261"/>
      <c r="Q3979" s="261"/>
      <c r="BR3979" s="261"/>
      <c r="BS3979" s="261"/>
      <c r="BT3979" s="261"/>
      <c r="BU3979" s="261"/>
      <c r="BV3979" s="261"/>
    </row>
    <row r="3980" spans="12:74">
      <c r="L3980" s="261"/>
      <c r="M3980" s="261"/>
      <c r="N3980" s="261"/>
      <c r="O3980" s="261"/>
      <c r="P3980" s="261"/>
      <c r="Q3980" s="261"/>
      <c r="BR3980" s="261"/>
      <c r="BS3980" s="261"/>
      <c r="BT3980" s="261"/>
      <c r="BU3980" s="261"/>
      <c r="BV3980" s="261"/>
    </row>
    <row r="3981" spans="12:74">
      <c r="L3981" s="261"/>
      <c r="M3981" s="261"/>
      <c r="N3981" s="261"/>
      <c r="O3981" s="261"/>
      <c r="P3981" s="261"/>
      <c r="Q3981" s="261"/>
      <c r="BR3981" s="261"/>
      <c r="BS3981" s="261"/>
      <c r="BT3981" s="261"/>
      <c r="BU3981" s="261"/>
      <c r="BV3981" s="261"/>
    </row>
    <row r="3982" spans="12:74">
      <c r="L3982" s="261"/>
      <c r="M3982" s="261"/>
      <c r="N3982" s="261"/>
      <c r="O3982" s="261"/>
      <c r="P3982" s="261"/>
      <c r="Q3982" s="261"/>
      <c r="BR3982" s="261"/>
      <c r="BS3982" s="261"/>
      <c r="BT3982" s="261"/>
      <c r="BU3982" s="261"/>
      <c r="BV3982" s="261"/>
    </row>
    <row r="3983" spans="12:74">
      <c r="L3983" s="261"/>
      <c r="M3983" s="261"/>
      <c r="N3983" s="261"/>
      <c r="O3983" s="261"/>
      <c r="P3983" s="261"/>
      <c r="Q3983" s="261"/>
      <c r="BR3983" s="261"/>
      <c r="BS3983" s="261"/>
      <c r="BT3983" s="261"/>
      <c r="BU3983" s="261"/>
      <c r="BV3983" s="261"/>
    </row>
    <row r="3984" spans="12:74">
      <c r="L3984" s="261"/>
      <c r="M3984" s="261"/>
      <c r="N3984" s="261"/>
      <c r="O3984" s="261"/>
      <c r="P3984" s="261"/>
      <c r="Q3984" s="261"/>
      <c r="BR3984" s="261"/>
      <c r="BS3984" s="261"/>
      <c r="BT3984" s="261"/>
      <c r="BU3984" s="261"/>
      <c r="BV3984" s="261"/>
    </row>
    <row r="3985" spans="12:74">
      <c r="L3985" s="261"/>
      <c r="M3985" s="261"/>
      <c r="N3985" s="261"/>
      <c r="O3985" s="261"/>
      <c r="P3985" s="261"/>
      <c r="Q3985" s="261"/>
      <c r="BR3985" s="261"/>
      <c r="BS3985" s="261"/>
      <c r="BT3985" s="261"/>
      <c r="BU3985" s="261"/>
      <c r="BV3985" s="261"/>
    </row>
    <row r="3986" spans="12:74">
      <c r="L3986" s="261"/>
      <c r="M3986" s="261"/>
      <c r="N3986" s="261"/>
      <c r="O3986" s="261"/>
      <c r="P3986" s="261"/>
      <c r="Q3986" s="261"/>
      <c r="BR3986" s="261"/>
      <c r="BS3986" s="261"/>
      <c r="BT3986" s="261"/>
      <c r="BU3986" s="261"/>
      <c r="BV3986" s="261"/>
    </row>
    <row r="3987" spans="12:74">
      <c r="L3987" s="261"/>
      <c r="M3987" s="261"/>
      <c r="N3987" s="261"/>
      <c r="O3987" s="261"/>
      <c r="P3987" s="261"/>
      <c r="Q3987" s="261"/>
      <c r="BR3987" s="261"/>
      <c r="BS3987" s="261"/>
      <c r="BT3987" s="261"/>
      <c r="BU3987" s="261"/>
      <c r="BV3987" s="261"/>
    </row>
    <row r="3988" spans="12:74">
      <c r="L3988" s="261"/>
      <c r="M3988" s="261"/>
      <c r="N3988" s="261"/>
      <c r="O3988" s="261"/>
      <c r="P3988" s="261"/>
      <c r="Q3988" s="261"/>
      <c r="BR3988" s="261"/>
      <c r="BS3988" s="261"/>
      <c r="BT3988" s="261"/>
      <c r="BU3988" s="261"/>
      <c r="BV3988" s="261"/>
    </row>
    <row r="3989" spans="12:74">
      <c r="L3989" s="261"/>
      <c r="M3989" s="261"/>
      <c r="N3989" s="261"/>
      <c r="O3989" s="261"/>
      <c r="P3989" s="261"/>
      <c r="Q3989" s="261"/>
      <c r="BR3989" s="261"/>
      <c r="BS3989" s="261"/>
      <c r="BT3989" s="261"/>
      <c r="BU3989" s="261"/>
      <c r="BV3989" s="261"/>
    </row>
    <row r="3990" spans="12:74">
      <c r="L3990" s="261"/>
      <c r="M3990" s="261"/>
      <c r="N3990" s="261"/>
      <c r="O3990" s="261"/>
      <c r="P3990" s="261"/>
      <c r="Q3990" s="261"/>
      <c r="BR3990" s="261"/>
      <c r="BS3990" s="261"/>
      <c r="BT3990" s="261"/>
      <c r="BU3990" s="261"/>
      <c r="BV3990" s="261"/>
    </row>
    <row r="3991" spans="12:74">
      <c r="L3991" s="261"/>
      <c r="M3991" s="261"/>
      <c r="N3991" s="261"/>
      <c r="O3991" s="261"/>
      <c r="P3991" s="261"/>
      <c r="Q3991" s="261"/>
      <c r="BR3991" s="261"/>
      <c r="BS3991" s="261"/>
      <c r="BT3991" s="261"/>
      <c r="BU3991" s="261"/>
      <c r="BV3991" s="261"/>
    </row>
    <row r="3992" spans="12:74">
      <c r="L3992" s="261"/>
      <c r="M3992" s="261"/>
      <c r="N3992" s="261"/>
      <c r="O3992" s="261"/>
      <c r="P3992" s="261"/>
      <c r="Q3992" s="261"/>
      <c r="BR3992" s="261"/>
      <c r="BS3992" s="261"/>
      <c r="BT3992" s="261"/>
      <c r="BU3992" s="261"/>
      <c r="BV3992" s="261"/>
    </row>
    <row r="3993" spans="12:74">
      <c r="L3993" s="261"/>
      <c r="M3993" s="261"/>
      <c r="N3993" s="261"/>
      <c r="O3993" s="261"/>
      <c r="P3993" s="261"/>
      <c r="Q3993" s="261"/>
      <c r="BR3993" s="261"/>
      <c r="BS3993" s="261"/>
      <c r="BT3993" s="261"/>
      <c r="BU3993" s="261"/>
      <c r="BV3993" s="261"/>
    </row>
    <row r="3994" spans="12:74">
      <c r="L3994" s="261"/>
      <c r="M3994" s="261"/>
      <c r="N3994" s="261"/>
      <c r="O3994" s="261"/>
      <c r="P3994" s="261"/>
      <c r="Q3994" s="261"/>
      <c r="BR3994" s="261"/>
      <c r="BS3994" s="261"/>
      <c r="BT3994" s="261"/>
      <c r="BU3994" s="261"/>
      <c r="BV3994" s="261"/>
    </row>
    <row r="3995" spans="12:74">
      <c r="L3995" s="261"/>
      <c r="M3995" s="261"/>
      <c r="N3995" s="261"/>
      <c r="O3995" s="261"/>
      <c r="P3995" s="261"/>
      <c r="Q3995" s="261"/>
      <c r="BR3995" s="261"/>
      <c r="BS3995" s="261"/>
      <c r="BT3995" s="261"/>
      <c r="BU3995" s="261"/>
      <c r="BV3995" s="261"/>
    </row>
    <row r="3996" spans="12:74">
      <c r="L3996" s="261"/>
      <c r="M3996" s="261"/>
      <c r="N3996" s="261"/>
      <c r="O3996" s="261"/>
      <c r="P3996" s="261"/>
      <c r="Q3996" s="261"/>
      <c r="BR3996" s="261"/>
      <c r="BS3996" s="261"/>
      <c r="BT3996" s="261"/>
      <c r="BU3996" s="261"/>
      <c r="BV3996" s="261"/>
    </row>
    <row r="3997" spans="12:74">
      <c r="L3997" s="261"/>
      <c r="M3997" s="261"/>
      <c r="N3997" s="261"/>
      <c r="O3997" s="261"/>
      <c r="P3997" s="261"/>
      <c r="Q3997" s="261"/>
      <c r="BR3997" s="261"/>
      <c r="BS3997" s="261"/>
      <c r="BT3997" s="261"/>
      <c r="BU3997" s="261"/>
      <c r="BV3997" s="261"/>
    </row>
    <row r="3998" spans="12:74">
      <c r="L3998" s="261"/>
      <c r="M3998" s="261"/>
      <c r="N3998" s="261"/>
      <c r="O3998" s="261"/>
      <c r="P3998" s="261"/>
      <c r="Q3998" s="261"/>
      <c r="BR3998" s="261"/>
      <c r="BS3998" s="261"/>
      <c r="BT3998" s="261"/>
      <c r="BU3998" s="261"/>
      <c r="BV3998" s="261"/>
    </row>
    <row r="3999" spans="12:74">
      <c r="L3999" s="261"/>
      <c r="M3999" s="261"/>
      <c r="N3999" s="261"/>
      <c r="O3999" s="261"/>
      <c r="P3999" s="261"/>
      <c r="Q3999" s="261"/>
      <c r="BR3999" s="261"/>
      <c r="BS3999" s="261"/>
      <c r="BT3999" s="261"/>
      <c r="BU3999" s="261"/>
      <c r="BV3999" s="261"/>
    </row>
    <row r="4000" spans="12:74">
      <c r="L4000" s="261"/>
      <c r="M4000" s="261"/>
      <c r="N4000" s="261"/>
      <c r="O4000" s="261"/>
      <c r="P4000" s="261"/>
      <c r="Q4000" s="261"/>
      <c r="BR4000" s="261"/>
      <c r="BS4000" s="261"/>
      <c r="BT4000" s="261"/>
      <c r="BU4000" s="261"/>
      <c r="BV4000" s="261"/>
    </row>
    <row r="4001" spans="12:74">
      <c r="L4001" s="261"/>
      <c r="M4001" s="261"/>
      <c r="N4001" s="261"/>
      <c r="O4001" s="261"/>
      <c r="P4001" s="261"/>
      <c r="Q4001" s="261"/>
      <c r="BR4001" s="261"/>
      <c r="BS4001" s="261"/>
      <c r="BT4001" s="261"/>
      <c r="BU4001" s="261"/>
      <c r="BV4001" s="261"/>
    </row>
    <row r="4002" spans="12:74">
      <c r="L4002" s="261"/>
      <c r="M4002" s="261"/>
      <c r="N4002" s="261"/>
      <c r="O4002" s="261"/>
      <c r="P4002" s="261"/>
      <c r="Q4002" s="261"/>
      <c r="BR4002" s="261"/>
      <c r="BS4002" s="261"/>
      <c r="BT4002" s="261"/>
      <c r="BU4002" s="261"/>
      <c r="BV4002" s="261"/>
    </row>
    <row r="4003" spans="12:74">
      <c r="L4003" s="261"/>
      <c r="M4003" s="261"/>
      <c r="N4003" s="261"/>
      <c r="O4003" s="261"/>
      <c r="P4003" s="261"/>
      <c r="Q4003" s="261"/>
      <c r="BR4003" s="261"/>
      <c r="BS4003" s="261"/>
      <c r="BT4003" s="261"/>
      <c r="BU4003" s="261"/>
      <c r="BV4003" s="261"/>
    </row>
    <row r="4004" spans="12:74">
      <c r="L4004" s="261"/>
      <c r="M4004" s="261"/>
      <c r="N4004" s="261"/>
      <c r="O4004" s="261"/>
      <c r="P4004" s="261"/>
      <c r="Q4004" s="261"/>
      <c r="BR4004" s="261"/>
      <c r="BS4004" s="261"/>
      <c r="BT4004" s="261"/>
      <c r="BU4004" s="261"/>
      <c r="BV4004" s="261"/>
    </row>
    <row r="4005" spans="12:74">
      <c r="L4005" s="261"/>
      <c r="M4005" s="261"/>
      <c r="N4005" s="261"/>
      <c r="O4005" s="261"/>
      <c r="P4005" s="261"/>
      <c r="Q4005" s="261"/>
      <c r="BR4005" s="261"/>
      <c r="BS4005" s="261"/>
      <c r="BT4005" s="261"/>
      <c r="BU4005" s="261"/>
      <c r="BV4005" s="261"/>
    </row>
    <row r="4006" spans="12:74">
      <c r="L4006" s="261"/>
      <c r="M4006" s="261"/>
      <c r="N4006" s="261"/>
      <c r="O4006" s="261"/>
      <c r="P4006" s="261"/>
      <c r="Q4006" s="261"/>
      <c r="BR4006" s="261"/>
      <c r="BS4006" s="261"/>
      <c r="BT4006" s="261"/>
      <c r="BU4006" s="261"/>
      <c r="BV4006" s="261"/>
    </row>
    <row r="4007" spans="12:74">
      <c r="L4007" s="261"/>
      <c r="M4007" s="261"/>
      <c r="N4007" s="261"/>
      <c r="O4007" s="261"/>
      <c r="P4007" s="261"/>
      <c r="Q4007" s="261"/>
      <c r="BR4007" s="261"/>
      <c r="BS4007" s="261"/>
      <c r="BT4007" s="261"/>
      <c r="BU4007" s="261"/>
      <c r="BV4007" s="261"/>
    </row>
    <row r="4008" spans="12:74">
      <c r="L4008" s="261"/>
      <c r="M4008" s="261"/>
      <c r="N4008" s="261"/>
      <c r="O4008" s="261"/>
      <c r="P4008" s="261"/>
      <c r="Q4008" s="261"/>
      <c r="BR4008" s="261"/>
      <c r="BS4008" s="261"/>
      <c r="BT4008" s="261"/>
      <c r="BU4008" s="261"/>
      <c r="BV4008" s="261"/>
    </row>
    <row r="4009" spans="12:74">
      <c r="L4009" s="261"/>
      <c r="M4009" s="261"/>
      <c r="N4009" s="261"/>
      <c r="O4009" s="261"/>
      <c r="P4009" s="261"/>
      <c r="Q4009" s="261"/>
      <c r="BR4009" s="261"/>
      <c r="BS4009" s="261"/>
      <c r="BT4009" s="261"/>
      <c r="BU4009" s="261"/>
      <c r="BV4009" s="261"/>
    </row>
    <row r="4010" spans="12:74">
      <c r="L4010" s="261"/>
      <c r="M4010" s="261"/>
      <c r="N4010" s="261"/>
      <c r="O4010" s="261"/>
      <c r="P4010" s="261"/>
      <c r="Q4010" s="261"/>
      <c r="BR4010" s="261"/>
      <c r="BS4010" s="261"/>
      <c r="BT4010" s="261"/>
      <c r="BU4010" s="261"/>
      <c r="BV4010" s="261"/>
    </row>
    <row r="4011" spans="12:74">
      <c r="L4011" s="261"/>
      <c r="M4011" s="261"/>
      <c r="N4011" s="261"/>
      <c r="O4011" s="261"/>
      <c r="P4011" s="261"/>
      <c r="Q4011" s="261"/>
      <c r="BR4011" s="261"/>
      <c r="BS4011" s="261"/>
      <c r="BT4011" s="261"/>
      <c r="BU4011" s="261"/>
      <c r="BV4011" s="261"/>
    </row>
    <row r="4012" spans="12:74">
      <c r="L4012" s="261"/>
      <c r="M4012" s="261"/>
      <c r="N4012" s="261"/>
      <c r="O4012" s="261"/>
      <c r="P4012" s="261"/>
      <c r="Q4012" s="261"/>
      <c r="BR4012" s="261"/>
      <c r="BS4012" s="261"/>
      <c r="BT4012" s="261"/>
      <c r="BU4012" s="261"/>
      <c r="BV4012" s="261"/>
    </row>
    <row r="4013" spans="12:74">
      <c r="L4013" s="261"/>
      <c r="M4013" s="261"/>
      <c r="N4013" s="261"/>
      <c r="O4013" s="261"/>
      <c r="P4013" s="261"/>
      <c r="Q4013" s="261"/>
      <c r="BR4013" s="261"/>
      <c r="BS4013" s="261"/>
      <c r="BT4013" s="261"/>
      <c r="BU4013" s="261"/>
      <c r="BV4013" s="261"/>
    </row>
    <row r="4014" spans="12:74">
      <c r="L4014" s="261"/>
      <c r="M4014" s="261"/>
      <c r="N4014" s="261"/>
      <c r="O4014" s="261"/>
      <c r="P4014" s="261"/>
      <c r="Q4014" s="261"/>
      <c r="BR4014" s="261"/>
      <c r="BS4014" s="261"/>
      <c r="BT4014" s="261"/>
      <c r="BU4014" s="261"/>
      <c r="BV4014" s="261"/>
    </row>
    <row r="4015" spans="12:74">
      <c r="L4015" s="261"/>
      <c r="M4015" s="261"/>
      <c r="N4015" s="261"/>
      <c r="O4015" s="261"/>
      <c r="P4015" s="261"/>
      <c r="Q4015" s="261"/>
      <c r="BR4015" s="261"/>
      <c r="BS4015" s="261"/>
      <c r="BT4015" s="261"/>
      <c r="BU4015" s="261"/>
      <c r="BV4015" s="261"/>
    </row>
    <row r="4016" spans="12:74">
      <c r="L4016" s="261"/>
      <c r="M4016" s="261"/>
      <c r="N4016" s="261"/>
      <c r="O4016" s="261"/>
      <c r="P4016" s="261"/>
      <c r="Q4016" s="261"/>
      <c r="BR4016" s="261"/>
      <c r="BS4016" s="261"/>
      <c r="BT4016" s="261"/>
      <c r="BU4016" s="261"/>
      <c r="BV4016" s="261"/>
    </row>
    <row r="4017" spans="12:74">
      <c r="L4017" s="261"/>
      <c r="M4017" s="261"/>
      <c r="N4017" s="261"/>
      <c r="O4017" s="261"/>
      <c r="P4017" s="261"/>
      <c r="Q4017" s="261"/>
      <c r="BR4017" s="261"/>
      <c r="BS4017" s="261"/>
      <c r="BT4017" s="261"/>
      <c r="BU4017" s="261"/>
      <c r="BV4017" s="261"/>
    </row>
    <row r="4018" spans="12:74">
      <c r="L4018" s="261"/>
      <c r="M4018" s="261"/>
      <c r="N4018" s="261"/>
      <c r="O4018" s="261"/>
      <c r="P4018" s="261"/>
      <c r="Q4018" s="261"/>
      <c r="BR4018" s="261"/>
      <c r="BS4018" s="261"/>
      <c r="BT4018" s="261"/>
      <c r="BU4018" s="261"/>
      <c r="BV4018" s="261"/>
    </row>
    <row r="4019" spans="12:74">
      <c r="L4019" s="261"/>
      <c r="M4019" s="261"/>
      <c r="N4019" s="261"/>
      <c r="O4019" s="261"/>
      <c r="P4019" s="261"/>
      <c r="Q4019" s="261"/>
      <c r="BR4019" s="261"/>
      <c r="BS4019" s="261"/>
      <c r="BT4019" s="261"/>
      <c r="BU4019" s="261"/>
      <c r="BV4019" s="261"/>
    </row>
    <row r="4020" spans="12:74">
      <c r="L4020" s="261"/>
      <c r="M4020" s="261"/>
      <c r="N4020" s="261"/>
      <c r="O4020" s="261"/>
      <c r="P4020" s="261"/>
      <c r="Q4020" s="261"/>
      <c r="BR4020" s="261"/>
      <c r="BS4020" s="261"/>
      <c r="BT4020" s="261"/>
      <c r="BU4020" s="261"/>
      <c r="BV4020" s="261"/>
    </row>
    <row r="4021" spans="12:74">
      <c r="L4021" s="261"/>
      <c r="M4021" s="261"/>
      <c r="N4021" s="261"/>
      <c r="O4021" s="261"/>
      <c r="P4021" s="261"/>
      <c r="Q4021" s="261"/>
      <c r="BR4021" s="261"/>
      <c r="BS4021" s="261"/>
      <c r="BT4021" s="261"/>
      <c r="BU4021" s="261"/>
      <c r="BV4021" s="261"/>
    </row>
    <row r="4022" spans="12:74">
      <c r="L4022" s="261"/>
      <c r="M4022" s="261"/>
      <c r="N4022" s="261"/>
      <c r="O4022" s="261"/>
      <c r="P4022" s="261"/>
      <c r="Q4022" s="261"/>
      <c r="BR4022" s="261"/>
      <c r="BS4022" s="261"/>
      <c r="BT4022" s="261"/>
      <c r="BU4022" s="261"/>
      <c r="BV4022" s="261"/>
    </row>
    <row r="4023" spans="12:74">
      <c r="L4023" s="261"/>
      <c r="M4023" s="261"/>
      <c r="N4023" s="261"/>
      <c r="O4023" s="261"/>
      <c r="P4023" s="261"/>
      <c r="Q4023" s="261"/>
      <c r="BR4023" s="261"/>
      <c r="BS4023" s="261"/>
      <c r="BT4023" s="261"/>
      <c r="BU4023" s="261"/>
      <c r="BV4023" s="261"/>
    </row>
    <row r="4024" spans="12:74">
      <c r="L4024" s="261"/>
      <c r="M4024" s="261"/>
      <c r="N4024" s="261"/>
      <c r="O4024" s="261"/>
      <c r="P4024" s="261"/>
      <c r="Q4024" s="261"/>
      <c r="BR4024" s="261"/>
      <c r="BS4024" s="261"/>
      <c r="BT4024" s="261"/>
      <c r="BU4024" s="261"/>
      <c r="BV4024" s="261"/>
    </row>
    <row r="4025" spans="12:74">
      <c r="L4025" s="261"/>
      <c r="M4025" s="261"/>
      <c r="N4025" s="261"/>
      <c r="O4025" s="261"/>
      <c r="P4025" s="261"/>
      <c r="Q4025" s="261"/>
      <c r="BR4025" s="261"/>
      <c r="BS4025" s="261"/>
      <c r="BT4025" s="261"/>
      <c r="BU4025" s="261"/>
      <c r="BV4025" s="261"/>
    </row>
    <row r="4026" spans="12:74">
      <c r="L4026" s="261"/>
      <c r="M4026" s="261"/>
      <c r="N4026" s="261"/>
      <c r="O4026" s="261"/>
      <c r="P4026" s="261"/>
      <c r="Q4026" s="261"/>
      <c r="BR4026" s="261"/>
      <c r="BS4026" s="261"/>
      <c r="BT4026" s="261"/>
      <c r="BU4026" s="261"/>
      <c r="BV4026" s="261"/>
    </row>
    <row r="4027" spans="12:74">
      <c r="L4027" s="261"/>
      <c r="M4027" s="261"/>
      <c r="N4027" s="261"/>
      <c r="O4027" s="261"/>
      <c r="P4027" s="261"/>
      <c r="Q4027" s="261"/>
      <c r="BR4027" s="261"/>
      <c r="BS4027" s="261"/>
      <c r="BT4027" s="261"/>
      <c r="BU4027" s="261"/>
      <c r="BV4027" s="261"/>
    </row>
    <row r="4028" spans="12:74">
      <c r="L4028" s="261"/>
      <c r="M4028" s="261"/>
      <c r="N4028" s="261"/>
      <c r="O4028" s="261"/>
      <c r="P4028" s="261"/>
      <c r="Q4028" s="261"/>
      <c r="BR4028" s="261"/>
      <c r="BS4028" s="261"/>
      <c r="BT4028" s="261"/>
      <c r="BU4028" s="261"/>
      <c r="BV4028" s="261"/>
    </row>
    <row r="4029" spans="12:74">
      <c r="L4029" s="261"/>
      <c r="M4029" s="261"/>
      <c r="N4029" s="261"/>
      <c r="O4029" s="261"/>
      <c r="P4029" s="261"/>
      <c r="Q4029" s="261"/>
      <c r="BR4029" s="261"/>
      <c r="BS4029" s="261"/>
      <c r="BT4029" s="261"/>
      <c r="BU4029" s="261"/>
      <c r="BV4029" s="261"/>
    </row>
    <row r="4030" spans="12:74">
      <c r="L4030" s="261"/>
      <c r="M4030" s="261"/>
      <c r="N4030" s="261"/>
      <c r="O4030" s="261"/>
      <c r="P4030" s="261"/>
      <c r="Q4030" s="261"/>
      <c r="BR4030" s="261"/>
      <c r="BS4030" s="261"/>
      <c r="BT4030" s="261"/>
      <c r="BU4030" s="261"/>
      <c r="BV4030" s="261"/>
    </row>
    <row r="4031" spans="12:74">
      <c r="L4031" s="261"/>
      <c r="M4031" s="261"/>
      <c r="N4031" s="261"/>
      <c r="O4031" s="261"/>
      <c r="P4031" s="261"/>
      <c r="Q4031" s="261"/>
      <c r="BR4031" s="261"/>
      <c r="BS4031" s="261"/>
      <c r="BT4031" s="261"/>
      <c r="BU4031" s="261"/>
      <c r="BV4031" s="261"/>
    </row>
    <row r="4032" spans="12:74">
      <c r="L4032" s="261"/>
      <c r="M4032" s="261"/>
      <c r="N4032" s="261"/>
      <c r="O4032" s="261"/>
      <c r="P4032" s="261"/>
      <c r="Q4032" s="261"/>
      <c r="BR4032" s="261"/>
      <c r="BS4032" s="261"/>
      <c r="BT4032" s="261"/>
      <c r="BU4032" s="261"/>
      <c r="BV4032" s="261"/>
    </row>
    <row r="4033" spans="12:74">
      <c r="L4033" s="261"/>
      <c r="M4033" s="261"/>
      <c r="N4033" s="261"/>
      <c r="O4033" s="261"/>
      <c r="P4033" s="261"/>
      <c r="Q4033" s="261"/>
      <c r="BR4033" s="261"/>
      <c r="BS4033" s="261"/>
      <c r="BT4033" s="261"/>
      <c r="BU4033" s="261"/>
      <c r="BV4033" s="261"/>
    </row>
    <row r="4034" spans="12:74">
      <c r="L4034" s="261"/>
      <c r="M4034" s="261"/>
      <c r="N4034" s="261"/>
      <c r="O4034" s="261"/>
      <c r="P4034" s="261"/>
      <c r="Q4034" s="261"/>
      <c r="BR4034" s="261"/>
      <c r="BS4034" s="261"/>
      <c r="BT4034" s="261"/>
      <c r="BU4034" s="261"/>
      <c r="BV4034" s="261"/>
    </row>
    <row r="4035" spans="12:74">
      <c r="L4035" s="261"/>
      <c r="M4035" s="261"/>
      <c r="N4035" s="261"/>
      <c r="O4035" s="261"/>
      <c r="P4035" s="261"/>
      <c r="Q4035" s="261"/>
      <c r="BR4035" s="261"/>
      <c r="BS4035" s="261"/>
      <c r="BT4035" s="261"/>
      <c r="BU4035" s="261"/>
      <c r="BV4035" s="261"/>
    </row>
    <row r="4036" spans="12:74">
      <c r="L4036" s="261"/>
      <c r="M4036" s="261"/>
      <c r="N4036" s="261"/>
      <c r="O4036" s="261"/>
      <c r="P4036" s="261"/>
      <c r="Q4036" s="261"/>
      <c r="BR4036" s="261"/>
      <c r="BS4036" s="261"/>
      <c r="BT4036" s="261"/>
      <c r="BU4036" s="261"/>
      <c r="BV4036" s="261"/>
    </row>
    <row r="4037" spans="12:74">
      <c r="L4037" s="261"/>
      <c r="M4037" s="261"/>
      <c r="N4037" s="261"/>
      <c r="O4037" s="261"/>
      <c r="P4037" s="261"/>
      <c r="Q4037" s="261"/>
      <c r="BR4037" s="261"/>
      <c r="BS4037" s="261"/>
      <c r="BT4037" s="261"/>
      <c r="BU4037" s="261"/>
      <c r="BV4037" s="261"/>
    </row>
    <row r="4038" spans="12:74">
      <c r="L4038" s="261"/>
      <c r="M4038" s="261"/>
      <c r="N4038" s="261"/>
      <c r="O4038" s="261"/>
      <c r="P4038" s="261"/>
      <c r="Q4038" s="261"/>
      <c r="BR4038" s="261"/>
      <c r="BS4038" s="261"/>
      <c r="BT4038" s="261"/>
      <c r="BU4038" s="261"/>
      <c r="BV4038" s="261"/>
    </row>
    <row r="4039" spans="12:74">
      <c r="L4039" s="261"/>
      <c r="M4039" s="261"/>
      <c r="N4039" s="261"/>
      <c r="O4039" s="261"/>
      <c r="P4039" s="261"/>
      <c r="Q4039" s="261"/>
      <c r="BR4039" s="261"/>
      <c r="BS4039" s="261"/>
      <c r="BT4039" s="261"/>
      <c r="BU4039" s="261"/>
      <c r="BV4039" s="261"/>
    </row>
    <row r="4040" spans="12:74">
      <c r="L4040" s="261"/>
      <c r="M4040" s="261"/>
      <c r="N4040" s="261"/>
      <c r="O4040" s="261"/>
      <c r="P4040" s="261"/>
      <c r="Q4040" s="261"/>
      <c r="BR4040" s="261"/>
      <c r="BS4040" s="261"/>
      <c r="BT4040" s="261"/>
      <c r="BU4040" s="261"/>
      <c r="BV4040" s="261"/>
    </row>
    <row r="4041" spans="12:74">
      <c r="L4041" s="261"/>
      <c r="M4041" s="261"/>
      <c r="N4041" s="261"/>
      <c r="O4041" s="261"/>
      <c r="P4041" s="261"/>
      <c r="Q4041" s="261"/>
      <c r="BR4041" s="261"/>
      <c r="BS4041" s="261"/>
      <c r="BT4041" s="261"/>
      <c r="BU4041" s="261"/>
      <c r="BV4041" s="261"/>
    </row>
    <row r="4042" spans="12:74">
      <c r="L4042" s="261"/>
      <c r="M4042" s="261"/>
      <c r="N4042" s="261"/>
      <c r="O4042" s="261"/>
      <c r="P4042" s="261"/>
      <c r="Q4042" s="261"/>
      <c r="BR4042" s="261"/>
      <c r="BS4042" s="261"/>
      <c r="BT4042" s="261"/>
      <c r="BU4042" s="261"/>
      <c r="BV4042" s="261"/>
    </row>
    <row r="4043" spans="12:74">
      <c r="L4043" s="261"/>
      <c r="M4043" s="261"/>
      <c r="N4043" s="261"/>
      <c r="O4043" s="261"/>
      <c r="P4043" s="261"/>
      <c r="Q4043" s="261"/>
      <c r="BR4043" s="261"/>
      <c r="BS4043" s="261"/>
      <c r="BT4043" s="261"/>
      <c r="BU4043" s="261"/>
      <c r="BV4043" s="261"/>
    </row>
    <row r="4044" spans="12:74">
      <c r="L4044" s="261"/>
      <c r="M4044" s="261"/>
      <c r="N4044" s="261"/>
      <c r="O4044" s="261"/>
      <c r="P4044" s="261"/>
      <c r="Q4044" s="261"/>
      <c r="BR4044" s="261"/>
      <c r="BS4044" s="261"/>
      <c r="BT4044" s="261"/>
      <c r="BU4044" s="261"/>
      <c r="BV4044" s="261"/>
    </row>
    <row r="4045" spans="12:74">
      <c r="L4045" s="261"/>
      <c r="M4045" s="261"/>
      <c r="N4045" s="261"/>
      <c r="O4045" s="261"/>
      <c r="P4045" s="261"/>
      <c r="Q4045" s="261"/>
      <c r="BR4045" s="261"/>
      <c r="BS4045" s="261"/>
      <c r="BT4045" s="261"/>
      <c r="BU4045" s="261"/>
      <c r="BV4045" s="261"/>
    </row>
    <row r="4046" spans="12:74">
      <c r="L4046" s="261"/>
      <c r="M4046" s="261"/>
      <c r="N4046" s="261"/>
      <c r="O4046" s="261"/>
      <c r="P4046" s="261"/>
      <c r="Q4046" s="261"/>
      <c r="BR4046" s="261"/>
      <c r="BS4046" s="261"/>
      <c r="BT4046" s="261"/>
      <c r="BU4046" s="261"/>
      <c r="BV4046" s="261"/>
    </row>
    <row r="4047" spans="12:74">
      <c r="L4047" s="261"/>
      <c r="M4047" s="261"/>
      <c r="N4047" s="261"/>
      <c r="O4047" s="261"/>
      <c r="P4047" s="261"/>
      <c r="Q4047" s="261"/>
      <c r="BR4047" s="261"/>
      <c r="BS4047" s="261"/>
      <c r="BT4047" s="261"/>
      <c r="BU4047" s="261"/>
      <c r="BV4047" s="261"/>
    </row>
    <row r="4048" spans="12:74">
      <c r="L4048" s="261"/>
      <c r="M4048" s="261"/>
      <c r="N4048" s="261"/>
      <c r="O4048" s="261"/>
      <c r="P4048" s="261"/>
      <c r="Q4048" s="261"/>
      <c r="BR4048" s="261"/>
      <c r="BS4048" s="261"/>
      <c r="BT4048" s="261"/>
      <c r="BU4048" s="261"/>
      <c r="BV4048" s="261"/>
    </row>
    <row r="4049" spans="12:74">
      <c r="L4049" s="261"/>
      <c r="M4049" s="261"/>
      <c r="N4049" s="261"/>
      <c r="O4049" s="261"/>
      <c r="P4049" s="261"/>
      <c r="Q4049" s="261"/>
      <c r="BR4049" s="261"/>
      <c r="BS4049" s="261"/>
      <c r="BT4049" s="261"/>
      <c r="BU4049" s="261"/>
      <c r="BV4049" s="261"/>
    </row>
    <row r="4050" spans="12:74">
      <c r="L4050" s="261"/>
      <c r="M4050" s="261"/>
      <c r="N4050" s="261"/>
      <c r="O4050" s="261"/>
      <c r="P4050" s="261"/>
      <c r="Q4050" s="261"/>
      <c r="BR4050" s="261"/>
      <c r="BS4050" s="261"/>
      <c r="BT4050" s="261"/>
      <c r="BU4050" s="261"/>
      <c r="BV4050" s="261"/>
    </row>
    <row r="4051" spans="12:74">
      <c r="L4051" s="261"/>
      <c r="M4051" s="261"/>
      <c r="N4051" s="261"/>
      <c r="O4051" s="261"/>
      <c r="P4051" s="261"/>
      <c r="Q4051" s="261"/>
      <c r="BR4051" s="261"/>
      <c r="BS4051" s="261"/>
      <c r="BT4051" s="261"/>
      <c r="BU4051" s="261"/>
      <c r="BV4051" s="261"/>
    </row>
    <row r="4052" spans="12:74">
      <c r="L4052" s="261"/>
      <c r="M4052" s="261"/>
      <c r="N4052" s="261"/>
      <c r="O4052" s="261"/>
      <c r="P4052" s="261"/>
      <c r="Q4052" s="261"/>
      <c r="BR4052" s="261"/>
      <c r="BS4052" s="261"/>
      <c r="BT4052" s="261"/>
      <c r="BU4052" s="261"/>
      <c r="BV4052" s="261"/>
    </row>
    <row r="4053" spans="12:74">
      <c r="L4053" s="261"/>
      <c r="M4053" s="261"/>
      <c r="N4053" s="261"/>
      <c r="O4053" s="261"/>
      <c r="P4053" s="261"/>
      <c r="Q4053" s="261"/>
      <c r="BR4053" s="261"/>
      <c r="BS4053" s="261"/>
      <c r="BT4053" s="261"/>
      <c r="BU4053" s="261"/>
      <c r="BV4053" s="261"/>
    </row>
    <row r="4054" spans="12:74">
      <c r="L4054" s="261"/>
      <c r="M4054" s="261"/>
      <c r="N4054" s="261"/>
      <c r="O4054" s="261"/>
      <c r="P4054" s="261"/>
      <c r="Q4054" s="261"/>
      <c r="BR4054" s="261"/>
      <c r="BS4054" s="261"/>
      <c r="BT4054" s="261"/>
      <c r="BU4054" s="261"/>
      <c r="BV4054" s="261"/>
    </row>
    <row r="4055" spans="12:74">
      <c r="L4055" s="261"/>
      <c r="M4055" s="261"/>
      <c r="N4055" s="261"/>
      <c r="O4055" s="261"/>
      <c r="P4055" s="261"/>
      <c r="Q4055" s="261"/>
      <c r="BR4055" s="261"/>
      <c r="BS4055" s="261"/>
      <c r="BT4055" s="261"/>
      <c r="BU4055" s="261"/>
      <c r="BV4055" s="261"/>
    </row>
    <row r="4056" spans="12:74">
      <c r="L4056" s="261"/>
      <c r="M4056" s="261"/>
      <c r="N4056" s="261"/>
      <c r="O4056" s="261"/>
      <c r="P4056" s="261"/>
      <c r="Q4056" s="261"/>
      <c r="BR4056" s="261"/>
      <c r="BS4056" s="261"/>
      <c r="BT4056" s="261"/>
      <c r="BU4056" s="261"/>
      <c r="BV4056" s="261"/>
    </row>
    <row r="4057" spans="12:74">
      <c r="L4057" s="261"/>
      <c r="M4057" s="261"/>
      <c r="N4057" s="261"/>
      <c r="O4057" s="261"/>
      <c r="P4057" s="261"/>
      <c r="Q4057" s="261"/>
      <c r="BR4057" s="261"/>
      <c r="BS4057" s="261"/>
      <c r="BT4057" s="261"/>
      <c r="BU4057" s="261"/>
      <c r="BV4057" s="261"/>
    </row>
    <row r="4058" spans="12:74">
      <c r="L4058" s="261"/>
      <c r="M4058" s="261"/>
      <c r="N4058" s="261"/>
      <c r="O4058" s="261"/>
      <c r="P4058" s="261"/>
      <c r="Q4058" s="261"/>
      <c r="BR4058" s="261"/>
      <c r="BS4058" s="261"/>
      <c r="BT4058" s="261"/>
      <c r="BU4058" s="261"/>
      <c r="BV4058" s="261"/>
    </row>
    <row r="4059" spans="12:74">
      <c r="L4059" s="261"/>
      <c r="M4059" s="261"/>
      <c r="N4059" s="261"/>
      <c r="O4059" s="261"/>
      <c r="P4059" s="261"/>
      <c r="Q4059" s="261"/>
      <c r="BR4059" s="261"/>
      <c r="BS4059" s="261"/>
      <c r="BT4059" s="261"/>
      <c r="BU4059" s="261"/>
      <c r="BV4059" s="261"/>
    </row>
    <row r="4060" spans="12:74">
      <c r="L4060" s="261"/>
      <c r="M4060" s="261"/>
      <c r="N4060" s="261"/>
      <c r="O4060" s="261"/>
      <c r="P4060" s="261"/>
      <c r="Q4060" s="261"/>
      <c r="BR4060" s="261"/>
      <c r="BS4060" s="261"/>
      <c r="BT4060" s="261"/>
      <c r="BU4060" s="261"/>
      <c r="BV4060" s="261"/>
    </row>
    <row r="4061" spans="12:74">
      <c r="L4061" s="261"/>
      <c r="M4061" s="261"/>
      <c r="N4061" s="261"/>
      <c r="O4061" s="261"/>
      <c r="P4061" s="261"/>
      <c r="Q4061" s="261"/>
      <c r="BR4061" s="261"/>
      <c r="BS4061" s="261"/>
      <c r="BT4061" s="261"/>
      <c r="BU4061" s="261"/>
      <c r="BV4061" s="261"/>
    </row>
    <row r="4062" spans="12:74">
      <c r="L4062" s="261"/>
      <c r="M4062" s="261"/>
      <c r="N4062" s="261"/>
      <c r="O4062" s="261"/>
      <c r="P4062" s="261"/>
      <c r="Q4062" s="261"/>
      <c r="BR4062" s="261"/>
      <c r="BS4062" s="261"/>
      <c r="BT4062" s="261"/>
      <c r="BU4062" s="261"/>
      <c r="BV4062" s="261"/>
    </row>
    <row r="4063" spans="12:74">
      <c r="L4063" s="261"/>
      <c r="M4063" s="261"/>
      <c r="N4063" s="261"/>
      <c r="O4063" s="261"/>
      <c r="P4063" s="261"/>
      <c r="Q4063" s="261"/>
      <c r="BR4063" s="261"/>
      <c r="BS4063" s="261"/>
      <c r="BT4063" s="261"/>
      <c r="BU4063" s="261"/>
      <c r="BV4063" s="261"/>
    </row>
    <row r="4064" spans="12:74">
      <c r="L4064" s="261"/>
      <c r="M4064" s="261"/>
      <c r="N4064" s="261"/>
      <c r="O4064" s="261"/>
      <c r="P4064" s="261"/>
      <c r="Q4064" s="261"/>
      <c r="BR4064" s="261"/>
      <c r="BS4064" s="261"/>
      <c r="BT4064" s="261"/>
      <c r="BU4064" s="261"/>
      <c r="BV4064" s="261"/>
    </row>
    <row r="4065" spans="12:74">
      <c r="L4065" s="261"/>
      <c r="M4065" s="261"/>
      <c r="N4065" s="261"/>
      <c r="O4065" s="261"/>
      <c r="P4065" s="261"/>
      <c r="Q4065" s="261"/>
      <c r="BR4065" s="261"/>
      <c r="BS4065" s="261"/>
      <c r="BT4065" s="261"/>
      <c r="BU4065" s="261"/>
      <c r="BV4065" s="261"/>
    </row>
    <row r="4066" spans="12:74">
      <c r="L4066" s="261"/>
      <c r="M4066" s="261"/>
      <c r="N4066" s="261"/>
      <c r="O4066" s="261"/>
      <c r="P4066" s="261"/>
      <c r="Q4066" s="261"/>
      <c r="BR4066" s="261"/>
      <c r="BS4066" s="261"/>
      <c r="BT4066" s="261"/>
      <c r="BU4066" s="261"/>
      <c r="BV4066" s="261"/>
    </row>
    <row r="4067" spans="12:74">
      <c r="L4067" s="261"/>
      <c r="M4067" s="261"/>
      <c r="N4067" s="261"/>
      <c r="O4067" s="261"/>
      <c r="P4067" s="261"/>
      <c r="Q4067" s="261"/>
      <c r="BR4067" s="261"/>
      <c r="BS4067" s="261"/>
      <c r="BT4067" s="261"/>
      <c r="BU4067" s="261"/>
      <c r="BV4067" s="261"/>
    </row>
    <row r="4068" spans="12:74">
      <c r="L4068" s="261"/>
      <c r="M4068" s="261"/>
      <c r="N4068" s="261"/>
      <c r="O4068" s="261"/>
      <c r="P4068" s="261"/>
      <c r="Q4068" s="261"/>
      <c r="BR4068" s="261"/>
      <c r="BS4068" s="261"/>
      <c r="BT4068" s="261"/>
      <c r="BU4068" s="261"/>
      <c r="BV4068" s="261"/>
    </row>
    <row r="4069" spans="12:74">
      <c r="L4069" s="261"/>
      <c r="M4069" s="261"/>
      <c r="N4069" s="261"/>
      <c r="O4069" s="261"/>
      <c r="P4069" s="261"/>
      <c r="Q4069" s="261"/>
      <c r="BR4069" s="261"/>
      <c r="BS4069" s="261"/>
      <c r="BT4069" s="261"/>
      <c r="BU4069" s="261"/>
      <c r="BV4069" s="261"/>
    </row>
    <row r="4070" spans="12:74">
      <c r="L4070" s="261"/>
      <c r="M4070" s="261"/>
      <c r="N4070" s="261"/>
      <c r="O4070" s="261"/>
      <c r="P4070" s="261"/>
      <c r="Q4070" s="261"/>
      <c r="BR4070" s="261"/>
      <c r="BS4070" s="261"/>
      <c r="BT4070" s="261"/>
      <c r="BU4070" s="261"/>
      <c r="BV4070" s="261"/>
    </row>
    <row r="4071" spans="12:74">
      <c r="L4071" s="261"/>
      <c r="M4071" s="261"/>
      <c r="N4071" s="261"/>
      <c r="O4071" s="261"/>
      <c r="P4071" s="261"/>
      <c r="Q4071" s="261"/>
      <c r="BR4071" s="261"/>
      <c r="BS4071" s="261"/>
      <c r="BT4071" s="261"/>
      <c r="BU4071" s="261"/>
      <c r="BV4071" s="261"/>
    </row>
    <row r="4072" spans="12:74">
      <c r="L4072" s="261"/>
      <c r="M4072" s="261"/>
      <c r="N4072" s="261"/>
      <c r="O4072" s="261"/>
      <c r="P4072" s="261"/>
      <c r="Q4072" s="261"/>
      <c r="BR4072" s="261"/>
      <c r="BS4072" s="261"/>
      <c r="BT4072" s="261"/>
      <c r="BU4072" s="261"/>
      <c r="BV4072" s="261"/>
    </row>
    <row r="4073" spans="12:74">
      <c r="L4073" s="261"/>
      <c r="M4073" s="261"/>
      <c r="N4073" s="261"/>
      <c r="O4073" s="261"/>
      <c r="P4073" s="261"/>
      <c r="Q4073" s="261"/>
      <c r="BR4073" s="261"/>
      <c r="BS4073" s="261"/>
      <c r="BT4073" s="261"/>
      <c r="BU4073" s="261"/>
      <c r="BV4073" s="261"/>
    </row>
    <row r="4074" spans="12:74">
      <c r="L4074" s="261"/>
      <c r="M4074" s="261"/>
      <c r="N4074" s="261"/>
      <c r="O4074" s="261"/>
      <c r="P4074" s="261"/>
      <c r="Q4074" s="261"/>
      <c r="BR4074" s="261"/>
      <c r="BS4074" s="261"/>
      <c r="BT4074" s="261"/>
      <c r="BU4074" s="261"/>
      <c r="BV4074" s="261"/>
    </row>
    <row r="4075" spans="12:74">
      <c r="L4075" s="261"/>
      <c r="M4075" s="261"/>
      <c r="N4075" s="261"/>
      <c r="O4075" s="261"/>
      <c r="P4075" s="261"/>
      <c r="Q4075" s="261"/>
      <c r="BR4075" s="261"/>
      <c r="BS4075" s="261"/>
      <c r="BT4075" s="261"/>
      <c r="BU4075" s="261"/>
      <c r="BV4075" s="261"/>
    </row>
    <row r="4076" spans="12:74">
      <c r="L4076" s="261"/>
      <c r="M4076" s="261"/>
      <c r="N4076" s="261"/>
      <c r="O4076" s="261"/>
      <c r="P4076" s="261"/>
      <c r="Q4076" s="261"/>
      <c r="BR4076" s="261"/>
      <c r="BS4076" s="261"/>
      <c r="BT4076" s="261"/>
      <c r="BU4076" s="261"/>
      <c r="BV4076" s="261"/>
    </row>
    <row r="4077" spans="12:74">
      <c r="L4077" s="261"/>
      <c r="M4077" s="261"/>
      <c r="N4077" s="261"/>
      <c r="O4077" s="261"/>
      <c r="P4077" s="261"/>
      <c r="Q4077" s="261"/>
      <c r="BR4077" s="261"/>
      <c r="BS4077" s="261"/>
      <c r="BT4077" s="261"/>
      <c r="BU4077" s="261"/>
      <c r="BV4077" s="261"/>
    </row>
    <row r="4078" spans="12:74">
      <c r="L4078" s="261"/>
      <c r="M4078" s="261"/>
      <c r="N4078" s="261"/>
      <c r="O4078" s="261"/>
      <c r="P4078" s="261"/>
      <c r="Q4078" s="261"/>
      <c r="BR4078" s="261"/>
      <c r="BS4078" s="261"/>
      <c r="BT4078" s="261"/>
      <c r="BU4078" s="261"/>
      <c r="BV4078" s="261"/>
    </row>
    <row r="4079" spans="12:74">
      <c r="L4079" s="261"/>
      <c r="M4079" s="261"/>
      <c r="N4079" s="261"/>
      <c r="O4079" s="261"/>
      <c r="P4079" s="261"/>
      <c r="Q4079" s="261"/>
      <c r="BR4079" s="261"/>
      <c r="BS4079" s="261"/>
      <c r="BT4079" s="261"/>
      <c r="BU4079" s="261"/>
      <c r="BV4079" s="261"/>
    </row>
    <row r="4080" spans="12:74">
      <c r="L4080" s="261"/>
      <c r="M4080" s="261"/>
      <c r="N4080" s="261"/>
      <c r="O4080" s="261"/>
      <c r="P4080" s="261"/>
      <c r="Q4080" s="261"/>
      <c r="BR4080" s="261"/>
      <c r="BS4080" s="261"/>
      <c r="BT4080" s="261"/>
      <c r="BU4080" s="261"/>
      <c r="BV4080" s="261"/>
    </row>
    <row r="4081" spans="12:74">
      <c r="L4081" s="261"/>
      <c r="M4081" s="261"/>
      <c r="N4081" s="261"/>
      <c r="O4081" s="261"/>
      <c r="P4081" s="261"/>
      <c r="Q4081" s="261"/>
      <c r="BR4081" s="261"/>
      <c r="BS4081" s="261"/>
      <c r="BT4081" s="261"/>
      <c r="BU4081" s="261"/>
      <c r="BV4081" s="261"/>
    </row>
    <row r="4082" spans="12:74">
      <c r="L4082" s="261"/>
      <c r="M4082" s="261"/>
      <c r="N4082" s="261"/>
      <c r="O4082" s="261"/>
      <c r="P4082" s="261"/>
      <c r="Q4082" s="261"/>
      <c r="BR4082" s="261"/>
      <c r="BS4082" s="261"/>
      <c r="BT4082" s="261"/>
      <c r="BU4082" s="261"/>
      <c r="BV4082" s="261"/>
    </row>
    <row r="4083" spans="12:74">
      <c r="L4083" s="261"/>
      <c r="M4083" s="261"/>
      <c r="N4083" s="261"/>
      <c r="O4083" s="261"/>
      <c r="P4083" s="261"/>
      <c r="Q4083" s="261"/>
      <c r="BR4083" s="261"/>
      <c r="BS4083" s="261"/>
      <c r="BT4083" s="261"/>
      <c r="BU4083" s="261"/>
      <c r="BV4083" s="261"/>
    </row>
    <row r="4084" spans="12:74">
      <c r="L4084" s="261"/>
      <c r="M4084" s="261"/>
      <c r="N4084" s="261"/>
      <c r="O4084" s="261"/>
      <c r="P4084" s="261"/>
      <c r="Q4084" s="261"/>
      <c r="BR4084" s="261"/>
      <c r="BS4084" s="261"/>
      <c r="BT4084" s="261"/>
      <c r="BU4084" s="261"/>
      <c r="BV4084" s="261"/>
    </row>
    <row r="4085" spans="12:74">
      <c r="L4085" s="261"/>
      <c r="M4085" s="261"/>
      <c r="N4085" s="261"/>
      <c r="O4085" s="261"/>
      <c r="P4085" s="261"/>
      <c r="Q4085" s="261"/>
      <c r="BR4085" s="261"/>
      <c r="BS4085" s="261"/>
      <c r="BT4085" s="261"/>
      <c r="BU4085" s="261"/>
      <c r="BV4085" s="261"/>
    </row>
    <row r="4086" spans="12:74">
      <c r="L4086" s="261"/>
      <c r="M4086" s="261"/>
      <c r="N4086" s="261"/>
      <c r="O4086" s="261"/>
      <c r="P4086" s="261"/>
      <c r="Q4086" s="261"/>
      <c r="BR4086" s="261"/>
      <c r="BS4086" s="261"/>
      <c r="BT4086" s="261"/>
      <c r="BU4086" s="261"/>
      <c r="BV4086" s="261"/>
    </row>
    <row r="4087" spans="12:74">
      <c r="L4087" s="261"/>
      <c r="M4087" s="261"/>
      <c r="N4087" s="261"/>
      <c r="O4087" s="261"/>
      <c r="P4087" s="261"/>
      <c r="Q4087" s="261"/>
      <c r="BR4087" s="261"/>
      <c r="BS4087" s="261"/>
      <c r="BT4087" s="261"/>
      <c r="BU4087" s="261"/>
      <c r="BV4087" s="261"/>
    </row>
    <row r="4088" spans="12:74">
      <c r="L4088" s="261"/>
      <c r="M4088" s="261"/>
      <c r="N4088" s="261"/>
      <c r="O4088" s="261"/>
      <c r="P4088" s="261"/>
      <c r="Q4088" s="261"/>
      <c r="BR4088" s="261"/>
      <c r="BS4088" s="261"/>
      <c r="BT4088" s="261"/>
      <c r="BU4088" s="261"/>
      <c r="BV4088" s="261"/>
    </row>
    <row r="4089" spans="12:74">
      <c r="L4089" s="261"/>
      <c r="M4089" s="261"/>
      <c r="N4089" s="261"/>
      <c r="O4089" s="261"/>
      <c r="P4089" s="261"/>
      <c r="Q4089" s="261"/>
      <c r="BR4089" s="261"/>
      <c r="BS4089" s="261"/>
      <c r="BT4089" s="261"/>
      <c r="BU4089" s="261"/>
      <c r="BV4089" s="261"/>
    </row>
    <row r="4090" spans="12:74">
      <c r="L4090" s="261"/>
      <c r="M4090" s="261"/>
      <c r="N4090" s="261"/>
      <c r="O4090" s="261"/>
      <c r="P4090" s="261"/>
      <c r="Q4090" s="261"/>
      <c r="BR4090" s="261"/>
      <c r="BS4090" s="261"/>
      <c r="BT4090" s="261"/>
      <c r="BU4090" s="261"/>
      <c r="BV4090" s="261"/>
    </row>
    <row r="4091" spans="12:74">
      <c r="L4091" s="261"/>
      <c r="M4091" s="261"/>
      <c r="N4091" s="261"/>
      <c r="O4091" s="261"/>
      <c r="P4091" s="261"/>
      <c r="Q4091" s="261"/>
      <c r="BR4091" s="261"/>
      <c r="BS4091" s="261"/>
      <c r="BT4091" s="261"/>
      <c r="BU4091" s="261"/>
      <c r="BV4091" s="261"/>
    </row>
    <row r="4092" spans="12:74">
      <c r="L4092" s="261"/>
      <c r="M4092" s="261"/>
      <c r="N4092" s="261"/>
      <c r="O4092" s="261"/>
      <c r="P4092" s="261"/>
      <c r="Q4092" s="261"/>
      <c r="BR4092" s="261"/>
      <c r="BS4092" s="261"/>
      <c r="BT4092" s="261"/>
      <c r="BU4092" s="261"/>
      <c r="BV4092" s="261"/>
    </row>
    <row r="4093" spans="12:74">
      <c r="L4093" s="261"/>
      <c r="M4093" s="261"/>
      <c r="N4093" s="261"/>
      <c r="O4093" s="261"/>
      <c r="P4093" s="261"/>
      <c r="Q4093" s="261"/>
      <c r="BR4093" s="261"/>
      <c r="BS4093" s="261"/>
      <c r="BT4093" s="261"/>
      <c r="BU4093" s="261"/>
      <c r="BV4093" s="261"/>
    </row>
    <row r="4094" spans="12:74">
      <c r="L4094" s="261"/>
      <c r="M4094" s="261"/>
      <c r="N4094" s="261"/>
      <c r="O4094" s="261"/>
      <c r="P4094" s="261"/>
      <c r="Q4094" s="261"/>
      <c r="BR4094" s="261"/>
      <c r="BS4094" s="261"/>
      <c r="BT4094" s="261"/>
      <c r="BU4094" s="261"/>
      <c r="BV4094" s="261"/>
    </row>
    <row r="4095" spans="12:74">
      <c r="L4095" s="261"/>
      <c r="M4095" s="261"/>
      <c r="N4095" s="261"/>
      <c r="O4095" s="261"/>
      <c r="P4095" s="261"/>
      <c r="Q4095" s="261"/>
      <c r="BR4095" s="261"/>
      <c r="BS4095" s="261"/>
      <c r="BT4095" s="261"/>
      <c r="BU4095" s="261"/>
      <c r="BV4095" s="261"/>
    </row>
    <row r="4096" spans="12:74">
      <c r="L4096" s="261"/>
      <c r="M4096" s="261"/>
      <c r="N4096" s="261"/>
      <c r="O4096" s="261"/>
      <c r="P4096" s="261"/>
      <c r="Q4096" s="261"/>
      <c r="BR4096" s="261"/>
      <c r="BS4096" s="261"/>
      <c r="BT4096" s="261"/>
      <c r="BU4096" s="261"/>
      <c r="BV4096" s="261"/>
    </row>
    <row r="4097" spans="12:74">
      <c r="L4097" s="261"/>
      <c r="M4097" s="261"/>
      <c r="N4097" s="261"/>
      <c r="O4097" s="261"/>
      <c r="P4097" s="261"/>
      <c r="Q4097" s="261"/>
      <c r="BR4097" s="261"/>
      <c r="BS4097" s="261"/>
      <c r="BT4097" s="261"/>
      <c r="BU4097" s="261"/>
      <c r="BV4097" s="261"/>
    </row>
    <row r="4098" spans="12:74">
      <c r="L4098" s="261"/>
      <c r="M4098" s="261"/>
      <c r="N4098" s="261"/>
      <c r="O4098" s="261"/>
      <c r="P4098" s="261"/>
      <c r="Q4098" s="261"/>
      <c r="BR4098" s="261"/>
      <c r="BS4098" s="261"/>
      <c r="BT4098" s="261"/>
      <c r="BU4098" s="261"/>
      <c r="BV4098" s="261"/>
    </row>
    <row r="4099" spans="12:74">
      <c r="L4099" s="261"/>
      <c r="M4099" s="261"/>
      <c r="N4099" s="261"/>
      <c r="O4099" s="261"/>
      <c r="P4099" s="261"/>
      <c r="Q4099" s="261"/>
      <c r="BR4099" s="261"/>
      <c r="BS4099" s="261"/>
      <c r="BT4099" s="261"/>
      <c r="BU4099" s="261"/>
      <c r="BV4099" s="261"/>
    </row>
    <row r="4100" spans="12:74">
      <c r="L4100" s="261"/>
      <c r="M4100" s="261"/>
      <c r="N4100" s="261"/>
      <c r="O4100" s="261"/>
      <c r="P4100" s="261"/>
      <c r="Q4100" s="261"/>
      <c r="BR4100" s="261"/>
      <c r="BS4100" s="261"/>
      <c r="BT4100" s="261"/>
      <c r="BU4100" s="261"/>
      <c r="BV4100" s="261"/>
    </row>
    <row r="4101" spans="12:74">
      <c r="L4101" s="261"/>
      <c r="M4101" s="261"/>
      <c r="N4101" s="261"/>
      <c r="O4101" s="261"/>
      <c r="P4101" s="261"/>
      <c r="Q4101" s="261"/>
      <c r="BR4101" s="261"/>
      <c r="BS4101" s="261"/>
      <c r="BT4101" s="261"/>
      <c r="BU4101" s="261"/>
      <c r="BV4101" s="261"/>
    </row>
    <row r="4102" spans="12:74">
      <c r="L4102" s="261"/>
      <c r="M4102" s="261"/>
      <c r="N4102" s="261"/>
      <c r="O4102" s="261"/>
      <c r="P4102" s="261"/>
      <c r="Q4102" s="261"/>
      <c r="BR4102" s="261"/>
      <c r="BS4102" s="261"/>
      <c r="BT4102" s="261"/>
      <c r="BU4102" s="261"/>
      <c r="BV4102" s="261"/>
    </row>
    <row r="4103" spans="12:74">
      <c r="L4103" s="261"/>
      <c r="M4103" s="261"/>
      <c r="N4103" s="261"/>
      <c r="O4103" s="261"/>
      <c r="P4103" s="261"/>
      <c r="Q4103" s="261"/>
      <c r="BR4103" s="261"/>
      <c r="BS4103" s="261"/>
      <c r="BT4103" s="261"/>
      <c r="BU4103" s="261"/>
      <c r="BV4103" s="261"/>
    </row>
    <row r="4104" spans="12:74">
      <c r="L4104" s="261"/>
      <c r="M4104" s="261"/>
      <c r="N4104" s="261"/>
      <c r="O4104" s="261"/>
      <c r="P4104" s="261"/>
      <c r="Q4104" s="261"/>
      <c r="BR4104" s="261"/>
      <c r="BS4104" s="261"/>
      <c r="BT4104" s="261"/>
      <c r="BU4104" s="261"/>
      <c r="BV4104" s="261"/>
    </row>
    <row r="4105" spans="12:74">
      <c r="L4105" s="261"/>
      <c r="M4105" s="261"/>
      <c r="N4105" s="261"/>
      <c r="O4105" s="261"/>
      <c r="P4105" s="261"/>
      <c r="Q4105" s="261"/>
      <c r="BR4105" s="261"/>
      <c r="BS4105" s="261"/>
      <c r="BT4105" s="261"/>
      <c r="BU4105" s="261"/>
      <c r="BV4105" s="261"/>
    </row>
    <row r="4106" spans="12:74">
      <c r="L4106" s="261"/>
      <c r="M4106" s="261"/>
      <c r="N4106" s="261"/>
      <c r="O4106" s="261"/>
      <c r="P4106" s="261"/>
      <c r="Q4106" s="261"/>
      <c r="BR4106" s="261"/>
      <c r="BS4106" s="261"/>
      <c r="BT4106" s="261"/>
      <c r="BU4106" s="261"/>
      <c r="BV4106" s="261"/>
    </row>
    <row r="4107" spans="12:74">
      <c r="L4107" s="261"/>
      <c r="M4107" s="261"/>
      <c r="N4107" s="261"/>
      <c r="O4107" s="261"/>
      <c r="P4107" s="261"/>
      <c r="Q4107" s="261"/>
      <c r="BR4107" s="261"/>
      <c r="BS4107" s="261"/>
      <c r="BT4107" s="261"/>
      <c r="BU4107" s="261"/>
      <c r="BV4107" s="261"/>
    </row>
    <row r="4108" spans="12:74">
      <c r="L4108" s="261"/>
      <c r="M4108" s="261"/>
      <c r="N4108" s="261"/>
      <c r="O4108" s="261"/>
      <c r="P4108" s="261"/>
      <c r="Q4108" s="261"/>
      <c r="BR4108" s="261"/>
      <c r="BS4108" s="261"/>
      <c r="BT4108" s="261"/>
      <c r="BU4108" s="261"/>
      <c r="BV4108" s="261"/>
    </row>
    <row r="4109" spans="12:74">
      <c r="L4109" s="261"/>
      <c r="M4109" s="261"/>
      <c r="N4109" s="261"/>
      <c r="O4109" s="261"/>
      <c r="P4109" s="261"/>
      <c r="Q4109" s="261"/>
      <c r="BR4109" s="261"/>
      <c r="BS4109" s="261"/>
      <c r="BT4109" s="261"/>
      <c r="BU4109" s="261"/>
      <c r="BV4109" s="261"/>
    </row>
    <row r="4110" spans="12:74">
      <c r="L4110" s="261"/>
      <c r="M4110" s="261"/>
      <c r="N4110" s="261"/>
      <c r="O4110" s="261"/>
      <c r="P4110" s="261"/>
      <c r="Q4110" s="261"/>
      <c r="BR4110" s="261"/>
      <c r="BS4110" s="261"/>
      <c r="BT4110" s="261"/>
      <c r="BU4110" s="261"/>
      <c r="BV4110" s="261"/>
    </row>
    <row r="4111" spans="12:74">
      <c r="L4111" s="261"/>
      <c r="M4111" s="261"/>
      <c r="N4111" s="261"/>
      <c r="O4111" s="261"/>
      <c r="P4111" s="261"/>
      <c r="Q4111" s="261"/>
      <c r="BR4111" s="261"/>
      <c r="BS4111" s="261"/>
      <c r="BT4111" s="261"/>
      <c r="BU4111" s="261"/>
      <c r="BV4111" s="261"/>
    </row>
    <row r="4112" spans="12:74">
      <c r="L4112" s="261"/>
      <c r="M4112" s="261"/>
      <c r="N4112" s="261"/>
      <c r="O4112" s="261"/>
      <c r="P4112" s="261"/>
      <c r="Q4112" s="261"/>
      <c r="BR4112" s="261"/>
      <c r="BS4112" s="261"/>
      <c r="BT4112" s="261"/>
      <c r="BU4112" s="261"/>
      <c r="BV4112" s="261"/>
    </row>
    <row r="4113" spans="12:74">
      <c r="L4113" s="261"/>
      <c r="M4113" s="261"/>
      <c r="N4113" s="261"/>
      <c r="O4113" s="261"/>
      <c r="P4113" s="261"/>
      <c r="Q4113" s="261"/>
      <c r="BR4113" s="261"/>
      <c r="BS4113" s="261"/>
      <c r="BT4113" s="261"/>
      <c r="BU4113" s="261"/>
      <c r="BV4113" s="261"/>
    </row>
    <row r="4114" spans="12:74">
      <c r="L4114" s="261"/>
      <c r="M4114" s="261"/>
      <c r="N4114" s="261"/>
      <c r="O4114" s="261"/>
      <c r="P4114" s="261"/>
      <c r="Q4114" s="261"/>
      <c r="BR4114" s="261"/>
      <c r="BS4114" s="261"/>
      <c r="BT4114" s="261"/>
      <c r="BU4114" s="261"/>
      <c r="BV4114" s="261"/>
    </row>
    <row r="4115" spans="12:74">
      <c r="L4115" s="261"/>
      <c r="M4115" s="261"/>
      <c r="N4115" s="261"/>
      <c r="O4115" s="261"/>
      <c r="P4115" s="261"/>
      <c r="Q4115" s="261"/>
      <c r="BR4115" s="261"/>
      <c r="BS4115" s="261"/>
      <c r="BT4115" s="261"/>
      <c r="BU4115" s="261"/>
      <c r="BV4115" s="261"/>
    </row>
    <row r="4116" spans="12:74">
      <c r="L4116" s="261"/>
      <c r="M4116" s="261"/>
      <c r="N4116" s="261"/>
      <c r="O4116" s="261"/>
      <c r="P4116" s="261"/>
      <c r="Q4116" s="261"/>
      <c r="BR4116" s="261"/>
      <c r="BS4116" s="261"/>
      <c r="BT4116" s="261"/>
      <c r="BU4116" s="261"/>
      <c r="BV4116" s="261"/>
    </row>
    <row r="4117" spans="12:74">
      <c r="L4117" s="261"/>
      <c r="M4117" s="261"/>
      <c r="N4117" s="261"/>
      <c r="O4117" s="261"/>
      <c r="P4117" s="261"/>
      <c r="Q4117" s="261"/>
      <c r="BR4117" s="261"/>
      <c r="BS4117" s="261"/>
      <c r="BT4117" s="261"/>
      <c r="BU4117" s="261"/>
      <c r="BV4117" s="261"/>
    </row>
    <row r="4118" spans="12:74">
      <c r="L4118" s="261"/>
      <c r="M4118" s="261"/>
      <c r="N4118" s="261"/>
      <c r="O4118" s="261"/>
      <c r="P4118" s="261"/>
      <c r="Q4118" s="261"/>
      <c r="BR4118" s="261"/>
      <c r="BS4118" s="261"/>
      <c r="BT4118" s="261"/>
      <c r="BU4118" s="261"/>
      <c r="BV4118" s="261"/>
    </row>
    <row r="4119" spans="12:74">
      <c r="L4119" s="261"/>
      <c r="M4119" s="261"/>
      <c r="N4119" s="261"/>
      <c r="O4119" s="261"/>
      <c r="P4119" s="261"/>
      <c r="Q4119" s="261"/>
      <c r="BR4119" s="261"/>
      <c r="BS4119" s="261"/>
      <c r="BT4119" s="261"/>
      <c r="BU4119" s="261"/>
      <c r="BV4119" s="261"/>
    </row>
    <row r="4120" spans="12:74">
      <c r="L4120" s="261"/>
      <c r="M4120" s="261"/>
      <c r="N4120" s="261"/>
      <c r="O4120" s="261"/>
      <c r="P4120" s="261"/>
      <c r="Q4120" s="261"/>
      <c r="BR4120" s="261"/>
      <c r="BS4120" s="261"/>
      <c r="BT4120" s="261"/>
      <c r="BU4120" s="261"/>
      <c r="BV4120" s="261"/>
    </row>
    <row r="4121" spans="12:74">
      <c r="L4121" s="261"/>
      <c r="M4121" s="261"/>
      <c r="N4121" s="261"/>
      <c r="O4121" s="261"/>
      <c r="P4121" s="261"/>
      <c r="Q4121" s="261"/>
      <c r="BR4121" s="261"/>
      <c r="BS4121" s="261"/>
      <c r="BT4121" s="261"/>
      <c r="BU4121" s="261"/>
      <c r="BV4121" s="261"/>
    </row>
    <row r="4122" spans="12:74">
      <c r="L4122" s="261"/>
      <c r="M4122" s="261"/>
      <c r="N4122" s="261"/>
      <c r="O4122" s="261"/>
      <c r="P4122" s="261"/>
      <c r="Q4122" s="261"/>
      <c r="BR4122" s="261"/>
      <c r="BS4122" s="261"/>
      <c r="BT4122" s="261"/>
      <c r="BU4122" s="261"/>
      <c r="BV4122" s="261"/>
    </row>
    <row r="4123" spans="12:74">
      <c r="L4123" s="261"/>
      <c r="M4123" s="261"/>
      <c r="N4123" s="261"/>
      <c r="O4123" s="261"/>
      <c r="P4123" s="261"/>
      <c r="Q4123" s="261"/>
      <c r="BR4123" s="261"/>
      <c r="BS4123" s="261"/>
      <c r="BT4123" s="261"/>
      <c r="BU4123" s="261"/>
      <c r="BV4123" s="261"/>
    </row>
    <row r="4124" spans="12:74">
      <c r="L4124" s="261"/>
      <c r="M4124" s="261"/>
      <c r="N4124" s="261"/>
      <c r="O4124" s="261"/>
      <c r="P4124" s="261"/>
      <c r="Q4124" s="261"/>
      <c r="BR4124" s="261"/>
      <c r="BS4124" s="261"/>
      <c r="BT4124" s="261"/>
      <c r="BU4124" s="261"/>
      <c r="BV4124" s="261"/>
    </row>
    <row r="4125" spans="12:74">
      <c r="L4125" s="261"/>
      <c r="M4125" s="261"/>
      <c r="N4125" s="261"/>
      <c r="O4125" s="261"/>
      <c r="P4125" s="261"/>
      <c r="Q4125" s="261"/>
      <c r="BR4125" s="261"/>
      <c r="BS4125" s="261"/>
      <c r="BT4125" s="261"/>
      <c r="BU4125" s="261"/>
      <c r="BV4125" s="261"/>
    </row>
    <row r="4126" spans="12:74">
      <c r="L4126" s="261"/>
      <c r="M4126" s="261"/>
      <c r="N4126" s="261"/>
      <c r="O4126" s="261"/>
      <c r="P4126" s="261"/>
      <c r="Q4126" s="261"/>
      <c r="BR4126" s="261"/>
      <c r="BS4126" s="261"/>
      <c r="BT4126" s="261"/>
      <c r="BU4126" s="261"/>
      <c r="BV4126" s="261"/>
    </row>
    <row r="4127" spans="12:74">
      <c r="L4127" s="261"/>
      <c r="M4127" s="261"/>
      <c r="N4127" s="261"/>
      <c r="O4127" s="261"/>
      <c r="P4127" s="261"/>
      <c r="Q4127" s="261"/>
      <c r="BR4127" s="261"/>
      <c r="BS4127" s="261"/>
      <c r="BT4127" s="261"/>
      <c r="BU4127" s="261"/>
      <c r="BV4127" s="261"/>
    </row>
    <row r="4128" spans="12:74">
      <c r="L4128" s="261"/>
      <c r="M4128" s="261"/>
      <c r="N4128" s="261"/>
      <c r="O4128" s="261"/>
      <c r="P4128" s="261"/>
      <c r="Q4128" s="261"/>
      <c r="BR4128" s="261"/>
      <c r="BS4128" s="261"/>
      <c r="BT4128" s="261"/>
      <c r="BU4128" s="261"/>
      <c r="BV4128" s="261"/>
    </row>
    <row r="4129" spans="12:74">
      <c r="L4129" s="261"/>
      <c r="M4129" s="261"/>
      <c r="N4129" s="261"/>
      <c r="O4129" s="261"/>
      <c r="P4129" s="261"/>
      <c r="Q4129" s="261"/>
      <c r="BR4129" s="261"/>
      <c r="BS4129" s="261"/>
      <c r="BT4129" s="261"/>
      <c r="BU4129" s="261"/>
      <c r="BV4129" s="261"/>
    </row>
    <row r="4130" spans="12:74">
      <c r="L4130" s="261"/>
      <c r="M4130" s="261"/>
      <c r="N4130" s="261"/>
      <c r="O4130" s="261"/>
      <c r="P4130" s="261"/>
      <c r="Q4130" s="261"/>
      <c r="BR4130" s="261"/>
      <c r="BS4130" s="261"/>
      <c r="BT4130" s="261"/>
      <c r="BU4130" s="261"/>
      <c r="BV4130" s="261"/>
    </row>
    <row r="4131" spans="12:74">
      <c r="L4131" s="261"/>
      <c r="M4131" s="261"/>
      <c r="N4131" s="261"/>
      <c r="O4131" s="261"/>
      <c r="P4131" s="261"/>
      <c r="Q4131" s="261"/>
      <c r="BR4131" s="261"/>
      <c r="BS4131" s="261"/>
      <c r="BT4131" s="261"/>
      <c r="BU4131" s="261"/>
      <c r="BV4131" s="261"/>
    </row>
    <row r="4132" spans="12:74">
      <c r="L4132" s="261"/>
      <c r="M4132" s="261"/>
      <c r="N4132" s="261"/>
      <c r="O4132" s="261"/>
      <c r="P4132" s="261"/>
      <c r="Q4132" s="261"/>
      <c r="BR4132" s="261"/>
      <c r="BS4132" s="261"/>
      <c r="BT4132" s="261"/>
      <c r="BU4132" s="261"/>
      <c r="BV4132" s="261"/>
    </row>
    <row r="4133" spans="12:74">
      <c r="L4133" s="261"/>
      <c r="M4133" s="261"/>
      <c r="N4133" s="261"/>
      <c r="O4133" s="261"/>
      <c r="P4133" s="261"/>
      <c r="Q4133" s="261"/>
      <c r="BR4133" s="261"/>
      <c r="BS4133" s="261"/>
      <c r="BT4133" s="261"/>
      <c r="BU4133" s="261"/>
      <c r="BV4133" s="261"/>
    </row>
    <row r="4134" spans="12:74">
      <c r="L4134" s="261"/>
      <c r="M4134" s="261"/>
      <c r="N4134" s="261"/>
      <c r="O4134" s="261"/>
      <c r="P4134" s="261"/>
      <c r="Q4134" s="261"/>
      <c r="BR4134" s="261"/>
      <c r="BS4134" s="261"/>
      <c r="BT4134" s="261"/>
      <c r="BU4134" s="261"/>
      <c r="BV4134" s="261"/>
    </row>
    <row r="4135" spans="12:74">
      <c r="L4135" s="261"/>
      <c r="M4135" s="261"/>
      <c r="N4135" s="261"/>
      <c r="O4135" s="261"/>
      <c r="P4135" s="261"/>
      <c r="Q4135" s="261"/>
      <c r="BR4135" s="261"/>
      <c r="BS4135" s="261"/>
      <c r="BT4135" s="261"/>
      <c r="BU4135" s="261"/>
      <c r="BV4135" s="261"/>
    </row>
    <row r="4136" spans="12:74">
      <c r="L4136" s="261"/>
      <c r="M4136" s="261"/>
      <c r="N4136" s="261"/>
      <c r="O4136" s="261"/>
      <c r="P4136" s="261"/>
      <c r="Q4136" s="261"/>
      <c r="BR4136" s="261"/>
      <c r="BS4136" s="261"/>
      <c r="BT4136" s="261"/>
      <c r="BU4136" s="261"/>
      <c r="BV4136" s="261"/>
    </row>
    <row r="4137" spans="12:74">
      <c r="L4137" s="261"/>
      <c r="M4137" s="261"/>
      <c r="N4137" s="261"/>
      <c r="O4137" s="261"/>
      <c r="P4137" s="261"/>
      <c r="Q4137" s="261"/>
      <c r="BR4137" s="261"/>
      <c r="BS4137" s="261"/>
      <c r="BT4137" s="261"/>
      <c r="BU4137" s="261"/>
      <c r="BV4137" s="261"/>
    </row>
    <row r="4138" spans="12:74">
      <c r="L4138" s="261"/>
      <c r="M4138" s="261"/>
      <c r="N4138" s="261"/>
      <c r="O4138" s="261"/>
      <c r="P4138" s="261"/>
      <c r="Q4138" s="261"/>
      <c r="BR4138" s="261"/>
      <c r="BS4138" s="261"/>
      <c r="BT4138" s="261"/>
      <c r="BU4138" s="261"/>
      <c r="BV4138" s="261"/>
    </row>
    <row r="4139" spans="12:74">
      <c r="L4139" s="261"/>
      <c r="M4139" s="261"/>
      <c r="N4139" s="261"/>
      <c r="O4139" s="261"/>
      <c r="P4139" s="261"/>
      <c r="Q4139" s="261"/>
      <c r="BR4139" s="261"/>
      <c r="BS4139" s="261"/>
      <c r="BT4139" s="261"/>
      <c r="BU4139" s="261"/>
      <c r="BV4139" s="261"/>
    </row>
    <row r="4140" spans="12:74">
      <c r="L4140" s="261"/>
      <c r="M4140" s="261"/>
      <c r="N4140" s="261"/>
      <c r="O4140" s="261"/>
      <c r="P4140" s="261"/>
      <c r="Q4140" s="261"/>
      <c r="BR4140" s="261"/>
      <c r="BS4140" s="261"/>
      <c r="BT4140" s="261"/>
      <c r="BU4140" s="261"/>
      <c r="BV4140" s="261"/>
    </row>
    <row r="4141" spans="12:74">
      <c r="L4141" s="261"/>
      <c r="M4141" s="261"/>
      <c r="N4141" s="261"/>
      <c r="O4141" s="261"/>
      <c r="P4141" s="261"/>
      <c r="Q4141" s="261"/>
      <c r="BR4141" s="261"/>
      <c r="BS4141" s="261"/>
      <c r="BT4141" s="261"/>
      <c r="BU4141" s="261"/>
      <c r="BV4141" s="261"/>
    </row>
    <row r="4142" spans="12:74">
      <c r="L4142" s="261"/>
      <c r="M4142" s="261"/>
      <c r="N4142" s="261"/>
      <c r="O4142" s="261"/>
      <c r="P4142" s="261"/>
      <c r="Q4142" s="261"/>
      <c r="BR4142" s="261"/>
      <c r="BS4142" s="261"/>
      <c r="BT4142" s="261"/>
      <c r="BU4142" s="261"/>
      <c r="BV4142" s="261"/>
    </row>
    <row r="4143" spans="12:74">
      <c r="L4143" s="261"/>
      <c r="M4143" s="261"/>
      <c r="N4143" s="261"/>
      <c r="O4143" s="261"/>
      <c r="P4143" s="261"/>
      <c r="Q4143" s="261"/>
      <c r="BR4143" s="261"/>
      <c r="BS4143" s="261"/>
      <c r="BT4143" s="261"/>
      <c r="BU4143" s="261"/>
      <c r="BV4143" s="261"/>
    </row>
    <row r="4144" spans="12:74">
      <c r="L4144" s="261"/>
      <c r="M4144" s="261"/>
      <c r="N4144" s="261"/>
      <c r="O4144" s="261"/>
      <c r="P4144" s="261"/>
      <c r="Q4144" s="261"/>
      <c r="BR4144" s="261"/>
      <c r="BS4144" s="261"/>
      <c r="BT4144" s="261"/>
      <c r="BU4144" s="261"/>
      <c r="BV4144" s="261"/>
    </row>
    <row r="4145" spans="12:74">
      <c r="L4145" s="261"/>
      <c r="M4145" s="261"/>
      <c r="N4145" s="261"/>
      <c r="O4145" s="261"/>
      <c r="P4145" s="261"/>
      <c r="Q4145" s="261"/>
      <c r="BR4145" s="261"/>
      <c r="BS4145" s="261"/>
      <c r="BT4145" s="261"/>
      <c r="BU4145" s="261"/>
      <c r="BV4145" s="261"/>
    </row>
    <row r="4146" spans="12:74">
      <c r="L4146" s="261"/>
      <c r="M4146" s="261"/>
      <c r="N4146" s="261"/>
      <c r="O4146" s="261"/>
      <c r="P4146" s="261"/>
      <c r="Q4146" s="261"/>
      <c r="BR4146" s="261"/>
      <c r="BS4146" s="261"/>
      <c r="BT4146" s="261"/>
      <c r="BU4146" s="261"/>
      <c r="BV4146" s="261"/>
    </row>
    <row r="4147" spans="12:74">
      <c r="L4147" s="261"/>
      <c r="M4147" s="261"/>
      <c r="N4147" s="261"/>
      <c r="O4147" s="261"/>
      <c r="P4147" s="261"/>
      <c r="Q4147" s="261"/>
      <c r="BR4147" s="261"/>
      <c r="BS4147" s="261"/>
      <c r="BT4147" s="261"/>
      <c r="BU4147" s="261"/>
      <c r="BV4147" s="261"/>
    </row>
    <row r="4148" spans="12:74">
      <c r="L4148" s="261"/>
      <c r="M4148" s="261"/>
      <c r="N4148" s="261"/>
      <c r="O4148" s="261"/>
      <c r="P4148" s="261"/>
      <c r="Q4148" s="261"/>
      <c r="BR4148" s="261"/>
      <c r="BS4148" s="261"/>
      <c r="BT4148" s="261"/>
      <c r="BU4148" s="261"/>
      <c r="BV4148" s="261"/>
    </row>
    <row r="4149" spans="12:74">
      <c r="L4149" s="261"/>
      <c r="M4149" s="261"/>
      <c r="N4149" s="261"/>
      <c r="O4149" s="261"/>
      <c r="P4149" s="261"/>
      <c r="Q4149" s="261"/>
      <c r="BR4149" s="261"/>
      <c r="BS4149" s="261"/>
      <c r="BT4149" s="261"/>
      <c r="BU4149" s="261"/>
      <c r="BV4149" s="261"/>
    </row>
    <row r="4150" spans="12:74">
      <c r="L4150" s="261"/>
      <c r="M4150" s="261"/>
      <c r="N4150" s="261"/>
      <c r="O4150" s="261"/>
      <c r="P4150" s="261"/>
      <c r="Q4150" s="261"/>
      <c r="BR4150" s="261"/>
      <c r="BS4150" s="261"/>
      <c r="BT4150" s="261"/>
      <c r="BU4150" s="261"/>
      <c r="BV4150" s="261"/>
    </row>
    <row r="4151" spans="12:74">
      <c r="L4151" s="261"/>
      <c r="M4151" s="261"/>
      <c r="N4151" s="261"/>
      <c r="O4151" s="261"/>
      <c r="P4151" s="261"/>
      <c r="Q4151" s="261"/>
      <c r="BR4151" s="261"/>
      <c r="BS4151" s="261"/>
      <c r="BT4151" s="261"/>
      <c r="BU4151" s="261"/>
      <c r="BV4151" s="261"/>
    </row>
    <row r="4152" spans="12:74">
      <c r="L4152" s="261"/>
      <c r="M4152" s="261"/>
      <c r="N4152" s="261"/>
      <c r="O4152" s="261"/>
      <c r="P4152" s="261"/>
      <c r="Q4152" s="261"/>
      <c r="BR4152" s="261"/>
      <c r="BS4152" s="261"/>
      <c r="BT4152" s="261"/>
      <c r="BU4152" s="261"/>
      <c r="BV4152" s="261"/>
    </row>
    <row r="4153" spans="12:74">
      <c r="L4153" s="261"/>
      <c r="M4153" s="261"/>
      <c r="N4153" s="261"/>
      <c r="O4153" s="261"/>
      <c r="P4153" s="261"/>
      <c r="Q4153" s="261"/>
      <c r="BR4153" s="261"/>
      <c r="BS4153" s="261"/>
      <c r="BT4153" s="261"/>
      <c r="BU4153" s="261"/>
      <c r="BV4153" s="261"/>
    </row>
    <row r="4154" spans="12:74">
      <c r="L4154" s="261"/>
      <c r="M4154" s="261"/>
      <c r="N4154" s="261"/>
      <c r="O4154" s="261"/>
      <c r="P4154" s="261"/>
      <c r="Q4154" s="261"/>
      <c r="BR4154" s="261"/>
      <c r="BS4154" s="261"/>
      <c r="BT4154" s="261"/>
      <c r="BU4154" s="261"/>
      <c r="BV4154" s="261"/>
    </row>
    <row r="4155" spans="12:74">
      <c r="L4155" s="261"/>
      <c r="M4155" s="261"/>
      <c r="N4155" s="261"/>
      <c r="O4155" s="261"/>
      <c r="P4155" s="261"/>
      <c r="Q4155" s="261"/>
      <c r="BR4155" s="261"/>
      <c r="BS4155" s="261"/>
      <c r="BT4155" s="261"/>
      <c r="BU4155" s="261"/>
      <c r="BV4155" s="261"/>
    </row>
    <row r="4156" spans="12:74">
      <c r="L4156" s="261"/>
      <c r="M4156" s="261"/>
      <c r="N4156" s="261"/>
      <c r="O4156" s="261"/>
      <c r="P4156" s="261"/>
      <c r="Q4156" s="261"/>
      <c r="BR4156" s="261"/>
      <c r="BS4156" s="261"/>
      <c r="BT4156" s="261"/>
      <c r="BU4156" s="261"/>
      <c r="BV4156" s="261"/>
    </row>
    <row r="4157" spans="12:74">
      <c r="L4157" s="261"/>
      <c r="M4157" s="261"/>
      <c r="N4157" s="261"/>
      <c r="O4157" s="261"/>
      <c r="P4157" s="261"/>
      <c r="Q4157" s="261"/>
      <c r="BR4157" s="261"/>
      <c r="BS4157" s="261"/>
      <c r="BT4157" s="261"/>
      <c r="BU4157" s="261"/>
      <c r="BV4157" s="261"/>
    </row>
    <row r="4158" spans="12:74">
      <c r="L4158" s="261"/>
      <c r="M4158" s="261"/>
      <c r="N4158" s="261"/>
      <c r="O4158" s="261"/>
      <c r="P4158" s="261"/>
      <c r="Q4158" s="261"/>
      <c r="BR4158" s="261"/>
      <c r="BS4158" s="261"/>
      <c r="BT4158" s="261"/>
      <c r="BU4158" s="261"/>
      <c r="BV4158" s="261"/>
    </row>
    <row r="4159" spans="12:74">
      <c r="L4159" s="261"/>
      <c r="M4159" s="261"/>
      <c r="N4159" s="261"/>
      <c r="O4159" s="261"/>
      <c r="P4159" s="261"/>
      <c r="Q4159" s="261"/>
      <c r="BR4159" s="261"/>
      <c r="BS4159" s="261"/>
      <c r="BT4159" s="261"/>
      <c r="BU4159" s="261"/>
      <c r="BV4159" s="261"/>
    </row>
    <row r="4160" spans="12:74">
      <c r="L4160" s="261"/>
      <c r="M4160" s="261"/>
      <c r="N4160" s="261"/>
      <c r="O4160" s="261"/>
      <c r="P4160" s="261"/>
      <c r="Q4160" s="261"/>
      <c r="BR4160" s="261"/>
      <c r="BS4160" s="261"/>
      <c r="BT4160" s="261"/>
      <c r="BU4160" s="261"/>
      <c r="BV4160" s="261"/>
    </row>
    <row r="4161" spans="12:74">
      <c r="L4161" s="261"/>
      <c r="M4161" s="261"/>
      <c r="N4161" s="261"/>
      <c r="O4161" s="261"/>
      <c r="P4161" s="261"/>
      <c r="Q4161" s="261"/>
      <c r="BR4161" s="261"/>
      <c r="BS4161" s="261"/>
      <c r="BT4161" s="261"/>
      <c r="BU4161" s="261"/>
      <c r="BV4161" s="261"/>
    </row>
    <row r="4162" spans="12:74">
      <c r="L4162" s="261"/>
      <c r="M4162" s="261"/>
      <c r="N4162" s="261"/>
      <c r="O4162" s="261"/>
      <c r="P4162" s="261"/>
      <c r="Q4162" s="261"/>
      <c r="BR4162" s="261"/>
      <c r="BS4162" s="261"/>
      <c r="BT4162" s="261"/>
      <c r="BU4162" s="261"/>
      <c r="BV4162" s="261"/>
    </row>
    <row r="4163" spans="12:74">
      <c r="L4163" s="261"/>
      <c r="M4163" s="261"/>
      <c r="N4163" s="261"/>
      <c r="O4163" s="261"/>
      <c r="P4163" s="261"/>
      <c r="Q4163" s="261"/>
      <c r="BR4163" s="261"/>
      <c r="BS4163" s="261"/>
      <c r="BT4163" s="261"/>
      <c r="BU4163" s="261"/>
      <c r="BV4163" s="261"/>
    </row>
    <row r="4164" spans="12:74">
      <c r="L4164" s="261"/>
      <c r="M4164" s="261"/>
      <c r="N4164" s="261"/>
      <c r="O4164" s="261"/>
      <c r="P4164" s="261"/>
      <c r="Q4164" s="261"/>
      <c r="BR4164" s="261"/>
      <c r="BS4164" s="261"/>
      <c r="BT4164" s="261"/>
      <c r="BU4164" s="261"/>
      <c r="BV4164" s="261"/>
    </row>
    <row r="4165" spans="12:74">
      <c r="L4165" s="261"/>
      <c r="M4165" s="261"/>
      <c r="N4165" s="261"/>
      <c r="O4165" s="261"/>
      <c r="P4165" s="261"/>
      <c r="Q4165" s="261"/>
      <c r="BR4165" s="261"/>
      <c r="BS4165" s="261"/>
      <c r="BT4165" s="261"/>
      <c r="BU4165" s="261"/>
      <c r="BV4165" s="261"/>
    </row>
    <row r="4166" spans="12:74">
      <c r="L4166" s="261"/>
      <c r="M4166" s="261"/>
      <c r="N4166" s="261"/>
      <c r="O4166" s="261"/>
      <c r="P4166" s="261"/>
      <c r="Q4166" s="261"/>
      <c r="BR4166" s="261"/>
      <c r="BS4166" s="261"/>
      <c r="BT4166" s="261"/>
      <c r="BU4166" s="261"/>
      <c r="BV4166" s="261"/>
    </row>
    <row r="4167" spans="12:74">
      <c r="L4167" s="261"/>
      <c r="M4167" s="261"/>
      <c r="N4167" s="261"/>
      <c r="O4167" s="261"/>
      <c r="P4167" s="261"/>
      <c r="Q4167" s="261"/>
      <c r="BR4167" s="261"/>
      <c r="BS4167" s="261"/>
      <c r="BT4167" s="261"/>
      <c r="BU4167" s="261"/>
      <c r="BV4167" s="261"/>
    </row>
    <row r="4168" spans="12:74">
      <c r="L4168" s="261"/>
      <c r="M4168" s="261"/>
      <c r="N4168" s="261"/>
      <c r="O4168" s="261"/>
      <c r="P4168" s="261"/>
      <c r="Q4168" s="261"/>
      <c r="BR4168" s="261"/>
      <c r="BS4168" s="261"/>
      <c r="BT4168" s="261"/>
      <c r="BU4168" s="261"/>
      <c r="BV4168" s="261"/>
    </row>
    <row r="4169" spans="12:74">
      <c r="L4169" s="261"/>
      <c r="M4169" s="261"/>
      <c r="N4169" s="261"/>
      <c r="O4169" s="261"/>
      <c r="P4169" s="261"/>
      <c r="Q4169" s="261"/>
      <c r="BR4169" s="261"/>
      <c r="BS4169" s="261"/>
      <c r="BT4169" s="261"/>
      <c r="BU4169" s="261"/>
      <c r="BV4169" s="261"/>
    </row>
    <row r="4170" spans="12:74">
      <c r="L4170" s="261"/>
      <c r="M4170" s="261"/>
      <c r="N4170" s="261"/>
      <c r="O4170" s="261"/>
      <c r="P4170" s="261"/>
      <c r="Q4170" s="261"/>
      <c r="BR4170" s="261"/>
      <c r="BS4170" s="261"/>
      <c r="BT4170" s="261"/>
      <c r="BU4170" s="261"/>
      <c r="BV4170" s="261"/>
    </row>
    <row r="4171" spans="12:74">
      <c r="L4171" s="261"/>
      <c r="M4171" s="261"/>
      <c r="N4171" s="261"/>
      <c r="O4171" s="261"/>
      <c r="P4171" s="261"/>
      <c r="Q4171" s="261"/>
      <c r="BR4171" s="261"/>
      <c r="BS4171" s="261"/>
      <c r="BT4171" s="261"/>
      <c r="BU4171" s="261"/>
      <c r="BV4171" s="261"/>
    </row>
    <row r="4172" spans="12:74">
      <c r="L4172" s="261"/>
      <c r="M4172" s="261"/>
      <c r="N4172" s="261"/>
      <c r="O4172" s="261"/>
      <c r="P4172" s="261"/>
      <c r="Q4172" s="261"/>
      <c r="BR4172" s="261"/>
      <c r="BS4172" s="261"/>
      <c r="BT4172" s="261"/>
      <c r="BU4172" s="261"/>
      <c r="BV4172" s="261"/>
    </row>
    <row r="4173" spans="12:74">
      <c r="L4173" s="261"/>
      <c r="M4173" s="261"/>
      <c r="N4173" s="261"/>
      <c r="O4173" s="261"/>
      <c r="P4173" s="261"/>
      <c r="Q4173" s="261"/>
      <c r="BR4173" s="261"/>
      <c r="BS4173" s="261"/>
      <c r="BT4173" s="261"/>
      <c r="BU4173" s="261"/>
      <c r="BV4173" s="261"/>
    </row>
    <row r="4174" spans="12:74">
      <c r="L4174" s="261"/>
      <c r="M4174" s="261"/>
      <c r="N4174" s="261"/>
      <c r="O4174" s="261"/>
      <c r="P4174" s="261"/>
      <c r="Q4174" s="261"/>
      <c r="BR4174" s="261"/>
      <c r="BS4174" s="261"/>
      <c r="BT4174" s="261"/>
      <c r="BU4174" s="261"/>
      <c r="BV4174" s="261"/>
    </row>
    <row r="4175" spans="12:74">
      <c r="L4175" s="261"/>
      <c r="M4175" s="261"/>
      <c r="N4175" s="261"/>
      <c r="O4175" s="261"/>
      <c r="P4175" s="261"/>
      <c r="Q4175" s="261"/>
      <c r="BR4175" s="261"/>
      <c r="BS4175" s="261"/>
      <c r="BT4175" s="261"/>
      <c r="BU4175" s="261"/>
      <c r="BV4175" s="261"/>
    </row>
    <row r="4176" spans="12:74">
      <c r="L4176" s="261"/>
      <c r="M4176" s="261"/>
      <c r="N4176" s="261"/>
      <c r="O4176" s="261"/>
      <c r="P4176" s="261"/>
      <c r="Q4176" s="261"/>
      <c r="BR4176" s="261"/>
      <c r="BS4176" s="261"/>
      <c r="BT4176" s="261"/>
      <c r="BU4176" s="261"/>
      <c r="BV4176" s="261"/>
    </row>
    <row r="4177" spans="12:74">
      <c r="L4177" s="261"/>
      <c r="M4177" s="261"/>
      <c r="N4177" s="261"/>
      <c r="O4177" s="261"/>
      <c r="P4177" s="261"/>
      <c r="Q4177" s="261"/>
      <c r="BR4177" s="261"/>
      <c r="BS4177" s="261"/>
      <c r="BT4177" s="261"/>
      <c r="BU4177" s="261"/>
      <c r="BV4177" s="261"/>
    </row>
    <row r="4178" spans="12:74">
      <c r="L4178" s="261"/>
      <c r="M4178" s="261"/>
      <c r="N4178" s="261"/>
      <c r="O4178" s="261"/>
      <c r="P4178" s="261"/>
      <c r="Q4178" s="261"/>
      <c r="BR4178" s="261"/>
      <c r="BS4178" s="261"/>
      <c r="BT4178" s="261"/>
      <c r="BU4178" s="261"/>
      <c r="BV4178" s="261"/>
    </row>
    <row r="4179" spans="12:74">
      <c r="L4179" s="261"/>
      <c r="M4179" s="261"/>
      <c r="N4179" s="261"/>
      <c r="O4179" s="261"/>
      <c r="P4179" s="261"/>
      <c r="Q4179" s="261"/>
      <c r="BR4179" s="261"/>
      <c r="BS4179" s="261"/>
      <c r="BT4179" s="261"/>
      <c r="BU4179" s="261"/>
      <c r="BV4179" s="261"/>
    </row>
    <row r="4180" spans="12:74">
      <c r="L4180" s="261"/>
      <c r="M4180" s="261"/>
      <c r="N4180" s="261"/>
      <c r="O4180" s="261"/>
      <c r="P4180" s="261"/>
      <c r="Q4180" s="261"/>
      <c r="BR4180" s="261"/>
      <c r="BS4180" s="261"/>
      <c r="BT4180" s="261"/>
      <c r="BU4180" s="261"/>
      <c r="BV4180" s="261"/>
    </row>
    <row r="4181" spans="12:74">
      <c r="L4181" s="261"/>
      <c r="M4181" s="261"/>
      <c r="N4181" s="261"/>
      <c r="O4181" s="261"/>
      <c r="P4181" s="261"/>
      <c r="Q4181" s="261"/>
      <c r="BR4181" s="261"/>
      <c r="BS4181" s="261"/>
      <c r="BT4181" s="261"/>
      <c r="BU4181" s="261"/>
      <c r="BV4181" s="261"/>
    </row>
    <row r="4182" spans="12:74">
      <c r="L4182" s="261"/>
      <c r="M4182" s="261"/>
      <c r="N4182" s="261"/>
      <c r="O4182" s="261"/>
      <c r="P4182" s="261"/>
      <c r="Q4182" s="261"/>
      <c r="BR4182" s="261"/>
      <c r="BS4182" s="261"/>
      <c r="BT4182" s="261"/>
      <c r="BU4182" s="261"/>
      <c r="BV4182" s="261"/>
    </row>
    <row r="4183" spans="12:74">
      <c r="L4183" s="261"/>
      <c r="M4183" s="261"/>
      <c r="N4183" s="261"/>
      <c r="O4183" s="261"/>
      <c r="P4183" s="261"/>
      <c r="Q4183" s="261"/>
      <c r="BR4183" s="261"/>
      <c r="BS4183" s="261"/>
      <c r="BT4183" s="261"/>
      <c r="BU4183" s="261"/>
      <c r="BV4183" s="261"/>
    </row>
    <row r="4184" spans="12:74">
      <c r="L4184" s="261"/>
      <c r="M4184" s="261"/>
      <c r="N4184" s="261"/>
      <c r="O4184" s="261"/>
      <c r="P4184" s="261"/>
      <c r="Q4184" s="261"/>
      <c r="BR4184" s="261"/>
      <c r="BS4184" s="261"/>
      <c r="BT4184" s="261"/>
      <c r="BU4184" s="261"/>
      <c r="BV4184" s="261"/>
    </row>
    <row r="4185" spans="12:74">
      <c r="L4185" s="261"/>
      <c r="M4185" s="261"/>
      <c r="N4185" s="261"/>
      <c r="O4185" s="261"/>
      <c r="P4185" s="261"/>
      <c r="Q4185" s="261"/>
      <c r="BR4185" s="261"/>
      <c r="BS4185" s="261"/>
      <c r="BT4185" s="261"/>
      <c r="BU4185" s="261"/>
      <c r="BV4185" s="261"/>
    </row>
    <row r="4186" spans="12:74">
      <c r="L4186" s="261"/>
      <c r="M4186" s="261"/>
      <c r="N4186" s="261"/>
      <c r="O4186" s="261"/>
      <c r="P4186" s="261"/>
      <c r="Q4186" s="261"/>
      <c r="BR4186" s="261"/>
      <c r="BS4186" s="261"/>
      <c r="BT4186" s="261"/>
      <c r="BU4186" s="261"/>
      <c r="BV4186" s="261"/>
    </row>
    <row r="4187" spans="12:74">
      <c r="L4187" s="261"/>
      <c r="M4187" s="261"/>
      <c r="N4187" s="261"/>
      <c r="O4187" s="261"/>
      <c r="P4187" s="261"/>
      <c r="Q4187" s="261"/>
      <c r="BR4187" s="261"/>
      <c r="BS4187" s="261"/>
      <c r="BT4187" s="261"/>
      <c r="BU4187" s="261"/>
      <c r="BV4187" s="261"/>
    </row>
    <row r="4188" spans="12:74">
      <c r="L4188" s="261"/>
      <c r="M4188" s="261"/>
      <c r="N4188" s="261"/>
      <c r="O4188" s="261"/>
      <c r="P4188" s="261"/>
      <c r="Q4188" s="261"/>
      <c r="BR4188" s="261"/>
      <c r="BS4188" s="261"/>
      <c r="BT4188" s="261"/>
      <c r="BU4188" s="261"/>
      <c r="BV4188" s="261"/>
    </row>
    <row r="4189" spans="12:74">
      <c r="L4189" s="261"/>
      <c r="M4189" s="261"/>
      <c r="N4189" s="261"/>
      <c r="O4189" s="261"/>
      <c r="P4189" s="261"/>
      <c r="Q4189" s="261"/>
      <c r="BR4189" s="261"/>
      <c r="BS4189" s="261"/>
      <c r="BT4189" s="261"/>
      <c r="BU4189" s="261"/>
      <c r="BV4189" s="261"/>
    </row>
    <row r="4190" spans="12:74">
      <c r="L4190" s="261"/>
      <c r="M4190" s="261"/>
      <c r="N4190" s="261"/>
      <c r="O4190" s="261"/>
      <c r="P4190" s="261"/>
      <c r="Q4190" s="261"/>
      <c r="BR4190" s="261"/>
      <c r="BS4190" s="261"/>
      <c r="BT4190" s="261"/>
      <c r="BU4190" s="261"/>
      <c r="BV4190" s="261"/>
    </row>
    <row r="4191" spans="12:74">
      <c r="L4191" s="261"/>
      <c r="M4191" s="261"/>
      <c r="N4191" s="261"/>
      <c r="O4191" s="261"/>
      <c r="P4191" s="261"/>
      <c r="Q4191" s="261"/>
      <c r="BR4191" s="261"/>
      <c r="BS4191" s="261"/>
      <c r="BT4191" s="261"/>
      <c r="BU4191" s="261"/>
      <c r="BV4191" s="261"/>
    </row>
    <row r="4192" spans="12:74">
      <c r="L4192" s="261"/>
      <c r="M4192" s="261"/>
      <c r="N4192" s="261"/>
      <c r="O4192" s="261"/>
      <c r="P4192" s="261"/>
      <c r="Q4192" s="261"/>
      <c r="BR4192" s="261"/>
      <c r="BS4192" s="261"/>
      <c r="BT4192" s="261"/>
      <c r="BU4192" s="261"/>
      <c r="BV4192" s="261"/>
    </row>
    <row r="4193" spans="12:74">
      <c r="L4193" s="261"/>
      <c r="M4193" s="261"/>
      <c r="N4193" s="261"/>
      <c r="O4193" s="261"/>
      <c r="P4193" s="261"/>
      <c r="Q4193" s="261"/>
      <c r="BR4193" s="261"/>
      <c r="BS4193" s="261"/>
      <c r="BT4193" s="261"/>
      <c r="BU4193" s="261"/>
      <c r="BV4193" s="261"/>
    </row>
    <row r="4194" spans="12:74">
      <c r="L4194" s="261"/>
      <c r="M4194" s="261"/>
      <c r="N4194" s="261"/>
      <c r="O4194" s="261"/>
      <c r="P4194" s="261"/>
      <c r="Q4194" s="261"/>
      <c r="BR4194" s="261"/>
      <c r="BS4194" s="261"/>
      <c r="BT4194" s="261"/>
      <c r="BU4194" s="261"/>
      <c r="BV4194" s="261"/>
    </row>
    <row r="4195" spans="12:74">
      <c r="L4195" s="261"/>
      <c r="M4195" s="261"/>
      <c r="N4195" s="261"/>
      <c r="O4195" s="261"/>
      <c r="P4195" s="261"/>
      <c r="Q4195" s="261"/>
      <c r="BR4195" s="261"/>
      <c r="BS4195" s="261"/>
      <c r="BT4195" s="261"/>
      <c r="BU4195" s="261"/>
      <c r="BV4195" s="261"/>
    </row>
    <row r="4196" spans="12:74">
      <c r="L4196" s="261"/>
      <c r="M4196" s="261"/>
      <c r="N4196" s="261"/>
      <c r="O4196" s="261"/>
      <c r="P4196" s="261"/>
      <c r="Q4196" s="261"/>
      <c r="BR4196" s="261"/>
      <c r="BS4196" s="261"/>
      <c r="BT4196" s="261"/>
      <c r="BU4196" s="261"/>
      <c r="BV4196" s="261"/>
    </row>
    <row r="4197" spans="12:74">
      <c r="L4197" s="261"/>
      <c r="M4197" s="261"/>
      <c r="N4197" s="261"/>
      <c r="O4197" s="261"/>
      <c r="P4197" s="261"/>
      <c r="Q4197" s="261"/>
      <c r="BR4197" s="261"/>
      <c r="BS4197" s="261"/>
      <c r="BT4197" s="261"/>
      <c r="BU4197" s="261"/>
      <c r="BV4197" s="261"/>
    </row>
    <row r="4198" spans="12:74">
      <c r="L4198" s="261"/>
      <c r="M4198" s="261"/>
      <c r="N4198" s="261"/>
      <c r="O4198" s="261"/>
      <c r="P4198" s="261"/>
      <c r="Q4198" s="261"/>
      <c r="BR4198" s="261"/>
      <c r="BS4198" s="261"/>
      <c r="BT4198" s="261"/>
      <c r="BU4198" s="261"/>
      <c r="BV4198" s="261"/>
    </row>
    <row r="4199" spans="12:74">
      <c r="L4199" s="261"/>
      <c r="M4199" s="261"/>
      <c r="N4199" s="261"/>
      <c r="O4199" s="261"/>
      <c r="P4199" s="261"/>
      <c r="Q4199" s="261"/>
      <c r="BR4199" s="261"/>
      <c r="BS4199" s="261"/>
      <c r="BT4199" s="261"/>
      <c r="BU4199" s="261"/>
      <c r="BV4199" s="261"/>
    </row>
    <row r="4200" spans="12:74">
      <c r="L4200" s="261"/>
      <c r="M4200" s="261"/>
      <c r="N4200" s="261"/>
      <c r="O4200" s="261"/>
      <c r="P4200" s="261"/>
      <c r="Q4200" s="261"/>
      <c r="BR4200" s="261"/>
      <c r="BS4200" s="261"/>
      <c r="BT4200" s="261"/>
      <c r="BU4200" s="261"/>
      <c r="BV4200" s="261"/>
    </row>
    <row r="4201" spans="12:74">
      <c r="L4201" s="261"/>
      <c r="M4201" s="261"/>
      <c r="N4201" s="261"/>
      <c r="O4201" s="261"/>
      <c r="P4201" s="261"/>
      <c r="Q4201" s="261"/>
      <c r="BR4201" s="261"/>
      <c r="BS4201" s="261"/>
      <c r="BT4201" s="261"/>
      <c r="BU4201" s="261"/>
      <c r="BV4201" s="261"/>
    </row>
    <row r="4202" spans="12:74">
      <c r="L4202" s="261"/>
      <c r="M4202" s="261"/>
      <c r="N4202" s="261"/>
      <c r="O4202" s="261"/>
      <c r="P4202" s="261"/>
      <c r="Q4202" s="261"/>
      <c r="BR4202" s="261"/>
      <c r="BS4202" s="261"/>
      <c r="BT4202" s="261"/>
      <c r="BU4202" s="261"/>
      <c r="BV4202" s="261"/>
    </row>
    <row r="4203" spans="12:74">
      <c r="L4203" s="261"/>
      <c r="M4203" s="261"/>
      <c r="N4203" s="261"/>
      <c r="O4203" s="261"/>
      <c r="P4203" s="261"/>
      <c r="Q4203" s="261"/>
      <c r="BR4203" s="261"/>
      <c r="BS4203" s="261"/>
      <c r="BT4203" s="261"/>
      <c r="BU4203" s="261"/>
      <c r="BV4203" s="261"/>
    </row>
    <row r="4204" spans="12:74">
      <c r="L4204" s="261"/>
      <c r="M4204" s="261"/>
      <c r="N4204" s="261"/>
      <c r="O4204" s="261"/>
      <c r="P4204" s="261"/>
      <c r="Q4204" s="261"/>
      <c r="BR4204" s="261"/>
      <c r="BS4204" s="261"/>
      <c r="BT4204" s="261"/>
      <c r="BU4204" s="261"/>
      <c r="BV4204" s="261"/>
    </row>
    <row r="4205" spans="12:74">
      <c r="L4205" s="261"/>
      <c r="M4205" s="261"/>
      <c r="N4205" s="261"/>
      <c r="O4205" s="261"/>
      <c r="P4205" s="261"/>
      <c r="Q4205" s="261"/>
      <c r="BR4205" s="261"/>
      <c r="BS4205" s="261"/>
      <c r="BT4205" s="261"/>
      <c r="BU4205" s="261"/>
      <c r="BV4205" s="261"/>
    </row>
    <row r="4206" spans="12:74">
      <c r="L4206" s="261"/>
      <c r="M4206" s="261"/>
      <c r="N4206" s="261"/>
      <c r="O4206" s="261"/>
      <c r="P4206" s="261"/>
      <c r="Q4206" s="261"/>
      <c r="BR4206" s="261"/>
      <c r="BS4206" s="261"/>
      <c r="BT4206" s="261"/>
      <c r="BU4206" s="261"/>
      <c r="BV4206" s="261"/>
    </row>
    <row r="4207" spans="12:74">
      <c r="L4207" s="261"/>
      <c r="M4207" s="261"/>
      <c r="N4207" s="261"/>
      <c r="O4207" s="261"/>
      <c r="P4207" s="261"/>
      <c r="Q4207" s="261"/>
      <c r="BR4207" s="261"/>
      <c r="BS4207" s="261"/>
      <c r="BT4207" s="261"/>
      <c r="BU4207" s="261"/>
      <c r="BV4207" s="261"/>
    </row>
    <row r="4208" spans="12:74">
      <c r="L4208" s="261"/>
      <c r="M4208" s="261"/>
      <c r="N4208" s="261"/>
      <c r="O4208" s="261"/>
      <c r="P4208" s="261"/>
      <c r="Q4208" s="261"/>
      <c r="BR4208" s="261"/>
      <c r="BS4208" s="261"/>
      <c r="BT4208" s="261"/>
      <c r="BU4208" s="261"/>
      <c r="BV4208" s="261"/>
    </row>
    <row r="4209" spans="12:74">
      <c r="L4209" s="261"/>
      <c r="M4209" s="261"/>
      <c r="N4209" s="261"/>
      <c r="O4209" s="261"/>
      <c r="P4209" s="261"/>
      <c r="Q4209" s="261"/>
      <c r="BR4209" s="261"/>
      <c r="BS4209" s="261"/>
      <c r="BT4209" s="261"/>
      <c r="BU4209" s="261"/>
      <c r="BV4209" s="261"/>
    </row>
    <row r="4210" spans="12:74">
      <c r="L4210" s="261"/>
      <c r="M4210" s="261"/>
      <c r="N4210" s="261"/>
      <c r="O4210" s="261"/>
      <c r="P4210" s="261"/>
      <c r="Q4210" s="261"/>
      <c r="BR4210" s="261"/>
      <c r="BS4210" s="261"/>
      <c r="BT4210" s="261"/>
      <c r="BU4210" s="261"/>
      <c r="BV4210" s="261"/>
    </row>
    <row r="4211" spans="12:74">
      <c r="L4211" s="261"/>
      <c r="M4211" s="261"/>
      <c r="N4211" s="261"/>
      <c r="O4211" s="261"/>
      <c r="P4211" s="261"/>
      <c r="Q4211" s="261"/>
      <c r="BR4211" s="261"/>
      <c r="BS4211" s="261"/>
      <c r="BT4211" s="261"/>
      <c r="BU4211" s="261"/>
      <c r="BV4211" s="261"/>
    </row>
    <row r="4212" spans="12:74">
      <c r="L4212" s="261"/>
      <c r="M4212" s="261"/>
      <c r="N4212" s="261"/>
      <c r="O4212" s="261"/>
      <c r="P4212" s="261"/>
      <c r="Q4212" s="261"/>
      <c r="BR4212" s="261"/>
      <c r="BS4212" s="261"/>
      <c r="BT4212" s="261"/>
      <c r="BU4212" s="261"/>
      <c r="BV4212" s="261"/>
    </row>
    <row r="4213" spans="12:74">
      <c r="L4213" s="261"/>
      <c r="M4213" s="261"/>
      <c r="N4213" s="261"/>
      <c r="O4213" s="261"/>
      <c r="P4213" s="261"/>
      <c r="Q4213" s="261"/>
      <c r="BR4213" s="261"/>
      <c r="BS4213" s="261"/>
      <c r="BT4213" s="261"/>
      <c r="BU4213" s="261"/>
      <c r="BV4213" s="261"/>
    </row>
    <row r="4214" spans="12:74">
      <c r="L4214" s="261"/>
      <c r="M4214" s="261"/>
      <c r="N4214" s="261"/>
      <c r="O4214" s="261"/>
      <c r="P4214" s="261"/>
      <c r="Q4214" s="261"/>
      <c r="BR4214" s="261"/>
      <c r="BS4214" s="261"/>
      <c r="BT4214" s="261"/>
      <c r="BU4214" s="261"/>
      <c r="BV4214" s="261"/>
    </row>
    <row r="4215" spans="12:74">
      <c r="L4215" s="261"/>
      <c r="M4215" s="261"/>
      <c r="N4215" s="261"/>
      <c r="O4215" s="261"/>
      <c r="P4215" s="261"/>
      <c r="Q4215" s="261"/>
      <c r="BR4215" s="261"/>
      <c r="BS4215" s="261"/>
      <c r="BT4215" s="261"/>
      <c r="BU4215" s="261"/>
      <c r="BV4215" s="261"/>
    </row>
    <row r="4216" spans="12:74">
      <c r="L4216" s="261"/>
      <c r="M4216" s="261"/>
      <c r="N4216" s="261"/>
      <c r="O4216" s="261"/>
      <c r="P4216" s="261"/>
      <c r="Q4216" s="261"/>
      <c r="BR4216" s="261"/>
      <c r="BS4216" s="261"/>
      <c r="BT4216" s="261"/>
      <c r="BU4216" s="261"/>
      <c r="BV4216" s="261"/>
    </row>
    <row r="4217" spans="12:74">
      <c r="L4217" s="261"/>
      <c r="M4217" s="261"/>
      <c r="N4217" s="261"/>
      <c r="O4217" s="261"/>
      <c r="P4217" s="261"/>
      <c r="Q4217" s="261"/>
      <c r="BR4217" s="261"/>
      <c r="BS4217" s="261"/>
      <c r="BT4217" s="261"/>
      <c r="BU4217" s="261"/>
      <c r="BV4217" s="261"/>
    </row>
    <row r="4218" spans="12:74">
      <c r="L4218" s="261"/>
      <c r="M4218" s="261"/>
      <c r="N4218" s="261"/>
      <c r="O4218" s="261"/>
      <c r="P4218" s="261"/>
      <c r="Q4218" s="261"/>
      <c r="BR4218" s="261"/>
      <c r="BS4218" s="261"/>
      <c r="BT4218" s="261"/>
      <c r="BU4218" s="261"/>
      <c r="BV4218" s="261"/>
    </row>
    <row r="4219" spans="12:74">
      <c r="L4219" s="261"/>
      <c r="M4219" s="261"/>
      <c r="N4219" s="261"/>
      <c r="O4219" s="261"/>
      <c r="P4219" s="261"/>
      <c r="Q4219" s="261"/>
      <c r="BR4219" s="261"/>
      <c r="BS4219" s="261"/>
      <c r="BT4219" s="261"/>
      <c r="BU4219" s="261"/>
      <c r="BV4219" s="261"/>
    </row>
    <row r="4220" spans="12:74">
      <c r="L4220" s="261"/>
      <c r="M4220" s="261"/>
      <c r="N4220" s="261"/>
      <c r="O4220" s="261"/>
      <c r="P4220" s="261"/>
      <c r="Q4220" s="261"/>
      <c r="BR4220" s="261"/>
      <c r="BS4220" s="261"/>
      <c r="BT4220" s="261"/>
      <c r="BU4220" s="261"/>
      <c r="BV4220" s="261"/>
    </row>
    <row r="4221" spans="12:74">
      <c r="L4221" s="261"/>
      <c r="M4221" s="261"/>
      <c r="N4221" s="261"/>
      <c r="O4221" s="261"/>
      <c r="P4221" s="261"/>
      <c r="Q4221" s="261"/>
      <c r="BR4221" s="261"/>
      <c r="BS4221" s="261"/>
      <c r="BT4221" s="261"/>
      <c r="BU4221" s="261"/>
      <c r="BV4221" s="261"/>
    </row>
    <row r="4222" spans="12:74">
      <c r="L4222" s="261"/>
      <c r="M4222" s="261"/>
      <c r="N4222" s="261"/>
      <c r="O4222" s="261"/>
      <c r="P4222" s="261"/>
      <c r="Q4222" s="261"/>
      <c r="BR4222" s="261"/>
      <c r="BS4222" s="261"/>
      <c r="BT4222" s="261"/>
      <c r="BU4222" s="261"/>
      <c r="BV4222" s="261"/>
    </row>
    <row r="4223" spans="12:74">
      <c r="L4223" s="261"/>
      <c r="M4223" s="261"/>
      <c r="N4223" s="261"/>
      <c r="O4223" s="261"/>
      <c r="P4223" s="261"/>
      <c r="Q4223" s="261"/>
      <c r="BR4223" s="261"/>
      <c r="BS4223" s="261"/>
      <c r="BT4223" s="261"/>
      <c r="BU4223" s="261"/>
      <c r="BV4223" s="261"/>
    </row>
    <row r="4224" spans="12:74">
      <c r="L4224" s="261"/>
      <c r="M4224" s="261"/>
      <c r="N4224" s="261"/>
      <c r="O4224" s="261"/>
      <c r="P4224" s="261"/>
      <c r="Q4224" s="261"/>
      <c r="BR4224" s="261"/>
      <c r="BS4224" s="261"/>
      <c r="BT4224" s="261"/>
      <c r="BU4224" s="261"/>
      <c r="BV4224" s="261"/>
    </row>
    <row r="4225" spans="12:74">
      <c r="L4225" s="261"/>
      <c r="M4225" s="261"/>
      <c r="N4225" s="261"/>
      <c r="O4225" s="261"/>
      <c r="P4225" s="261"/>
      <c r="Q4225" s="261"/>
      <c r="BR4225" s="261"/>
      <c r="BS4225" s="261"/>
      <c r="BT4225" s="261"/>
      <c r="BU4225" s="261"/>
      <c r="BV4225" s="261"/>
    </row>
    <row r="4226" spans="12:74">
      <c r="L4226" s="261"/>
      <c r="M4226" s="261"/>
      <c r="N4226" s="261"/>
      <c r="O4226" s="261"/>
      <c r="P4226" s="261"/>
      <c r="Q4226" s="261"/>
      <c r="BR4226" s="261"/>
      <c r="BS4226" s="261"/>
      <c r="BT4226" s="261"/>
      <c r="BU4226" s="261"/>
      <c r="BV4226" s="261"/>
    </row>
    <row r="4227" spans="12:74">
      <c r="L4227" s="261"/>
      <c r="M4227" s="261"/>
      <c r="N4227" s="261"/>
      <c r="O4227" s="261"/>
      <c r="P4227" s="261"/>
      <c r="Q4227" s="261"/>
      <c r="BR4227" s="261"/>
      <c r="BS4227" s="261"/>
      <c r="BT4227" s="261"/>
      <c r="BU4227" s="261"/>
      <c r="BV4227" s="261"/>
    </row>
    <row r="4228" spans="12:74">
      <c r="L4228" s="261"/>
      <c r="M4228" s="261"/>
      <c r="N4228" s="261"/>
      <c r="O4228" s="261"/>
      <c r="P4228" s="261"/>
      <c r="Q4228" s="261"/>
      <c r="BR4228" s="261"/>
      <c r="BS4228" s="261"/>
      <c r="BT4228" s="261"/>
      <c r="BU4228" s="261"/>
      <c r="BV4228" s="261"/>
    </row>
    <row r="4229" spans="12:74">
      <c r="L4229" s="261"/>
      <c r="M4229" s="261"/>
      <c r="N4229" s="261"/>
      <c r="O4229" s="261"/>
      <c r="P4229" s="261"/>
      <c r="Q4229" s="261"/>
      <c r="BR4229" s="261"/>
      <c r="BS4229" s="261"/>
      <c r="BT4229" s="261"/>
      <c r="BU4229" s="261"/>
      <c r="BV4229" s="261"/>
    </row>
    <row r="4230" spans="12:74">
      <c r="L4230" s="261"/>
      <c r="M4230" s="261"/>
      <c r="N4230" s="261"/>
      <c r="O4230" s="261"/>
      <c r="P4230" s="261"/>
      <c r="Q4230" s="261"/>
      <c r="BR4230" s="261"/>
      <c r="BS4230" s="261"/>
      <c r="BT4230" s="261"/>
      <c r="BU4230" s="261"/>
      <c r="BV4230" s="261"/>
    </row>
    <row r="4231" spans="12:74">
      <c r="L4231" s="261"/>
      <c r="M4231" s="261"/>
      <c r="N4231" s="261"/>
      <c r="O4231" s="261"/>
      <c r="P4231" s="261"/>
      <c r="Q4231" s="261"/>
      <c r="BR4231" s="261"/>
      <c r="BS4231" s="261"/>
      <c r="BT4231" s="261"/>
      <c r="BU4231" s="261"/>
      <c r="BV4231" s="261"/>
    </row>
    <row r="4232" spans="12:74">
      <c r="L4232" s="261"/>
      <c r="M4232" s="261"/>
      <c r="N4232" s="261"/>
      <c r="O4232" s="261"/>
      <c r="P4232" s="261"/>
      <c r="Q4232" s="261"/>
      <c r="BR4232" s="261"/>
      <c r="BS4232" s="261"/>
      <c r="BT4232" s="261"/>
      <c r="BU4232" s="261"/>
      <c r="BV4232" s="261"/>
    </row>
    <row r="4233" spans="12:74">
      <c r="L4233" s="261"/>
      <c r="M4233" s="261"/>
      <c r="N4233" s="261"/>
      <c r="O4233" s="261"/>
      <c r="P4233" s="261"/>
      <c r="Q4233" s="261"/>
      <c r="BR4233" s="261"/>
      <c r="BS4233" s="261"/>
      <c r="BT4233" s="261"/>
      <c r="BU4233" s="261"/>
      <c r="BV4233" s="261"/>
    </row>
    <row r="4234" spans="12:74">
      <c r="L4234" s="261"/>
      <c r="M4234" s="261"/>
      <c r="N4234" s="261"/>
      <c r="O4234" s="261"/>
      <c r="P4234" s="261"/>
      <c r="Q4234" s="261"/>
      <c r="BR4234" s="261"/>
      <c r="BS4234" s="261"/>
      <c r="BT4234" s="261"/>
      <c r="BU4234" s="261"/>
      <c r="BV4234" s="261"/>
    </row>
    <row r="4235" spans="12:74">
      <c r="L4235" s="261"/>
      <c r="M4235" s="261"/>
      <c r="N4235" s="261"/>
      <c r="O4235" s="261"/>
      <c r="P4235" s="261"/>
      <c r="Q4235" s="261"/>
      <c r="BR4235" s="261"/>
      <c r="BS4235" s="261"/>
      <c r="BT4235" s="261"/>
      <c r="BU4235" s="261"/>
      <c r="BV4235" s="261"/>
    </row>
    <row r="4236" spans="12:74">
      <c r="L4236" s="261"/>
      <c r="M4236" s="261"/>
      <c r="N4236" s="261"/>
      <c r="O4236" s="261"/>
      <c r="P4236" s="261"/>
      <c r="Q4236" s="261"/>
      <c r="BR4236" s="261"/>
      <c r="BS4236" s="261"/>
      <c r="BT4236" s="261"/>
      <c r="BU4236" s="261"/>
      <c r="BV4236" s="261"/>
    </row>
    <row r="4237" spans="12:74">
      <c r="L4237" s="261"/>
      <c r="M4237" s="261"/>
      <c r="N4237" s="261"/>
      <c r="O4237" s="261"/>
      <c r="P4237" s="261"/>
      <c r="Q4237" s="261"/>
      <c r="BR4237" s="261"/>
      <c r="BS4237" s="261"/>
      <c r="BT4237" s="261"/>
      <c r="BU4237" s="261"/>
      <c r="BV4237" s="261"/>
    </row>
    <row r="4238" spans="12:74">
      <c r="L4238" s="261"/>
      <c r="M4238" s="261"/>
      <c r="N4238" s="261"/>
      <c r="O4238" s="261"/>
      <c r="P4238" s="261"/>
      <c r="Q4238" s="261"/>
      <c r="BR4238" s="261"/>
      <c r="BS4238" s="261"/>
      <c r="BT4238" s="261"/>
      <c r="BU4238" s="261"/>
      <c r="BV4238" s="261"/>
    </row>
    <row r="4239" spans="12:74">
      <c r="L4239" s="261"/>
      <c r="M4239" s="261"/>
      <c r="N4239" s="261"/>
      <c r="O4239" s="261"/>
      <c r="P4239" s="261"/>
      <c r="Q4239" s="261"/>
      <c r="BR4239" s="261"/>
      <c r="BS4239" s="261"/>
      <c r="BT4239" s="261"/>
      <c r="BU4239" s="261"/>
      <c r="BV4239" s="261"/>
    </row>
    <row r="4240" spans="12:74">
      <c r="L4240" s="261"/>
      <c r="M4240" s="261"/>
      <c r="N4240" s="261"/>
      <c r="O4240" s="261"/>
      <c r="P4240" s="261"/>
      <c r="Q4240" s="261"/>
      <c r="BR4240" s="261"/>
      <c r="BS4240" s="261"/>
      <c r="BT4240" s="261"/>
      <c r="BU4240" s="261"/>
      <c r="BV4240" s="261"/>
    </row>
    <row r="4241" spans="12:74">
      <c r="L4241" s="261"/>
      <c r="M4241" s="261"/>
      <c r="N4241" s="261"/>
      <c r="O4241" s="261"/>
      <c r="P4241" s="261"/>
      <c r="Q4241" s="261"/>
      <c r="BR4241" s="261"/>
      <c r="BS4241" s="261"/>
      <c r="BT4241" s="261"/>
      <c r="BU4241" s="261"/>
      <c r="BV4241" s="261"/>
    </row>
    <row r="4242" spans="12:74">
      <c r="L4242" s="261"/>
      <c r="M4242" s="261"/>
      <c r="N4242" s="261"/>
      <c r="O4242" s="261"/>
      <c r="P4242" s="261"/>
      <c r="Q4242" s="261"/>
      <c r="BR4242" s="261"/>
      <c r="BS4242" s="261"/>
      <c r="BT4242" s="261"/>
      <c r="BU4242" s="261"/>
      <c r="BV4242" s="261"/>
    </row>
    <row r="4243" spans="12:74">
      <c r="L4243" s="261"/>
      <c r="M4243" s="261"/>
      <c r="N4243" s="261"/>
      <c r="O4243" s="261"/>
      <c r="P4243" s="261"/>
      <c r="Q4243" s="261"/>
      <c r="BR4243" s="261"/>
      <c r="BS4243" s="261"/>
      <c r="BT4243" s="261"/>
      <c r="BU4243" s="261"/>
      <c r="BV4243" s="261"/>
    </row>
    <row r="4244" spans="12:74">
      <c r="L4244" s="261"/>
      <c r="M4244" s="261"/>
      <c r="N4244" s="261"/>
      <c r="O4244" s="261"/>
      <c r="P4244" s="261"/>
      <c r="Q4244" s="261"/>
      <c r="BR4244" s="261"/>
      <c r="BS4244" s="261"/>
      <c r="BT4244" s="261"/>
      <c r="BU4244" s="261"/>
      <c r="BV4244" s="261"/>
    </row>
    <row r="4245" spans="12:74">
      <c r="L4245" s="261"/>
      <c r="M4245" s="261"/>
      <c r="N4245" s="261"/>
      <c r="O4245" s="261"/>
      <c r="P4245" s="261"/>
      <c r="Q4245" s="261"/>
      <c r="BR4245" s="261"/>
      <c r="BS4245" s="261"/>
      <c r="BT4245" s="261"/>
      <c r="BU4245" s="261"/>
      <c r="BV4245" s="261"/>
    </row>
    <row r="4246" spans="12:74">
      <c r="L4246" s="261"/>
      <c r="M4246" s="261"/>
      <c r="N4246" s="261"/>
      <c r="O4246" s="261"/>
      <c r="P4246" s="261"/>
      <c r="Q4246" s="261"/>
      <c r="BR4246" s="261"/>
      <c r="BS4246" s="261"/>
      <c r="BT4246" s="261"/>
      <c r="BU4246" s="261"/>
      <c r="BV4246" s="261"/>
    </row>
    <row r="4247" spans="12:74">
      <c r="L4247" s="261"/>
      <c r="M4247" s="261"/>
      <c r="N4247" s="261"/>
      <c r="O4247" s="261"/>
      <c r="P4247" s="261"/>
      <c r="Q4247" s="261"/>
      <c r="BR4247" s="261"/>
      <c r="BS4247" s="261"/>
      <c r="BT4247" s="261"/>
      <c r="BU4247" s="261"/>
      <c r="BV4247" s="261"/>
    </row>
    <row r="4248" spans="12:74">
      <c r="L4248" s="261"/>
      <c r="M4248" s="261"/>
      <c r="N4248" s="261"/>
      <c r="O4248" s="261"/>
      <c r="P4248" s="261"/>
      <c r="Q4248" s="261"/>
      <c r="BR4248" s="261"/>
      <c r="BS4248" s="261"/>
      <c r="BT4248" s="261"/>
      <c r="BU4248" s="261"/>
      <c r="BV4248" s="261"/>
    </row>
    <row r="4249" spans="12:74">
      <c r="L4249" s="261"/>
      <c r="M4249" s="261"/>
      <c r="N4249" s="261"/>
      <c r="O4249" s="261"/>
      <c r="P4249" s="261"/>
      <c r="Q4249" s="261"/>
      <c r="BR4249" s="261"/>
      <c r="BS4249" s="261"/>
      <c r="BT4249" s="261"/>
      <c r="BU4249" s="261"/>
      <c r="BV4249" s="261"/>
    </row>
    <row r="4250" spans="12:74">
      <c r="L4250" s="261"/>
      <c r="M4250" s="261"/>
      <c r="N4250" s="261"/>
      <c r="O4250" s="261"/>
      <c r="P4250" s="261"/>
      <c r="Q4250" s="261"/>
      <c r="BR4250" s="261"/>
      <c r="BS4250" s="261"/>
      <c r="BT4250" s="261"/>
      <c r="BU4250" s="261"/>
      <c r="BV4250" s="261"/>
    </row>
    <row r="4251" spans="12:74">
      <c r="L4251" s="261"/>
      <c r="M4251" s="261"/>
      <c r="N4251" s="261"/>
      <c r="O4251" s="261"/>
      <c r="P4251" s="261"/>
      <c r="Q4251" s="261"/>
      <c r="BR4251" s="261"/>
      <c r="BS4251" s="261"/>
      <c r="BT4251" s="261"/>
      <c r="BU4251" s="261"/>
      <c r="BV4251" s="261"/>
    </row>
    <row r="4252" spans="12:74">
      <c r="L4252" s="261"/>
      <c r="M4252" s="261"/>
      <c r="N4252" s="261"/>
      <c r="O4252" s="261"/>
      <c r="P4252" s="261"/>
      <c r="Q4252" s="261"/>
      <c r="BR4252" s="261"/>
      <c r="BS4252" s="261"/>
      <c r="BT4252" s="261"/>
      <c r="BU4252" s="261"/>
      <c r="BV4252" s="261"/>
    </row>
    <row r="4253" spans="12:74">
      <c r="L4253" s="261"/>
      <c r="M4253" s="261"/>
      <c r="N4253" s="261"/>
      <c r="O4253" s="261"/>
      <c r="P4253" s="261"/>
      <c r="Q4253" s="261"/>
      <c r="BR4253" s="261"/>
      <c r="BS4253" s="261"/>
      <c r="BT4253" s="261"/>
      <c r="BU4253" s="261"/>
      <c r="BV4253" s="261"/>
    </row>
    <row r="4254" spans="12:74">
      <c r="L4254" s="261"/>
      <c r="M4254" s="261"/>
      <c r="N4254" s="261"/>
      <c r="O4254" s="261"/>
      <c r="P4254" s="261"/>
      <c r="Q4254" s="261"/>
      <c r="BR4254" s="261"/>
      <c r="BS4254" s="261"/>
      <c r="BT4254" s="261"/>
      <c r="BU4254" s="261"/>
      <c r="BV4254" s="261"/>
    </row>
    <row r="4255" spans="12:74">
      <c r="L4255" s="261"/>
      <c r="M4255" s="261"/>
      <c r="N4255" s="261"/>
      <c r="O4255" s="261"/>
      <c r="P4255" s="261"/>
      <c r="Q4255" s="261"/>
      <c r="BR4255" s="261"/>
      <c r="BS4255" s="261"/>
      <c r="BT4255" s="261"/>
      <c r="BU4255" s="261"/>
      <c r="BV4255" s="261"/>
    </row>
    <row r="4256" spans="12:74">
      <c r="L4256" s="261"/>
      <c r="M4256" s="261"/>
      <c r="N4256" s="261"/>
      <c r="O4256" s="261"/>
      <c r="P4256" s="261"/>
      <c r="Q4256" s="261"/>
      <c r="BR4256" s="261"/>
      <c r="BS4256" s="261"/>
      <c r="BT4256" s="261"/>
      <c r="BU4256" s="261"/>
      <c r="BV4256" s="261"/>
    </row>
    <row r="4257" spans="12:74">
      <c r="L4257" s="261"/>
      <c r="M4257" s="261"/>
      <c r="N4257" s="261"/>
      <c r="O4257" s="261"/>
      <c r="P4257" s="261"/>
      <c r="Q4257" s="261"/>
      <c r="BR4257" s="261"/>
      <c r="BS4257" s="261"/>
      <c r="BT4257" s="261"/>
      <c r="BU4257" s="261"/>
      <c r="BV4257" s="261"/>
    </row>
    <row r="4258" spans="12:74">
      <c r="L4258" s="261"/>
      <c r="M4258" s="261"/>
      <c r="N4258" s="261"/>
      <c r="O4258" s="261"/>
      <c r="P4258" s="261"/>
      <c r="Q4258" s="261"/>
      <c r="BR4258" s="261"/>
      <c r="BS4258" s="261"/>
      <c r="BT4258" s="261"/>
      <c r="BU4258" s="261"/>
      <c r="BV4258" s="261"/>
    </row>
    <row r="4259" spans="12:74">
      <c r="L4259" s="261"/>
      <c r="M4259" s="261"/>
      <c r="N4259" s="261"/>
      <c r="O4259" s="261"/>
      <c r="P4259" s="261"/>
      <c r="Q4259" s="261"/>
      <c r="BR4259" s="261"/>
      <c r="BS4259" s="261"/>
      <c r="BT4259" s="261"/>
      <c r="BU4259" s="261"/>
      <c r="BV4259" s="261"/>
    </row>
    <row r="4260" spans="12:74">
      <c r="L4260" s="261"/>
      <c r="M4260" s="261"/>
      <c r="N4260" s="261"/>
      <c r="O4260" s="261"/>
      <c r="P4260" s="261"/>
      <c r="Q4260" s="261"/>
      <c r="BR4260" s="261"/>
      <c r="BS4260" s="261"/>
      <c r="BT4260" s="261"/>
      <c r="BU4260" s="261"/>
      <c r="BV4260" s="261"/>
    </row>
    <row r="4261" spans="12:74">
      <c r="L4261" s="261"/>
      <c r="M4261" s="261"/>
      <c r="N4261" s="261"/>
      <c r="O4261" s="261"/>
      <c r="P4261" s="261"/>
      <c r="Q4261" s="261"/>
      <c r="BR4261" s="261"/>
      <c r="BS4261" s="261"/>
      <c r="BT4261" s="261"/>
      <c r="BU4261" s="261"/>
      <c r="BV4261" s="261"/>
    </row>
    <row r="4262" spans="12:74">
      <c r="L4262" s="261"/>
      <c r="M4262" s="261"/>
      <c r="N4262" s="261"/>
      <c r="O4262" s="261"/>
      <c r="P4262" s="261"/>
      <c r="Q4262" s="261"/>
      <c r="BR4262" s="261"/>
      <c r="BS4262" s="261"/>
      <c r="BT4262" s="261"/>
      <c r="BU4262" s="261"/>
      <c r="BV4262" s="261"/>
    </row>
    <row r="4263" spans="12:74">
      <c r="L4263" s="261"/>
      <c r="M4263" s="261"/>
      <c r="N4263" s="261"/>
      <c r="O4263" s="261"/>
      <c r="P4263" s="261"/>
      <c r="Q4263" s="261"/>
      <c r="BR4263" s="261"/>
      <c r="BS4263" s="261"/>
      <c r="BT4263" s="261"/>
      <c r="BU4263" s="261"/>
      <c r="BV4263" s="261"/>
    </row>
    <row r="4264" spans="12:74">
      <c r="L4264" s="261"/>
      <c r="M4264" s="261"/>
      <c r="N4264" s="261"/>
      <c r="O4264" s="261"/>
      <c r="P4264" s="261"/>
      <c r="Q4264" s="261"/>
      <c r="BR4264" s="261"/>
      <c r="BS4264" s="261"/>
      <c r="BT4264" s="261"/>
      <c r="BU4264" s="261"/>
      <c r="BV4264" s="261"/>
    </row>
    <row r="4265" spans="12:74">
      <c r="L4265" s="261"/>
      <c r="M4265" s="261"/>
      <c r="N4265" s="261"/>
      <c r="O4265" s="261"/>
      <c r="P4265" s="261"/>
      <c r="Q4265" s="261"/>
      <c r="BR4265" s="261"/>
      <c r="BS4265" s="261"/>
      <c r="BT4265" s="261"/>
      <c r="BU4265" s="261"/>
      <c r="BV4265" s="261"/>
    </row>
    <row r="4266" spans="12:74">
      <c r="L4266" s="261"/>
      <c r="M4266" s="261"/>
      <c r="N4266" s="261"/>
      <c r="O4266" s="261"/>
      <c r="P4266" s="261"/>
      <c r="Q4266" s="261"/>
      <c r="BR4266" s="261"/>
      <c r="BS4266" s="261"/>
      <c r="BT4266" s="261"/>
      <c r="BU4266" s="261"/>
      <c r="BV4266" s="261"/>
    </row>
    <row r="4267" spans="12:74">
      <c r="L4267" s="261"/>
      <c r="M4267" s="261"/>
      <c r="N4267" s="261"/>
      <c r="O4267" s="261"/>
      <c r="P4267" s="261"/>
      <c r="Q4267" s="261"/>
      <c r="BR4267" s="261"/>
      <c r="BS4267" s="261"/>
      <c r="BT4267" s="261"/>
      <c r="BU4267" s="261"/>
      <c r="BV4267" s="261"/>
    </row>
    <row r="4268" spans="12:74">
      <c r="L4268" s="261"/>
      <c r="M4268" s="261"/>
      <c r="N4268" s="261"/>
      <c r="O4268" s="261"/>
      <c r="P4268" s="261"/>
      <c r="Q4268" s="261"/>
      <c r="BR4268" s="261"/>
      <c r="BS4268" s="261"/>
      <c r="BT4268" s="261"/>
      <c r="BU4268" s="261"/>
      <c r="BV4268" s="261"/>
    </row>
    <row r="4269" spans="12:74">
      <c r="L4269" s="261"/>
      <c r="M4269" s="261"/>
      <c r="N4269" s="261"/>
      <c r="O4269" s="261"/>
      <c r="P4269" s="261"/>
      <c r="Q4269" s="261"/>
      <c r="BR4269" s="261"/>
      <c r="BS4269" s="261"/>
      <c r="BT4269" s="261"/>
      <c r="BU4269" s="261"/>
      <c r="BV4269" s="261"/>
    </row>
    <row r="4270" spans="12:74">
      <c r="L4270" s="261"/>
      <c r="M4270" s="261"/>
      <c r="N4270" s="261"/>
      <c r="O4270" s="261"/>
      <c r="P4270" s="261"/>
      <c r="Q4270" s="261"/>
      <c r="BR4270" s="261"/>
      <c r="BS4270" s="261"/>
      <c r="BT4270" s="261"/>
      <c r="BU4270" s="261"/>
      <c r="BV4270" s="261"/>
    </row>
    <row r="4271" spans="12:74">
      <c r="L4271" s="261"/>
      <c r="M4271" s="261"/>
      <c r="N4271" s="261"/>
      <c r="O4271" s="261"/>
      <c r="P4271" s="261"/>
      <c r="Q4271" s="261"/>
      <c r="BR4271" s="261"/>
      <c r="BS4271" s="261"/>
      <c r="BT4271" s="261"/>
      <c r="BU4271" s="261"/>
      <c r="BV4271" s="261"/>
    </row>
    <row r="4272" spans="12:74">
      <c r="L4272" s="261"/>
      <c r="M4272" s="261"/>
      <c r="N4272" s="261"/>
      <c r="O4272" s="261"/>
      <c r="P4272" s="261"/>
      <c r="Q4272" s="261"/>
      <c r="BR4272" s="261"/>
      <c r="BS4272" s="261"/>
      <c r="BT4272" s="261"/>
      <c r="BU4272" s="261"/>
      <c r="BV4272" s="261"/>
    </row>
    <row r="4273" spans="12:74">
      <c r="L4273" s="261"/>
      <c r="M4273" s="261"/>
      <c r="N4273" s="261"/>
      <c r="O4273" s="261"/>
      <c r="P4273" s="261"/>
      <c r="Q4273" s="261"/>
      <c r="BR4273" s="261"/>
      <c r="BS4273" s="261"/>
      <c r="BT4273" s="261"/>
      <c r="BU4273" s="261"/>
      <c r="BV4273" s="261"/>
    </row>
    <row r="4274" spans="12:74">
      <c r="L4274" s="261"/>
      <c r="M4274" s="261"/>
      <c r="N4274" s="261"/>
      <c r="O4274" s="261"/>
      <c r="P4274" s="261"/>
      <c r="Q4274" s="261"/>
      <c r="BR4274" s="261"/>
      <c r="BS4274" s="261"/>
      <c r="BT4274" s="261"/>
      <c r="BU4274" s="261"/>
      <c r="BV4274" s="261"/>
    </row>
    <row r="4275" spans="12:74">
      <c r="L4275" s="261"/>
      <c r="M4275" s="261"/>
      <c r="N4275" s="261"/>
      <c r="O4275" s="261"/>
      <c r="P4275" s="261"/>
      <c r="Q4275" s="261"/>
      <c r="BR4275" s="261"/>
      <c r="BS4275" s="261"/>
      <c r="BT4275" s="261"/>
      <c r="BU4275" s="261"/>
      <c r="BV4275" s="261"/>
    </row>
    <row r="4276" spans="12:74">
      <c r="L4276" s="261"/>
      <c r="M4276" s="261"/>
      <c r="N4276" s="261"/>
      <c r="O4276" s="261"/>
      <c r="P4276" s="261"/>
      <c r="Q4276" s="261"/>
      <c r="BR4276" s="261"/>
      <c r="BS4276" s="261"/>
      <c r="BT4276" s="261"/>
      <c r="BU4276" s="261"/>
      <c r="BV4276" s="261"/>
    </row>
    <row r="4277" spans="12:74">
      <c r="L4277" s="261"/>
      <c r="M4277" s="261"/>
      <c r="N4277" s="261"/>
      <c r="O4277" s="261"/>
      <c r="P4277" s="261"/>
      <c r="Q4277" s="261"/>
      <c r="BR4277" s="261"/>
      <c r="BS4277" s="261"/>
      <c r="BT4277" s="261"/>
      <c r="BU4277" s="261"/>
      <c r="BV4277" s="261"/>
    </row>
    <row r="4278" spans="12:74">
      <c r="L4278" s="261"/>
      <c r="M4278" s="261"/>
      <c r="N4278" s="261"/>
      <c r="O4278" s="261"/>
      <c r="P4278" s="261"/>
      <c r="Q4278" s="261"/>
      <c r="BR4278" s="261"/>
      <c r="BS4278" s="261"/>
      <c r="BT4278" s="261"/>
      <c r="BU4278" s="261"/>
      <c r="BV4278" s="261"/>
    </row>
    <row r="4279" spans="12:74">
      <c r="L4279" s="261"/>
      <c r="M4279" s="261"/>
      <c r="N4279" s="261"/>
      <c r="O4279" s="261"/>
      <c r="P4279" s="261"/>
      <c r="Q4279" s="261"/>
      <c r="BR4279" s="261"/>
      <c r="BS4279" s="261"/>
      <c r="BT4279" s="261"/>
      <c r="BU4279" s="261"/>
      <c r="BV4279" s="261"/>
    </row>
    <row r="4280" spans="12:74">
      <c r="L4280" s="261"/>
      <c r="M4280" s="261"/>
      <c r="N4280" s="261"/>
      <c r="O4280" s="261"/>
      <c r="P4280" s="261"/>
      <c r="Q4280" s="261"/>
      <c r="BR4280" s="261"/>
      <c r="BS4280" s="261"/>
      <c r="BT4280" s="261"/>
      <c r="BU4280" s="261"/>
      <c r="BV4280" s="261"/>
    </row>
    <row r="4281" spans="12:74">
      <c r="L4281" s="261"/>
      <c r="M4281" s="261"/>
      <c r="N4281" s="261"/>
      <c r="O4281" s="261"/>
      <c r="P4281" s="261"/>
      <c r="Q4281" s="261"/>
      <c r="BR4281" s="261"/>
      <c r="BS4281" s="261"/>
      <c r="BT4281" s="261"/>
      <c r="BU4281" s="261"/>
      <c r="BV4281" s="261"/>
    </row>
    <row r="4282" spans="12:74">
      <c r="L4282" s="261"/>
      <c r="M4282" s="261"/>
      <c r="N4282" s="261"/>
      <c r="O4282" s="261"/>
      <c r="P4282" s="261"/>
      <c r="Q4282" s="261"/>
      <c r="BR4282" s="261"/>
      <c r="BS4282" s="261"/>
      <c r="BT4282" s="261"/>
      <c r="BU4282" s="261"/>
      <c r="BV4282" s="261"/>
    </row>
    <row r="4283" spans="12:74">
      <c r="L4283" s="261"/>
      <c r="M4283" s="261"/>
      <c r="N4283" s="261"/>
      <c r="O4283" s="261"/>
      <c r="P4283" s="261"/>
      <c r="Q4283" s="261"/>
      <c r="BR4283" s="261"/>
      <c r="BS4283" s="261"/>
      <c r="BT4283" s="261"/>
      <c r="BU4283" s="261"/>
      <c r="BV4283" s="261"/>
    </row>
    <row r="4284" spans="12:74">
      <c r="L4284" s="261"/>
      <c r="M4284" s="261"/>
      <c r="N4284" s="261"/>
      <c r="O4284" s="261"/>
      <c r="P4284" s="261"/>
      <c r="Q4284" s="261"/>
      <c r="BR4284" s="261"/>
      <c r="BS4284" s="261"/>
      <c r="BT4284" s="261"/>
      <c r="BU4284" s="261"/>
      <c r="BV4284" s="261"/>
    </row>
    <row r="4285" spans="12:74">
      <c r="L4285" s="261"/>
      <c r="M4285" s="261"/>
      <c r="N4285" s="261"/>
      <c r="O4285" s="261"/>
      <c r="P4285" s="261"/>
      <c r="Q4285" s="261"/>
      <c r="BR4285" s="261"/>
      <c r="BS4285" s="261"/>
      <c r="BT4285" s="261"/>
      <c r="BU4285" s="261"/>
      <c r="BV4285" s="261"/>
    </row>
    <row r="4286" spans="12:74">
      <c r="L4286" s="261"/>
      <c r="M4286" s="261"/>
      <c r="N4286" s="261"/>
      <c r="O4286" s="261"/>
      <c r="P4286" s="261"/>
      <c r="Q4286" s="261"/>
      <c r="BR4286" s="261"/>
      <c r="BS4286" s="261"/>
      <c r="BT4286" s="261"/>
      <c r="BU4286" s="261"/>
      <c r="BV4286" s="261"/>
    </row>
    <row r="4287" spans="12:74">
      <c r="L4287" s="261"/>
      <c r="M4287" s="261"/>
      <c r="N4287" s="261"/>
      <c r="O4287" s="261"/>
      <c r="P4287" s="261"/>
      <c r="Q4287" s="261"/>
      <c r="BR4287" s="261"/>
      <c r="BS4287" s="261"/>
      <c r="BT4287" s="261"/>
      <c r="BU4287" s="261"/>
      <c r="BV4287" s="261"/>
    </row>
    <row r="4288" spans="12:74">
      <c r="L4288" s="261"/>
      <c r="M4288" s="261"/>
      <c r="N4288" s="261"/>
      <c r="O4288" s="261"/>
      <c r="P4288" s="261"/>
      <c r="Q4288" s="261"/>
      <c r="BR4288" s="261"/>
      <c r="BS4288" s="261"/>
      <c r="BT4288" s="261"/>
      <c r="BU4288" s="261"/>
      <c r="BV4288" s="261"/>
    </row>
    <row r="4289" spans="12:74">
      <c r="L4289" s="261"/>
      <c r="M4289" s="261"/>
      <c r="N4289" s="261"/>
      <c r="O4289" s="261"/>
      <c r="P4289" s="261"/>
      <c r="Q4289" s="261"/>
      <c r="BR4289" s="261"/>
      <c r="BS4289" s="261"/>
      <c r="BT4289" s="261"/>
      <c r="BU4289" s="261"/>
      <c r="BV4289" s="261"/>
    </row>
    <row r="4290" spans="12:74">
      <c r="L4290" s="261"/>
      <c r="M4290" s="261"/>
      <c r="N4290" s="261"/>
      <c r="O4290" s="261"/>
      <c r="P4290" s="261"/>
      <c r="Q4290" s="261"/>
      <c r="BR4290" s="261"/>
      <c r="BS4290" s="261"/>
      <c r="BT4290" s="261"/>
      <c r="BU4290" s="261"/>
      <c r="BV4290" s="261"/>
    </row>
    <row r="4291" spans="12:74">
      <c r="L4291" s="261"/>
      <c r="M4291" s="261"/>
      <c r="N4291" s="261"/>
      <c r="O4291" s="261"/>
      <c r="P4291" s="261"/>
      <c r="Q4291" s="261"/>
      <c r="BR4291" s="261"/>
      <c r="BS4291" s="261"/>
      <c r="BT4291" s="261"/>
      <c r="BU4291" s="261"/>
      <c r="BV4291" s="261"/>
    </row>
    <row r="4292" spans="12:74">
      <c r="L4292" s="261"/>
      <c r="M4292" s="261"/>
      <c r="N4292" s="261"/>
      <c r="O4292" s="261"/>
      <c r="P4292" s="261"/>
      <c r="Q4292" s="261"/>
      <c r="BR4292" s="261"/>
      <c r="BS4292" s="261"/>
      <c r="BT4292" s="261"/>
      <c r="BU4292" s="261"/>
      <c r="BV4292" s="261"/>
    </row>
    <row r="4293" spans="12:74">
      <c r="L4293" s="261"/>
      <c r="M4293" s="261"/>
      <c r="N4293" s="261"/>
      <c r="O4293" s="261"/>
      <c r="P4293" s="261"/>
      <c r="Q4293" s="261"/>
      <c r="BR4293" s="261"/>
      <c r="BS4293" s="261"/>
      <c r="BT4293" s="261"/>
      <c r="BU4293" s="261"/>
      <c r="BV4293" s="261"/>
    </row>
    <row r="4294" spans="12:74">
      <c r="L4294" s="261"/>
      <c r="M4294" s="261"/>
      <c r="N4294" s="261"/>
      <c r="O4294" s="261"/>
      <c r="P4294" s="261"/>
      <c r="Q4294" s="261"/>
      <c r="BR4294" s="261"/>
      <c r="BS4294" s="261"/>
      <c r="BT4294" s="261"/>
      <c r="BU4294" s="261"/>
      <c r="BV4294" s="261"/>
    </row>
    <row r="4295" spans="12:74">
      <c r="L4295" s="261"/>
      <c r="M4295" s="261"/>
      <c r="N4295" s="261"/>
      <c r="O4295" s="261"/>
      <c r="P4295" s="261"/>
      <c r="Q4295" s="261"/>
      <c r="BR4295" s="261"/>
      <c r="BS4295" s="261"/>
      <c r="BT4295" s="261"/>
      <c r="BU4295" s="261"/>
      <c r="BV4295" s="261"/>
    </row>
    <row r="4296" spans="12:74">
      <c r="L4296" s="261"/>
      <c r="M4296" s="261"/>
      <c r="N4296" s="261"/>
      <c r="O4296" s="261"/>
      <c r="P4296" s="261"/>
      <c r="Q4296" s="261"/>
      <c r="BR4296" s="261"/>
      <c r="BS4296" s="261"/>
      <c r="BT4296" s="261"/>
      <c r="BU4296" s="261"/>
      <c r="BV4296" s="261"/>
    </row>
    <row r="4297" spans="12:74">
      <c r="L4297" s="261"/>
      <c r="M4297" s="261"/>
      <c r="N4297" s="261"/>
      <c r="O4297" s="261"/>
      <c r="P4297" s="261"/>
      <c r="Q4297" s="261"/>
      <c r="BR4297" s="261"/>
      <c r="BS4297" s="261"/>
      <c r="BT4297" s="261"/>
      <c r="BU4297" s="261"/>
      <c r="BV4297" s="261"/>
    </row>
    <row r="4298" spans="12:74">
      <c r="L4298" s="261"/>
      <c r="M4298" s="261"/>
      <c r="N4298" s="261"/>
      <c r="O4298" s="261"/>
      <c r="P4298" s="261"/>
      <c r="Q4298" s="261"/>
      <c r="BR4298" s="261"/>
      <c r="BS4298" s="261"/>
      <c r="BT4298" s="261"/>
      <c r="BU4298" s="261"/>
      <c r="BV4298" s="261"/>
    </row>
    <row r="4299" spans="12:74">
      <c r="L4299" s="261"/>
      <c r="M4299" s="261"/>
      <c r="N4299" s="261"/>
      <c r="O4299" s="261"/>
      <c r="P4299" s="261"/>
      <c r="Q4299" s="261"/>
      <c r="BR4299" s="261"/>
      <c r="BS4299" s="261"/>
      <c r="BT4299" s="261"/>
      <c r="BU4299" s="261"/>
      <c r="BV4299" s="261"/>
    </row>
    <row r="4300" spans="12:74">
      <c r="L4300" s="261"/>
      <c r="M4300" s="261"/>
      <c r="N4300" s="261"/>
      <c r="O4300" s="261"/>
      <c r="P4300" s="261"/>
      <c r="Q4300" s="261"/>
      <c r="BR4300" s="261"/>
      <c r="BS4300" s="261"/>
      <c r="BT4300" s="261"/>
      <c r="BU4300" s="261"/>
      <c r="BV4300" s="261"/>
    </row>
    <row r="4301" spans="12:74">
      <c r="L4301" s="261"/>
      <c r="M4301" s="261"/>
      <c r="N4301" s="261"/>
      <c r="O4301" s="261"/>
      <c r="P4301" s="261"/>
      <c r="Q4301" s="261"/>
      <c r="BR4301" s="261"/>
      <c r="BS4301" s="261"/>
      <c r="BT4301" s="261"/>
      <c r="BU4301" s="261"/>
      <c r="BV4301" s="261"/>
    </row>
    <row r="4302" spans="12:74">
      <c r="L4302" s="261"/>
      <c r="M4302" s="261"/>
      <c r="N4302" s="261"/>
      <c r="O4302" s="261"/>
      <c r="P4302" s="261"/>
      <c r="Q4302" s="261"/>
      <c r="BR4302" s="261"/>
      <c r="BS4302" s="261"/>
      <c r="BT4302" s="261"/>
      <c r="BU4302" s="261"/>
      <c r="BV4302" s="261"/>
    </row>
    <row r="4303" spans="12:74">
      <c r="L4303" s="261"/>
      <c r="M4303" s="261"/>
      <c r="N4303" s="261"/>
      <c r="O4303" s="261"/>
      <c r="P4303" s="261"/>
      <c r="Q4303" s="261"/>
      <c r="BR4303" s="261"/>
      <c r="BS4303" s="261"/>
      <c r="BT4303" s="261"/>
      <c r="BU4303" s="261"/>
      <c r="BV4303" s="261"/>
    </row>
    <row r="4304" spans="12:74">
      <c r="L4304" s="261"/>
      <c r="M4304" s="261"/>
      <c r="N4304" s="261"/>
      <c r="O4304" s="261"/>
      <c r="P4304" s="261"/>
      <c r="Q4304" s="261"/>
      <c r="BR4304" s="261"/>
      <c r="BS4304" s="261"/>
      <c r="BT4304" s="261"/>
      <c r="BU4304" s="261"/>
      <c r="BV4304" s="261"/>
    </row>
    <row r="4305" spans="12:74">
      <c r="L4305" s="261"/>
      <c r="M4305" s="261"/>
      <c r="N4305" s="261"/>
      <c r="O4305" s="261"/>
      <c r="P4305" s="261"/>
      <c r="Q4305" s="261"/>
      <c r="BR4305" s="261"/>
      <c r="BS4305" s="261"/>
      <c r="BT4305" s="261"/>
      <c r="BU4305" s="261"/>
      <c r="BV4305" s="261"/>
    </row>
    <row r="4306" spans="12:74">
      <c r="L4306" s="261"/>
      <c r="M4306" s="261"/>
      <c r="N4306" s="261"/>
      <c r="O4306" s="261"/>
      <c r="P4306" s="261"/>
      <c r="Q4306" s="261"/>
      <c r="BR4306" s="261"/>
      <c r="BS4306" s="261"/>
      <c r="BT4306" s="261"/>
      <c r="BU4306" s="261"/>
      <c r="BV4306" s="261"/>
    </row>
    <row r="4307" spans="12:74">
      <c r="L4307" s="261"/>
      <c r="M4307" s="261"/>
      <c r="N4307" s="261"/>
      <c r="O4307" s="261"/>
      <c r="P4307" s="261"/>
      <c r="Q4307" s="261"/>
      <c r="BR4307" s="261"/>
      <c r="BS4307" s="261"/>
      <c r="BT4307" s="261"/>
      <c r="BU4307" s="261"/>
      <c r="BV4307" s="261"/>
    </row>
    <row r="4308" spans="12:74">
      <c r="L4308" s="261"/>
      <c r="M4308" s="261"/>
      <c r="N4308" s="261"/>
      <c r="O4308" s="261"/>
      <c r="P4308" s="261"/>
      <c r="Q4308" s="261"/>
      <c r="BR4308" s="261"/>
      <c r="BS4308" s="261"/>
      <c r="BT4308" s="261"/>
      <c r="BU4308" s="261"/>
      <c r="BV4308" s="261"/>
    </row>
    <row r="4309" spans="12:74">
      <c r="L4309" s="261"/>
      <c r="M4309" s="261"/>
      <c r="N4309" s="261"/>
      <c r="O4309" s="261"/>
      <c r="P4309" s="261"/>
      <c r="Q4309" s="261"/>
      <c r="BR4309" s="261"/>
      <c r="BS4309" s="261"/>
      <c r="BT4309" s="261"/>
      <c r="BU4309" s="261"/>
      <c r="BV4309" s="261"/>
    </row>
    <row r="4310" spans="12:74">
      <c r="L4310" s="261"/>
      <c r="M4310" s="261"/>
      <c r="N4310" s="261"/>
      <c r="O4310" s="261"/>
      <c r="P4310" s="261"/>
      <c r="Q4310" s="261"/>
      <c r="BR4310" s="261"/>
      <c r="BS4310" s="261"/>
      <c r="BT4310" s="261"/>
      <c r="BU4310" s="261"/>
      <c r="BV4310" s="261"/>
    </row>
    <row r="4311" spans="12:74">
      <c r="L4311" s="261"/>
      <c r="M4311" s="261"/>
      <c r="N4311" s="261"/>
      <c r="O4311" s="261"/>
      <c r="P4311" s="261"/>
      <c r="Q4311" s="261"/>
      <c r="BR4311" s="261"/>
      <c r="BS4311" s="261"/>
      <c r="BT4311" s="261"/>
      <c r="BU4311" s="261"/>
      <c r="BV4311" s="261"/>
    </row>
    <row r="4312" spans="12:74">
      <c r="L4312" s="261"/>
      <c r="M4312" s="261"/>
      <c r="N4312" s="261"/>
      <c r="O4312" s="261"/>
      <c r="P4312" s="261"/>
      <c r="Q4312" s="261"/>
      <c r="BR4312" s="261"/>
      <c r="BS4312" s="261"/>
      <c r="BT4312" s="261"/>
      <c r="BU4312" s="261"/>
      <c r="BV4312" s="261"/>
    </row>
    <row r="4313" spans="12:74">
      <c r="L4313" s="261"/>
      <c r="M4313" s="261"/>
      <c r="N4313" s="261"/>
      <c r="O4313" s="261"/>
      <c r="P4313" s="261"/>
      <c r="Q4313" s="261"/>
      <c r="BR4313" s="261"/>
      <c r="BS4313" s="261"/>
      <c r="BT4313" s="261"/>
      <c r="BU4313" s="261"/>
      <c r="BV4313" s="261"/>
    </row>
    <row r="4314" spans="12:74">
      <c r="L4314" s="261"/>
      <c r="M4314" s="261"/>
      <c r="N4314" s="261"/>
      <c r="O4314" s="261"/>
      <c r="P4314" s="261"/>
      <c r="Q4314" s="261"/>
      <c r="BR4314" s="261"/>
      <c r="BS4314" s="261"/>
      <c r="BT4314" s="261"/>
      <c r="BU4314" s="261"/>
      <c r="BV4314" s="261"/>
    </row>
    <row r="4315" spans="12:74">
      <c r="L4315" s="261"/>
      <c r="M4315" s="261"/>
      <c r="N4315" s="261"/>
      <c r="O4315" s="261"/>
      <c r="P4315" s="261"/>
      <c r="Q4315" s="261"/>
      <c r="BR4315" s="261"/>
      <c r="BS4315" s="261"/>
      <c r="BT4315" s="261"/>
      <c r="BU4315" s="261"/>
      <c r="BV4315" s="261"/>
    </row>
    <row r="4316" spans="12:74">
      <c r="L4316" s="261"/>
      <c r="M4316" s="261"/>
      <c r="N4316" s="261"/>
      <c r="O4316" s="261"/>
      <c r="P4316" s="261"/>
      <c r="Q4316" s="261"/>
      <c r="BR4316" s="261"/>
      <c r="BS4316" s="261"/>
      <c r="BT4316" s="261"/>
      <c r="BU4316" s="261"/>
      <c r="BV4316" s="261"/>
    </row>
    <row r="4317" spans="12:74">
      <c r="L4317" s="261"/>
      <c r="M4317" s="261"/>
      <c r="N4317" s="261"/>
      <c r="O4317" s="261"/>
      <c r="P4317" s="261"/>
      <c r="Q4317" s="261"/>
      <c r="BR4317" s="261"/>
      <c r="BS4317" s="261"/>
      <c r="BT4317" s="261"/>
      <c r="BU4317" s="261"/>
      <c r="BV4317" s="261"/>
    </row>
    <row r="4318" spans="12:74">
      <c r="L4318" s="261"/>
      <c r="M4318" s="261"/>
      <c r="N4318" s="261"/>
      <c r="O4318" s="261"/>
      <c r="P4318" s="261"/>
      <c r="Q4318" s="261"/>
      <c r="BR4318" s="261"/>
      <c r="BS4318" s="261"/>
      <c r="BT4318" s="261"/>
      <c r="BU4318" s="261"/>
      <c r="BV4318" s="261"/>
    </row>
    <row r="4319" spans="12:74">
      <c r="L4319" s="261"/>
      <c r="M4319" s="261"/>
      <c r="N4319" s="261"/>
      <c r="O4319" s="261"/>
      <c r="P4319" s="261"/>
      <c r="Q4319" s="261"/>
      <c r="BR4319" s="261"/>
      <c r="BS4319" s="261"/>
      <c r="BT4319" s="261"/>
      <c r="BU4319" s="261"/>
      <c r="BV4319" s="261"/>
    </row>
    <row r="4320" spans="12:74">
      <c r="L4320" s="261"/>
      <c r="M4320" s="261"/>
      <c r="N4320" s="261"/>
      <c r="O4320" s="261"/>
      <c r="P4320" s="261"/>
      <c r="Q4320" s="261"/>
      <c r="BR4320" s="261"/>
      <c r="BS4320" s="261"/>
      <c r="BT4320" s="261"/>
      <c r="BU4320" s="261"/>
      <c r="BV4320" s="261"/>
    </row>
    <row r="4321" spans="12:74">
      <c r="L4321" s="261"/>
      <c r="M4321" s="261"/>
      <c r="N4321" s="261"/>
      <c r="O4321" s="261"/>
      <c r="P4321" s="261"/>
      <c r="Q4321" s="261"/>
      <c r="BR4321" s="261"/>
      <c r="BS4321" s="261"/>
      <c r="BT4321" s="261"/>
      <c r="BU4321" s="261"/>
      <c r="BV4321" s="261"/>
    </row>
    <row r="4322" spans="12:74">
      <c r="L4322" s="261"/>
      <c r="M4322" s="261"/>
      <c r="N4322" s="261"/>
      <c r="O4322" s="261"/>
      <c r="P4322" s="261"/>
      <c r="Q4322" s="261"/>
      <c r="BR4322" s="261"/>
      <c r="BS4322" s="261"/>
      <c r="BT4322" s="261"/>
      <c r="BU4322" s="261"/>
      <c r="BV4322" s="261"/>
    </row>
    <row r="4323" spans="12:74">
      <c r="L4323" s="261"/>
      <c r="M4323" s="261"/>
      <c r="N4323" s="261"/>
      <c r="O4323" s="261"/>
      <c r="P4323" s="261"/>
      <c r="Q4323" s="261"/>
      <c r="BR4323" s="261"/>
      <c r="BS4323" s="261"/>
      <c r="BT4323" s="261"/>
      <c r="BU4323" s="261"/>
      <c r="BV4323" s="261"/>
    </row>
    <row r="4324" spans="12:74">
      <c r="L4324" s="261"/>
      <c r="M4324" s="261"/>
      <c r="N4324" s="261"/>
      <c r="O4324" s="261"/>
      <c r="P4324" s="261"/>
      <c r="Q4324" s="261"/>
      <c r="BR4324" s="261"/>
      <c r="BS4324" s="261"/>
      <c r="BT4324" s="261"/>
      <c r="BU4324" s="261"/>
      <c r="BV4324" s="261"/>
    </row>
    <row r="4325" spans="12:74">
      <c r="L4325" s="261"/>
      <c r="M4325" s="261"/>
      <c r="N4325" s="261"/>
      <c r="O4325" s="261"/>
      <c r="P4325" s="261"/>
      <c r="Q4325" s="261"/>
      <c r="BR4325" s="261"/>
      <c r="BS4325" s="261"/>
      <c r="BT4325" s="261"/>
      <c r="BU4325" s="261"/>
      <c r="BV4325" s="261"/>
    </row>
    <row r="4326" spans="12:74">
      <c r="L4326" s="261"/>
      <c r="M4326" s="261"/>
      <c r="N4326" s="261"/>
      <c r="O4326" s="261"/>
      <c r="P4326" s="261"/>
      <c r="Q4326" s="261"/>
      <c r="BR4326" s="261"/>
      <c r="BS4326" s="261"/>
      <c r="BT4326" s="261"/>
      <c r="BU4326" s="261"/>
      <c r="BV4326" s="261"/>
    </row>
    <row r="4327" spans="12:74">
      <c r="L4327" s="261"/>
      <c r="M4327" s="261"/>
      <c r="N4327" s="261"/>
      <c r="O4327" s="261"/>
      <c r="P4327" s="261"/>
      <c r="Q4327" s="261"/>
      <c r="BR4327" s="261"/>
      <c r="BS4327" s="261"/>
      <c r="BT4327" s="261"/>
      <c r="BU4327" s="261"/>
      <c r="BV4327" s="261"/>
    </row>
    <row r="4328" spans="12:74">
      <c r="L4328" s="261"/>
      <c r="M4328" s="261"/>
      <c r="N4328" s="261"/>
      <c r="O4328" s="261"/>
      <c r="P4328" s="261"/>
      <c r="Q4328" s="261"/>
      <c r="BR4328" s="261"/>
      <c r="BS4328" s="261"/>
      <c r="BT4328" s="261"/>
      <c r="BU4328" s="261"/>
      <c r="BV4328" s="261"/>
    </row>
    <row r="4329" spans="12:74">
      <c r="L4329" s="261"/>
      <c r="M4329" s="261"/>
      <c r="N4329" s="261"/>
      <c r="O4329" s="261"/>
      <c r="P4329" s="261"/>
      <c r="Q4329" s="261"/>
      <c r="BR4329" s="261"/>
      <c r="BS4329" s="261"/>
      <c r="BT4329" s="261"/>
      <c r="BU4329" s="261"/>
      <c r="BV4329" s="261"/>
    </row>
    <row r="4330" spans="12:74">
      <c r="L4330" s="261"/>
      <c r="M4330" s="261"/>
      <c r="N4330" s="261"/>
      <c r="O4330" s="261"/>
      <c r="P4330" s="261"/>
      <c r="Q4330" s="261"/>
      <c r="BR4330" s="261"/>
      <c r="BS4330" s="261"/>
      <c r="BT4330" s="261"/>
      <c r="BU4330" s="261"/>
      <c r="BV4330" s="261"/>
    </row>
    <row r="4331" spans="12:74">
      <c r="L4331" s="261"/>
      <c r="M4331" s="261"/>
      <c r="N4331" s="261"/>
      <c r="O4331" s="261"/>
      <c r="P4331" s="261"/>
      <c r="Q4331" s="261"/>
      <c r="BR4331" s="261"/>
      <c r="BS4331" s="261"/>
      <c r="BT4331" s="261"/>
      <c r="BU4331" s="261"/>
      <c r="BV4331" s="261"/>
    </row>
    <row r="4332" spans="12:74">
      <c r="L4332" s="261"/>
      <c r="M4332" s="261"/>
      <c r="N4332" s="261"/>
      <c r="O4332" s="261"/>
      <c r="P4332" s="261"/>
      <c r="Q4332" s="261"/>
      <c r="BR4332" s="261"/>
      <c r="BS4332" s="261"/>
      <c r="BT4332" s="261"/>
      <c r="BU4332" s="261"/>
      <c r="BV4332" s="261"/>
    </row>
    <row r="4333" spans="12:74">
      <c r="L4333" s="261"/>
      <c r="M4333" s="261"/>
      <c r="N4333" s="261"/>
      <c r="O4333" s="261"/>
      <c r="P4333" s="261"/>
      <c r="Q4333" s="261"/>
      <c r="BR4333" s="261"/>
      <c r="BS4333" s="261"/>
      <c r="BT4333" s="261"/>
      <c r="BU4333" s="261"/>
      <c r="BV4333" s="261"/>
    </row>
    <row r="4334" spans="12:74">
      <c r="L4334" s="261"/>
      <c r="M4334" s="261"/>
      <c r="N4334" s="261"/>
      <c r="O4334" s="261"/>
      <c r="P4334" s="261"/>
      <c r="Q4334" s="261"/>
      <c r="BR4334" s="261"/>
      <c r="BS4334" s="261"/>
      <c r="BT4334" s="261"/>
      <c r="BU4334" s="261"/>
      <c r="BV4334" s="261"/>
    </row>
    <row r="4335" spans="12:74">
      <c r="L4335" s="261"/>
      <c r="M4335" s="261"/>
      <c r="N4335" s="261"/>
      <c r="O4335" s="261"/>
      <c r="P4335" s="261"/>
      <c r="Q4335" s="261"/>
      <c r="BR4335" s="261"/>
      <c r="BS4335" s="261"/>
      <c r="BT4335" s="261"/>
      <c r="BU4335" s="261"/>
      <c r="BV4335" s="261"/>
    </row>
    <row r="4336" spans="12:74">
      <c r="L4336" s="261"/>
      <c r="M4336" s="261"/>
      <c r="N4336" s="261"/>
      <c r="O4336" s="261"/>
      <c r="P4336" s="261"/>
      <c r="Q4336" s="261"/>
      <c r="BR4336" s="261"/>
      <c r="BS4336" s="261"/>
      <c r="BT4336" s="261"/>
      <c r="BU4336" s="261"/>
      <c r="BV4336" s="261"/>
    </row>
    <row r="4337" spans="12:74">
      <c r="L4337" s="261"/>
      <c r="M4337" s="261"/>
      <c r="N4337" s="261"/>
      <c r="O4337" s="261"/>
      <c r="P4337" s="261"/>
      <c r="Q4337" s="261"/>
      <c r="BR4337" s="261"/>
      <c r="BS4337" s="261"/>
      <c r="BT4337" s="261"/>
      <c r="BU4337" s="261"/>
      <c r="BV4337" s="261"/>
    </row>
    <row r="4338" spans="12:74">
      <c r="L4338" s="261"/>
      <c r="M4338" s="261"/>
      <c r="N4338" s="261"/>
      <c r="O4338" s="261"/>
      <c r="P4338" s="261"/>
      <c r="Q4338" s="261"/>
      <c r="BR4338" s="261"/>
      <c r="BS4338" s="261"/>
      <c r="BT4338" s="261"/>
      <c r="BU4338" s="261"/>
      <c r="BV4338" s="261"/>
    </row>
    <row r="4339" spans="12:74">
      <c r="L4339" s="261"/>
      <c r="M4339" s="261"/>
      <c r="N4339" s="261"/>
      <c r="O4339" s="261"/>
      <c r="P4339" s="261"/>
      <c r="Q4339" s="261"/>
      <c r="BR4339" s="261"/>
      <c r="BS4339" s="261"/>
      <c r="BT4339" s="261"/>
      <c r="BU4339" s="261"/>
      <c r="BV4339" s="261"/>
    </row>
    <row r="4340" spans="12:74">
      <c r="L4340" s="261"/>
      <c r="M4340" s="261"/>
      <c r="N4340" s="261"/>
      <c r="O4340" s="261"/>
      <c r="P4340" s="261"/>
      <c r="Q4340" s="261"/>
      <c r="BR4340" s="261"/>
      <c r="BS4340" s="261"/>
      <c r="BT4340" s="261"/>
      <c r="BU4340" s="261"/>
      <c r="BV4340" s="261"/>
    </row>
    <row r="4341" spans="12:74">
      <c r="L4341" s="261"/>
      <c r="M4341" s="261"/>
      <c r="N4341" s="261"/>
      <c r="O4341" s="261"/>
      <c r="P4341" s="261"/>
      <c r="Q4341" s="261"/>
      <c r="BR4341" s="261"/>
      <c r="BS4341" s="261"/>
      <c r="BT4341" s="261"/>
      <c r="BU4341" s="261"/>
      <c r="BV4341" s="261"/>
    </row>
    <row r="4342" spans="12:74">
      <c r="L4342" s="261"/>
      <c r="M4342" s="261"/>
      <c r="N4342" s="261"/>
      <c r="O4342" s="261"/>
      <c r="P4342" s="261"/>
      <c r="Q4342" s="261"/>
      <c r="BR4342" s="261"/>
      <c r="BS4342" s="261"/>
      <c r="BT4342" s="261"/>
      <c r="BU4342" s="261"/>
      <c r="BV4342" s="261"/>
    </row>
    <row r="4343" spans="12:74">
      <c r="L4343" s="261"/>
      <c r="M4343" s="261"/>
      <c r="N4343" s="261"/>
      <c r="O4343" s="261"/>
      <c r="P4343" s="261"/>
      <c r="Q4343" s="261"/>
      <c r="BR4343" s="261"/>
      <c r="BS4343" s="261"/>
      <c r="BT4343" s="261"/>
      <c r="BU4343" s="261"/>
      <c r="BV4343" s="261"/>
    </row>
    <row r="4344" spans="12:74">
      <c r="L4344" s="261"/>
      <c r="M4344" s="261"/>
      <c r="N4344" s="261"/>
      <c r="O4344" s="261"/>
      <c r="P4344" s="261"/>
      <c r="Q4344" s="261"/>
      <c r="BR4344" s="261"/>
      <c r="BS4344" s="261"/>
      <c r="BT4344" s="261"/>
      <c r="BU4344" s="261"/>
      <c r="BV4344" s="261"/>
    </row>
    <row r="4345" spans="12:74">
      <c r="L4345" s="261"/>
      <c r="M4345" s="261"/>
      <c r="N4345" s="261"/>
      <c r="O4345" s="261"/>
      <c r="P4345" s="261"/>
      <c r="Q4345" s="261"/>
      <c r="BR4345" s="261"/>
      <c r="BS4345" s="261"/>
      <c r="BT4345" s="261"/>
      <c r="BU4345" s="261"/>
      <c r="BV4345" s="261"/>
    </row>
    <row r="4346" spans="12:74">
      <c r="L4346" s="261"/>
      <c r="M4346" s="261"/>
      <c r="N4346" s="261"/>
      <c r="O4346" s="261"/>
      <c r="P4346" s="261"/>
      <c r="Q4346" s="261"/>
      <c r="BR4346" s="261"/>
      <c r="BS4346" s="261"/>
      <c r="BT4346" s="261"/>
      <c r="BU4346" s="261"/>
      <c r="BV4346" s="261"/>
    </row>
    <row r="4347" spans="12:74">
      <c r="L4347" s="261"/>
      <c r="M4347" s="261"/>
      <c r="N4347" s="261"/>
      <c r="O4347" s="261"/>
      <c r="P4347" s="261"/>
      <c r="Q4347" s="261"/>
      <c r="BR4347" s="261"/>
      <c r="BS4347" s="261"/>
      <c r="BT4347" s="261"/>
      <c r="BU4347" s="261"/>
      <c r="BV4347" s="261"/>
    </row>
    <row r="4348" spans="12:74">
      <c r="L4348" s="261"/>
      <c r="M4348" s="261"/>
      <c r="N4348" s="261"/>
      <c r="O4348" s="261"/>
      <c r="P4348" s="261"/>
      <c r="Q4348" s="261"/>
      <c r="BR4348" s="261"/>
      <c r="BS4348" s="261"/>
      <c r="BT4348" s="261"/>
      <c r="BU4348" s="261"/>
      <c r="BV4348" s="261"/>
    </row>
    <row r="4349" spans="12:74">
      <c r="L4349" s="261"/>
      <c r="M4349" s="261"/>
      <c r="N4349" s="261"/>
      <c r="O4349" s="261"/>
      <c r="P4349" s="261"/>
      <c r="Q4349" s="261"/>
      <c r="BR4349" s="261"/>
      <c r="BS4349" s="261"/>
      <c r="BT4349" s="261"/>
      <c r="BU4349" s="261"/>
      <c r="BV4349" s="261"/>
    </row>
    <row r="4350" spans="12:74">
      <c r="L4350" s="261"/>
      <c r="M4350" s="261"/>
      <c r="N4350" s="261"/>
      <c r="O4350" s="261"/>
      <c r="P4350" s="261"/>
      <c r="Q4350" s="261"/>
      <c r="BR4350" s="261"/>
      <c r="BS4350" s="261"/>
      <c r="BT4350" s="261"/>
      <c r="BU4350" s="261"/>
      <c r="BV4350" s="261"/>
    </row>
    <row r="4351" spans="12:74">
      <c r="L4351" s="261"/>
      <c r="M4351" s="261"/>
      <c r="N4351" s="261"/>
      <c r="O4351" s="261"/>
      <c r="P4351" s="261"/>
      <c r="Q4351" s="261"/>
      <c r="BR4351" s="261"/>
      <c r="BS4351" s="261"/>
      <c r="BT4351" s="261"/>
      <c r="BU4351" s="261"/>
      <c r="BV4351" s="261"/>
    </row>
    <row r="4352" spans="12:74">
      <c r="L4352" s="261"/>
      <c r="M4352" s="261"/>
      <c r="N4352" s="261"/>
      <c r="O4352" s="261"/>
      <c r="P4352" s="261"/>
      <c r="Q4352" s="261"/>
      <c r="BR4352" s="261"/>
      <c r="BS4352" s="261"/>
      <c r="BT4352" s="261"/>
      <c r="BU4352" s="261"/>
      <c r="BV4352" s="261"/>
    </row>
    <row r="4353" spans="12:74">
      <c r="L4353" s="261"/>
      <c r="M4353" s="261"/>
      <c r="N4353" s="261"/>
      <c r="O4353" s="261"/>
      <c r="P4353" s="261"/>
      <c r="Q4353" s="261"/>
      <c r="BR4353" s="261"/>
      <c r="BS4353" s="261"/>
      <c r="BT4353" s="261"/>
      <c r="BU4353" s="261"/>
      <c r="BV4353" s="261"/>
    </row>
    <row r="4354" spans="12:74">
      <c r="L4354" s="261"/>
      <c r="M4354" s="261"/>
      <c r="N4354" s="261"/>
      <c r="O4354" s="261"/>
      <c r="P4354" s="261"/>
      <c r="Q4354" s="261"/>
      <c r="BR4354" s="261"/>
      <c r="BS4354" s="261"/>
      <c r="BT4354" s="261"/>
      <c r="BU4354" s="261"/>
      <c r="BV4354" s="261"/>
    </row>
    <row r="4355" spans="12:74">
      <c r="L4355" s="261"/>
      <c r="M4355" s="261"/>
      <c r="N4355" s="261"/>
      <c r="O4355" s="261"/>
      <c r="P4355" s="261"/>
      <c r="Q4355" s="261"/>
      <c r="BR4355" s="261"/>
      <c r="BS4355" s="261"/>
      <c r="BT4355" s="261"/>
      <c r="BU4355" s="261"/>
      <c r="BV4355" s="261"/>
    </row>
    <row r="4356" spans="12:74">
      <c r="L4356" s="261"/>
      <c r="M4356" s="261"/>
      <c r="N4356" s="261"/>
      <c r="O4356" s="261"/>
      <c r="P4356" s="261"/>
      <c r="Q4356" s="261"/>
      <c r="BR4356" s="261"/>
      <c r="BS4356" s="261"/>
      <c r="BT4356" s="261"/>
      <c r="BU4356" s="261"/>
      <c r="BV4356" s="261"/>
    </row>
    <row r="4357" spans="12:74">
      <c r="L4357" s="261"/>
      <c r="M4357" s="261"/>
      <c r="N4357" s="261"/>
      <c r="O4357" s="261"/>
      <c r="P4357" s="261"/>
      <c r="Q4357" s="261"/>
      <c r="BR4357" s="261"/>
      <c r="BS4357" s="261"/>
      <c r="BT4357" s="261"/>
      <c r="BU4357" s="261"/>
      <c r="BV4357" s="261"/>
    </row>
    <row r="4358" spans="12:74">
      <c r="L4358" s="261"/>
      <c r="M4358" s="261"/>
      <c r="N4358" s="261"/>
      <c r="O4358" s="261"/>
      <c r="P4358" s="261"/>
      <c r="Q4358" s="261"/>
      <c r="BR4358" s="261"/>
      <c r="BS4358" s="261"/>
      <c r="BT4358" s="261"/>
      <c r="BU4358" s="261"/>
      <c r="BV4358" s="261"/>
    </row>
    <row r="4359" spans="12:74">
      <c r="L4359" s="261"/>
      <c r="M4359" s="261"/>
      <c r="N4359" s="261"/>
      <c r="O4359" s="261"/>
      <c r="P4359" s="261"/>
      <c r="Q4359" s="261"/>
      <c r="BR4359" s="261"/>
      <c r="BS4359" s="261"/>
      <c r="BT4359" s="261"/>
      <c r="BU4359" s="261"/>
      <c r="BV4359" s="261"/>
    </row>
    <row r="4360" spans="12:74">
      <c r="L4360" s="261"/>
      <c r="M4360" s="261"/>
      <c r="N4360" s="261"/>
      <c r="O4360" s="261"/>
      <c r="P4360" s="261"/>
      <c r="Q4360" s="261"/>
      <c r="BR4360" s="261"/>
      <c r="BS4360" s="261"/>
      <c r="BT4360" s="261"/>
      <c r="BU4360" s="261"/>
      <c r="BV4360" s="261"/>
    </row>
    <row r="4361" spans="12:74">
      <c r="L4361" s="261"/>
      <c r="M4361" s="261"/>
      <c r="N4361" s="261"/>
      <c r="O4361" s="261"/>
      <c r="P4361" s="261"/>
      <c r="Q4361" s="261"/>
      <c r="BR4361" s="261"/>
      <c r="BS4361" s="261"/>
      <c r="BT4361" s="261"/>
      <c r="BU4361" s="261"/>
      <c r="BV4361" s="261"/>
    </row>
    <row r="4362" spans="12:74">
      <c r="L4362" s="261"/>
      <c r="M4362" s="261"/>
      <c r="N4362" s="261"/>
      <c r="O4362" s="261"/>
      <c r="P4362" s="261"/>
      <c r="Q4362" s="261"/>
      <c r="BR4362" s="261"/>
      <c r="BS4362" s="261"/>
      <c r="BT4362" s="261"/>
      <c r="BU4362" s="261"/>
      <c r="BV4362" s="261"/>
    </row>
    <row r="4363" spans="12:74">
      <c r="L4363" s="261"/>
      <c r="M4363" s="261"/>
      <c r="N4363" s="261"/>
      <c r="O4363" s="261"/>
      <c r="P4363" s="261"/>
      <c r="Q4363" s="261"/>
      <c r="BR4363" s="261"/>
      <c r="BS4363" s="261"/>
      <c r="BT4363" s="261"/>
      <c r="BU4363" s="261"/>
      <c r="BV4363" s="261"/>
    </row>
    <row r="4364" spans="12:74">
      <c r="L4364" s="261"/>
      <c r="M4364" s="261"/>
      <c r="N4364" s="261"/>
      <c r="O4364" s="261"/>
      <c r="P4364" s="261"/>
      <c r="Q4364" s="261"/>
      <c r="BR4364" s="261"/>
      <c r="BS4364" s="261"/>
      <c r="BT4364" s="261"/>
      <c r="BU4364" s="261"/>
      <c r="BV4364" s="261"/>
    </row>
    <row r="4365" spans="12:74">
      <c r="L4365" s="261"/>
      <c r="M4365" s="261"/>
      <c r="N4365" s="261"/>
      <c r="O4365" s="261"/>
      <c r="P4365" s="261"/>
      <c r="Q4365" s="261"/>
      <c r="BR4365" s="261"/>
      <c r="BS4365" s="261"/>
      <c r="BT4365" s="261"/>
      <c r="BU4365" s="261"/>
      <c r="BV4365" s="261"/>
    </row>
    <row r="4366" spans="12:74">
      <c r="L4366" s="261"/>
      <c r="M4366" s="261"/>
      <c r="N4366" s="261"/>
      <c r="O4366" s="261"/>
      <c r="P4366" s="261"/>
      <c r="Q4366" s="261"/>
      <c r="BR4366" s="261"/>
      <c r="BS4366" s="261"/>
      <c r="BT4366" s="261"/>
      <c r="BU4366" s="261"/>
      <c r="BV4366" s="261"/>
    </row>
    <row r="4367" spans="12:74">
      <c r="L4367" s="261"/>
      <c r="M4367" s="261"/>
      <c r="N4367" s="261"/>
      <c r="O4367" s="261"/>
      <c r="P4367" s="261"/>
      <c r="Q4367" s="261"/>
      <c r="BR4367" s="261"/>
      <c r="BS4367" s="261"/>
      <c r="BT4367" s="261"/>
      <c r="BU4367" s="261"/>
      <c r="BV4367" s="261"/>
    </row>
    <row r="4368" spans="12:74">
      <c r="L4368" s="261"/>
      <c r="M4368" s="261"/>
      <c r="N4368" s="261"/>
      <c r="O4368" s="261"/>
      <c r="P4368" s="261"/>
      <c r="Q4368" s="261"/>
      <c r="BR4368" s="261"/>
      <c r="BS4368" s="261"/>
      <c r="BT4368" s="261"/>
      <c r="BU4368" s="261"/>
      <c r="BV4368" s="261"/>
    </row>
    <row r="4369" spans="12:74">
      <c r="L4369" s="261"/>
      <c r="M4369" s="261"/>
      <c r="N4369" s="261"/>
      <c r="O4369" s="261"/>
      <c r="P4369" s="261"/>
      <c r="Q4369" s="261"/>
      <c r="BR4369" s="261"/>
      <c r="BS4369" s="261"/>
      <c r="BT4369" s="261"/>
      <c r="BU4369" s="261"/>
      <c r="BV4369" s="261"/>
    </row>
    <row r="4370" spans="12:74">
      <c r="L4370" s="261"/>
      <c r="M4370" s="261"/>
      <c r="N4370" s="261"/>
      <c r="O4370" s="261"/>
      <c r="P4370" s="261"/>
      <c r="Q4370" s="261"/>
      <c r="BR4370" s="261"/>
      <c r="BS4370" s="261"/>
      <c r="BT4370" s="261"/>
      <c r="BU4370" s="261"/>
      <c r="BV4370" s="261"/>
    </row>
    <row r="4371" spans="12:74">
      <c r="L4371" s="261"/>
      <c r="M4371" s="261"/>
      <c r="N4371" s="261"/>
      <c r="O4371" s="261"/>
      <c r="P4371" s="261"/>
      <c r="Q4371" s="261"/>
      <c r="BR4371" s="261"/>
      <c r="BS4371" s="261"/>
      <c r="BT4371" s="261"/>
      <c r="BU4371" s="261"/>
      <c r="BV4371" s="261"/>
    </row>
    <row r="4372" spans="12:74">
      <c r="L4372" s="261"/>
      <c r="M4372" s="261"/>
      <c r="N4372" s="261"/>
      <c r="O4372" s="261"/>
      <c r="P4372" s="261"/>
      <c r="Q4372" s="261"/>
      <c r="BR4372" s="261"/>
      <c r="BS4372" s="261"/>
      <c r="BT4372" s="261"/>
      <c r="BU4372" s="261"/>
      <c r="BV4372" s="261"/>
    </row>
    <row r="4373" spans="12:74">
      <c r="L4373" s="261"/>
      <c r="M4373" s="261"/>
      <c r="N4373" s="261"/>
      <c r="O4373" s="261"/>
      <c r="P4373" s="261"/>
      <c r="Q4373" s="261"/>
      <c r="BR4373" s="261"/>
      <c r="BS4373" s="261"/>
      <c r="BT4373" s="261"/>
      <c r="BU4373" s="261"/>
      <c r="BV4373" s="261"/>
    </row>
    <row r="4374" spans="12:74">
      <c r="L4374" s="261"/>
      <c r="M4374" s="261"/>
      <c r="N4374" s="261"/>
      <c r="O4374" s="261"/>
      <c r="P4374" s="261"/>
      <c r="Q4374" s="261"/>
      <c r="BR4374" s="261"/>
      <c r="BS4374" s="261"/>
      <c r="BT4374" s="261"/>
      <c r="BU4374" s="261"/>
      <c r="BV4374" s="261"/>
    </row>
    <row r="4375" spans="12:74">
      <c r="L4375" s="261"/>
      <c r="M4375" s="261"/>
      <c r="N4375" s="261"/>
      <c r="O4375" s="261"/>
      <c r="P4375" s="261"/>
      <c r="Q4375" s="261"/>
      <c r="BR4375" s="261"/>
      <c r="BS4375" s="261"/>
      <c r="BT4375" s="261"/>
      <c r="BU4375" s="261"/>
      <c r="BV4375" s="261"/>
    </row>
    <row r="4376" spans="12:74">
      <c r="L4376" s="261"/>
      <c r="M4376" s="261"/>
      <c r="N4376" s="261"/>
      <c r="O4376" s="261"/>
      <c r="P4376" s="261"/>
      <c r="Q4376" s="261"/>
      <c r="BR4376" s="261"/>
      <c r="BS4376" s="261"/>
      <c r="BT4376" s="261"/>
      <c r="BU4376" s="261"/>
      <c r="BV4376" s="261"/>
    </row>
    <row r="4377" spans="12:74">
      <c r="L4377" s="261"/>
      <c r="M4377" s="261"/>
      <c r="N4377" s="261"/>
      <c r="O4377" s="261"/>
      <c r="P4377" s="261"/>
      <c r="Q4377" s="261"/>
      <c r="BR4377" s="261"/>
      <c r="BS4377" s="261"/>
      <c r="BT4377" s="261"/>
      <c r="BU4377" s="261"/>
      <c r="BV4377" s="261"/>
    </row>
    <row r="4378" spans="12:74">
      <c r="L4378" s="261"/>
      <c r="M4378" s="261"/>
      <c r="N4378" s="261"/>
      <c r="O4378" s="261"/>
      <c r="P4378" s="261"/>
      <c r="Q4378" s="261"/>
      <c r="BR4378" s="261"/>
      <c r="BS4378" s="261"/>
      <c r="BT4378" s="261"/>
      <c r="BU4378" s="261"/>
      <c r="BV4378" s="261"/>
    </row>
    <row r="4379" spans="12:74">
      <c r="L4379" s="261"/>
      <c r="M4379" s="261"/>
      <c r="N4379" s="261"/>
      <c r="O4379" s="261"/>
      <c r="P4379" s="261"/>
      <c r="Q4379" s="261"/>
      <c r="BR4379" s="261"/>
      <c r="BS4379" s="261"/>
      <c r="BT4379" s="261"/>
      <c r="BU4379" s="261"/>
      <c r="BV4379" s="261"/>
    </row>
    <row r="4380" spans="12:74">
      <c r="L4380" s="261"/>
      <c r="M4380" s="261"/>
      <c r="N4380" s="261"/>
      <c r="O4380" s="261"/>
      <c r="P4380" s="261"/>
      <c r="Q4380" s="261"/>
      <c r="BR4380" s="261"/>
      <c r="BS4380" s="261"/>
      <c r="BT4380" s="261"/>
      <c r="BU4380" s="261"/>
      <c r="BV4380" s="261"/>
    </row>
    <row r="4381" spans="12:74">
      <c r="L4381" s="261"/>
      <c r="M4381" s="261"/>
      <c r="N4381" s="261"/>
      <c r="O4381" s="261"/>
      <c r="P4381" s="261"/>
      <c r="Q4381" s="261"/>
      <c r="BR4381" s="261"/>
      <c r="BS4381" s="261"/>
      <c r="BT4381" s="261"/>
      <c r="BU4381" s="261"/>
      <c r="BV4381" s="261"/>
    </row>
    <row r="4382" spans="12:74">
      <c r="L4382" s="261"/>
      <c r="M4382" s="261"/>
      <c r="N4382" s="261"/>
      <c r="O4382" s="261"/>
      <c r="P4382" s="261"/>
      <c r="Q4382" s="261"/>
      <c r="BR4382" s="261"/>
      <c r="BS4382" s="261"/>
      <c r="BT4382" s="261"/>
      <c r="BU4382" s="261"/>
      <c r="BV4382" s="261"/>
    </row>
    <row r="4383" spans="12:74">
      <c r="L4383" s="261"/>
      <c r="M4383" s="261"/>
      <c r="N4383" s="261"/>
      <c r="O4383" s="261"/>
      <c r="P4383" s="261"/>
      <c r="Q4383" s="261"/>
      <c r="BR4383" s="261"/>
      <c r="BS4383" s="261"/>
      <c r="BT4383" s="261"/>
      <c r="BU4383" s="261"/>
      <c r="BV4383" s="261"/>
    </row>
    <row r="4384" spans="12:74">
      <c r="L4384" s="261"/>
      <c r="M4384" s="261"/>
      <c r="N4384" s="261"/>
      <c r="O4384" s="261"/>
      <c r="P4384" s="261"/>
      <c r="Q4384" s="261"/>
      <c r="BR4384" s="261"/>
      <c r="BS4384" s="261"/>
      <c r="BT4384" s="261"/>
      <c r="BU4384" s="261"/>
      <c r="BV4384" s="261"/>
    </row>
    <row r="4385" spans="12:74">
      <c r="L4385" s="261"/>
      <c r="M4385" s="261"/>
      <c r="N4385" s="261"/>
      <c r="O4385" s="261"/>
      <c r="P4385" s="261"/>
      <c r="Q4385" s="261"/>
      <c r="BR4385" s="261"/>
      <c r="BS4385" s="261"/>
      <c r="BT4385" s="261"/>
      <c r="BU4385" s="261"/>
      <c r="BV4385" s="261"/>
    </row>
    <row r="4386" spans="12:74">
      <c r="L4386" s="261"/>
      <c r="M4386" s="261"/>
      <c r="N4386" s="261"/>
      <c r="O4386" s="261"/>
      <c r="P4386" s="261"/>
      <c r="Q4386" s="261"/>
      <c r="BR4386" s="261"/>
      <c r="BS4386" s="261"/>
      <c r="BT4386" s="261"/>
      <c r="BU4386" s="261"/>
      <c r="BV4386" s="261"/>
    </row>
    <row r="4387" spans="12:74">
      <c r="L4387" s="261"/>
      <c r="M4387" s="261"/>
      <c r="N4387" s="261"/>
      <c r="O4387" s="261"/>
      <c r="P4387" s="261"/>
      <c r="Q4387" s="261"/>
      <c r="BR4387" s="261"/>
      <c r="BS4387" s="261"/>
      <c r="BT4387" s="261"/>
      <c r="BU4387" s="261"/>
      <c r="BV4387" s="261"/>
    </row>
    <row r="4388" spans="12:74">
      <c r="L4388" s="261"/>
      <c r="M4388" s="261"/>
      <c r="N4388" s="261"/>
      <c r="O4388" s="261"/>
      <c r="P4388" s="261"/>
      <c r="Q4388" s="261"/>
      <c r="BR4388" s="261"/>
      <c r="BS4388" s="261"/>
      <c r="BT4388" s="261"/>
      <c r="BU4388" s="261"/>
      <c r="BV4388" s="261"/>
    </row>
    <row r="4389" spans="12:74">
      <c r="L4389" s="261"/>
      <c r="M4389" s="261"/>
      <c r="N4389" s="261"/>
      <c r="O4389" s="261"/>
      <c r="P4389" s="261"/>
      <c r="Q4389" s="261"/>
      <c r="BR4389" s="261"/>
      <c r="BS4389" s="261"/>
      <c r="BT4389" s="261"/>
      <c r="BU4389" s="261"/>
      <c r="BV4389" s="261"/>
    </row>
    <row r="4390" spans="12:74">
      <c r="L4390" s="261"/>
      <c r="M4390" s="261"/>
      <c r="N4390" s="261"/>
      <c r="O4390" s="261"/>
      <c r="P4390" s="261"/>
      <c r="Q4390" s="261"/>
      <c r="BR4390" s="261"/>
      <c r="BS4390" s="261"/>
      <c r="BT4390" s="261"/>
      <c r="BU4390" s="261"/>
      <c r="BV4390" s="261"/>
    </row>
    <row r="4391" spans="12:74">
      <c r="L4391" s="261"/>
      <c r="M4391" s="261"/>
      <c r="N4391" s="261"/>
      <c r="O4391" s="261"/>
      <c r="P4391" s="261"/>
      <c r="Q4391" s="261"/>
      <c r="BR4391" s="261"/>
      <c r="BS4391" s="261"/>
      <c r="BT4391" s="261"/>
      <c r="BU4391" s="261"/>
      <c r="BV4391" s="261"/>
    </row>
    <row r="4392" spans="12:74">
      <c r="L4392" s="261"/>
      <c r="M4392" s="261"/>
      <c r="N4392" s="261"/>
      <c r="O4392" s="261"/>
      <c r="P4392" s="261"/>
      <c r="Q4392" s="261"/>
      <c r="BR4392" s="261"/>
      <c r="BS4392" s="261"/>
      <c r="BT4392" s="261"/>
      <c r="BU4392" s="261"/>
      <c r="BV4392" s="261"/>
    </row>
    <row r="4393" spans="12:74">
      <c r="L4393" s="261"/>
      <c r="M4393" s="261"/>
      <c r="N4393" s="261"/>
      <c r="O4393" s="261"/>
      <c r="P4393" s="261"/>
      <c r="Q4393" s="261"/>
      <c r="BR4393" s="261"/>
      <c r="BS4393" s="261"/>
      <c r="BT4393" s="261"/>
      <c r="BU4393" s="261"/>
      <c r="BV4393" s="261"/>
    </row>
    <row r="4394" spans="12:74">
      <c r="L4394" s="261"/>
      <c r="M4394" s="261"/>
      <c r="N4394" s="261"/>
      <c r="O4394" s="261"/>
      <c r="P4394" s="261"/>
      <c r="Q4394" s="261"/>
      <c r="BR4394" s="261"/>
      <c r="BS4394" s="261"/>
      <c r="BT4394" s="261"/>
      <c r="BU4394" s="261"/>
      <c r="BV4394" s="261"/>
    </row>
    <row r="4395" spans="12:74">
      <c r="L4395" s="261"/>
      <c r="M4395" s="261"/>
      <c r="N4395" s="261"/>
      <c r="O4395" s="261"/>
      <c r="P4395" s="261"/>
      <c r="Q4395" s="261"/>
      <c r="BR4395" s="261"/>
      <c r="BS4395" s="261"/>
      <c r="BT4395" s="261"/>
      <c r="BU4395" s="261"/>
      <c r="BV4395" s="261"/>
    </row>
    <row r="4396" spans="12:74">
      <c r="L4396" s="261"/>
      <c r="M4396" s="261"/>
      <c r="N4396" s="261"/>
      <c r="O4396" s="261"/>
      <c r="P4396" s="261"/>
      <c r="Q4396" s="261"/>
      <c r="BR4396" s="261"/>
      <c r="BS4396" s="261"/>
      <c r="BT4396" s="261"/>
      <c r="BU4396" s="261"/>
      <c r="BV4396" s="261"/>
    </row>
    <row r="4397" spans="12:74">
      <c r="L4397" s="261"/>
      <c r="M4397" s="261"/>
      <c r="N4397" s="261"/>
      <c r="O4397" s="261"/>
      <c r="P4397" s="261"/>
      <c r="Q4397" s="261"/>
      <c r="BR4397" s="261"/>
      <c r="BS4397" s="261"/>
      <c r="BT4397" s="261"/>
      <c r="BU4397" s="261"/>
      <c r="BV4397" s="261"/>
    </row>
    <row r="4398" spans="12:74">
      <c r="L4398" s="261"/>
      <c r="M4398" s="261"/>
      <c r="N4398" s="261"/>
      <c r="O4398" s="261"/>
      <c r="P4398" s="261"/>
      <c r="Q4398" s="261"/>
      <c r="BR4398" s="261"/>
      <c r="BS4398" s="261"/>
      <c r="BT4398" s="261"/>
      <c r="BU4398" s="261"/>
      <c r="BV4398" s="261"/>
    </row>
    <row r="4399" spans="12:74">
      <c r="L4399" s="261"/>
      <c r="M4399" s="261"/>
      <c r="N4399" s="261"/>
      <c r="O4399" s="261"/>
      <c r="P4399" s="261"/>
      <c r="Q4399" s="261"/>
      <c r="BR4399" s="261"/>
      <c r="BS4399" s="261"/>
      <c r="BT4399" s="261"/>
      <c r="BU4399" s="261"/>
      <c r="BV4399" s="261"/>
    </row>
    <row r="4400" spans="12:74">
      <c r="L4400" s="261"/>
      <c r="M4400" s="261"/>
      <c r="N4400" s="261"/>
      <c r="O4400" s="261"/>
      <c r="P4400" s="261"/>
      <c r="Q4400" s="261"/>
      <c r="BR4400" s="261"/>
      <c r="BS4400" s="261"/>
      <c r="BT4400" s="261"/>
      <c r="BU4400" s="261"/>
      <c r="BV4400" s="261"/>
    </row>
    <row r="4401" spans="12:74">
      <c r="L4401" s="261"/>
      <c r="M4401" s="261"/>
      <c r="N4401" s="261"/>
      <c r="O4401" s="261"/>
      <c r="P4401" s="261"/>
      <c r="Q4401" s="261"/>
      <c r="BR4401" s="261"/>
      <c r="BS4401" s="261"/>
      <c r="BT4401" s="261"/>
      <c r="BU4401" s="261"/>
      <c r="BV4401" s="261"/>
    </row>
    <row r="4402" spans="12:74">
      <c r="L4402" s="261"/>
      <c r="M4402" s="261"/>
      <c r="N4402" s="261"/>
      <c r="O4402" s="261"/>
      <c r="P4402" s="261"/>
      <c r="Q4402" s="261"/>
      <c r="BR4402" s="261"/>
      <c r="BS4402" s="261"/>
      <c r="BT4402" s="261"/>
      <c r="BU4402" s="261"/>
      <c r="BV4402" s="261"/>
    </row>
    <row r="4403" spans="12:74">
      <c r="L4403" s="261"/>
      <c r="M4403" s="261"/>
      <c r="N4403" s="261"/>
      <c r="O4403" s="261"/>
      <c r="P4403" s="261"/>
      <c r="Q4403" s="261"/>
      <c r="BR4403" s="261"/>
      <c r="BS4403" s="261"/>
      <c r="BT4403" s="261"/>
      <c r="BU4403" s="261"/>
      <c r="BV4403" s="261"/>
    </row>
    <row r="4404" spans="12:74">
      <c r="L4404" s="261"/>
      <c r="M4404" s="261"/>
      <c r="N4404" s="261"/>
      <c r="O4404" s="261"/>
      <c r="P4404" s="261"/>
      <c r="Q4404" s="261"/>
      <c r="BR4404" s="261"/>
      <c r="BS4404" s="261"/>
      <c r="BT4404" s="261"/>
      <c r="BU4404" s="261"/>
      <c r="BV4404" s="261"/>
    </row>
    <row r="4405" spans="12:74">
      <c r="L4405" s="261"/>
      <c r="M4405" s="261"/>
      <c r="N4405" s="261"/>
      <c r="O4405" s="261"/>
      <c r="P4405" s="261"/>
      <c r="Q4405" s="261"/>
      <c r="BR4405" s="261"/>
      <c r="BS4405" s="261"/>
      <c r="BT4405" s="261"/>
      <c r="BU4405" s="261"/>
      <c r="BV4405" s="261"/>
    </row>
    <row r="4406" spans="12:74">
      <c r="L4406" s="261"/>
      <c r="M4406" s="261"/>
      <c r="N4406" s="261"/>
      <c r="O4406" s="261"/>
      <c r="P4406" s="261"/>
      <c r="Q4406" s="261"/>
      <c r="BR4406" s="261"/>
      <c r="BS4406" s="261"/>
      <c r="BT4406" s="261"/>
      <c r="BU4406" s="261"/>
      <c r="BV4406" s="261"/>
    </row>
    <row r="4407" spans="12:74">
      <c r="L4407" s="261"/>
      <c r="M4407" s="261"/>
      <c r="N4407" s="261"/>
      <c r="O4407" s="261"/>
      <c r="P4407" s="261"/>
      <c r="Q4407" s="261"/>
      <c r="BR4407" s="261"/>
      <c r="BS4407" s="261"/>
      <c r="BT4407" s="261"/>
      <c r="BU4407" s="261"/>
      <c r="BV4407" s="261"/>
    </row>
    <row r="4408" spans="12:74">
      <c r="L4408" s="261"/>
      <c r="M4408" s="261"/>
      <c r="N4408" s="261"/>
      <c r="O4408" s="261"/>
      <c r="P4408" s="261"/>
      <c r="Q4408" s="261"/>
      <c r="BR4408" s="261"/>
      <c r="BS4408" s="261"/>
      <c r="BT4408" s="261"/>
      <c r="BU4408" s="261"/>
      <c r="BV4408" s="261"/>
    </row>
    <row r="4409" spans="12:74">
      <c r="L4409" s="261"/>
      <c r="M4409" s="261"/>
      <c r="N4409" s="261"/>
      <c r="O4409" s="261"/>
      <c r="P4409" s="261"/>
      <c r="Q4409" s="261"/>
      <c r="BR4409" s="261"/>
      <c r="BS4409" s="261"/>
      <c r="BT4409" s="261"/>
      <c r="BU4409" s="261"/>
      <c r="BV4409" s="261"/>
    </row>
    <row r="4410" spans="12:74">
      <c r="L4410" s="261"/>
      <c r="M4410" s="261"/>
      <c r="N4410" s="261"/>
      <c r="O4410" s="261"/>
      <c r="P4410" s="261"/>
      <c r="Q4410" s="261"/>
      <c r="BR4410" s="261"/>
      <c r="BS4410" s="261"/>
      <c r="BT4410" s="261"/>
      <c r="BU4410" s="261"/>
      <c r="BV4410" s="261"/>
    </row>
    <row r="4411" spans="12:74">
      <c r="L4411" s="261"/>
      <c r="M4411" s="261"/>
      <c r="N4411" s="261"/>
      <c r="O4411" s="261"/>
      <c r="P4411" s="261"/>
      <c r="Q4411" s="261"/>
      <c r="BR4411" s="261"/>
      <c r="BS4411" s="261"/>
      <c r="BT4411" s="261"/>
      <c r="BU4411" s="261"/>
      <c r="BV4411" s="261"/>
    </row>
    <row r="4412" spans="12:74">
      <c r="L4412" s="261"/>
      <c r="M4412" s="261"/>
      <c r="N4412" s="261"/>
      <c r="O4412" s="261"/>
      <c r="P4412" s="261"/>
      <c r="Q4412" s="261"/>
      <c r="BR4412" s="261"/>
      <c r="BS4412" s="261"/>
      <c r="BT4412" s="261"/>
      <c r="BU4412" s="261"/>
      <c r="BV4412" s="261"/>
    </row>
    <row r="4413" spans="12:74">
      <c r="L4413" s="261"/>
      <c r="M4413" s="261"/>
      <c r="N4413" s="261"/>
      <c r="O4413" s="261"/>
      <c r="P4413" s="261"/>
      <c r="Q4413" s="261"/>
      <c r="BR4413" s="261"/>
      <c r="BS4413" s="261"/>
      <c r="BT4413" s="261"/>
      <c r="BU4413" s="261"/>
      <c r="BV4413" s="261"/>
    </row>
    <row r="4414" spans="12:74">
      <c r="L4414" s="261"/>
      <c r="M4414" s="261"/>
      <c r="N4414" s="261"/>
      <c r="O4414" s="261"/>
      <c r="P4414" s="261"/>
      <c r="Q4414" s="261"/>
      <c r="BR4414" s="261"/>
      <c r="BS4414" s="261"/>
      <c r="BT4414" s="261"/>
      <c r="BU4414" s="261"/>
      <c r="BV4414" s="261"/>
    </row>
    <row r="4415" spans="12:74">
      <c r="L4415" s="261"/>
      <c r="M4415" s="261"/>
      <c r="N4415" s="261"/>
      <c r="O4415" s="261"/>
      <c r="P4415" s="261"/>
      <c r="Q4415" s="261"/>
      <c r="BR4415" s="261"/>
      <c r="BS4415" s="261"/>
      <c r="BT4415" s="261"/>
      <c r="BU4415" s="261"/>
      <c r="BV4415" s="261"/>
    </row>
    <row r="4416" spans="12:74">
      <c r="L4416" s="261"/>
      <c r="M4416" s="261"/>
      <c r="N4416" s="261"/>
      <c r="O4416" s="261"/>
      <c r="P4416" s="261"/>
      <c r="Q4416" s="261"/>
      <c r="BR4416" s="261"/>
      <c r="BS4416" s="261"/>
      <c r="BT4416" s="261"/>
      <c r="BU4416" s="261"/>
      <c r="BV4416" s="261"/>
    </row>
    <row r="4417" spans="12:74">
      <c r="L4417" s="261"/>
      <c r="M4417" s="261"/>
      <c r="N4417" s="261"/>
      <c r="O4417" s="261"/>
      <c r="P4417" s="261"/>
      <c r="Q4417" s="261"/>
      <c r="BR4417" s="261"/>
      <c r="BS4417" s="261"/>
      <c r="BT4417" s="261"/>
      <c r="BU4417" s="261"/>
      <c r="BV4417" s="261"/>
    </row>
    <row r="4418" spans="12:74">
      <c r="L4418" s="261"/>
      <c r="M4418" s="261"/>
      <c r="N4418" s="261"/>
      <c r="O4418" s="261"/>
      <c r="P4418" s="261"/>
      <c r="Q4418" s="261"/>
      <c r="BR4418" s="261"/>
      <c r="BS4418" s="261"/>
      <c r="BT4418" s="261"/>
      <c r="BU4418" s="261"/>
      <c r="BV4418" s="261"/>
    </row>
    <row r="4419" spans="12:74">
      <c r="L4419" s="261"/>
      <c r="M4419" s="261"/>
      <c r="N4419" s="261"/>
      <c r="O4419" s="261"/>
      <c r="P4419" s="261"/>
      <c r="Q4419" s="261"/>
      <c r="BR4419" s="261"/>
      <c r="BS4419" s="261"/>
      <c r="BT4419" s="261"/>
      <c r="BU4419" s="261"/>
      <c r="BV4419" s="261"/>
    </row>
    <row r="4420" spans="12:74">
      <c r="L4420" s="261"/>
      <c r="M4420" s="261"/>
      <c r="N4420" s="261"/>
      <c r="O4420" s="261"/>
      <c r="P4420" s="261"/>
      <c r="Q4420" s="261"/>
      <c r="BR4420" s="261"/>
      <c r="BS4420" s="261"/>
      <c r="BT4420" s="261"/>
      <c r="BU4420" s="261"/>
      <c r="BV4420" s="261"/>
    </row>
    <row r="4421" spans="12:74">
      <c r="L4421" s="261"/>
      <c r="M4421" s="261"/>
      <c r="N4421" s="261"/>
      <c r="O4421" s="261"/>
      <c r="P4421" s="261"/>
      <c r="Q4421" s="261"/>
      <c r="BR4421" s="261"/>
      <c r="BS4421" s="261"/>
      <c r="BT4421" s="261"/>
      <c r="BU4421" s="261"/>
      <c r="BV4421" s="261"/>
    </row>
    <row r="4422" spans="12:74">
      <c r="L4422" s="261"/>
      <c r="M4422" s="261"/>
      <c r="N4422" s="261"/>
      <c r="O4422" s="261"/>
      <c r="P4422" s="261"/>
      <c r="Q4422" s="261"/>
      <c r="BR4422" s="261"/>
      <c r="BS4422" s="261"/>
      <c r="BT4422" s="261"/>
      <c r="BU4422" s="261"/>
      <c r="BV4422" s="261"/>
    </row>
    <row r="4423" spans="12:74">
      <c r="L4423" s="261"/>
      <c r="M4423" s="261"/>
      <c r="N4423" s="261"/>
      <c r="O4423" s="261"/>
      <c r="P4423" s="261"/>
      <c r="Q4423" s="261"/>
      <c r="BR4423" s="261"/>
      <c r="BS4423" s="261"/>
      <c r="BT4423" s="261"/>
      <c r="BU4423" s="261"/>
      <c r="BV4423" s="261"/>
    </row>
    <row r="4424" spans="12:74">
      <c r="L4424" s="261"/>
      <c r="M4424" s="261"/>
      <c r="N4424" s="261"/>
      <c r="O4424" s="261"/>
      <c r="P4424" s="261"/>
      <c r="Q4424" s="261"/>
      <c r="BR4424" s="261"/>
      <c r="BS4424" s="261"/>
      <c r="BT4424" s="261"/>
      <c r="BU4424" s="261"/>
      <c r="BV4424" s="261"/>
    </row>
    <row r="4425" spans="12:74">
      <c r="L4425" s="261"/>
      <c r="M4425" s="261"/>
      <c r="N4425" s="261"/>
      <c r="O4425" s="261"/>
      <c r="P4425" s="261"/>
      <c r="Q4425" s="261"/>
      <c r="BR4425" s="261"/>
      <c r="BS4425" s="261"/>
      <c r="BT4425" s="261"/>
      <c r="BU4425" s="261"/>
      <c r="BV4425" s="261"/>
    </row>
    <row r="4426" spans="12:74">
      <c r="L4426" s="261"/>
      <c r="M4426" s="261"/>
      <c r="N4426" s="261"/>
      <c r="O4426" s="261"/>
      <c r="P4426" s="261"/>
      <c r="Q4426" s="261"/>
      <c r="BR4426" s="261"/>
      <c r="BS4426" s="261"/>
      <c r="BT4426" s="261"/>
      <c r="BU4426" s="261"/>
      <c r="BV4426" s="261"/>
    </row>
    <row r="4427" spans="12:74">
      <c r="L4427" s="261"/>
      <c r="M4427" s="261"/>
      <c r="N4427" s="261"/>
      <c r="O4427" s="261"/>
      <c r="P4427" s="261"/>
      <c r="Q4427" s="261"/>
      <c r="BR4427" s="261"/>
      <c r="BS4427" s="261"/>
      <c r="BT4427" s="261"/>
      <c r="BU4427" s="261"/>
      <c r="BV4427" s="261"/>
    </row>
    <row r="4428" spans="12:74">
      <c r="L4428" s="261"/>
      <c r="M4428" s="261"/>
      <c r="N4428" s="261"/>
      <c r="O4428" s="261"/>
      <c r="P4428" s="261"/>
      <c r="Q4428" s="261"/>
      <c r="BR4428" s="261"/>
      <c r="BS4428" s="261"/>
      <c r="BT4428" s="261"/>
      <c r="BU4428" s="261"/>
      <c r="BV4428" s="261"/>
    </row>
    <row r="4429" spans="12:74">
      <c r="L4429" s="261"/>
      <c r="M4429" s="261"/>
      <c r="N4429" s="261"/>
      <c r="O4429" s="261"/>
      <c r="P4429" s="261"/>
      <c r="Q4429" s="261"/>
      <c r="BR4429" s="261"/>
      <c r="BS4429" s="261"/>
      <c r="BT4429" s="261"/>
      <c r="BU4429" s="261"/>
      <c r="BV4429" s="261"/>
    </row>
    <row r="4430" spans="12:74">
      <c r="L4430" s="261"/>
      <c r="M4430" s="261"/>
      <c r="N4430" s="261"/>
      <c r="O4430" s="261"/>
      <c r="P4430" s="261"/>
      <c r="Q4430" s="261"/>
      <c r="BR4430" s="261"/>
      <c r="BS4430" s="261"/>
      <c r="BT4430" s="261"/>
      <c r="BU4430" s="261"/>
      <c r="BV4430" s="261"/>
    </row>
    <row r="4431" spans="12:74">
      <c r="L4431" s="261"/>
      <c r="M4431" s="261"/>
      <c r="N4431" s="261"/>
      <c r="O4431" s="261"/>
      <c r="P4431" s="261"/>
      <c r="Q4431" s="261"/>
      <c r="BR4431" s="261"/>
      <c r="BS4431" s="261"/>
      <c r="BT4431" s="261"/>
      <c r="BU4431" s="261"/>
      <c r="BV4431" s="261"/>
    </row>
    <row r="4432" spans="12:74">
      <c r="L4432" s="261"/>
      <c r="M4432" s="261"/>
      <c r="N4432" s="261"/>
      <c r="O4432" s="261"/>
      <c r="P4432" s="261"/>
      <c r="Q4432" s="261"/>
      <c r="BR4432" s="261"/>
      <c r="BS4432" s="261"/>
      <c r="BT4432" s="261"/>
      <c r="BU4432" s="261"/>
      <c r="BV4432" s="261"/>
    </row>
    <row r="4433" spans="12:74">
      <c r="L4433" s="261"/>
      <c r="M4433" s="261"/>
      <c r="N4433" s="261"/>
      <c r="O4433" s="261"/>
      <c r="P4433" s="261"/>
      <c r="Q4433" s="261"/>
      <c r="BR4433" s="261"/>
      <c r="BS4433" s="261"/>
      <c r="BT4433" s="261"/>
      <c r="BU4433" s="261"/>
      <c r="BV4433" s="261"/>
    </row>
    <row r="4434" spans="12:74">
      <c r="L4434" s="261"/>
      <c r="M4434" s="261"/>
      <c r="N4434" s="261"/>
      <c r="O4434" s="261"/>
      <c r="P4434" s="261"/>
      <c r="Q4434" s="261"/>
      <c r="BR4434" s="261"/>
      <c r="BS4434" s="261"/>
      <c r="BT4434" s="261"/>
      <c r="BU4434" s="261"/>
      <c r="BV4434" s="261"/>
    </row>
    <row r="4435" spans="12:74">
      <c r="L4435" s="261"/>
      <c r="M4435" s="261"/>
      <c r="N4435" s="261"/>
      <c r="O4435" s="261"/>
      <c r="P4435" s="261"/>
      <c r="Q4435" s="261"/>
      <c r="BR4435" s="261"/>
      <c r="BS4435" s="261"/>
      <c r="BT4435" s="261"/>
      <c r="BU4435" s="261"/>
      <c r="BV4435" s="261"/>
    </row>
    <row r="4436" spans="12:74">
      <c r="L4436" s="261"/>
      <c r="M4436" s="261"/>
      <c r="N4436" s="261"/>
      <c r="O4436" s="261"/>
      <c r="P4436" s="261"/>
      <c r="Q4436" s="261"/>
      <c r="BR4436" s="261"/>
      <c r="BS4436" s="261"/>
      <c r="BT4436" s="261"/>
      <c r="BU4436" s="261"/>
      <c r="BV4436" s="261"/>
    </row>
    <row r="4437" spans="12:74">
      <c r="L4437" s="261"/>
      <c r="M4437" s="261"/>
      <c r="N4437" s="261"/>
      <c r="O4437" s="261"/>
      <c r="P4437" s="261"/>
      <c r="Q4437" s="261"/>
      <c r="BR4437" s="261"/>
      <c r="BS4437" s="261"/>
      <c r="BT4437" s="261"/>
      <c r="BU4437" s="261"/>
      <c r="BV4437" s="261"/>
    </row>
    <row r="4438" spans="12:74">
      <c r="L4438" s="261"/>
      <c r="M4438" s="261"/>
      <c r="N4438" s="261"/>
      <c r="O4438" s="261"/>
      <c r="P4438" s="261"/>
      <c r="Q4438" s="261"/>
      <c r="BR4438" s="261"/>
      <c r="BS4438" s="261"/>
      <c r="BT4438" s="261"/>
      <c r="BU4438" s="261"/>
      <c r="BV4438" s="261"/>
    </row>
    <row r="4439" spans="12:74">
      <c r="L4439" s="261"/>
      <c r="M4439" s="261"/>
      <c r="N4439" s="261"/>
      <c r="O4439" s="261"/>
      <c r="P4439" s="261"/>
      <c r="Q4439" s="261"/>
      <c r="BR4439" s="261"/>
      <c r="BS4439" s="261"/>
      <c r="BT4439" s="261"/>
      <c r="BU4439" s="261"/>
      <c r="BV4439" s="261"/>
    </row>
    <row r="4440" spans="12:74">
      <c r="L4440" s="261"/>
      <c r="M4440" s="261"/>
      <c r="N4440" s="261"/>
      <c r="O4440" s="261"/>
      <c r="P4440" s="261"/>
      <c r="Q4440" s="261"/>
      <c r="BR4440" s="261"/>
      <c r="BS4440" s="261"/>
      <c r="BT4440" s="261"/>
      <c r="BU4440" s="261"/>
      <c r="BV4440" s="261"/>
    </row>
    <row r="4441" spans="12:74">
      <c r="L4441" s="261"/>
      <c r="M4441" s="261"/>
      <c r="N4441" s="261"/>
      <c r="O4441" s="261"/>
      <c r="P4441" s="261"/>
      <c r="Q4441" s="261"/>
      <c r="BR4441" s="261"/>
      <c r="BS4441" s="261"/>
      <c r="BT4441" s="261"/>
      <c r="BU4441" s="261"/>
      <c r="BV4441" s="261"/>
    </row>
    <row r="4442" spans="12:74">
      <c r="L4442" s="261"/>
      <c r="M4442" s="261"/>
      <c r="N4442" s="261"/>
      <c r="O4442" s="261"/>
      <c r="P4442" s="261"/>
      <c r="Q4442" s="261"/>
      <c r="BR4442" s="261"/>
      <c r="BS4442" s="261"/>
      <c r="BT4442" s="261"/>
      <c r="BU4442" s="261"/>
      <c r="BV4442" s="261"/>
    </row>
    <row r="4443" spans="12:74">
      <c r="L4443" s="261"/>
      <c r="M4443" s="261"/>
      <c r="N4443" s="261"/>
      <c r="O4443" s="261"/>
      <c r="P4443" s="261"/>
      <c r="Q4443" s="261"/>
      <c r="BR4443" s="261"/>
      <c r="BS4443" s="261"/>
      <c r="BT4443" s="261"/>
      <c r="BU4443" s="261"/>
      <c r="BV4443" s="261"/>
    </row>
    <row r="4444" spans="12:74">
      <c r="L4444" s="261"/>
      <c r="M4444" s="261"/>
      <c r="N4444" s="261"/>
      <c r="O4444" s="261"/>
      <c r="P4444" s="261"/>
      <c r="Q4444" s="261"/>
      <c r="BR4444" s="261"/>
      <c r="BS4444" s="261"/>
      <c r="BT4444" s="261"/>
      <c r="BU4444" s="261"/>
      <c r="BV4444" s="261"/>
    </row>
    <row r="4445" spans="12:74">
      <c r="L4445" s="261"/>
      <c r="M4445" s="261"/>
      <c r="N4445" s="261"/>
      <c r="O4445" s="261"/>
      <c r="P4445" s="261"/>
      <c r="Q4445" s="261"/>
      <c r="BR4445" s="261"/>
      <c r="BS4445" s="261"/>
      <c r="BT4445" s="261"/>
      <c r="BU4445" s="261"/>
      <c r="BV4445" s="261"/>
    </row>
    <row r="4446" spans="12:74">
      <c r="L4446" s="261"/>
      <c r="M4446" s="261"/>
      <c r="N4446" s="261"/>
      <c r="O4446" s="261"/>
      <c r="P4446" s="261"/>
      <c r="Q4446" s="261"/>
      <c r="BR4446" s="261"/>
      <c r="BS4446" s="261"/>
      <c r="BT4446" s="261"/>
      <c r="BU4446" s="261"/>
      <c r="BV4446" s="261"/>
    </row>
    <row r="4447" spans="12:74">
      <c r="L4447" s="261"/>
      <c r="M4447" s="261"/>
      <c r="N4447" s="261"/>
      <c r="O4447" s="261"/>
      <c r="P4447" s="261"/>
      <c r="Q4447" s="261"/>
      <c r="BR4447" s="261"/>
      <c r="BS4447" s="261"/>
      <c r="BT4447" s="261"/>
      <c r="BU4447" s="261"/>
      <c r="BV4447" s="261"/>
    </row>
    <row r="4448" spans="12:74">
      <c r="L4448" s="261"/>
      <c r="M4448" s="261"/>
      <c r="N4448" s="261"/>
      <c r="O4448" s="261"/>
      <c r="P4448" s="261"/>
      <c r="Q4448" s="261"/>
      <c r="BR4448" s="261"/>
      <c r="BS4448" s="261"/>
      <c r="BT4448" s="261"/>
      <c r="BU4448" s="261"/>
      <c r="BV4448" s="261"/>
    </row>
    <row r="4449" spans="12:74">
      <c r="L4449" s="261"/>
      <c r="M4449" s="261"/>
      <c r="N4449" s="261"/>
      <c r="O4449" s="261"/>
      <c r="P4449" s="261"/>
      <c r="Q4449" s="261"/>
      <c r="BR4449" s="261"/>
      <c r="BS4449" s="261"/>
      <c r="BT4449" s="261"/>
      <c r="BU4449" s="261"/>
      <c r="BV4449" s="261"/>
    </row>
    <row r="4450" spans="12:74">
      <c r="L4450" s="261"/>
      <c r="M4450" s="261"/>
      <c r="N4450" s="261"/>
      <c r="O4450" s="261"/>
      <c r="P4450" s="261"/>
      <c r="Q4450" s="261"/>
      <c r="BR4450" s="261"/>
      <c r="BS4450" s="261"/>
      <c r="BT4450" s="261"/>
      <c r="BU4450" s="261"/>
      <c r="BV4450" s="261"/>
    </row>
    <row r="4451" spans="12:74">
      <c r="L4451" s="261"/>
      <c r="M4451" s="261"/>
      <c r="N4451" s="261"/>
      <c r="O4451" s="261"/>
      <c r="P4451" s="261"/>
      <c r="Q4451" s="261"/>
      <c r="BR4451" s="261"/>
      <c r="BS4451" s="261"/>
      <c r="BT4451" s="261"/>
      <c r="BU4451" s="261"/>
      <c r="BV4451" s="261"/>
    </row>
    <row r="4452" spans="12:74">
      <c r="L4452" s="261"/>
      <c r="M4452" s="261"/>
      <c r="N4452" s="261"/>
      <c r="O4452" s="261"/>
      <c r="P4452" s="261"/>
      <c r="Q4452" s="261"/>
      <c r="BR4452" s="261"/>
      <c r="BS4452" s="261"/>
      <c r="BT4452" s="261"/>
      <c r="BU4452" s="261"/>
      <c r="BV4452" s="261"/>
    </row>
    <row r="4453" spans="12:74">
      <c r="L4453" s="261"/>
      <c r="M4453" s="261"/>
      <c r="N4453" s="261"/>
      <c r="O4453" s="261"/>
      <c r="P4453" s="261"/>
      <c r="Q4453" s="261"/>
      <c r="BR4453" s="261"/>
      <c r="BS4453" s="261"/>
      <c r="BT4453" s="261"/>
      <c r="BU4453" s="261"/>
      <c r="BV4453" s="261"/>
    </row>
    <row r="4454" spans="12:74">
      <c r="L4454" s="261"/>
      <c r="M4454" s="261"/>
      <c r="N4454" s="261"/>
      <c r="O4454" s="261"/>
      <c r="P4454" s="261"/>
      <c r="Q4454" s="261"/>
      <c r="BR4454" s="261"/>
      <c r="BS4454" s="261"/>
      <c r="BT4454" s="261"/>
      <c r="BU4454" s="261"/>
      <c r="BV4454" s="261"/>
    </row>
    <row r="4455" spans="12:74">
      <c r="L4455" s="261"/>
      <c r="M4455" s="261"/>
      <c r="N4455" s="261"/>
      <c r="O4455" s="261"/>
      <c r="P4455" s="261"/>
      <c r="Q4455" s="261"/>
      <c r="BR4455" s="261"/>
      <c r="BS4455" s="261"/>
      <c r="BT4455" s="261"/>
      <c r="BU4455" s="261"/>
      <c r="BV4455" s="261"/>
    </row>
    <row r="4456" spans="12:74">
      <c r="L4456" s="261"/>
      <c r="M4456" s="261"/>
      <c r="N4456" s="261"/>
      <c r="O4456" s="261"/>
      <c r="P4456" s="261"/>
      <c r="Q4456" s="261"/>
      <c r="BR4456" s="261"/>
      <c r="BS4456" s="261"/>
      <c r="BT4456" s="261"/>
      <c r="BU4456" s="261"/>
      <c r="BV4456" s="261"/>
    </row>
    <row r="4457" spans="12:74">
      <c r="L4457" s="261"/>
      <c r="M4457" s="261"/>
      <c r="N4457" s="261"/>
      <c r="O4457" s="261"/>
      <c r="P4457" s="261"/>
      <c r="Q4457" s="261"/>
      <c r="BR4457" s="261"/>
      <c r="BS4457" s="261"/>
      <c r="BT4457" s="261"/>
      <c r="BU4457" s="261"/>
      <c r="BV4457" s="261"/>
    </row>
    <row r="4458" spans="12:74">
      <c r="L4458" s="261"/>
      <c r="M4458" s="261"/>
      <c r="N4458" s="261"/>
      <c r="O4458" s="261"/>
      <c r="P4458" s="261"/>
      <c r="Q4458" s="261"/>
      <c r="BR4458" s="261"/>
      <c r="BS4458" s="261"/>
      <c r="BT4458" s="261"/>
      <c r="BU4458" s="261"/>
      <c r="BV4458" s="261"/>
    </row>
    <row r="4459" spans="12:74">
      <c r="L4459" s="261"/>
      <c r="M4459" s="261"/>
      <c r="N4459" s="261"/>
      <c r="O4459" s="261"/>
      <c r="P4459" s="261"/>
      <c r="Q4459" s="261"/>
      <c r="BR4459" s="261"/>
      <c r="BS4459" s="261"/>
      <c r="BT4459" s="261"/>
      <c r="BU4459" s="261"/>
      <c r="BV4459" s="261"/>
    </row>
    <row r="4460" spans="12:74">
      <c r="L4460" s="261"/>
      <c r="M4460" s="261"/>
      <c r="N4460" s="261"/>
      <c r="O4460" s="261"/>
      <c r="P4460" s="261"/>
      <c r="Q4460" s="261"/>
      <c r="BR4460" s="261"/>
      <c r="BS4460" s="261"/>
      <c r="BT4460" s="261"/>
      <c r="BU4460" s="261"/>
      <c r="BV4460" s="261"/>
    </row>
    <row r="4461" spans="12:74">
      <c r="L4461" s="261"/>
      <c r="M4461" s="261"/>
      <c r="N4461" s="261"/>
      <c r="O4461" s="261"/>
      <c r="P4461" s="261"/>
      <c r="Q4461" s="261"/>
      <c r="BR4461" s="261"/>
      <c r="BS4461" s="261"/>
      <c r="BT4461" s="261"/>
      <c r="BU4461" s="261"/>
      <c r="BV4461" s="261"/>
    </row>
    <row r="4462" spans="12:74">
      <c r="L4462" s="261"/>
      <c r="M4462" s="261"/>
      <c r="N4462" s="261"/>
      <c r="O4462" s="261"/>
      <c r="P4462" s="261"/>
      <c r="Q4462" s="261"/>
      <c r="BR4462" s="261"/>
      <c r="BS4462" s="261"/>
      <c r="BT4462" s="261"/>
      <c r="BU4462" s="261"/>
      <c r="BV4462" s="261"/>
    </row>
    <row r="4463" spans="12:74">
      <c r="L4463" s="261"/>
      <c r="M4463" s="261"/>
      <c r="N4463" s="261"/>
      <c r="O4463" s="261"/>
      <c r="P4463" s="261"/>
      <c r="Q4463" s="261"/>
      <c r="BR4463" s="261"/>
      <c r="BS4463" s="261"/>
      <c r="BT4463" s="261"/>
      <c r="BU4463" s="261"/>
      <c r="BV4463" s="261"/>
    </row>
    <row r="4464" spans="12:74">
      <c r="L4464" s="261"/>
      <c r="M4464" s="261"/>
      <c r="N4464" s="261"/>
      <c r="O4464" s="261"/>
      <c r="P4464" s="261"/>
      <c r="Q4464" s="261"/>
      <c r="BR4464" s="261"/>
      <c r="BS4464" s="261"/>
      <c r="BT4464" s="261"/>
      <c r="BU4464" s="261"/>
      <c r="BV4464" s="261"/>
    </row>
    <row r="4465" spans="12:74">
      <c r="L4465" s="261"/>
      <c r="M4465" s="261"/>
      <c r="N4465" s="261"/>
      <c r="O4465" s="261"/>
      <c r="P4465" s="261"/>
      <c r="Q4465" s="261"/>
      <c r="BR4465" s="261"/>
      <c r="BS4465" s="261"/>
      <c r="BT4465" s="261"/>
      <c r="BU4465" s="261"/>
      <c r="BV4465" s="261"/>
    </row>
    <row r="4466" spans="12:74">
      <c r="L4466" s="261"/>
      <c r="M4466" s="261"/>
      <c r="N4466" s="261"/>
      <c r="O4466" s="261"/>
      <c r="P4466" s="261"/>
      <c r="Q4466" s="261"/>
      <c r="BR4466" s="261"/>
      <c r="BS4466" s="261"/>
      <c r="BT4466" s="261"/>
      <c r="BU4466" s="261"/>
      <c r="BV4466" s="261"/>
    </row>
    <row r="4467" spans="12:74">
      <c r="L4467" s="261"/>
      <c r="M4467" s="261"/>
      <c r="N4467" s="261"/>
      <c r="O4467" s="261"/>
      <c r="P4467" s="261"/>
      <c r="Q4467" s="261"/>
      <c r="BR4467" s="261"/>
      <c r="BS4467" s="261"/>
      <c r="BT4467" s="261"/>
      <c r="BU4467" s="261"/>
      <c r="BV4467" s="261"/>
    </row>
    <row r="4468" spans="12:74">
      <c r="L4468" s="261"/>
      <c r="M4468" s="261"/>
      <c r="N4468" s="261"/>
      <c r="O4468" s="261"/>
      <c r="P4468" s="261"/>
      <c r="Q4468" s="261"/>
      <c r="BR4468" s="261"/>
      <c r="BS4468" s="261"/>
      <c r="BT4468" s="261"/>
      <c r="BU4468" s="261"/>
      <c r="BV4468" s="261"/>
    </row>
    <row r="4469" spans="12:74">
      <c r="L4469" s="261"/>
      <c r="M4469" s="261"/>
      <c r="N4469" s="261"/>
      <c r="O4469" s="261"/>
      <c r="P4469" s="261"/>
      <c r="Q4469" s="261"/>
      <c r="BR4469" s="261"/>
      <c r="BS4469" s="261"/>
      <c r="BT4469" s="261"/>
      <c r="BU4469" s="261"/>
      <c r="BV4469" s="261"/>
    </row>
    <row r="4470" spans="12:74">
      <c r="L4470" s="261"/>
      <c r="M4470" s="261"/>
      <c r="N4470" s="261"/>
      <c r="O4470" s="261"/>
      <c r="P4470" s="261"/>
      <c r="Q4470" s="261"/>
      <c r="BR4470" s="261"/>
      <c r="BS4470" s="261"/>
      <c r="BT4470" s="261"/>
      <c r="BU4470" s="261"/>
      <c r="BV4470" s="261"/>
    </row>
    <row r="4471" spans="12:74">
      <c r="L4471" s="261"/>
      <c r="M4471" s="261"/>
      <c r="N4471" s="261"/>
      <c r="O4471" s="261"/>
      <c r="P4471" s="261"/>
      <c r="Q4471" s="261"/>
      <c r="BR4471" s="261"/>
      <c r="BS4471" s="261"/>
      <c r="BT4471" s="261"/>
      <c r="BU4471" s="261"/>
      <c r="BV4471" s="261"/>
    </row>
    <row r="4472" spans="12:74">
      <c r="L4472" s="261"/>
      <c r="M4472" s="261"/>
      <c r="N4472" s="261"/>
      <c r="O4472" s="261"/>
      <c r="P4472" s="261"/>
      <c r="Q4472" s="261"/>
      <c r="BR4472" s="261"/>
      <c r="BS4472" s="261"/>
      <c r="BT4472" s="261"/>
      <c r="BU4472" s="261"/>
      <c r="BV4472" s="261"/>
    </row>
    <row r="4473" spans="12:74">
      <c r="L4473" s="261"/>
      <c r="M4473" s="261"/>
      <c r="N4473" s="261"/>
      <c r="O4473" s="261"/>
      <c r="P4473" s="261"/>
      <c r="Q4473" s="261"/>
      <c r="BR4473" s="261"/>
      <c r="BS4473" s="261"/>
      <c r="BT4473" s="261"/>
      <c r="BU4473" s="261"/>
      <c r="BV4473" s="261"/>
    </row>
    <row r="4474" spans="12:74">
      <c r="L4474" s="261"/>
      <c r="M4474" s="261"/>
      <c r="N4474" s="261"/>
      <c r="O4474" s="261"/>
      <c r="P4474" s="261"/>
      <c r="Q4474" s="261"/>
      <c r="BR4474" s="261"/>
      <c r="BS4474" s="261"/>
      <c r="BT4474" s="261"/>
      <c r="BU4474" s="261"/>
      <c r="BV4474" s="261"/>
    </row>
    <row r="4475" spans="12:74">
      <c r="L4475" s="261"/>
      <c r="M4475" s="261"/>
      <c r="N4475" s="261"/>
      <c r="O4475" s="261"/>
      <c r="P4475" s="261"/>
      <c r="Q4475" s="261"/>
      <c r="BR4475" s="261"/>
      <c r="BS4475" s="261"/>
      <c r="BT4475" s="261"/>
      <c r="BU4475" s="261"/>
      <c r="BV4475" s="261"/>
    </row>
    <row r="4476" spans="12:74">
      <c r="L4476" s="261"/>
      <c r="M4476" s="261"/>
      <c r="N4476" s="261"/>
      <c r="O4476" s="261"/>
      <c r="P4476" s="261"/>
      <c r="Q4476" s="261"/>
      <c r="BR4476" s="261"/>
      <c r="BS4476" s="261"/>
      <c r="BT4476" s="261"/>
      <c r="BU4476" s="261"/>
      <c r="BV4476" s="261"/>
    </row>
    <row r="4477" spans="12:74">
      <c r="L4477" s="261"/>
      <c r="M4477" s="261"/>
      <c r="N4477" s="261"/>
      <c r="O4477" s="261"/>
      <c r="P4477" s="261"/>
      <c r="Q4477" s="261"/>
      <c r="BR4477" s="261"/>
      <c r="BS4477" s="261"/>
      <c r="BT4477" s="261"/>
      <c r="BU4477" s="261"/>
      <c r="BV4477" s="261"/>
    </row>
    <row r="4478" spans="12:74">
      <c r="L4478" s="261"/>
      <c r="M4478" s="261"/>
      <c r="N4478" s="261"/>
      <c r="O4478" s="261"/>
      <c r="P4478" s="261"/>
      <c r="Q4478" s="261"/>
      <c r="BR4478" s="261"/>
      <c r="BS4478" s="261"/>
      <c r="BT4478" s="261"/>
      <c r="BU4478" s="261"/>
      <c r="BV4478" s="261"/>
    </row>
    <row r="4479" spans="12:74">
      <c r="L4479" s="261"/>
      <c r="M4479" s="261"/>
      <c r="N4479" s="261"/>
      <c r="O4479" s="261"/>
      <c r="P4479" s="261"/>
      <c r="Q4479" s="261"/>
      <c r="BR4479" s="261"/>
      <c r="BS4479" s="261"/>
      <c r="BT4479" s="261"/>
      <c r="BU4479" s="261"/>
      <c r="BV4479" s="261"/>
    </row>
    <row r="4480" spans="12:74">
      <c r="L4480" s="261"/>
      <c r="M4480" s="261"/>
      <c r="N4480" s="261"/>
      <c r="O4480" s="261"/>
      <c r="P4480" s="261"/>
      <c r="Q4480" s="261"/>
      <c r="BR4480" s="261"/>
      <c r="BS4480" s="261"/>
      <c r="BT4480" s="261"/>
      <c r="BU4480" s="261"/>
      <c r="BV4480" s="261"/>
    </row>
    <row r="4481" spans="12:74">
      <c r="L4481" s="261"/>
      <c r="M4481" s="261"/>
      <c r="N4481" s="261"/>
      <c r="O4481" s="261"/>
      <c r="P4481" s="261"/>
      <c r="Q4481" s="261"/>
      <c r="BR4481" s="261"/>
      <c r="BS4481" s="261"/>
      <c r="BT4481" s="261"/>
      <c r="BU4481" s="261"/>
      <c r="BV4481" s="261"/>
    </row>
    <row r="4482" spans="12:74">
      <c r="L4482" s="261"/>
      <c r="M4482" s="261"/>
      <c r="N4482" s="261"/>
      <c r="O4482" s="261"/>
      <c r="P4482" s="261"/>
      <c r="Q4482" s="261"/>
      <c r="BR4482" s="261"/>
      <c r="BS4482" s="261"/>
      <c r="BT4482" s="261"/>
      <c r="BU4482" s="261"/>
      <c r="BV4482" s="261"/>
    </row>
    <row r="4483" spans="12:74">
      <c r="L4483" s="261"/>
      <c r="M4483" s="261"/>
      <c r="N4483" s="261"/>
      <c r="O4483" s="261"/>
      <c r="P4483" s="261"/>
      <c r="Q4483" s="261"/>
      <c r="BR4483" s="261"/>
      <c r="BS4483" s="261"/>
      <c r="BT4483" s="261"/>
      <c r="BU4483" s="261"/>
      <c r="BV4483" s="261"/>
    </row>
    <row r="4484" spans="12:74">
      <c r="L4484" s="261"/>
      <c r="M4484" s="261"/>
      <c r="N4484" s="261"/>
      <c r="O4484" s="261"/>
      <c r="P4484" s="261"/>
      <c r="Q4484" s="261"/>
      <c r="BR4484" s="261"/>
      <c r="BS4484" s="261"/>
      <c r="BT4484" s="261"/>
      <c r="BU4484" s="261"/>
      <c r="BV4484" s="261"/>
    </row>
    <row r="4485" spans="12:74">
      <c r="L4485" s="261"/>
      <c r="M4485" s="261"/>
      <c r="N4485" s="261"/>
      <c r="O4485" s="261"/>
      <c r="P4485" s="261"/>
      <c r="Q4485" s="261"/>
      <c r="BR4485" s="261"/>
      <c r="BS4485" s="261"/>
      <c r="BT4485" s="261"/>
      <c r="BU4485" s="261"/>
      <c r="BV4485" s="261"/>
    </row>
    <row r="4486" spans="12:74">
      <c r="L4486" s="261"/>
      <c r="M4486" s="261"/>
      <c r="N4486" s="261"/>
      <c r="O4486" s="261"/>
      <c r="P4486" s="261"/>
      <c r="Q4486" s="261"/>
      <c r="BR4486" s="261"/>
      <c r="BS4486" s="261"/>
      <c r="BT4486" s="261"/>
      <c r="BU4486" s="261"/>
      <c r="BV4486" s="261"/>
    </row>
    <row r="4487" spans="12:74">
      <c r="L4487" s="261"/>
      <c r="M4487" s="261"/>
      <c r="N4487" s="261"/>
      <c r="O4487" s="261"/>
      <c r="P4487" s="261"/>
      <c r="Q4487" s="261"/>
      <c r="BR4487" s="261"/>
      <c r="BS4487" s="261"/>
      <c r="BT4487" s="261"/>
      <c r="BU4487" s="261"/>
      <c r="BV4487" s="261"/>
    </row>
    <row r="4488" spans="12:74">
      <c r="L4488" s="261"/>
      <c r="M4488" s="261"/>
      <c r="N4488" s="261"/>
      <c r="O4488" s="261"/>
      <c r="P4488" s="261"/>
      <c r="Q4488" s="261"/>
      <c r="BR4488" s="261"/>
      <c r="BS4488" s="261"/>
      <c r="BT4488" s="261"/>
      <c r="BU4488" s="261"/>
      <c r="BV4488" s="261"/>
    </row>
    <row r="4489" spans="12:74">
      <c r="L4489" s="261"/>
      <c r="M4489" s="261"/>
      <c r="N4489" s="261"/>
      <c r="O4489" s="261"/>
      <c r="P4489" s="261"/>
      <c r="Q4489" s="261"/>
      <c r="BR4489" s="261"/>
      <c r="BS4489" s="261"/>
      <c r="BT4489" s="261"/>
      <c r="BU4489" s="261"/>
      <c r="BV4489" s="261"/>
    </row>
    <row r="4490" spans="12:74">
      <c r="L4490" s="261"/>
      <c r="M4490" s="261"/>
      <c r="N4490" s="261"/>
      <c r="O4490" s="261"/>
      <c r="P4490" s="261"/>
      <c r="Q4490" s="261"/>
      <c r="BR4490" s="261"/>
      <c r="BS4490" s="261"/>
      <c r="BT4490" s="261"/>
      <c r="BU4490" s="261"/>
      <c r="BV4490" s="261"/>
    </row>
    <row r="4491" spans="12:74">
      <c r="L4491" s="261"/>
      <c r="M4491" s="261"/>
      <c r="N4491" s="261"/>
      <c r="O4491" s="261"/>
      <c r="P4491" s="261"/>
      <c r="Q4491" s="261"/>
      <c r="BR4491" s="261"/>
      <c r="BS4491" s="261"/>
      <c r="BT4491" s="261"/>
      <c r="BU4491" s="261"/>
      <c r="BV4491" s="261"/>
    </row>
    <row r="4492" spans="12:74">
      <c r="L4492" s="261"/>
      <c r="M4492" s="261"/>
      <c r="N4492" s="261"/>
      <c r="O4492" s="261"/>
      <c r="P4492" s="261"/>
      <c r="Q4492" s="261"/>
      <c r="BR4492" s="261"/>
      <c r="BS4492" s="261"/>
      <c r="BT4492" s="261"/>
      <c r="BU4492" s="261"/>
      <c r="BV4492" s="261"/>
    </row>
    <row r="4493" spans="12:74">
      <c r="L4493" s="261"/>
      <c r="M4493" s="261"/>
      <c r="N4493" s="261"/>
      <c r="O4493" s="261"/>
      <c r="P4493" s="261"/>
      <c r="Q4493" s="261"/>
      <c r="BR4493" s="261"/>
      <c r="BS4493" s="261"/>
      <c r="BT4493" s="261"/>
      <c r="BU4493" s="261"/>
      <c r="BV4493" s="261"/>
    </row>
    <row r="4494" spans="12:74">
      <c r="L4494" s="261"/>
      <c r="M4494" s="261"/>
      <c r="N4494" s="261"/>
      <c r="O4494" s="261"/>
      <c r="P4494" s="261"/>
      <c r="Q4494" s="261"/>
      <c r="BR4494" s="261"/>
      <c r="BS4494" s="261"/>
      <c r="BT4494" s="261"/>
      <c r="BU4494" s="261"/>
      <c r="BV4494" s="261"/>
    </row>
    <row r="4495" spans="12:74">
      <c r="L4495" s="261"/>
      <c r="M4495" s="261"/>
      <c r="N4495" s="261"/>
      <c r="O4495" s="261"/>
      <c r="P4495" s="261"/>
      <c r="Q4495" s="261"/>
      <c r="BR4495" s="261"/>
      <c r="BS4495" s="261"/>
      <c r="BT4495" s="261"/>
      <c r="BU4495" s="261"/>
      <c r="BV4495" s="261"/>
    </row>
    <row r="4496" spans="12:74">
      <c r="L4496" s="261"/>
      <c r="M4496" s="261"/>
      <c r="N4496" s="261"/>
      <c r="O4496" s="261"/>
      <c r="P4496" s="261"/>
      <c r="Q4496" s="261"/>
      <c r="BR4496" s="261"/>
      <c r="BS4496" s="261"/>
      <c r="BT4496" s="261"/>
      <c r="BU4496" s="261"/>
      <c r="BV4496" s="261"/>
    </row>
    <row r="4497" spans="12:74">
      <c r="L4497" s="261"/>
      <c r="M4497" s="261"/>
      <c r="N4497" s="261"/>
      <c r="O4497" s="261"/>
      <c r="P4497" s="261"/>
      <c r="Q4497" s="261"/>
      <c r="BR4497" s="261"/>
      <c r="BS4497" s="261"/>
      <c r="BT4497" s="261"/>
      <c r="BU4497" s="261"/>
      <c r="BV4497" s="261"/>
    </row>
    <row r="4498" spans="12:74">
      <c r="L4498" s="261"/>
      <c r="M4498" s="261"/>
      <c r="N4498" s="261"/>
      <c r="O4498" s="261"/>
      <c r="P4498" s="261"/>
      <c r="Q4498" s="261"/>
      <c r="BR4498" s="261"/>
      <c r="BS4498" s="261"/>
      <c r="BT4498" s="261"/>
      <c r="BU4498" s="261"/>
      <c r="BV4498" s="261"/>
    </row>
    <row r="4499" spans="12:74">
      <c r="L4499" s="261"/>
      <c r="M4499" s="261"/>
      <c r="N4499" s="261"/>
      <c r="O4499" s="261"/>
      <c r="P4499" s="261"/>
      <c r="Q4499" s="261"/>
      <c r="BR4499" s="261"/>
      <c r="BS4499" s="261"/>
      <c r="BT4499" s="261"/>
      <c r="BU4499" s="261"/>
      <c r="BV4499" s="261"/>
    </row>
    <row r="4500" spans="12:74">
      <c r="L4500" s="261"/>
      <c r="M4500" s="261"/>
      <c r="N4500" s="261"/>
      <c r="O4500" s="261"/>
      <c r="P4500" s="261"/>
      <c r="Q4500" s="261"/>
      <c r="BR4500" s="261"/>
      <c r="BS4500" s="261"/>
      <c r="BT4500" s="261"/>
      <c r="BU4500" s="261"/>
      <c r="BV4500" s="261"/>
    </row>
    <row r="4501" spans="12:74">
      <c r="L4501" s="261"/>
      <c r="M4501" s="261"/>
      <c r="N4501" s="261"/>
      <c r="O4501" s="261"/>
      <c r="P4501" s="261"/>
      <c r="Q4501" s="261"/>
      <c r="BR4501" s="261"/>
      <c r="BS4501" s="261"/>
      <c r="BT4501" s="261"/>
      <c r="BU4501" s="261"/>
      <c r="BV4501" s="261"/>
    </row>
    <row r="4502" spans="12:74">
      <c r="L4502" s="261"/>
      <c r="M4502" s="261"/>
      <c r="N4502" s="261"/>
      <c r="O4502" s="261"/>
      <c r="P4502" s="261"/>
      <c r="Q4502" s="261"/>
      <c r="BR4502" s="261"/>
      <c r="BS4502" s="261"/>
      <c r="BT4502" s="261"/>
      <c r="BU4502" s="261"/>
      <c r="BV4502" s="261"/>
    </row>
    <row r="4503" spans="12:74">
      <c r="L4503" s="261"/>
      <c r="M4503" s="261"/>
      <c r="N4503" s="261"/>
      <c r="O4503" s="261"/>
      <c r="P4503" s="261"/>
      <c r="Q4503" s="261"/>
      <c r="BR4503" s="261"/>
      <c r="BS4503" s="261"/>
      <c r="BT4503" s="261"/>
      <c r="BU4503" s="261"/>
      <c r="BV4503" s="261"/>
    </row>
    <row r="4504" spans="12:74">
      <c r="L4504" s="261"/>
      <c r="M4504" s="261"/>
      <c r="N4504" s="261"/>
      <c r="O4504" s="261"/>
      <c r="P4504" s="261"/>
      <c r="Q4504" s="261"/>
      <c r="BR4504" s="261"/>
      <c r="BS4504" s="261"/>
      <c r="BT4504" s="261"/>
      <c r="BU4504" s="261"/>
      <c r="BV4504" s="261"/>
    </row>
    <row r="4505" spans="12:74">
      <c r="L4505" s="261"/>
      <c r="M4505" s="261"/>
      <c r="N4505" s="261"/>
      <c r="O4505" s="261"/>
      <c r="P4505" s="261"/>
      <c r="Q4505" s="261"/>
      <c r="BR4505" s="261"/>
      <c r="BS4505" s="261"/>
      <c r="BT4505" s="261"/>
      <c r="BU4505" s="261"/>
      <c r="BV4505" s="261"/>
    </row>
    <row r="4506" spans="12:74">
      <c r="L4506" s="261"/>
      <c r="M4506" s="261"/>
      <c r="N4506" s="261"/>
      <c r="O4506" s="261"/>
      <c r="P4506" s="261"/>
      <c r="Q4506" s="261"/>
      <c r="BR4506" s="261"/>
      <c r="BS4506" s="261"/>
      <c r="BT4506" s="261"/>
      <c r="BU4506" s="261"/>
      <c r="BV4506" s="261"/>
    </row>
    <row r="4507" spans="12:74">
      <c r="L4507" s="261"/>
      <c r="M4507" s="261"/>
      <c r="N4507" s="261"/>
      <c r="O4507" s="261"/>
      <c r="P4507" s="261"/>
      <c r="Q4507" s="261"/>
      <c r="BR4507" s="261"/>
      <c r="BS4507" s="261"/>
      <c r="BT4507" s="261"/>
      <c r="BU4507" s="261"/>
      <c r="BV4507" s="261"/>
    </row>
    <row r="4508" spans="12:74">
      <c r="L4508" s="261"/>
      <c r="M4508" s="261"/>
      <c r="N4508" s="261"/>
      <c r="O4508" s="261"/>
      <c r="P4508" s="261"/>
      <c r="Q4508" s="261"/>
      <c r="BR4508" s="261"/>
      <c r="BS4508" s="261"/>
      <c r="BT4508" s="261"/>
      <c r="BU4508" s="261"/>
      <c r="BV4508" s="261"/>
    </row>
    <row r="4509" spans="12:74">
      <c r="L4509" s="261"/>
      <c r="M4509" s="261"/>
      <c r="N4509" s="261"/>
      <c r="O4509" s="261"/>
      <c r="P4509" s="261"/>
      <c r="Q4509" s="261"/>
      <c r="BR4509" s="261"/>
      <c r="BS4509" s="261"/>
      <c r="BT4509" s="261"/>
      <c r="BU4509" s="261"/>
      <c r="BV4509" s="261"/>
    </row>
    <row r="4510" spans="12:74">
      <c r="L4510" s="261"/>
      <c r="M4510" s="261"/>
      <c r="N4510" s="261"/>
      <c r="O4510" s="261"/>
      <c r="P4510" s="261"/>
      <c r="Q4510" s="261"/>
      <c r="BR4510" s="261"/>
      <c r="BS4510" s="261"/>
      <c r="BT4510" s="261"/>
      <c r="BU4510" s="261"/>
      <c r="BV4510" s="261"/>
    </row>
    <row r="4511" spans="12:74">
      <c r="L4511" s="261"/>
      <c r="M4511" s="261"/>
      <c r="N4511" s="261"/>
      <c r="O4511" s="261"/>
      <c r="P4511" s="261"/>
      <c r="Q4511" s="261"/>
      <c r="BR4511" s="261"/>
      <c r="BS4511" s="261"/>
      <c r="BT4511" s="261"/>
      <c r="BU4511" s="261"/>
      <c r="BV4511" s="261"/>
    </row>
    <row r="4512" spans="12:74">
      <c r="L4512" s="261"/>
      <c r="M4512" s="261"/>
      <c r="N4512" s="261"/>
      <c r="O4512" s="261"/>
      <c r="P4512" s="261"/>
      <c r="Q4512" s="261"/>
      <c r="BR4512" s="261"/>
      <c r="BS4512" s="261"/>
      <c r="BT4512" s="261"/>
      <c r="BU4512" s="261"/>
      <c r="BV4512" s="261"/>
    </row>
    <row r="4513" spans="12:74">
      <c r="L4513" s="261"/>
      <c r="M4513" s="261"/>
      <c r="N4513" s="261"/>
      <c r="O4513" s="261"/>
      <c r="P4513" s="261"/>
      <c r="Q4513" s="261"/>
      <c r="BR4513" s="261"/>
      <c r="BS4513" s="261"/>
      <c r="BT4513" s="261"/>
      <c r="BU4513" s="261"/>
      <c r="BV4513" s="261"/>
    </row>
    <row r="4514" spans="12:74">
      <c r="L4514" s="261"/>
      <c r="M4514" s="261"/>
      <c r="N4514" s="261"/>
      <c r="O4514" s="261"/>
      <c r="P4514" s="261"/>
      <c r="Q4514" s="261"/>
      <c r="BR4514" s="261"/>
      <c r="BS4514" s="261"/>
      <c r="BT4514" s="261"/>
      <c r="BU4514" s="261"/>
      <c r="BV4514" s="261"/>
    </row>
    <row r="4515" spans="12:74">
      <c r="L4515" s="261"/>
      <c r="M4515" s="261"/>
      <c r="N4515" s="261"/>
      <c r="O4515" s="261"/>
      <c r="P4515" s="261"/>
      <c r="Q4515" s="261"/>
      <c r="BR4515" s="261"/>
      <c r="BS4515" s="261"/>
      <c r="BT4515" s="261"/>
      <c r="BU4515" s="261"/>
      <c r="BV4515" s="261"/>
    </row>
    <row r="4516" spans="12:74">
      <c r="L4516" s="261"/>
      <c r="M4516" s="261"/>
      <c r="N4516" s="261"/>
      <c r="O4516" s="261"/>
      <c r="P4516" s="261"/>
      <c r="Q4516" s="261"/>
      <c r="BR4516" s="261"/>
      <c r="BS4516" s="261"/>
      <c r="BT4516" s="261"/>
      <c r="BU4516" s="261"/>
      <c r="BV4516" s="261"/>
    </row>
    <row r="4517" spans="12:74">
      <c r="L4517" s="261"/>
      <c r="M4517" s="261"/>
      <c r="N4517" s="261"/>
      <c r="O4517" s="261"/>
      <c r="P4517" s="261"/>
      <c r="Q4517" s="261"/>
      <c r="BR4517" s="261"/>
      <c r="BS4517" s="261"/>
      <c r="BT4517" s="261"/>
      <c r="BU4517" s="261"/>
      <c r="BV4517" s="261"/>
    </row>
    <row r="4518" spans="12:74">
      <c r="L4518" s="261"/>
      <c r="M4518" s="261"/>
      <c r="N4518" s="261"/>
      <c r="O4518" s="261"/>
      <c r="P4518" s="261"/>
      <c r="Q4518" s="261"/>
      <c r="BR4518" s="261"/>
      <c r="BS4518" s="261"/>
      <c r="BT4518" s="261"/>
      <c r="BU4518" s="261"/>
      <c r="BV4518" s="261"/>
    </row>
    <row r="4519" spans="12:74">
      <c r="L4519" s="261"/>
      <c r="M4519" s="261"/>
      <c r="N4519" s="261"/>
      <c r="O4519" s="261"/>
      <c r="P4519" s="261"/>
      <c r="Q4519" s="261"/>
      <c r="BR4519" s="261"/>
      <c r="BS4519" s="261"/>
      <c r="BT4519" s="261"/>
      <c r="BU4519" s="261"/>
      <c r="BV4519" s="261"/>
    </row>
    <row r="4520" spans="12:74">
      <c r="L4520" s="261"/>
      <c r="M4520" s="261"/>
      <c r="N4520" s="261"/>
      <c r="O4520" s="261"/>
      <c r="P4520" s="261"/>
      <c r="Q4520" s="261"/>
      <c r="BR4520" s="261"/>
      <c r="BS4520" s="261"/>
      <c r="BT4520" s="261"/>
      <c r="BU4520" s="261"/>
      <c r="BV4520" s="261"/>
    </row>
    <row r="4521" spans="12:74">
      <c r="L4521" s="261"/>
      <c r="M4521" s="261"/>
      <c r="N4521" s="261"/>
      <c r="O4521" s="261"/>
      <c r="P4521" s="261"/>
      <c r="Q4521" s="261"/>
      <c r="BR4521" s="261"/>
      <c r="BS4521" s="261"/>
      <c r="BT4521" s="261"/>
      <c r="BU4521" s="261"/>
      <c r="BV4521" s="261"/>
    </row>
    <row r="4522" spans="12:74">
      <c r="L4522" s="261"/>
      <c r="M4522" s="261"/>
      <c r="N4522" s="261"/>
      <c r="O4522" s="261"/>
      <c r="P4522" s="261"/>
      <c r="Q4522" s="261"/>
      <c r="BR4522" s="261"/>
      <c r="BS4522" s="261"/>
      <c r="BT4522" s="261"/>
      <c r="BU4522" s="261"/>
      <c r="BV4522" s="261"/>
    </row>
    <row r="4523" spans="12:74">
      <c r="L4523" s="261"/>
      <c r="M4523" s="261"/>
      <c r="N4523" s="261"/>
      <c r="O4523" s="261"/>
      <c r="P4523" s="261"/>
      <c r="Q4523" s="261"/>
      <c r="BR4523" s="261"/>
      <c r="BS4523" s="261"/>
      <c r="BT4523" s="261"/>
      <c r="BU4523" s="261"/>
      <c r="BV4523" s="261"/>
    </row>
    <row r="4524" spans="12:74">
      <c r="L4524" s="261"/>
      <c r="M4524" s="261"/>
      <c r="N4524" s="261"/>
      <c r="O4524" s="261"/>
      <c r="P4524" s="261"/>
      <c r="Q4524" s="261"/>
      <c r="BR4524" s="261"/>
      <c r="BS4524" s="261"/>
      <c r="BT4524" s="261"/>
      <c r="BU4524" s="261"/>
      <c r="BV4524" s="261"/>
    </row>
    <row r="4525" spans="12:74">
      <c r="L4525" s="261"/>
      <c r="M4525" s="261"/>
      <c r="N4525" s="261"/>
      <c r="O4525" s="261"/>
      <c r="P4525" s="261"/>
      <c r="Q4525" s="261"/>
      <c r="BR4525" s="261"/>
      <c r="BS4525" s="261"/>
      <c r="BT4525" s="261"/>
      <c r="BU4525" s="261"/>
      <c r="BV4525" s="261"/>
    </row>
    <row r="4526" spans="12:74">
      <c r="L4526" s="261"/>
      <c r="M4526" s="261"/>
      <c r="N4526" s="261"/>
      <c r="O4526" s="261"/>
      <c r="P4526" s="261"/>
      <c r="Q4526" s="261"/>
      <c r="BR4526" s="261"/>
      <c r="BS4526" s="261"/>
      <c r="BT4526" s="261"/>
      <c r="BU4526" s="261"/>
      <c r="BV4526" s="261"/>
    </row>
    <row r="4527" spans="12:74">
      <c r="L4527" s="261"/>
      <c r="M4527" s="261"/>
      <c r="N4527" s="261"/>
      <c r="O4527" s="261"/>
      <c r="P4527" s="261"/>
      <c r="Q4527" s="261"/>
      <c r="BR4527" s="261"/>
      <c r="BS4527" s="261"/>
      <c r="BT4527" s="261"/>
      <c r="BU4527" s="261"/>
      <c r="BV4527" s="261"/>
    </row>
    <row r="4528" spans="12:74">
      <c r="L4528" s="261"/>
      <c r="M4528" s="261"/>
      <c r="N4528" s="261"/>
      <c r="O4528" s="261"/>
      <c r="P4528" s="261"/>
      <c r="Q4528" s="261"/>
      <c r="BR4528" s="261"/>
      <c r="BS4528" s="261"/>
      <c r="BT4528" s="261"/>
      <c r="BU4528" s="261"/>
      <c r="BV4528" s="261"/>
    </row>
    <row r="4529" spans="12:74">
      <c r="L4529" s="261"/>
      <c r="M4529" s="261"/>
      <c r="N4529" s="261"/>
      <c r="O4529" s="261"/>
      <c r="P4529" s="261"/>
      <c r="Q4529" s="261"/>
      <c r="BR4529" s="261"/>
      <c r="BS4529" s="261"/>
      <c r="BT4529" s="261"/>
      <c r="BU4529" s="261"/>
      <c r="BV4529" s="261"/>
    </row>
    <row r="4530" spans="12:74">
      <c r="L4530" s="261"/>
      <c r="M4530" s="261"/>
      <c r="N4530" s="261"/>
      <c r="O4530" s="261"/>
      <c r="P4530" s="261"/>
      <c r="Q4530" s="261"/>
      <c r="BR4530" s="261"/>
      <c r="BS4530" s="261"/>
      <c r="BT4530" s="261"/>
      <c r="BU4530" s="261"/>
      <c r="BV4530" s="261"/>
    </row>
    <row r="4531" spans="12:74">
      <c r="L4531" s="261"/>
      <c r="M4531" s="261"/>
      <c r="N4531" s="261"/>
      <c r="O4531" s="261"/>
      <c r="P4531" s="261"/>
      <c r="Q4531" s="261"/>
      <c r="BR4531" s="261"/>
      <c r="BS4531" s="261"/>
      <c r="BT4531" s="261"/>
      <c r="BU4531" s="261"/>
      <c r="BV4531" s="261"/>
    </row>
    <row r="4532" spans="12:74">
      <c r="L4532" s="261"/>
      <c r="M4532" s="261"/>
      <c r="N4532" s="261"/>
      <c r="O4532" s="261"/>
      <c r="P4532" s="261"/>
      <c r="Q4532" s="261"/>
      <c r="BR4532" s="261"/>
      <c r="BS4532" s="261"/>
      <c r="BT4532" s="261"/>
      <c r="BU4532" s="261"/>
      <c r="BV4532" s="261"/>
    </row>
    <row r="4533" spans="12:74">
      <c r="L4533" s="261"/>
      <c r="M4533" s="261"/>
      <c r="N4533" s="261"/>
      <c r="O4533" s="261"/>
      <c r="P4533" s="261"/>
      <c r="Q4533" s="261"/>
      <c r="BR4533" s="261"/>
      <c r="BS4533" s="261"/>
      <c r="BT4533" s="261"/>
      <c r="BU4533" s="261"/>
      <c r="BV4533" s="261"/>
    </row>
    <row r="4534" spans="12:74">
      <c r="L4534" s="261"/>
      <c r="M4534" s="261"/>
      <c r="N4534" s="261"/>
      <c r="O4534" s="261"/>
      <c r="P4534" s="261"/>
      <c r="Q4534" s="261"/>
      <c r="BR4534" s="261"/>
      <c r="BS4534" s="261"/>
      <c r="BT4534" s="261"/>
      <c r="BU4534" s="261"/>
      <c r="BV4534" s="261"/>
    </row>
    <row r="4535" spans="12:74">
      <c r="L4535" s="261"/>
      <c r="M4535" s="261"/>
      <c r="N4535" s="261"/>
      <c r="O4535" s="261"/>
      <c r="P4535" s="261"/>
      <c r="Q4535" s="261"/>
      <c r="BR4535" s="261"/>
      <c r="BS4535" s="261"/>
      <c r="BT4535" s="261"/>
      <c r="BU4535" s="261"/>
      <c r="BV4535" s="261"/>
    </row>
    <row r="4536" spans="12:74">
      <c r="L4536" s="261"/>
      <c r="M4536" s="261"/>
      <c r="N4536" s="261"/>
      <c r="O4536" s="261"/>
      <c r="P4536" s="261"/>
      <c r="Q4536" s="261"/>
      <c r="BR4536" s="261"/>
      <c r="BS4536" s="261"/>
      <c r="BT4536" s="261"/>
      <c r="BU4536" s="261"/>
      <c r="BV4536" s="261"/>
    </row>
    <row r="4537" spans="12:74">
      <c r="L4537" s="261"/>
      <c r="M4537" s="261"/>
      <c r="N4537" s="261"/>
      <c r="O4537" s="261"/>
      <c r="P4537" s="261"/>
      <c r="Q4537" s="261"/>
      <c r="BR4537" s="261"/>
      <c r="BS4537" s="261"/>
      <c r="BT4537" s="261"/>
      <c r="BU4537" s="261"/>
      <c r="BV4537" s="261"/>
    </row>
    <row r="4538" spans="12:74">
      <c r="L4538" s="261"/>
      <c r="M4538" s="261"/>
      <c r="N4538" s="261"/>
      <c r="O4538" s="261"/>
      <c r="P4538" s="261"/>
      <c r="Q4538" s="261"/>
      <c r="BR4538" s="261"/>
      <c r="BS4538" s="261"/>
      <c r="BT4538" s="261"/>
      <c r="BU4538" s="261"/>
      <c r="BV4538" s="261"/>
    </row>
    <row r="4539" spans="12:74">
      <c r="L4539" s="261"/>
      <c r="M4539" s="261"/>
      <c r="N4539" s="261"/>
      <c r="O4539" s="261"/>
      <c r="P4539" s="261"/>
      <c r="Q4539" s="261"/>
      <c r="BR4539" s="261"/>
      <c r="BS4539" s="261"/>
      <c r="BT4539" s="261"/>
      <c r="BU4539" s="261"/>
      <c r="BV4539" s="261"/>
    </row>
    <row r="4540" spans="12:74">
      <c r="L4540" s="261"/>
      <c r="M4540" s="261"/>
      <c r="N4540" s="261"/>
      <c r="O4540" s="261"/>
      <c r="P4540" s="261"/>
      <c r="Q4540" s="261"/>
      <c r="BR4540" s="261"/>
      <c r="BS4540" s="261"/>
      <c r="BT4540" s="261"/>
      <c r="BU4540" s="261"/>
      <c r="BV4540" s="261"/>
    </row>
    <row r="4541" spans="12:74">
      <c r="L4541" s="261"/>
      <c r="M4541" s="261"/>
      <c r="N4541" s="261"/>
      <c r="O4541" s="261"/>
      <c r="P4541" s="261"/>
      <c r="Q4541" s="261"/>
      <c r="BR4541" s="261"/>
      <c r="BS4541" s="261"/>
      <c r="BT4541" s="261"/>
      <c r="BU4541" s="261"/>
      <c r="BV4541" s="261"/>
    </row>
    <row r="4542" spans="12:74">
      <c r="L4542" s="261"/>
      <c r="M4542" s="261"/>
      <c r="N4542" s="261"/>
      <c r="O4542" s="261"/>
      <c r="P4542" s="261"/>
      <c r="Q4542" s="261"/>
      <c r="BR4542" s="261"/>
      <c r="BS4542" s="261"/>
      <c r="BT4542" s="261"/>
      <c r="BU4542" s="261"/>
      <c r="BV4542" s="261"/>
    </row>
    <row r="4543" spans="12:74">
      <c r="L4543" s="261"/>
      <c r="M4543" s="261"/>
      <c r="N4543" s="261"/>
      <c r="O4543" s="261"/>
      <c r="P4543" s="261"/>
      <c r="Q4543" s="261"/>
      <c r="BR4543" s="261"/>
      <c r="BS4543" s="261"/>
      <c r="BT4543" s="261"/>
      <c r="BU4543" s="261"/>
      <c r="BV4543" s="261"/>
    </row>
    <row r="4544" spans="12:74">
      <c r="L4544" s="261"/>
      <c r="M4544" s="261"/>
      <c r="N4544" s="261"/>
      <c r="O4544" s="261"/>
      <c r="P4544" s="261"/>
      <c r="Q4544" s="261"/>
      <c r="BR4544" s="261"/>
      <c r="BS4544" s="261"/>
      <c r="BT4544" s="261"/>
      <c r="BU4544" s="261"/>
      <c r="BV4544" s="261"/>
    </row>
    <row r="4545" spans="12:74">
      <c r="L4545" s="261"/>
      <c r="M4545" s="261"/>
      <c r="N4545" s="261"/>
      <c r="O4545" s="261"/>
      <c r="P4545" s="261"/>
      <c r="Q4545" s="261"/>
      <c r="BR4545" s="261"/>
      <c r="BS4545" s="261"/>
      <c r="BT4545" s="261"/>
      <c r="BU4545" s="261"/>
      <c r="BV4545" s="261"/>
    </row>
    <row r="4546" spans="12:74">
      <c r="L4546" s="261"/>
      <c r="M4546" s="261"/>
      <c r="N4546" s="261"/>
      <c r="O4546" s="261"/>
      <c r="P4546" s="261"/>
      <c r="Q4546" s="261"/>
      <c r="BR4546" s="261"/>
      <c r="BS4546" s="261"/>
      <c r="BT4546" s="261"/>
      <c r="BU4546" s="261"/>
      <c r="BV4546" s="261"/>
    </row>
    <row r="4547" spans="12:74">
      <c r="L4547" s="261"/>
      <c r="M4547" s="261"/>
      <c r="N4547" s="261"/>
      <c r="O4547" s="261"/>
      <c r="P4547" s="261"/>
      <c r="Q4547" s="261"/>
      <c r="BR4547" s="261"/>
      <c r="BS4547" s="261"/>
      <c r="BT4547" s="261"/>
      <c r="BU4547" s="261"/>
      <c r="BV4547" s="261"/>
    </row>
    <row r="4548" spans="12:74">
      <c r="L4548" s="261"/>
      <c r="M4548" s="261"/>
      <c r="N4548" s="261"/>
      <c r="O4548" s="261"/>
      <c r="P4548" s="261"/>
      <c r="Q4548" s="261"/>
      <c r="BR4548" s="261"/>
      <c r="BS4548" s="261"/>
      <c r="BT4548" s="261"/>
      <c r="BU4548" s="261"/>
      <c r="BV4548" s="261"/>
    </row>
    <row r="4549" spans="12:74">
      <c r="L4549" s="261"/>
      <c r="M4549" s="261"/>
      <c r="N4549" s="261"/>
      <c r="O4549" s="261"/>
      <c r="P4549" s="261"/>
      <c r="Q4549" s="261"/>
      <c r="BR4549" s="261"/>
      <c r="BS4549" s="261"/>
      <c r="BT4549" s="261"/>
      <c r="BU4549" s="261"/>
      <c r="BV4549" s="261"/>
    </row>
    <row r="4550" spans="12:74">
      <c r="L4550" s="261"/>
      <c r="M4550" s="261"/>
      <c r="N4550" s="261"/>
      <c r="O4550" s="261"/>
      <c r="P4550" s="261"/>
      <c r="Q4550" s="261"/>
      <c r="BR4550" s="261"/>
      <c r="BS4550" s="261"/>
      <c r="BT4550" s="261"/>
      <c r="BU4550" s="261"/>
      <c r="BV4550" s="261"/>
    </row>
    <row r="4551" spans="12:74">
      <c r="L4551" s="261"/>
      <c r="M4551" s="261"/>
      <c r="N4551" s="261"/>
      <c r="O4551" s="261"/>
      <c r="P4551" s="261"/>
      <c r="Q4551" s="261"/>
      <c r="BR4551" s="261"/>
      <c r="BS4551" s="261"/>
      <c r="BT4551" s="261"/>
      <c r="BU4551" s="261"/>
      <c r="BV4551" s="261"/>
    </row>
    <row r="4552" spans="12:74">
      <c r="L4552" s="261"/>
      <c r="M4552" s="261"/>
      <c r="N4552" s="261"/>
      <c r="O4552" s="261"/>
      <c r="P4552" s="261"/>
      <c r="Q4552" s="261"/>
      <c r="BR4552" s="261"/>
      <c r="BS4552" s="261"/>
      <c r="BT4552" s="261"/>
      <c r="BU4552" s="261"/>
      <c r="BV4552" s="261"/>
    </row>
    <row r="4553" spans="12:74">
      <c r="L4553" s="261"/>
      <c r="M4553" s="261"/>
      <c r="N4553" s="261"/>
      <c r="O4553" s="261"/>
      <c r="P4553" s="261"/>
      <c r="Q4553" s="261"/>
      <c r="BR4553" s="261"/>
      <c r="BS4553" s="261"/>
      <c r="BT4553" s="261"/>
      <c r="BU4553" s="261"/>
      <c r="BV4553" s="261"/>
    </row>
    <row r="4554" spans="12:74">
      <c r="L4554" s="261"/>
      <c r="M4554" s="261"/>
      <c r="N4554" s="261"/>
      <c r="O4554" s="261"/>
      <c r="P4554" s="261"/>
      <c r="Q4554" s="261"/>
      <c r="BR4554" s="261"/>
      <c r="BS4554" s="261"/>
      <c r="BT4554" s="261"/>
      <c r="BU4554" s="261"/>
      <c r="BV4554" s="261"/>
    </row>
    <row r="4555" spans="12:74">
      <c r="L4555" s="261"/>
      <c r="M4555" s="261"/>
      <c r="N4555" s="261"/>
      <c r="O4555" s="261"/>
      <c r="P4555" s="261"/>
      <c r="Q4555" s="261"/>
      <c r="BR4555" s="261"/>
      <c r="BS4555" s="261"/>
      <c r="BT4555" s="261"/>
      <c r="BU4555" s="261"/>
      <c r="BV4555" s="261"/>
    </row>
    <row r="4556" spans="12:74">
      <c r="L4556" s="261"/>
      <c r="M4556" s="261"/>
      <c r="N4556" s="261"/>
      <c r="O4556" s="261"/>
      <c r="P4556" s="261"/>
      <c r="Q4556" s="261"/>
      <c r="BR4556" s="261"/>
      <c r="BS4556" s="261"/>
      <c r="BT4556" s="261"/>
      <c r="BU4556" s="261"/>
      <c r="BV4556" s="261"/>
    </row>
    <row r="4557" spans="12:74">
      <c r="L4557" s="261"/>
      <c r="M4557" s="261"/>
      <c r="N4557" s="261"/>
      <c r="O4557" s="261"/>
      <c r="P4557" s="261"/>
      <c r="Q4557" s="261"/>
      <c r="BR4557" s="261"/>
      <c r="BS4557" s="261"/>
      <c r="BT4557" s="261"/>
      <c r="BU4557" s="261"/>
      <c r="BV4557" s="261"/>
    </row>
    <row r="4558" spans="12:74">
      <c r="L4558" s="261"/>
      <c r="M4558" s="261"/>
      <c r="N4558" s="261"/>
      <c r="O4558" s="261"/>
      <c r="P4558" s="261"/>
      <c r="Q4558" s="261"/>
      <c r="BR4558" s="261"/>
      <c r="BS4558" s="261"/>
      <c r="BT4558" s="261"/>
      <c r="BU4558" s="261"/>
      <c r="BV4558" s="261"/>
    </row>
    <row r="4559" spans="12:74">
      <c r="L4559" s="261"/>
      <c r="M4559" s="261"/>
      <c r="N4559" s="261"/>
      <c r="O4559" s="261"/>
      <c r="P4559" s="261"/>
      <c r="Q4559" s="261"/>
      <c r="BR4559" s="261"/>
      <c r="BS4559" s="261"/>
      <c r="BT4559" s="261"/>
      <c r="BU4559" s="261"/>
      <c r="BV4559" s="261"/>
    </row>
    <row r="4560" spans="12:74">
      <c r="L4560" s="261"/>
      <c r="M4560" s="261"/>
      <c r="N4560" s="261"/>
      <c r="O4560" s="261"/>
      <c r="P4560" s="261"/>
      <c r="Q4560" s="261"/>
      <c r="BR4560" s="261"/>
      <c r="BS4560" s="261"/>
      <c r="BT4560" s="261"/>
      <c r="BU4560" s="261"/>
      <c r="BV4560" s="261"/>
    </row>
    <row r="4561" spans="12:74">
      <c r="L4561" s="261"/>
      <c r="M4561" s="261"/>
      <c r="N4561" s="261"/>
      <c r="O4561" s="261"/>
      <c r="P4561" s="261"/>
      <c r="Q4561" s="261"/>
      <c r="BR4561" s="261"/>
      <c r="BS4561" s="261"/>
      <c r="BT4561" s="261"/>
      <c r="BU4561" s="261"/>
      <c r="BV4561" s="261"/>
    </row>
    <row r="4562" spans="12:74">
      <c r="L4562" s="261"/>
      <c r="M4562" s="261"/>
      <c r="N4562" s="261"/>
      <c r="O4562" s="261"/>
      <c r="P4562" s="261"/>
      <c r="Q4562" s="261"/>
      <c r="BR4562" s="261"/>
      <c r="BS4562" s="261"/>
      <c r="BT4562" s="261"/>
      <c r="BU4562" s="261"/>
      <c r="BV4562" s="261"/>
    </row>
    <row r="4563" spans="12:74">
      <c r="L4563" s="261"/>
      <c r="M4563" s="261"/>
      <c r="N4563" s="261"/>
      <c r="O4563" s="261"/>
      <c r="P4563" s="261"/>
      <c r="Q4563" s="261"/>
      <c r="BR4563" s="261"/>
      <c r="BS4563" s="261"/>
      <c r="BT4563" s="261"/>
      <c r="BU4563" s="261"/>
      <c r="BV4563" s="261"/>
    </row>
    <row r="4564" spans="12:74">
      <c r="L4564" s="261"/>
      <c r="M4564" s="261"/>
      <c r="N4564" s="261"/>
      <c r="O4564" s="261"/>
      <c r="P4564" s="261"/>
      <c r="Q4564" s="261"/>
      <c r="BR4564" s="261"/>
      <c r="BS4564" s="261"/>
      <c r="BT4564" s="261"/>
      <c r="BU4564" s="261"/>
      <c r="BV4564" s="261"/>
    </row>
    <row r="4565" spans="12:74">
      <c r="L4565" s="261"/>
      <c r="M4565" s="261"/>
      <c r="N4565" s="261"/>
      <c r="O4565" s="261"/>
      <c r="P4565" s="261"/>
      <c r="Q4565" s="261"/>
      <c r="BR4565" s="261"/>
      <c r="BS4565" s="261"/>
      <c r="BT4565" s="261"/>
      <c r="BU4565" s="261"/>
      <c r="BV4565" s="261"/>
    </row>
    <row r="4566" spans="12:74">
      <c r="L4566" s="261"/>
      <c r="M4566" s="261"/>
      <c r="N4566" s="261"/>
      <c r="O4566" s="261"/>
      <c r="P4566" s="261"/>
      <c r="Q4566" s="261"/>
      <c r="BR4566" s="261"/>
      <c r="BS4566" s="261"/>
      <c r="BT4566" s="261"/>
      <c r="BU4566" s="261"/>
      <c r="BV4566" s="261"/>
    </row>
    <row r="4567" spans="12:74">
      <c r="L4567" s="261"/>
      <c r="M4567" s="261"/>
      <c r="N4567" s="261"/>
      <c r="O4567" s="261"/>
      <c r="P4567" s="261"/>
      <c r="Q4567" s="261"/>
      <c r="BR4567" s="261"/>
      <c r="BS4567" s="261"/>
      <c r="BT4567" s="261"/>
      <c r="BU4567" s="261"/>
      <c r="BV4567" s="261"/>
    </row>
    <row r="4568" spans="12:74">
      <c r="L4568" s="261"/>
      <c r="M4568" s="261"/>
      <c r="N4568" s="261"/>
      <c r="O4568" s="261"/>
      <c r="P4568" s="261"/>
      <c r="Q4568" s="261"/>
      <c r="BR4568" s="261"/>
      <c r="BS4568" s="261"/>
      <c r="BT4568" s="261"/>
      <c r="BU4568" s="261"/>
      <c r="BV4568" s="261"/>
    </row>
    <row r="4569" spans="12:74">
      <c r="L4569" s="261"/>
      <c r="M4569" s="261"/>
      <c r="N4569" s="261"/>
      <c r="O4569" s="261"/>
      <c r="P4569" s="261"/>
      <c r="Q4569" s="261"/>
      <c r="BR4569" s="261"/>
      <c r="BS4569" s="261"/>
      <c r="BT4569" s="261"/>
      <c r="BU4569" s="261"/>
      <c r="BV4569" s="261"/>
    </row>
    <row r="4570" spans="12:74">
      <c r="L4570" s="261"/>
      <c r="M4570" s="261"/>
      <c r="N4570" s="261"/>
      <c r="O4570" s="261"/>
      <c r="P4570" s="261"/>
      <c r="Q4570" s="261"/>
      <c r="BR4570" s="261"/>
      <c r="BS4570" s="261"/>
      <c r="BT4570" s="261"/>
      <c r="BU4570" s="261"/>
      <c r="BV4570" s="261"/>
    </row>
    <row r="4571" spans="12:74">
      <c r="L4571" s="261"/>
      <c r="M4571" s="261"/>
      <c r="N4571" s="261"/>
      <c r="O4571" s="261"/>
      <c r="P4571" s="261"/>
      <c r="Q4571" s="261"/>
      <c r="BR4571" s="261"/>
      <c r="BS4571" s="261"/>
      <c r="BT4571" s="261"/>
      <c r="BU4571" s="261"/>
      <c r="BV4571" s="261"/>
    </row>
    <row r="4572" spans="12:74">
      <c r="L4572" s="261"/>
      <c r="M4572" s="261"/>
      <c r="N4572" s="261"/>
      <c r="O4572" s="261"/>
      <c r="P4572" s="261"/>
      <c r="Q4572" s="261"/>
      <c r="BR4572" s="261"/>
      <c r="BS4572" s="261"/>
      <c r="BT4572" s="261"/>
      <c r="BU4572" s="261"/>
      <c r="BV4572" s="261"/>
    </row>
    <row r="4573" spans="12:74">
      <c r="L4573" s="261"/>
      <c r="M4573" s="261"/>
      <c r="N4573" s="261"/>
      <c r="O4573" s="261"/>
      <c r="P4573" s="261"/>
      <c r="Q4573" s="261"/>
      <c r="BR4573" s="261"/>
      <c r="BS4573" s="261"/>
      <c r="BT4573" s="261"/>
      <c r="BU4573" s="261"/>
      <c r="BV4573" s="261"/>
    </row>
    <row r="4574" spans="12:74">
      <c r="L4574" s="261"/>
      <c r="M4574" s="261"/>
      <c r="N4574" s="261"/>
      <c r="O4574" s="261"/>
      <c r="P4574" s="261"/>
      <c r="Q4574" s="261"/>
      <c r="BR4574" s="261"/>
      <c r="BS4574" s="261"/>
      <c r="BT4574" s="261"/>
      <c r="BU4574" s="261"/>
      <c r="BV4574" s="261"/>
    </row>
    <row r="4575" spans="12:74">
      <c r="L4575" s="261"/>
      <c r="M4575" s="261"/>
      <c r="N4575" s="261"/>
      <c r="O4575" s="261"/>
      <c r="P4575" s="261"/>
      <c r="Q4575" s="261"/>
      <c r="BR4575" s="261"/>
      <c r="BS4575" s="261"/>
      <c r="BT4575" s="261"/>
      <c r="BU4575" s="261"/>
      <c r="BV4575" s="261"/>
    </row>
    <row r="4576" spans="12:74">
      <c r="L4576" s="261"/>
      <c r="M4576" s="261"/>
      <c r="N4576" s="261"/>
      <c r="O4576" s="261"/>
      <c r="P4576" s="261"/>
      <c r="Q4576" s="261"/>
      <c r="BR4576" s="261"/>
      <c r="BS4576" s="261"/>
      <c r="BT4576" s="261"/>
      <c r="BU4576" s="261"/>
      <c r="BV4576" s="261"/>
    </row>
    <row r="4577" spans="12:74">
      <c r="L4577" s="261"/>
      <c r="M4577" s="261"/>
      <c r="N4577" s="261"/>
      <c r="O4577" s="261"/>
      <c r="P4577" s="261"/>
      <c r="Q4577" s="261"/>
      <c r="BR4577" s="261"/>
      <c r="BS4577" s="261"/>
      <c r="BT4577" s="261"/>
      <c r="BU4577" s="261"/>
      <c r="BV4577" s="261"/>
    </row>
    <row r="4578" spans="12:74">
      <c r="L4578" s="261"/>
      <c r="M4578" s="261"/>
      <c r="N4578" s="261"/>
      <c r="O4578" s="261"/>
      <c r="P4578" s="261"/>
      <c r="Q4578" s="261"/>
      <c r="BR4578" s="261"/>
      <c r="BS4578" s="261"/>
      <c r="BT4578" s="261"/>
      <c r="BU4578" s="261"/>
      <c r="BV4578" s="261"/>
    </row>
    <row r="4579" spans="12:74">
      <c r="L4579" s="261"/>
      <c r="M4579" s="261"/>
      <c r="N4579" s="261"/>
      <c r="O4579" s="261"/>
      <c r="P4579" s="261"/>
      <c r="Q4579" s="261"/>
      <c r="BR4579" s="261"/>
      <c r="BS4579" s="261"/>
      <c r="BT4579" s="261"/>
      <c r="BU4579" s="261"/>
      <c r="BV4579" s="261"/>
    </row>
    <row r="4580" spans="12:74">
      <c r="L4580" s="261"/>
      <c r="M4580" s="261"/>
      <c r="N4580" s="261"/>
      <c r="O4580" s="261"/>
      <c r="P4580" s="261"/>
      <c r="Q4580" s="261"/>
      <c r="BR4580" s="261"/>
      <c r="BS4580" s="261"/>
      <c r="BT4580" s="261"/>
      <c r="BU4580" s="261"/>
      <c r="BV4580" s="261"/>
    </row>
    <row r="4581" spans="12:74">
      <c r="L4581" s="261"/>
      <c r="M4581" s="261"/>
      <c r="N4581" s="261"/>
      <c r="O4581" s="261"/>
      <c r="P4581" s="261"/>
      <c r="Q4581" s="261"/>
      <c r="BR4581" s="261"/>
      <c r="BS4581" s="261"/>
      <c r="BT4581" s="261"/>
      <c r="BU4581" s="261"/>
      <c r="BV4581" s="261"/>
    </row>
    <row r="4582" spans="12:74">
      <c r="L4582" s="261"/>
      <c r="M4582" s="261"/>
      <c r="N4582" s="261"/>
      <c r="O4582" s="261"/>
      <c r="P4582" s="261"/>
      <c r="Q4582" s="261"/>
      <c r="BR4582" s="261"/>
      <c r="BS4582" s="261"/>
      <c r="BT4582" s="261"/>
      <c r="BU4582" s="261"/>
      <c r="BV4582" s="261"/>
    </row>
    <row r="4583" spans="12:74">
      <c r="L4583" s="261"/>
      <c r="M4583" s="261"/>
      <c r="N4583" s="261"/>
      <c r="O4583" s="261"/>
      <c r="P4583" s="261"/>
      <c r="Q4583" s="261"/>
      <c r="BR4583" s="261"/>
      <c r="BS4583" s="261"/>
      <c r="BT4583" s="261"/>
      <c r="BU4583" s="261"/>
      <c r="BV4583" s="261"/>
    </row>
    <row r="4584" spans="12:74">
      <c r="L4584" s="261"/>
      <c r="M4584" s="261"/>
      <c r="N4584" s="261"/>
      <c r="O4584" s="261"/>
      <c r="P4584" s="261"/>
      <c r="Q4584" s="261"/>
      <c r="BR4584" s="261"/>
      <c r="BS4584" s="261"/>
      <c r="BT4584" s="261"/>
      <c r="BU4584" s="261"/>
      <c r="BV4584" s="261"/>
    </row>
    <row r="4585" spans="12:74">
      <c r="L4585" s="261"/>
      <c r="M4585" s="261"/>
      <c r="N4585" s="261"/>
      <c r="O4585" s="261"/>
      <c r="P4585" s="261"/>
      <c r="Q4585" s="261"/>
      <c r="BR4585" s="261"/>
      <c r="BS4585" s="261"/>
      <c r="BT4585" s="261"/>
      <c r="BU4585" s="261"/>
      <c r="BV4585" s="261"/>
    </row>
    <row r="4586" spans="12:74">
      <c r="L4586" s="261"/>
      <c r="M4586" s="261"/>
      <c r="N4586" s="261"/>
      <c r="O4586" s="261"/>
      <c r="P4586" s="261"/>
      <c r="Q4586" s="261"/>
      <c r="BR4586" s="261"/>
      <c r="BS4586" s="261"/>
      <c r="BT4586" s="261"/>
      <c r="BU4586" s="261"/>
      <c r="BV4586" s="261"/>
    </row>
    <row r="4587" spans="12:74">
      <c r="L4587" s="261"/>
      <c r="M4587" s="261"/>
      <c r="N4587" s="261"/>
      <c r="O4587" s="261"/>
      <c r="P4587" s="261"/>
      <c r="Q4587" s="261"/>
      <c r="BR4587" s="261"/>
      <c r="BS4587" s="261"/>
      <c r="BT4587" s="261"/>
      <c r="BU4587" s="261"/>
      <c r="BV4587" s="261"/>
    </row>
    <row r="4588" spans="12:74">
      <c r="L4588" s="261"/>
      <c r="M4588" s="261"/>
      <c r="N4588" s="261"/>
      <c r="O4588" s="261"/>
      <c r="P4588" s="261"/>
      <c r="Q4588" s="261"/>
      <c r="BR4588" s="261"/>
      <c r="BS4588" s="261"/>
      <c r="BT4588" s="261"/>
      <c r="BU4588" s="261"/>
      <c r="BV4588" s="261"/>
    </row>
    <row r="4589" spans="12:74">
      <c r="L4589" s="261"/>
      <c r="M4589" s="261"/>
      <c r="N4589" s="261"/>
      <c r="O4589" s="261"/>
      <c r="P4589" s="261"/>
      <c r="Q4589" s="261"/>
      <c r="BR4589" s="261"/>
      <c r="BS4589" s="261"/>
      <c r="BT4589" s="261"/>
      <c r="BU4589" s="261"/>
      <c r="BV4589" s="261"/>
    </row>
    <row r="4590" spans="12:74">
      <c r="L4590" s="261"/>
      <c r="M4590" s="261"/>
      <c r="N4590" s="261"/>
      <c r="O4590" s="261"/>
      <c r="P4590" s="261"/>
      <c r="Q4590" s="261"/>
      <c r="BR4590" s="261"/>
      <c r="BS4590" s="261"/>
      <c r="BT4590" s="261"/>
      <c r="BU4590" s="261"/>
      <c r="BV4590" s="261"/>
    </row>
    <row r="4591" spans="12:74">
      <c r="L4591" s="261"/>
      <c r="M4591" s="261"/>
      <c r="N4591" s="261"/>
      <c r="O4591" s="261"/>
      <c r="P4591" s="261"/>
      <c r="Q4591" s="261"/>
      <c r="BR4591" s="261"/>
      <c r="BS4591" s="261"/>
      <c r="BT4591" s="261"/>
      <c r="BU4591" s="261"/>
      <c r="BV4591" s="261"/>
    </row>
    <row r="4592" spans="12:74">
      <c r="L4592" s="261"/>
      <c r="M4592" s="261"/>
      <c r="N4592" s="261"/>
      <c r="O4592" s="261"/>
      <c r="P4592" s="261"/>
      <c r="Q4592" s="261"/>
      <c r="BR4592" s="261"/>
      <c r="BS4592" s="261"/>
      <c r="BT4592" s="261"/>
      <c r="BU4592" s="261"/>
      <c r="BV4592" s="261"/>
    </row>
    <row r="4593" spans="12:74">
      <c r="L4593" s="261"/>
      <c r="M4593" s="261"/>
      <c r="N4593" s="261"/>
      <c r="O4593" s="261"/>
      <c r="P4593" s="261"/>
      <c r="Q4593" s="261"/>
      <c r="BR4593" s="261"/>
      <c r="BS4593" s="261"/>
      <c r="BT4593" s="261"/>
      <c r="BU4593" s="261"/>
      <c r="BV4593" s="261"/>
    </row>
    <row r="4594" spans="12:74">
      <c r="L4594" s="261"/>
      <c r="M4594" s="261"/>
      <c r="N4594" s="261"/>
      <c r="O4594" s="261"/>
      <c r="P4594" s="261"/>
      <c r="Q4594" s="261"/>
      <c r="BR4594" s="261"/>
      <c r="BS4594" s="261"/>
      <c r="BT4594" s="261"/>
      <c r="BU4594" s="261"/>
      <c r="BV4594" s="261"/>
    </row>
    <row r="4595" spans="12:74">
      <c r="L4595" s="261"/>
      <c r="M4595" s="261"/>
      <c r="N4595" s="261"/>
      <c r="O4595" s="261"/>
      <c r="P4595" s="261"/>
      <c r="Q4595" s="261"/>
      <c r="BR4595" s="261"/>
      <c r="BS4595" s="261"/>
      <c r="BT4595" s="261"/>
      <c r="BU4595" s="261"/>
      <c r="BV4595" s="261"/>
    </row>
    <row r="4596" spans="12:74">
      <c r="L4596" s="261"/>
      <c r="M4596" s="261"/>
      <c r="N4596" s="261"/>
      <c r="O4596" s="261"/>
      <c r="P4596" s="261"/>
      <c r="Q4596" s="261"/>
      <c r="BR4596" s="261"/>
      <c r="BS4596" s="261"/>
      <c r="BT4596" s="261"/>
      <c r="BU4596" s="261"/>
      <c r="BV4596" s="261"/>
    </row>
    <row r="4597" spans="12:74">
      <c r="L4597" s="261"/>
      <c r="M4597" s="261"/>
      <c r="N4597" s="261"/>
      <c r="O4597" s="261"/>
      <c r="P4597" s="261"/>
      <c r="Q4597" s="261"/>
      <c r="BR4597" s="261"/>
      <c r="BS4597" s="261"/>
      <c r="BT4597" s="261"/>
      <c r="BU4597" s="261"/>
      <c r="BV4597" s="261"/>
    </row>
    <row r="4598" spans="12:74">
      <c r="L4598" s="261"/>
      <c r="M4598" s="261"/>
      <c r="N4598" s="261"/>
      <c r="O4598" s="261"/>
      <c r="P4598" s="261"/>
      <c r="Q4598" s="261"/>
      <c r="BR4598" s="261"/>
      <c r="BS4598" s="261"/>
      <c r="BT4598" s="261"/>
      <c r="BU4598" s="261"/>
      <c r="BV4598" s="261"/>
    </row>
    <row r="4599" spans="12:74">
      <c r="L4599" s="261"/>
      <c r="M4599" s="261"/>
      <c r="N4599" s="261"/>
      <c r="O4599" s="261"/>
      <c r="P4599" s="261"/>
      <c r="Q4599" s="261"/>
      <c r="BR4599" s="261"/>
      <c r="BS4599" s="261"/>
      <c r="BT4599" s="261"/>
      <c r="BU4599" s="261"/>
      <c r="BV4599" s="261"/>
    </row>
    <row r="4600" spans="12:74">
      <c r="L4600" s="261"/>
      <c r="M4600" s="261"/>
      <c r="N4600" s="261"/>
      <c r="O4600" s="261"/>
      <c r="P4600" s="261"/>
      <c r="Q4600" s="261"/>
      <c r="BR4600" s="261"/>
      <c r="BS4600" s="261"/>
      <c r="BT4600" s="261"/>
      <c r="BU4600" s="261"/>
      <c r="BV4600" s="261"/>
    </row>
    <row r="4601" spans="12:74">
      <c r="L4601" s="261"/>
      <c r="M4601" s="261"/>
      <c r="N4601" s="261"/>
      <c r="O4601" s="261"/>
      <c r="P4601" s="261"/>
      <c r="Q4601" s="261"/>
      <c r="BR4601" s="261"/>
      <c r="BS4601" s="261"/>
      <c r="BT4601" s="261"/>
      <c r="BU4601" s="261"/>
      <c r="BV4601" s="261"/>
    </row>
    <row r="4602" spans="12:74">
      <c r="L4602" s="261"/>
      <c r="M4602" s="261"/>
      <c r="N4602" s="261"/>
      <c r="O4602" s="261"/>
      <c r="P4602" s="261"/>
      <c r="Q4602" s="261"/>
      <c r="BR4602" s="261"/>
      <c r="BS4602" s="261"/>
      <c r="BT4602" s="261"/>
      <c r="BU4602" s="261"/>
      <c r="BV4602" s="261"/>
    </row>
    <row r="4603" spans="12:74">
      <c r="L4603" s="261"/>
      <c r="M4603" s="261"/>
      <c r="N4603" s="261"/>
      <c r="O4603" s="261"/>
      <c r="P4603" s="261"/>
      <c r="Q4603" s="261"/>
      <c r="BR4603" s="261"/>
      <c r="BS4603" s="261"/>
      <c r="BT4603" s="261"/>
      <c r="BU4603" s="261"/>
      <c r="BV4603" s="261"/>
    </row>
    <row r="4604" spans="12:74">
      <c r="L4604" s="261"/>
      <c r="M4604" s="261"/>
      <c r="N4604" s="261"/>
      <c r="O4604" s="261"/>
      <c r="P4604" s="261"/>
      <c r="Q4604" s="261"/>
      <c r="BR4604" s="261"/>
      <c r="BS4604" s="261"/>
      <c r="BT4604" s="261"/>
      <c r="BU4604" s="261"/>
      <c r="BV4604" s="261"/>
    </row>
    <row r="4605" spans="12:74">
      <c r="L4605" s="261"/>
      <c r="M4605" s="261"/>
      <c r="N4605" s="261"/>
      <c r="O4605" s="261"/>
      <c r="P4605" s="261"/>
      <c r="Q4605" s="261"/>
      <c r="BR4605" s="261"/>
      <c r="BS4605" s="261"/>
      <c r="BT4605" s="261"/>
      <c r="BU4605" s="261"/>
      <c r="BV4605" s="261"/>
    </row>
    <row r="4606" spans="12:74">
      <c r="L4606" s="261"/>
      <c r="M4606" s="261"/>
      <c r="N4606" s="261"/>
      <c r="O4606" s="261"/>
      <c r="P4606" s="261"/>
      <c r="Q4606" s="261"/>
      <c r="BR4606" s="261"/>
      <c r="BS4606" s="261"/>
      <c r="BT4606" s="261"/>
      <c r="BU4606" s="261"/>
      <c r="BV4606" s="261"/>
    </row>
    <row r="4607" spans="12:74">
      <c r="L4607" s="261"/>
      <c r="M4607" s="261"/>
      <c r="N4607" s="261"/>
      <c r="O4607" s="261"/>
      <c r="P4607" s="261"/>
      <c r="Q4607" s="261"/>
      <c r="BR4607" s="261"/>
      <c r="BS4607" s="261"/>
      <c r="BT4607" s="261"/>
      <c r="BU4607" s="261"/>
      <c r="BV4607" s="261"/>
    </row>
    <row r="4608" spans="12:74">
      <c r="L4608" s="261"/>
      <c r="M4608" s="261"/>
      <c r="N4608" s="261"/>
      <c r="O4608" s="261"/>
      <c r="P4608" s="261"/>
      <c r="Q4608" s="261"/>
      <c r="BR4608" s="261"/>
      <c r="BS4608" s="261"/>
      <c r="BT4608" s="261"/>
      <c r="BU4608" s="261"/>
      <c r="BV4608" s="261"/>
    </row>
    <row r="4609" spans="12:74">
      <c r="L4609" s="261"/>
      <c r="M4609" s="261"/>
      <c r="N4609" s="261"/>
      <c r="O4609" s="261"/>
      <c r="P4609" s="261"/>
      <c r="Q4609" s="261"/>
      <c r="BR4609" s="261"/>
      <c r="BS4609" s="261"/>
      <c r="BT4609" s="261"/>
      <c r="BU4609" s="261"/>
      <c r="BV4609" s="261"/>
    </row>
    <row r="4610" spans="12:74">
      <c r="L4610" s="261"/>
      <c r="M4610" s="261"/>
      <c r="N4610" s="261"/>
      <c r="O4610" s="261"/>
      <c r="P4610" s="261"/>
      <c r="Q4610" s="261"/>
      <c r="BR4610" s="261"/>
      <c r="BS4610" s="261"/>
      <c r="BT4610" s="261"/>
      <c r="BU4610" s="261"/>
      <c r="BV4610" s="261"/>
    </row>
    <row r="4611" spans="12:74">
      <c r="L4611" s="261"/>
      <c r="M4611" s="261"/>
      <c r="N4611" s="261"/>
      <c r="O4611" s="261"/>
      <c r="P4611" s="261"/>
      <c r="Q4611" s="261"/>
      <c r="BR4611" s="261"/>
      <c r="BS4611" s="261"/>
      <c r="BT4611" s="261"/>
      <c r="BU4611" s="261"/>
      <c r="BV4611" s="261"/>
    </row>
    <row r="4612" spans="12:74">
      <c r="L4612" s="261"/>
      <c r="M4612" s="261"/>
      <c r="N4612" s="261"/>
      <c r="O4612" s="261"/>
      <c r="P4612" s="261"/>
      <c r="Q4612" s="261"/>
      <c r="BR4612" s="261"/>
      <c r="BS4612" s="261"/>
      <c r="BT4612" s="261"/>
      <c r="BU4612" s="261"/>
      <c r="BV4612" s="261"/>
    </row>
    <row r="4613" spans="12:74">
      <c r="L4613" s="261"/>
      <c r="M4613" s="261"/>
      <c r="N4613" s="261"/>
      <c r="O4613" s="261"/>
      <c r="P4613" s="261"/>
      <c r="Q4613" s="261"/>
      <c r="BR4613" s="261"/>
      <c r="BS4613" s="261"/>
      <c r="BT4613" s="261"/>
      <c r="BU4613" s="261"/>
      <c r="BV4613" s="261"/>
    </row>
    <row r="4614" spans="12:74">
      <c r="L4614" s="261"/>
      <c r="M4614" s="261"/>
      <c r="N4614" s="261"/>
      <c r="O4614" s="261"/>
      <c r="P4614" s="261"/>
      <c r="Q4614" s="261"/>
      <c r="BR4614" s="261"/>
      <c r="BS4614" s="261"/>
      <c r="BT4614" s="261"/>
      <c r="BU4614" s="261"/>
      <c r="BV4614" s="261"/>
    </row>
    <row r="4615" spans="12:74">
      <c r="L4615" s="261"/>
      <c r="M4615" s="261"/>
      <c r="N4615" s="261"/>
      <c r="O4615" s="261"/>
      <c r="P4615" s="261"/>
      <c r="Q4615" s="261"/>
      <c r="BR4615" s="261"/>
      <c r="BS4615" s="261"/>
      <c r="BT4615" s="261"/>
      <c r="BU4615" s="261"/>
      <c r="BV4615" s="261"/>
    </row>
    <row r="4616" spans="12:74">
      <c r="L4616" s="261"/>
      <c r="M4616" s="261"/>
      <c r="N4616" s="261"/>
      <c r="O4616" s="261"/>
      <c r="P4616" s="261"/>
      <c r="Q4616" s="261"/>
      <c r="BR4616" s="261"/>
      <c r="BS4616" s="261"/>
      <c r="BT4616" s="261"/>
      <c r="BU4616" s="261"/>
      <c r="BV4616" s="261"/>
    </row>
    <row r="4617" spans="12:74">
      <c r="L4617" s="261"/>
      <c r="M4617" s="261"/>
      <c r="N4617" s="261"/>
      <c r="O4617" s="261"/>
      <c r="P4617" s="261"/>
      <c r="Q4617" s="261"/>
      <c r="BR4617" s="261"/>
      <c r="BS4617" s="261"/>
      <c r="BT4617" s="261"/>
      <c r="BU4617" s="261"/>
      <c r="BV4617" s="261"/>
    </row>
    <row r="4618" spans="12:74">
      <c r="L4618" s="261"/>
      <c r="M4618" s="261"/>
      <c r="N4618" s="261"/>
      <c r="O4618" s="261"/>
      <c r="P4618" s="261"/>
      <c r="Q4618" s="261"/>
      <c r="BR4618" s="261"/>
      <c r="BS4618" s="261"/>
      <c r="BT4618" s="261"/>
      <c r="BU4618" s="261"/>
      <c r="BV4618" s="261"/>
    </row>
    <row r="4619" spans="12:74">
      <c r="L4619" s="261"/>
      <c r="M4619" s="261"/>
      <c r="N4619" s="261"/>
      <c r="O4619" s="261"/>
      <c r="P4619" s="261"/>
      <c r="Q4619" s="261"/>
      <c r="BR4619" s="261"/>
      <c r="BS4619" s="261"/>
      <c r="BT4619" s="261"/>
      <c r="BU4619" s="261"/>
      <c r="BV4619" s="261"/>
    </row>
    <row r="4620" spans="12:74">
      <c r="L4620" s="261"/>
      <c r="M4620" s="261"/>
      <c r="N4620" s="261"/>
      <c r="O4620" s="261"/>
      <c r="P4620" s="261"/>
      <c r="Q4620" s="261"/>
      <c r="BR4620" s="261"/>
      <c r="BS4620" s="261"/>
      <c r="BT4620" s="261"/>
      <c r="BU4620" s="261"/>
      <c r="BV4620" s="261"/>
    </row>
    <row r="4621" spans="12:74">
      <c r="L4621" s="261"/>
      <c r="M4621" s="261"/>
      <c r="N4621" s="261"/>
      <c r="O4621" s="261"/>
      <c r="P4621" s="261"/>
      <c r="Q4621" s="261"/>
      <c r="BR4621" s="261"/>
      <c r="BS4621" s="261"/>
      <c r="BT4621" s="261"/>
      <c r="BU4621" s="261"/>
      <c r="BV4621" s="261"/>
    </row>
    <row r="4622" spans="12:74">
      <c r="L4622" s="261"/>
      <c r="M4622" s="261"/>
      <c r="N4622" s="261"/>
      <c r="O4622" s="261"/>
      <c r="P4622" s="261"/>
      <c r="Q4622" s="261"/>
      <c r="BR4622" s="261"/>
      <c r="BS4622" s="261"/>
      <c r="BT4622" s="261"/>
      <c r="BU4622" s="261"/>
      <c r="BV4622" s="261"/>
    </row>
    <row r="4623" spans="12:74">
      <c r="L4623" s="261"/>
      <c r="M4623" s="261"/>
      <c r="N4623" s="261"/>
      <c r="O4623" s="261"/>
      <c r="P4623" s="261"/>
      <c r="Q4623" s="261"/>
      <c r="BR4623" s="261"/>
      <c r="BS4623" s="261"/>
      <c r="BT4623" s="261"/>
      <c r="BU4623" s="261"/>
      <c r="BV4623" s="261"/>
    </row>
    <row r="4624" spans="12:74">
      <c r="L4624" s="261"/>
      <c r="M4624" s="261"/>
      <c r="N4624" s="261"/>
      <c r="O4624" s="261"/>
      <c r="P4624" s="261"/>
      <c r="Q4624" s="261"/>
      <c r="BR4624" s="261"/>
      <c r="BS4624" s="261"/>
      <c r="BT4624" s="261"/>
      <c r="BU4624" s="261"/>
      <c r="BV4624" s="261"/>
    </row>
    <row r="4625" spans="12:74">
      <c r="L4625" s="261"/>
      <c r="M4625" s="261"/>
      <c r="N4625" s="261"/>
      <c r="O4625" s="261"/>
      <c r="P4625" s="261"/>
      <c r="Q4625" s="261"/>
      <c r="BR4625" s="261"/>
      <c r="BS4625" s="261"/>
      <c r="BT4625" s="261"/>
      <c r="BU4625" s="261"/>
      <c r="BV4625" s="261"/>
    </row>
    <row r="4626" spans="12:74">
      <c r="L4626" s="261"/>
      <c r="M4626" s="261"/>
      <c r="N4626" s="261"/>
      <c r="O4626" s="261"/>
      <c r="P4626" s="261"/>
      <c r="Q4626" s="261"/>
      <c r="BR4626" s="261"/>
      <c r="BS4626" s="261"/>
      <c r="BT4626" s="261"/>
      <c r="BU4626" s="261"/>
      <c r="BV4626" s="261"/>
    </row>
    <row r="4627" spans="12:74">
      <c r="L4627" s="261"/>
      <c r="M4627" s="261"/>
      <c r="N4627" s="261"/>
      <c r="O4627" s="261"/>
      <c r="P4627" s="261"/>
      <c r="Q4627" s="261"/>
      <c r="BR4627" s="261"/>
      <c r="BS4627" s="261"/>
      <c r="BT4627" s="261"/>
      <c r="BU4627" s="261"/>
      <c r="BV4627" s="261"/>
    </row>
    <row r="4628" spans="12:74">
      <c r="L4628" s="261"/>
      <c r="M4628" s="261"/>
      <c r="N4628" s="261"/>
      <c r="O4628" s="261"/>
      <c r="P4628" s="261"/>
      <c r="Q4628" s="261"/>
      <c r="BR4628" s="261"/>
      <c r="BS4628" s="261"/>
      <c r="BT4628" s="261"/>
      <c r="BU4628" s="261"/>
      <c r="BV4628" s="261"/>
    </row>
    <row r="4629" spans="12:74">
      <c r="L4629" s="261"/>
      <c r="M4629" s="261"/>
      <c r="N4629" s="261"/>
      <c r="O4629" s="261"/>
      <c r="P4629" s="261"/>
      <c r="Q4629" s="261"/>
      <c r="BR4629" s="261"/>
      <c r="BS4629" s="261"/>
      <c r="BT4629" s="261"/>
      <c r="BU4629" s="261"/>
      <c r="BV4629" s="261"/>
    </row>
    <row r="4630" spans="12:74">
      <c r="L4630" s="261"/>
      <c r="M4630" s="261"/>
      <c r="N4630" s="261"/>
      <c r="O4630" s="261"/>
      <c r="P4630" s="261"/>
      <c r="Q4630" s="261"/>
      <c r="BR4630" s="261"/>
      <c r="BS4630" s="261"/>
      <c r="BT4630" s="261"/>
      <c r="BU4630" s="261"/>
      <c r="BV4630" s="261"/>
    </row>
    <row r="4631" spans="12:74">
      <c r="L4631" s="261"/>
      <c r="M4631" s="261"/>
      <c r="N4631" s="261"/>
      <c r="O4631" s="261"/>
      <c r="P4631" s="261"/>
      <c r="Q4631" s="261"/>
      <c r="BR4631" s="261"/>
      <c r="BS4631" s="261"/>
      <c r="BT4631" s="261"/>
      <c r="BU4631" s="261"/>
      <c r="BV4631" s="261"/>
    </row>
    <row r="4632" spans="12:74">
      <c r="L4632" s="261"/>
      <c r="M4632" s="261"/>
      <c r="N4632" s="261"/>
      <c r="O4632" s="261"/>
      <c r="P4632" s="261"/>
      <c r="Q4632" s="261"/>
      <c r="BR4632" s="261"/>
      <c r="BS4632" s="261"/>
      <c r="BT4632" s="261"/>
      <c r="BU4632" s="261"/>
      <c r="BV4632" s="261"/>
    </row>
    <row r="4633" spans="12:74">
      <c r="L4633" s="261"/>
      <c r="M4633" s="261"/>
      <c r="N4633" s="261"/>
      <c r="O4633" s="261"/>
      <c r="P4633" s="261"/>
      <c r="Q4633" s="261"/>
      <c r="BR4633" s="261"/>
      <c r="BS4633" s="261"/>
      <c r="BT4633" s="261"/>
      <c r="BU4633" s="261"/>
      <c r="BV4633" s="261"/>
    </row>
    <row r="4634" spans="12:74">
      <c r="L4634" s="261"/>
      <c r="M4634" s="261"/>
      <c r="N4634" s="261"/>
      <c r="O4634" s="261"/>
      <c r="P4634" s="261"/>
      <c r="Q4634" s="261"/>
      <c r="BR4634" s="261"/>
      <c r="BS4634" s="261"/>
      <c r="BT4634" s="261"/>
      <c r="BU4634" s="261"/>
      <c r="BV4634" s="261"/>
    </row>
    <row r="4635" spans="12:74">
      <c r="L4635" s="261"/>
      <c r="M4635" s="261"/>
      <c r="N4635" s="261"/>
      <c r="O4635" s="261"/>
      <c r="P4635" s="261"/>
      <c r="Q4635" s="261"/>
      <c r="BR4635" s="261"/>
      <c r="BS4635" s="261"/>
      <c r="BT4635" s="261"/>
      <c r="BU4635" s="261"/>
      <c r="BV4635" s="261"/>
    </row>
    <row r="4636" spans="12:74">
      <c r="L4636" s="261"/>
      <c r="M4636" s="261"/>
      <c r="N4636" s="261"/>
      <c r="O4636" s="261"/>
      <c r="P4636" s="261"/>
      <c r="Q4636" s="261"/>
      <c r="BR4636" s="261"/>
      <c r="BS4636" s="261"/>
      <c r="BT4636" s="261"/>
      <c r="BU4636" s="261"/>
      <c r="BV4636" s="261"/>
    </row>
    <row r="4637" spans="12:74">
      <c r="L4637" s="261"/>
      <c r="M4637" s="261"/>
      <c r="N4637" s="261"/>
      <c r="O4637" s="261"/>
      <c r="P4637" s="261"/>
      <c r="Q4637" s="261"/>
      <c r="BR4637" s="261"/>
      <c r="BS4637" s="261"/>
      <c r="BT4637" s="261"/>
      <c r="BU4637" s="261"/>
      <c r="BV4637" s="261"/>
    </row>
    <row r="4638" spans="12:74">
      <c r="L4638" s="261"/>
      <c r="M4638" s="261"/>
      <c r="N4638" s="261"/>
      <c r="O4638" s="261"/>
      <c r="P4638" s="261"/>
      <c r="Q4638" s="261"/>
      <c r="BR4638" s="261"/>
      <c r="BS4638" s="261"/>
      <c r="BT4638" s="261"/>
      <c r="BU4638" s="261"/>
      <c r="BV4638" s="261"/>
    </row>
    <row r="4639" spans="12:74">
      <c r="L4639" s="261"/>
      <c r="M4639" s="261"/>
      <c r="N4639" s="261"/>
      <c r="O4639" s="261"/>
      <c r="P4639" s="261"/>
      <c r="Q4639" s="261"/>
      <c r="BR4639" s="261"/>
      <c r="BS4639" s="261"/>
      <c r="BT4639" s="261"/>
      <c r="BU4639" s="261"/>
      <c r="BV4639" s="261"/>
    </row>
    <row r="4640" spans="12:74">
      <c r="L4640" s="261"/>
      <c r="M4640" s="261"/>
      <c r="N4640" s="261"/>
      <c r="O4640" s="261"/>
      <c r="P4640" s="261"/>
      <c r="Q4640" s="261"/>
      <c r="BR4640" s="261"/>
      <c r="BS4640" s="261"/>
      <c r="BT4640" s="261"/>
      <c r="BU4640" s="261"/>
      <c r="BV4640" s="261"/>
    </row>
    <row r="4641" spans="12:74">
      <c r="L4641" s="261"/>
      <c r="M4641" s="261"/>
      <c r="N4641" s="261"/>
      <c r="O4641" s="261"/>
      <c r="P4641" s="261"/>
      <c r="Q4641" s="261"/>
      <c r="BR4641" s="261"/>
      <c r="BS4641" s="261"/>
      <c r="BT4641" s="261"/>
      <c r="BU4641" s="261"/>
      <c r="BV4641" s="261"/>
    </row>
    <row r="4642" spans="12:74">
      <c r="L4642" s="261"/>
      <c r="M4642" s="261"/>
      <c r="N4642" s="261"/>
      <c r="O4642" s="261"/>
      <c r="P4642" s="261"/>
      <c r="Q4642" s="261"/>
      <c r="BR4642" s="261"/>
      <c r="BS4642" s="261"/>
      <c r="BT4642" s="261"/>
      <c r="BU4642" s="261"/>
      <c r="BV4642" s="261"/>
    </row>
    <row r="4643" spans="12:74">
      <c r="L4643" s="261"/>
      <c r="M4643" s="261"/>
      <c r="N4643" s="261"/>
      <c r="O4643" s="261"/>
      <c r="P4643" s="261"/>
      <c r="Q4643" s="261"/>
      <c r="BR4643" s="261"/>
      <c r="BS4643" s="261"/>
      <c r="BT4643" s="261"/>
      <c r="BU4643" s="261"/>
      <c r="BV4643" s="261"/>
    </row>
    <row r="4644" spans="12:74">
      <c r="L4644" s="261"/>
      <c r="M4644" s="261"/>
      <c r="N4644" s="261"/>
      <c r="O4644" s="261"/>
      <c r="P4644" s="261"/>
      <c r="Q4644" s="261"/>
      <c r="BR4644" s="261"/>
      <c r="BS4644" s="261"/>
      <c r="BT4644" s="261"/>
      <c r="BU4644" s="261"/>
      <c r="BV4644" s="261"/>
    </row>
    <row r="4645" spans="12:74">
      <c r="L4645" s="261"/>
      <c r="M4645" s="261"/>
      <c r="N4645" s="261"/>
      <c r="O4645" s="261"/>
      <c r="P4645" s="261"/>
      <c r="Q4645" s="261"/>
      <c r="BR4645" s="261"/>
      <c r="BS4645" s="261"/>
      <c r="BT4645" s="261"/>
      <c r="BU4645" s="261"/>
      <c r="BV4645" s="261"/>
    </row>
    <row r="4646" spans="12:74">
      <c r="L4646" s="261"/>
      <c r="M4646" s="261"/>
      <c r="N4646" s="261"/>
      <c r="O4646" s="261"/>
      <c r="P4646" s="261"/>
      <c r="Q4646" s="261"/>
      <c r="BR4646" s="261"/>
      <c r="BS4646" s="261"/>
      <c r="BT4646" s="261"/>
      <c r="BU4646" s="261"/>
      <c r="BV4646" s="261"/>
    </row>
    <row r="4647" spans="12:74">
      <c r="L4647" s="261"/>
      <c r="M4647" s="261"/>
      <c r="N4647" s="261"/>
      <c r="O4647" s="261"/>
      <c r="P4647" s="261"/>
      <c r="Q4647" s="261"/>
      <c r="BR4647" s="261"/>
      <c r="BS4647" s="261"/>
      <c r="BT4647" s="261"/>
      <c r="BU4647" s="261"/>
      <c r="BV4647" s="261"/>
    </row>
    <row r="4648" spans="12:74">
      <c r="L4648" s="261"/>
      <c r="M4648" s="261"/>
      <c r="N4648" s="261"/>
      <c r="O4648" s="261"/>
      <c r="P4648" s="261"/>
      <c r="Q4648" s="261"/>
      <c r="BR4648" s="261"/>
      <c r="BS4648" s="261"/>
      <c r="BT4648" s="261"/>
      <c r="BU4648" s="261"/>
      <c r="BV4648" s="261"/>
    </row>
    <row r="4649" spans="12:74">
      <c r="L4649" s="261"/>
      <c r="M4649" s="261"/>
      <c r="N4649" s="261"/>
      <c r="O4649" s="261"/>
      <c r="P4649" s="261"/>
      <c r="Q4649" s="261"/>
      <c r="BR4649" s="261"/>
      <c r="BS4649" s="261"/>
      <c r="BT4649" s="261"/>
      <c r="BU4649" s="261"/>
      <c r="BV4649" s="261"/>
    </row>
    <row r="4650" spans="12:74">
      <c r="L4650" s="261"/>
      <c r="M4650" s="261"/>
      <c r="N4650" s="261"/>
      <c r="O4650" s="261"/>
      <c r="P4650" s="261"/>
      <c r="Q4650" s="261"/>
      <c r="BR4650" s="261"/>
      <c r="BS4650" s="261"/>
      <c r="BT4650" s="261"/>
      <c r="BU4650" s="261"/>
      <c r="BV4650" s="261"/>
    </row>
    <row r="4651" spans="12:74">
      <c r="L4651" s="261"/>
      <c r="M4651" s="261"/>
      <c r="N4651" s="261"/>
      <c r="O4651" s="261"/>
      <c r="P4651" s="261"/>
      <c r="Q4651" s="261"/>
      <c r="BR4651" s="261"/>
      <c r="BS4651" s="261"/>
      <c r="BT4651" s="261"/>
      <c r="BU4651" s="261"/>
      <c r="BV4651" s="261"/>
    </row>
    <row r="4652" spans="12:74">
      <c r="L4652" s="261"/>
      <c r="M4652" s="261"/>
      <c r="N4652" s="261"/>
      <c r="O4652" s="261"/>
      <c r="P4652" s="261"/>
      <c r="Q4652" s="261"/>
      <c r="BR4652" s="261"/>
      <c r="BS4652" s="261"/>
      <c r="BT4652" s="261"/>
      <c r="BU4652" s="261"/>
      <c r="BV4652" s="261"/>
    </row>
    <row r="4653" spans="12:74">
      <c r="L4653" s="261"/>
      <c r="M4653" s="261"/>
      <c r="N4653" s="261"/>
      <c r="O4653" s="261"/>
      <c r="P4653" s="261"/>
      <c r="Q4653" s="261"/>
      <c r="BR4653" s="261"/>
      <c r="BS4653" s="261"/>
      <c r="BT4653" s="261"/>
      <c r="BU4653" s="261"/>
      <c r="BV4653" s="261"/>
    </row>
    <row r="4654" spans="12:74">
      <c r="L4654" s="261"/>
      <c r="M4654" s="261"/>
      <c r="N4654" s="261"/>
      <c r="O4654" s="261"/>
      <c r="P4654" s="261"/>
      <c r="Q4654" s="261"/>
      <c r="BR4654" s="261"/>
      <c r="BS4654" s="261"/>
      <c r="BT4654" s="261"/>
      <c r="BU4654" s="261"/>
      <c r="BV4654" s="261"/>
    </row>
    <row r="4655" spans="12:74">
      <c r="L4655" s="261"/>
      <c r="M4655" s="261"/>
      <c r="N4655" s="261"/>
      <c r="O4655" s="261"/>
      <c r="P4655" s="261"/>
      <c r="Q4655" s="261"/>
      <c r="BR4655" s="261"/>
      <c r="BS4655" s="261"/>
      <c r="BT4655" s="261"/>
      <c r="BU4655" s="261"/>
      <c r="BV4655" s="261"/>
    </row>
    <row r="4656" spans="12:74">
      <c r="L4656" s="261"/>
      <c r="M4656" s="261"/>
      <c r="N4656" s="261"/>
      <c r="O4656" s="261"/>
      <c r="P4656" s="261"/>
      <c r="Q4656" s="261"/>
      <c r="BR4656" s="261"/>
      <c r="BS4656" s="261"/>
      <c r="BT4656" s="261"/>
      <c r="BU4656" s="261"/>
      <c r="BV4656" s="261"/>
    </row>
    <row r="4657" spans="12:74">
      <c r="L4657" s="261"/>
      <c r="M4657" s="261"/>
      <c r="N4657" s="261"/>
      <c r="O4657" s="261"/>
      <c r="P4657" s="261"/>
      <c r="Q4657" s="261"/>
      <c r="BR4657" s="261"/>
      <c r="BS4657" s="261"/>
      <c r="BT4657" s="261"/>
      <c r="BU4657" s="261"/>
      <c r="BV4657" s="261"/>
    </row>
    <row r="4658" spans="12:74">
      <c r="L4658" s="261"/>
      <c r="M4658" s="261"/>
      <c r="N4658" s="261"/>
      <c r="O4658" s="261"/>
      <c r="P4658" s="261"/>
      <c r="Q4658" s="261"/>
      <c r="BR4658" s="261"/>
      <c r="BS4658" s="261"/>
      <c r="BT4658" s="261"/>
      <c r="BU4658" s="261"/>
      <c r="BV4658" s="261"/>
    </row>
    <row r="4659" spans="12:74">
      <c r="L4659" s="261"/>
      <c r="M4659" s="261"/>
      <c r="N4659" s="261"/>
      <c r="O4659" s="261"/>
      <c r="P4659" s="261"/>
      <c r="Q4659" s="261"/>
      <c r="BR4659" s="261"/>
      <c r="BS4659" s="261"/>
      <c r="BT4659" s="261"/>
      <c r="BU4659" s="261"/>
      <c r="BV4659" s="261"/>
    </row>
    <row r="4660" spans="12:74">
      <c r="L4660" s="261"/>
      <c r="M4660" s="261"/>
      <c r="N4660" s="261"/>
      <c r="O4660" s="261"/>
      <c r="P4660" s="261"/>
      <c r="Q4660" s="261"/>
      <c r="BR4660" s="261"/>
      <c r="BS4660" s="261"/>
      <c r="BT4660" s="261"/>
      <c r="BU4660" s="261"/>
      <c r="BV4660" s="261"/>
    </row>
    <row r="4661" spans="12:74">
      <c r="L4661" s="261"/>
      <c r="M4661" s="261"/>
      <c r="N4661" s="261"/>
      <c r="O4661" s="261"/>
      <c r="P4661" s="261"/>
      <c r="Q4661" s="261"/>
      <c r="BR4661" s="261"/>
      <c r="BS4661" s="261"/>
      <c r="BT4661" s="261"/>
      <c r="BU4661" s="261"/>
      <c r="BV4661" s="261"/>
    </row>
    <row r="4662" spans="12:74">
      <c r="L4662" s="261"/>
      <c r="M4662" s="261"/>
      <c r="N4662" s="261"/>
      <c r="O4662" s="261"/>
      <c r="P4662" s="261"/>
      <c r="Q4662" s="261"/>
      <c r="BR4662" s="261"/>
      <c r="BS4662" s="261"/>
      <c r="BT4662" s="261"/>
      <c r="BU4662" s="261"/>
      <c r="BV4662" s="261"/>
    </row>
    <row r="4663" spans="12:74">
      <c r="L4663" s="261"/>
      <c r="M4663" s="261"/>
      <c r="N4663" s="261"/>
      <c r="O4663" s="261"/>
      <c r="P4663" s="261"/>
      <c r="Q4663" s="261"/>
      <c r="BR4663" s="261"/>
      <c r="BS4663" s="261"/>
      <c r="BT4663" s="261"/>
      <c r="BU4663" s="261"/>
      <c r="BV4663" s="261"/>
    </row>
    <row r="4664" spans="12:74">
      <c r="L4664" s="261"/>
      <c r="M4664" s="261"/>
      <c r="N4664" s="261"/>
      <c r="O4664" s="261"/>
      <c r="P4664" s="261"/>
      <c r="Q4664" s="261"/>
      <c r="BR4664" s="261"/>
      <c r="BS4664" s="261"/>
      <c r="BT4664" s="261"/>
      <c r="BU4664" s="261"/>
      <c r="BV4664" s="261"/>
    </row>
    <row r="4665" spans="12:74">
      <c r="L4665" s="261"/>
      <c r="M4665" s="261"/>
      <c r="N4665" s="261"/>
      <c r="O4665" s="261"/>
      <c r="P4665" s="261"/>
      <c r="Q4665" s="261"/>
      <c r="BR4665" s="261"/>
      <c r="BS4665" s="261"/>
      <c r="BT4665" s="261"/>
      <c r="BU4665" s="261"/>
      <c r="BV4665" s="261"/>
    </row>
    <row r="4666" spans="12:74">
      <c r="L4666" s="261"/>
      <c r="M4666" s="261"/>
      <c r="N4666" s="261"/>
      <c r="O4666" s="261"/>
      <c r="P4666" s="261"/>
      <c r="Q4666" s="261"/>
      <c r="BR4666" s="261"/>
      <c r="BS4666" s="261"/>
      <c r="BT4666" s="261"/>
      <c r="BU4666" s="261"/>
      <c r="BV4666" s="261"/>
    </row>
    <row r="4667" spans="12:74">
      <c r="L4667" s="261"/>
      <c r="M4667" s="261"/>
      <c r="N4667" s="261"/>
      <c r="O4667" s="261"/>
      <c r="P4667" s="261"/>
      <c r="Q4667" s="261"/>
      <c r="BR4667" s="261"/>
      <c r="BS4667" s="261"/>
      <c r="BT4667" s="261"/>
      <c r="BU4667" s="261"/>
      <c r="BV4667" s="261"/>
    </row>
    <row r="4668" spans="12:74">
      <c r="L4668" s="261"/>
      <c r="M4668" s="261"/>
      <c r="N4668" s="261"/>
      <c r="O4668" s="261"/>
      <c r="P4668" s="261"/>
      <c r="Q4668" s="261"/>
      <c r="BR4668" s="261"/>
      <c r="BS4668" s="261"/>
      <c r="BT4668" s="261"/>
      <c r="BU4668" s="261"/>
      <c r="BV4668" s="261"/>
    </row>
    <row r="4669" spans="12:74">
      <c r="L4669" s="261"/>
      <c r="M4669" s="261"/>
      <c r="N4669" s="261"/>
      <c r="O4669" s="261"/>
      <c r="P4669" s="261"/>
      <c r="Q4669" s="261"/>
      <c r="BR4669" s="261"/>
      <c r="BS4669" s="261"/>
      <c r="BT4669" s="261"/>
      <c r="BU4669" s="261"/>
      <c r="BV4669" s="261"/>
    </row>
    <row r="4670" spans="12:74">
      <c r="L4670" s="261"/>
      <c r="M4670" s="261"/>
      <c r="N4670" s="261"/>
      <c r="O4670" s="261"/>
      <c r="P4670" s="261"/>
      <c r="Q4670" s="261"/>
      <c r="BR4670" s="261"/>
      <c r="BS4670" s="261"/>
      <c r="BT4670" s="261"/>
      <c r="BU4670" s="261"/>
      <c r="BV4670" s="261"/>
    </row>
    <row r="4671" spans="12:74">
      <c r="L4671" s="261"/>
      <c r="M4671" s="261"/>
      <c r="N4671" s="261"/>
      <c r="O4671" s="261"/>
      <c r="P4671" s="261"/>
      <c r="Q4671" s="261"/>
      <c r="BR4671" s="261"/>
      <c r="BS4671" s="261"/>
      <c r="BT4671" s="261"/>
      <c r="BU4671" s="261"/>
      <c r="BV4671" s="261"/>
    </row>
    <row r="4672" spans="12:74">
      <c r="L4672" s="261"/>
      <c r="M4672" s="261"/>
      <c r="N4672" s="261"/>
      <c r="O4672" s="261"/>
      <c r="P4672" s="261"/>
      <c r="Q4672" s="261"/>
      <c r="BR4672" s="261"/>
      <c r="BS4672" s="261"/>
      <c r="BT4672" s="261"/>
      <c r="BU4672" s="261"/>
      <c r="BV4672" s="261"/>
    </row>
    <row r="4673" spans="12:74">
      <c r="L4673" s="261"/>
      <c r="M4673" s="261"/>
      <c r="N4673" s="261"/>
      <c r="O4673" s="261"/>
      <c r="P4673" s="261"/>
      <c r="Q4673" s="261"/>
      <c r="BR4673" s="261"/>
      <c r="BS4673" s="261"/>
      <c r="BT4673" s="261"/>
      <c r="BU4673" s="261"/>
      <c r="BV4673" s="261"/>
    </row>
    <row r="4674" spans="12:74">
      <c r="L4674" s="261"/>
      <c r="M4674" s="261"/>
      <c r="N4674" s="261"/>
      <c r="O4674" s="261"/>
      <c r="P4674" s="261"/>
      <c r="Q4674" s="261"/>
      <c r="BR4674" s="261"/>
      <c r="BS4674" s="261"/>
      <c r="BT4674" s="261"/>
      <c r="BU4674" s="261"/>
      <c r="BV4674" s="261"/>
    </row>
    <row r="4675" spans="12:74">
      <c r="L4675" s="261"/>
      <c r="M4675" s="261"/>
      <c r="N4675" s="261"/>
      <c r="O4675" s="261"/>
      <c r="P4675" s="261"/>
      <c r="Q4675" s="261"/>
      <c r="BR4675" s="261"/>
      <c r="BS4675" s="261"/>
      <c r="BT4675" s="261"/>
      <c r="BU4675" s="261"/>
      <c r="BV4675" s="261"/>
    </row>
    <row r="4676" spans="12:74">
      <c r="L4676" s="261"/>
      <c r="M4676" s="261"/>
      <c r="N4676" s="261"/>
      <c r="O4676" s="261"/>
      <c r="P4676" s="261"/>
      <c r="Q4676" s="261"/>
      <c r="BR4676" s="261"/>
      <c r="BS4676" s="261"/>
      <c r="BT4676" s="261"/>
      <c r="BU4676" s="261"/>
      <c r="BV4676" s="261"/>
    </row>
    <row r="4677" spans="12:74">
      <c r="L4677" s="261"/>
      <c r="M4677" s="261"/>
      <c r="N4677" s="261"/>
      <c r="O4677" s="261"/>
      <c r="P4677" s="261"/>
      <c r="Q4677" s="261"/>
      <c r="BR4677" s="261"/>
      <c r="BS4677" s="261"/>
      <c r="BT4677" s="261"/>
      <c r="BU4677" s="261"/>
      <c r="BV4677" s="261"/>
    </row>
    <row r="4678" spans="12:74">
      <c r="L4678" s="261"/>
      <c r="M4678" s="261"/>
      <c r="N4678" s="261"/>
      <c r="O4678" s="261"/>
      <c r="P4678" s="261"/>
      <c r="Q4678" s="261"/>
      <c r="BR4678" s="261"/>
      <c r="BS4678" s="261"/>
      <c r="BT4678" s="261"/>
      <c r="BU4678" s="261"/>
      <c r="BV4678" s="261"/>
    </row>
    <row r="4679" spans="12:74">
      <c r="L4679" s="261"/>
      <c r="M4679" s="261"/>
      <c r="N4679" s="261"/>
      <c r="O4679" s="261"/>
      <c r="P4679" s="261"/>
      <c r="Q4679" s="261"/>
      <c r="BR4679" s="261"/>
      <c r="BS4679" s="261"/>
      <c r="BT4679" s="261"/>
      <c r="BU4679" s="261"/>
      <c r="BV4679" s="261"/>
    </row>
    <row r="4680" spans="12:74">
      <c r="L4680" s="261"/>
      <c r="M4680" s="261"/>
      <c r="N4680" s="261"/>
      <c r="O4680" s="261"/>
      <c r="P4680" s="261"/>
      <c r="Q4680" s="261"/>
      <c r="BR4680" s="261"/>
      <c r="BS4680" s="261"/>
      <c r="BT4680" s="261"/>
      <c r="BU4680" s="261"/>
      <c r="BV4680" s="261"/>
    </row>
    <row r="4681" spans="12:74">
      <c r="L4681" s="261"/>
      <c r="M4681" s="261"/>
      <c r="N4681" s="261"/>
      <c r="O4681" s="261"/>
      <c r="P4681" s="261"/>
      <c r="Q4681" s="261"/>
      <c r="BR4681" s="261"/>
      <c r="BS4681" s="261"/>
      <c r="BT4681" s="261"/>
      <c r="BU4681" s="261"/>
      <c r="BV4681" s="261"/>
    </row>
    <row r="4682" spans="12:74">
      <c r="L4682" s="261"/>
      <c r="M4682" s="261"/>
      <c r="N4682" s="261"/>
      <c r="O4682" s="261"/>
      <c r="P4682" s="261"/>
      <c r="Q4682" s="261"/>
      <c r="BR4682" s="261"/>
      <c r="BS4682" s="261"/>
      <c r="BT4682" s="261"/>
      <c r="BU4682" s="261"/>
      <c r="BV4682" s="261"/>
    </row>
    <row r="4683" spans="12:74">
      <c r="L4683" s="261"/>
      <c r="M4683" s="261"/>
      <c r="N4683" s="261"/>
      <c r="O4683" s="261"/>
      <c r="P4683" s="261"/>
      <c r="Q4683" s="261"/>
      <c r="BR4683" s="261"/>
      <c r="BS4683" s="261"/>
      <c r="BT4683" s="261"/>
      <c r="BU4683" s="261"/>
      <c r="BV4683" s="261"/>
    </row>
    <row r="4684" spans="12:74">
      <c r="L4684" s="261"/>
      <c r="M4684" s="261"/>
      <c r="N4684" s="261"/>
      <c r="O4684" s="261"/>
      <c r="P4684" s="261"/>
      <c r="Q4684" s="261"/>
      <c r="BR4684" s="261"/>
      <c r="BS4684" s="261"/>
      <c r="BT4684" s="261"/>
      <c r="BU4684" s="261"/>
      <c r="BV4684" s="261"/>
    </row>
    <row r="4685" spans="12:74">
      <c r="L4685" s="261"/>
      <c r="M4685" s="261"/>
      <c r="N4685" s="261"/>
      <c r="O4685" s="261"/>
      <c r="P4685" s="261"/>
      <c r="Q4685" s="261"/>
      <c r="BR4685" s="261"/>
      <c r="BS4685" s="261"/>
      <c r="BT4685" s="261"/>
      <c r="BU4685" s="261"/>
      <c r="BV4685" s="261"/>
    </row>
    <row r="4686" spans="12:74">
      <c r="L4686" s="261"/>
      <c r="M4686" s="261"/>
      <c r="N4686" s="261"/>
      <c r="O4686" s="261"/>
      <c r="P4686" s="261"/>
      <c r="Q4686" s="261"/>
      <c r="BR4686" s="261"/>
      <c r="BS4686" s="261"/>
      <c r="BT4686" s="261"/>
      <c r="BU4686" s="261"/>
      <c r="BV4686" s="261"/>
    </row>
    <row r="4687" spans="12:74">
      <c r="L4687" s="261"/>
      <c r="M4687" s="261"/>
      <c r="N4687" s="261"/>
      <c r="O4687" s="261"/>
      <c r="P4687" s="261"/>
      <c r="Q4687" s="261"/>
      <c r="BR4687" s="261"/>
      <c r="BS4687" s="261"/>
      <c r="BT4687" s="261"/>
      <c r="BU4687" s="261"/>
      <c r="BV4687" s="261"/>
    </row>
    <row r="4688" spans="12:74">
      <c r="L4688" s="261"/>
      <c r="M4688" s="261"/>
      <c r="N4688" s="261"/>
      <c r="O4688" s="261"/>
      <c r="P4688" s="261"/>
      <c r="Q4688" s="261"/>
      <c r="BR4688" s="261"/>
      <c r="BS4688" s="261"/>
      <c r="BT4688" s="261"/>
      <c r="BU4688" s="261"/>
      <c r="BV4688" s="261"/>
    </row>
    <row r="4689" spans="12:74">
      <c r="L4689" s="261"/>
      <c r="M4689" s="261"/>
      <c r="N4689" s="261"/>
      <c r="O4689" s="261"/>
      <c r="P4689" s="261"/>
      <c r="Q4689" s="261"/>
      <c r="BR4689" s="261"/>
      <c r="BS4689" s="261"/>
      <c r="BT4689" s="261"/>
      <c r="BU4689" s="261"/>
      <c r="BV4689" s="261"/>
    </row>
    <row r="4690" spans="12:74">
      <c r="L4690" s="261"/>
      <c r="M4690" s="261"/>
      <c r="N4690" s="261"/>
      <c r="O4690" s="261"/>
      <c r="P4690" s="261"/>
      <c r="Q4690" s="261"/>
      <c r="BR4690" s="261"/>
      <c r="BS4690" s="261"/>
      <c r="BT4690" s="261"/>
      <c r="BU4690" s="261"/>
      <c r="BV4690" s="261"/>
    </row>
    <row r="4691" spans="12:74">
      <c r="L4691" s="261"/>
      <c r="M4691" s="261"/>
      <c r="N4691" s="261"/>
      <c r="O4691" s="261"/>
      <c r="P4691" s="261"/>
      <c r="Q4691" s="261"/>
      <c r="BR4691" s="261"/>
      <c r="BS4691" s="261"/>
      <c r="BT4691" s="261"/>
      <c r="BU4691" s="261"/>
      <c r="BV4691" s="261"/>
    </row>
    <row r="4692" spans="12:74">
      <c r="L4692" s="261"/>
      <c r="M4692" s="261"/>
      <c r="N4692" s="261"/>
      <c r="O4692" s="261"/>
      <c r="P4692" s="261"/>
      <c r="Q4692" s="261"/>
      <c r="BR4692" s="261"/>
      <c r="BS4692" s="261"/>
      <c r="BT4692" s="261"/>
      <c r="BU4692" s="261"/>
      <c r="BV4692" s="261"/>
    </row>
    <row r="4693" spans="12:74">
      <c r="L4693" s="261"/>
      <c r="M4693" s="261"/>
      <c r="N4693" s="261"/>
      <c r="O4693" s="261"/>
      <c r="P4693" s="261"/>
      <c r="Q4693" s="261"/>
      <c r="BR4693" s="261"/>
      <c r="BS4693" s="261"/>
      <c r="BT4693" s="261"/>
      <c r="BU4693" s="261"/>
      <c r="BV4693" s="261"/>
    </row>
    <row r="4694" spans="12:74">
      <c r="L4694" s="261"/>
      <c r="M4694" s="261"/>
      <c r="N4694" s="261"/>
      <c r="O4694" s="261"/>
      <c r="P4694" s="261"/>
      <c r="Q4694" s="261"/>
      <c r="BR4694" s="261"/>
      <c r="BS4694" s="261"/>
      <c r="BT4694" s="261"/>
      <c r="BU4694" s="261"/>
      <c r="BV4694" s="261"/>
    </row>
  </sheetData>
  <phoneticPr fontId="298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V89"/>
  <sheetViews>
    <sheetView showGridLines="0" topLeftCell="A15" zoomScale="95" zoomScaleNormal="95" workbookViewId="0">
      <selection activeCell="A28" sqref="A28:C34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3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3.85546875" style="124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9" ht="37.5" customHeight="1">
      <c r="B1" s="930" t="s">
        <v>1080</v>
      </c>
      <c r="C1" s="1019"/>
      <c r="D1" s="931"/>
      <c r="E1" s="931"/>
      <c r="F1" s="1129" t="s">
        <v>873</v>
      </c>
      <c r="G1" s="1130">
        <f ca="1">LnkTXTIRTEco</f>
        <v>6.4000000000000001E-2</v>
      </c>
    </row>
    <row r="2" spans="2:19" ht="23.25" customHeight="1">
      <c r="B2" s="136" t="str">
        <f>CAPA!C9</f>
        <v>Cedri</v>
      </c>
      <c r="C2" s="70"/>
      <c r="D2" s="70"/>
      <c r="E2" s="70"/>
      <c r="F2" s="120" t="s">
        <v>877</v>
      </c>
      <c r="G2" s="121">
        <f ca="1">LnkTXTIRTTotal</f>
        <v>-0.14050000000000001</v>
      </c>
    </row>
    <row r="3" spans="2:19" ht="16.5">
      <c r="B3" s="71" t="s">
        <v>684</v>
      </c>
      <c r="K3" s="71" t="s">
        <v>1081</v>
      </c>
      <c r="P3" s="9" t="s">
        <v>1082</v>
      </c>
    </row>
    <row r="4" spans="2:19">
      <c r="B4" s="1177" t="s">
        <v>778</v>
      </c>
      <c r="C4" s="1177" t="s">
        <v>695</v>
      </c>
      <c r="D4" s="1177" t="s">
        <v>696</v>
      </c>
      <c r="G4" s="68"/>
      <c r="H4" s="124"/>
      <c r="K4" s="1177" t="s">
        <v>895</v>
      </c>
      <c r="L4" s="1177" t="s">
        <v>695</v>
      </c>
      <c r="M4" s="1177" t="s">
        <v>898</v>
      </c>
      <c r="P4" s="68" t="s">
        <v>1083</v>
      </c>
    </row>
    <row r="5" spans="2:19">
      <c r="B5" s="1178" t="s">
        <v>1084</v>
      </c>
      <c r="C5" s="1179">
        <f ca="1">C6+C9</f>
        <v>12598.010667271907</v>
      </c>
      <c r="D5" s="1179">
        <f ca="1">SUM(D6,D9)</f>
        <v>12598.010667271907</v>
      </c>
      <c r="G5" s="68"/>
      <c r="K5" s="68" t="s">
        <v>781</v>
      </c>
      <c r="L5" s="92">
        <f ca="1">M5</f>
        <v>11101.367000000004</v>
      </c>
      <c r="M5" s="139">
        <f ca="1">FornecimentoE</f>
        <v>11101.367000000004</v>
      </c>
      <c r="P5" s="68" t="s">
        <v>1085</v>
      </c>
    </row>
    <row r="6" spans="2:19">
      <c r="B6" s="1180" t="s">
        <v>1086</v>
      </c>
      <c r="C6" s="1181">
        <f ca="1">LnkTXTEV</f>
        <v>11101.367000000004</v>
      </c>
      <c r="D6" s="1181">
        <f ca="1">SUM(D7:D8)</f>
        <v>11101.367000000004</v>
      </c>
      <c r="F6" s="1451">
        <f ca="1">C24/LnkTXTEV-1</f>
        <v>0.13481615978211536</v>
      </c>
      <c r="G6" s="68"/>
      <c r="K6" s="68" t="s">
        <v>790</v>
      </c>
      <c r="L6" s="92">
        <f t="shared" ref="L6:L9" ca="1" si="0">M6</f>
        <v>0</v>
      </c>
      <c r="M6" s="139">
        <f ca="1">DSUM(MercadoBase,"TUSD_E",INDIRECT("Mercado_Criterio"&amp;Calc_Mercado!B17))</f>
        <v>0</v>
      </c>
      <c r="P6" s="68" t="s">
        <v>1087</v>
      </c>
    </row>
    <row r="7" spans="2:19">
      <c r="B7" s="143" t="s">
        <v>781</v>
      </c>
      <c r="C7" s="144">
        <f ca="1">LnkTXTF</f>
        <v>11101.367000000004</v>
      </c>
      <c r="D7" s="144">
        <f ca="1">M5</f>
        <v>11101.367000000004</v>
      </c>
      <c r="G7" s="68"/>
      <c r="K7" s="68" t="s">
        <v>1088</v>
      </c>
      <c r="L7" s="92">
        <f t="shared" ca="1" si="0"/>
        <v>10902.100999999999</v>
      </c>
      <c r="M7" s="139">
        <f ca="1">LivreE</f>
        <v>10902.100999999999</v>
      </c>
      <c r="P7" s="68" t="s">
        <v>1089</v>
      </c>
    </row>
    <row r="8" spans="2:19">
      <c r="B8" s="143" t="s">
        <v>790</v>
      </c>
      <c r="C8" s="144">
        <f ca="1">D8</f>
        <v>0</v>
      </c>
      <c r="D8" s="144">
        <f ca="1">M6</f>
        <v>0</v>
      </c>
      <c r="G8" s="68"/>
      <c r="K8" s="68" t="s">
        <v>878</v>
      </c>
      <c r="L8" s="92">
        <f t="shared" ca="1" si="0"/>
        <v>0</v>
      </c>
      <c r="M8" s="139">
        <f ca="1">LivreE_A1</f>
        <v>0</v>
      </c>
      <c r="P8" s="68" t="s">
        <v>1090</v>
      </c>
    </row>
    <row r="9" spans="2:19">
      <c r="B9" s="1180" t="s">
        <v>1091</v>
      </c>
      <c r="C9" s="1181">
        <f ca="1">SUM(C10:C13)</f>
        <v>1496.6436672719026</v>
      </c>
      <c r="D9" s="1181">
        <f ca="1">SUM(D10:D13)</f>
        <v>1496.6436672719026</v>
      </c>
      <c r="G9" s="68"/>
      <c r="K9" s="784" t="s">
        <v>1092</v>
      </c>
      <c r="L9" s="1556">
        <f t="shared" ca="1" si="0"/>
        <v>8123.6500000000042</v>
      </c>
      <c r="M9" s="1182">
        <f ca="1">FornecimentoE_BT</f>
        <v>8123.6500000000042</v>
      </c>
      <c r="P9" s="68" t="s">
        <v>1093</v>
      </c>
    </row>
    <row r="10" spans="2:19">
      <c r="B10" s="1189" t="s">
        <v>1109</v>
      </c>
      <c r="C10" s="144">
        <f ca="1">L16</f>
        <v>0</v>
      </c>
      <c r="D10" s="144">
        <f ca="1">N16</f>
        <v>0</v>
      </c>
      <c r="G10" s="68"/>
      <c r="J10" s="124"/>
      <c r="P10" s="79"/>
    </row>
    <row r="11" spans="2:19">
      <c r="B11" s="139" t="s">
        <v>1115</v>
      </c>
      <c r="C11" s="144">
        <f ca="1">L17</f>
        <v>1496.6436672719026</v>
      </c>
      <c r="D11" s="144">
        <f ca="1">N17</f>
        <v>1496.6436672719026</v>
      </c>
      <c r="G11" s="68"/>
      <c r="K11" s="71" t="s">
        <v>1095</v>
      </c>
      <c r="L11" s="71"/>
      <c r="M11" s="125"/>
      <c r="P11" s="68" t="s">
        <v>1096</v>
      </c>
      <c r="Q11" s="492">
        <f ca="1">M20/(D6+M20)</f>
        <v>0.22475583339554298</v>
      </c>
      <c r="R11" s="69">
        <f ca="1">Q11*($M$24+LnkTXTGPM)</f>
        <v>0</v>
      </c>
    </row>
    <row r="12" spans="2:19">
      <c r="B12" s="143" t="s">
        <v>1094</v>
      </c>
      <c r="C12" s="144">
        <f ca="1">L18</f>
        <v>0</v>
      </c>
      <c r="D12" s="144">
        <f ca="1">N18</f>
        <v>0</v>
      </c>
      <c r="E12" s="72"/>
      <c r="G12" s="72"/>
      <c r="K12" s="145" t="s">
        <v>778</v>
      </c>
      <c r="L12" s="145" t="s">
        <v>695</v>
      </c>
      <c r="M12" s="1183" t="s">
        <v>1098</v>
      </c>
      <c r="N12" s="1184" t="s">
        <v>29</v>
      </c>
      <c r="P12" s="68" t="s">
        <v>1099</v>
      </c>
      <c r="Q12" s="393">
        <v>0.1389</v>
      </c>
      <c r="R12" s="69"/>
      <c r="S12" s="140"/>
    </row>
    <row r="13" spans="2:19">
      <c r="B13" s="143" t="s">
        <v>1097</v>
      </c>
      <c r="C13" s="144">
        <f ca="1">L18+L19</f>
        <v>0</v>
      </c>
      <c r="D13" s="144">
        <f ca="1">N19</f>
        <v>0</v>
      </c>
      <c r="E13" s="91"/>
      <c r="F13" s="91"/>
      <c r="G13" s="91"/>
      <c r="K13" s="68" t="s">
        <v>1101</v>
      </c>
      <c r="L13" s="393">
        <f>VLOOKUP("PERDAS NÃO TÉCNICAS",DRA_CM_Perdas[#All],3,FALSE)</f>
        <v>0</v>
      </c>
      <c r="M13" s="393">
        <f>CAPA!H30</f>
        <v>0</v>
      </c>
      <c r="N13" s="464">
        <f ca="1">IFERROR(IF($M$21&lt;$M$20,M13,($M$20/$M$21)*M13),0)</f>
        <v>0</v>
      </c>
      <c r="P13" s="68" t="s">
        <v>1102</v>
      </c>
      <c r="Q13" s="492">
        <f ca="1">IF(Q11&lt;Q12,Q11,(IF(Q11=0,0,Q11*0.75+Q12*0.25)))</f>
        <v>0.20329187504665724</v>
      </c>
      <c r="R13" s="69">
        <f ca="1">($M$5+$M$6-$M$8)*Q13/(1-Q13)</f>
        <v>2832.6781694905517</v>
      </c>
    </row>
    <row r="14" spans="2:19">
      <c r="B14" s="1185" t="s">
        <v>1100</v>
      </c>
      <c r="C14" s="1186">
        <f>VLOOKUP("custo Médio",DRA_CM_Perdas[#All],3,FALSE)</f>
        <v>281.41153489737098</v>
      </c>
      <c r="D14" s="1186">
        <f ca="1">IFERROR(E24,0)</f>
        <v>268.83520177034228</v>
      </c>
      <c r="E14" s="127"/>
      <c r="F14" s="127"/>
      <c r="G14" s="127"/>
      <c r="K14" s="68" t="s">
        <v>1104</v>
      </c>
      <c r="L14" s="393">
        <f>VLOOKUP("PERDAS TÉCNICAS",DRA_CM_Perdas[#All],3,FALSE)</f>
        <v>0.1188</v>
      </c>
      <c r="M14" s="393">
        <f>IF(CAPA!H29=0,CAPA!K34,CAPA!H29)</f>
        <v>0.1188</v>
      </c>
      <c r="N14" s="393">
        <f ca="1">IFERROR(N17/((M5+M6-M8+N16)+N17),0)</f>
        <v>0.1188</v>
      </c>
      <c r="P14" s="68" t="s">
        <v>1105</v>
      </c>
      <c r="Q14" s="492">
        <f ca="1">(M17+M16)/(M16+M17+M5+M6)</f>
        <v>0.1188</v>
      </c>
      <c r="R14" s="69">
        <f ca="1">IF(CAPA!H33="",(M5+M6-M8)/(1-M14)*M14,CAPA!H33)+IF(CAPA!H34="",M13*M9,CAPA!H34)</f>
        <v>1496.6436672719026</v>
      </c>
    </row>
    <row r="15" spans="2:19">
      <c r="B15" s="1187" t="s">
        <v>1103</v>
      </c>
      <c r="C15" s="1188">
        <f ca="1">C14*C5</f>
        <v>3545225.5185304401</v>
      </c>
      <c r="D15" s="1188">
        <f ca="1">D14*D5</f>
        <v>3386788.7396409675</v>
      </c>
      <c r="E15" s="79"/>
      <c r="F15" s="72"/>
      <c r="G15" s="126"/>
      <c r="K15" s="784" t="s">
        <v>1106</v>
      </c>
      <c r="L15" s="1733">
        <f>VLOOKUP("PERDAS NA RB (sobre as perdas na D)",DRA_CM_Perdas[#All],3,FALSE)</f>
        <v>0</v>
      </c>
      <c r="M15" s="1452">
        <f>IF(CAPA!H31=0,0,CAPA!H31)</f>
        <v>0</v>
      </c>
      <c r="N15" s="1557">
        <f ca="1">IFERROR(M22/(M5+M6+M23+N17+N16),0)</f>
        <v>0</v>
      </c>
      <c r="P15" s="68" t="s">
        <v>1107</v>
      </c>
      <c r="Q15" s="79">
        <f ca="1">IF(Q14&lt;Q13,Q14,Q13)</f>
        <v>0.1188</v>
      </c>
      <c r="R15" s="69">
        <f ca="1">IF(R14&lt;R13,R14,R13)</f>
        <v>1496.6436672719026</v>
      </c>
      <c r="S15" s="79">
        <f ca="1">R15/(M5+R15)</f>
        <v>0.1188</v>
      </c>
    </row>
    <row r="16" spans="2:19">
      <c r="K16" s="1189" t="s">
        <v>1109</v>
      </c>
      <c r="L16" s="1189">
        <f ca="1">L13*L9</f>
        <v>0</v>
      </c>
      <c r="M16" s="1189">
        <f ca="1">IF(CAPA!H34="",M13*M9,CAPA!H34)</f>
        <v>0</v>
      </c>
      <c r="N16" s="465">
        <f ca="1">IF($M$21&lt;$M$20,M16,($M$20/$M$21)*M16)</f>
        <v>0</v>
      </c>
      <c r="P16" s="140" t="s">
        <v>1110</v>
      </c>
      <c r="Q16" s="79">
        <f ca="1">IF(Q15&gt;Q12,Q12,Q15)</f>
        <v>0.1188</v>
      </c>
      <c r="R16" s="69">
        <f ca="1">($M$5+$M$6-$M$8+R15)*Q16</f>
        <v>1496.6436672719026</v>
      </c>
    </row>
    <row r="17" spans="1:22">
      <c r="B17" s="128" t="s">
        <v>1108</v>
      </c>
      <c r="C17" s="129"/>
      <c r="D17" s="130"/>
      <c r="E17" s="130"/>
      <c r="F17" s="130"/>
      <c r="K17" s="139" t="s">
        <v>1115</v>
      </c>
      <c r="L17" s="139">
        <f ca="1">(L5+L6-L8+L16)/(1-L14)*L14</f>
        <v>1496.6436672719026</v>
      </c>
      <c r="M17" s="139">
        <f ca="1">IF(CAPA!H33="",(M5+M6-M8+M16)/(1-M14)*M14,CAPA!H33)</f>
        <v>1496.6436672719026</v>
      </c>
      <c r="N17" s="465">
        <f ca="1">IF($M$21&lt;$M$20,M17,($M$20/$M$21)*M17)+M23</f>
        <v>1496.6436672719026</v>
      </c>
      <c r="O17" s="140"/>
      <c r="P17" s="68" t="s">
        <v>1116</v>
      </c>
      <c r="Q17" s="393">
        <f ca="1">Q15-Q16</f>
        <v>0</v>
      </c>
      <c r="R17" s="69">
        <f ca="1">R15-R16</f>
        <v>0</v>
      </c>
    </row>
    <row r="18" spans="1:22">
      <c r="B18" s="1177" t="s">
        <v>1111</v>
      </c>
      <c r="C18" s="1177" t="s">
        <v>1112</v>
      </c>
      <c r="D18" s="1177"/>
      <c r="E18" s="1177" t="s">
        <v>1113</v>
      </c>
      <c r="F18" s="1177" t="s">
        <v>1114</v>
      </c>
      <c r="G18" s="761"/>
      <c r="H18" s="763"/>
      <c r="I18" s="132"/>
      <c r="K18" s="139" t="s">
        <v>1094</v>
      </c>
      <c r="L18" s="465">
        <f ca="1">SUM(L16:L17)*L15</f>
        <v>0</v>
      </c>
      <c r="M18" s="465"/>
      <c r="N18" s="1478">
        <f ca="1">(N16+N17)*N15</f>
        <v>0</v>
      </c>
      <c r="P18" s="68" t="s">
        <v>1117</v>
      </c>
      <c r="Q18" s="79">
        <f ca="1">R17/M9</f>
        <v>0</v>
      </c>
    </row>
    <row r="19" spans="1:22">
      <c r="B19" s="78" t="s">
        <v>215</v>
      </c>
      <c r="C19" s="760">
        <f ca="1">IFERROR(C70*N30,0)</f>
        <v>0</v>
      </c>
      <c r="D19" s="122"/>
      <c r="E19" s="122">
        <f>CAPA!E58</f>
        <v>0</v>
      </c>
      <c r="F19" s="77">
        <f ca="1">C19*E19</f>
        <v>0</v>
      </c>
      <c r="G19" s="762"/>
      <c r="H19" s="763"/>
      <c r="K19" s="1182" t="s">
        <v>1097</v>
      </c>
      <c r="L19" s="1453">
        <f ca="1">(L5+L6)*L15</f>
        <v>0</v>
      </c>
      <c r="M19" s="1453"/>
      <c r="N19" s="1479">
        <f ca="1">(M5+M6)*N15</f>
        <v>0</v>
      </c>
      <c r="Q19" s="140"/>
    </row>
    <row r="20" spans="1:22">
      <c r="B20" s="78" t="s">
        <v>47</v>
      </c>
      <c r="C20" s="251" cm="1">
        <f t="array" ref="C20">TabEnergiaProinfa[MWh]</f>
        <v>372.66056208124905</v>
      </c>
      <c r="D20" s="88"/>
      <c r="E20" s="88">
        <v>0</v>
      </c>
      <c r="F20" s="77">
        <v>0</v>
      </c>
      <c r="G20" s="762"/>
      <c r="H20" s="763"/>
      <c r="J20" s="132"/>
      <c r="K20" s="139" t="s">
        <v>1118</v>
      </c>
      <c r="L20" s="139"/>
      <c r="M20" s="139">
        <f>'Perdas de Energia'!I18</f>
        <v>3218.465999999999</v>
      </c>
      <c r="N20" s="465"/>
      <c r="O20" s="140"/>
    </row>
    <row r="21" spans="1:22">
      <c r="B21" s="78" t="str">
        <f>B63</f>
        <v>Angra</v>
      </c>
      <c r="C21" s="251">
        <f ca="1">C63*N30</f>
        <v>0</v>
      </c>
      <c r="D21" s="88"/>
      <c r="E21" s="88">
        <f>E63</f>
        <v>0</v>
      </c>
      <c r="F21" s="77">
        <f ca="1">E21*C21</f>
        <v>0</v>
      </c>
      <c r="G21" s="762"/>
      <c r="H21" s="763"/>
      <c r="K21" s="1182" t="s">
        <v>1119</v>
      </c>
      <c r="L21" s="1182"/>
      <c r="M21" s="1182">
        <f ca="1">M16+M17</f>
        <v>1496.6436672719026</v>
      </c>
      <c r="N21" s="1453"/>
    </row>
    <row r="22" spans="1:22">
      <c r="B22" s="78" t="str">
        <f>B64</f>
        <v>CCGF</v>
      </c>
      <c r="C22" s="251">
        <f ca="1">(C64+C65)*N30</f>
        <v>0</v>
      </c>
      <c r="D22" s="88"/>
      <c r="E22" s="88">
        <f>IFERROR((F64+F65)/(C64+C65),0)</f>
        <v>0</v>
      </c>
      <c r="F22" s="77">
        <f ca="1">E22*C22</f>
        <v>0</v>
      </c>
      <c r="G22" s="762"/>
      <c r="H22" s="763"/>
      <c r="K22" s="68" t="s">
        <v>2053</v>
      </c>
      <c r="M22" s="72">
        <f>SUMIFS(TabPerdaDIT[Valor],TabPerdaDIT[Dados de perda],"Perdas RB")</f>
        <v>0</v>
      </c>
    </row>
    <row r="23" spans="1:22">
      <c r="B23" s="78" t="s">
        <v>1120</v>
      </c>
      <c r="C23" s="251">
        <f ca="1">IF(J60=0,E35,(J48+J60))*N30</f>
        <v>12225.350105190657</v>
      </c>
      <c r="D23" s="88"/>
      <c r="E23" s="88">
        <f ca="1">IF(K60=0,H35,(N48+N60)/(M48+M60))</f>
        <v>277.02999999999997</v>
      </c>
      <c r="F23" s="77">
        <f ca="1">E23*C23</f>
        <v>3386788.7396409675</v>
      </c>
      <c r="G23" s="762"/>
      <c r="H23" s="763"/>
      <c r="K23" s="68" t="s">
        <v>2130</v>
      </c>
      <c r="M23" s="72">
        <f>SUMIFS(TabPerdaDIT[Valor],TabPerdaDIT[Dados de perda],"Perdas DITs")</f>
        <v>0</v>
      </c>
    </row>
    <row r="24" spans="1:22" ht="27.75" customHeight="1">
      <c r="B24" s="1190" t="s">
        <v>1121</v>
      </c>
      <c r="C24" s="1191">
        <f ca="1">SUM(C19:C23)</f>
        <v>12598.010667271907</v>
      </c>
      <c r="D24" s="1192"/>
      <c r="E24" s="1192">
        <f ca="1">IF(SUM(C19:C23)=0,0,SUM(F19:F23)/SUM(C19:C23))</f>
        <v>268.83520177034228</v>
      </c>
      <c r="F24" s="1193">
        <f ca="1">SUM(F19:F23)</f>
        <v>3386788.7396409675</v>
      </c>
      <c r="G24" s="762"/>
      <c r="H24" s="807"/>
      <c r="J24" s="72"/>
      <c r="K24" s="1578"/>
      <c r="L24" s="1578"/>
      <c r="M24" s="1194"/>
    </row>
    <row r="25" spans="1:22">
      <c r="E25" s="92"/>
      <c r="F25" s="133"/>
      <c r="G25" s="126"/>
      <c r="H25" s="72"/>
      <c r="I25" s="72"/>
      <c r="J25" s="72"/>
      <c r="K25" s="100"/>
      <c r="L25" s="100"/>
      <c r="M25" s="287"/>
      <c r="N25" s="1579"/>
    </row>
    <row r="26" spans="1:22">
      <c r="A26" s="74"/>
      <c r="B26" s="838" t="s">
        <v>2052</v>
      </c>
      <c r="F26" s="90"/>
      <c r="G26" s="90"/>
      <c r="H26" s="72"/>
      <c r="I26" s="72"/>
      <c r="K26" s="100"/>
      <c r="L26" s="100"/>
      <c r="M26" s="287"/>
    </row>
    <row r="27" spans="1:22" ht="24" customHeight="1">
      <c r="B27" s="1195" t="s">
        <v>27</v>
      </c>
      <c r="C27" s="1195" t="s">
        <v>875</v>
      </c>
      <c r="D27" s="1195" t="s">
        <v>1122</v>
      </c>
      <c r="E27" s="1195" t="s">
        <v>898</v>
      </c>
      <c r="F27" s="1195" t="s">
        <v>1123</v>
      </c>
      <c r="G27" s="1196" t="s">
        <v>1124</v>
      </c>
      <c r="H27" s="1196" t="s">
        <v>1125</v>
      </c>
      <c r="I27" s="1196" t="s">
        <v>1126</v>
      </c>
      <c r="K27" s="128"/>
      <c r="L27" s="1580"/>
      <c r="M27" s="100"/>
      <c r="N27" s="100"/>
    </row>
    <row r="28" spans="1:22">
      <c r="A28" s="74">
        <v>385</v>
      </c>
      <c r="B28" s="512" t="s">
        <v>2328</v>
      </c>
      <c r="C28" s="512" t="s">
        <v>2038</v>
      </c>
      <c r="D28" s="512">
        <f>IF(B28="","",SUMIFS(Faturas!V:V,Faturas!U:U,"Consumo*",Faturas!S:S,Energia!C28,Faturas!R:R,Energia!B28))</f>
        <v>13938374</v>
      </c>
      <c r="E28" s="512">
        <f t="shared" ref="E28:E34" si="1">IF(B28="","",D28/1000)</f>
        <v>13938.374</v>
      </c>
      <c r="F28" s="600">
        <f>I28</f>
        <v>0</v>
      </c>
      <c r="G28" s="513">
        <f>IFERROR(VLOOKUP(CONCATENATE(A28,A78),BD!$H$43:$S$59,12,FALSE),"")</f>
        <v>277.02999999999997</v>
      </c>
      <c r="H28" s="513">
        <f t="shared" ref="H28:H34" si="2">IF(B28="","",IFERROR(G28*(1-F28),0))</f>
        <v>277.02999999999997</v>
      </c>
      <c r="I28" s="511">
        <f>SUMIFS(DescontoEnergia[Desconto],DescontoEnergia[idSupridora],Energia!A28,DescontoEnergia[Nível],Energia!C28)</f>
        <v>0</v>
      </c>
      <c r="K28" s="71" t="s">
        <v>1127</v>
      </c>
      <c r="P28" s="68" t="s">
        <v>898</v>
      </c>
      <c r="Q28" s="68" t="s">
        <v>1123</v>
      </c>
      <c r="R28" s="68" t="s">
        <v>1124</v>
      </c>
      <c r="S28" s="68" t="s">
        <v>1125</v>
      </c>
      <c r="T28" s="68" t="s">
        <v>1126</v>
      </c>
    </row>
    <row r="29" spans="1:22" ht="16.5">
      <c r="A29" s="74"/>
      <c r="B29" s="512"/>
      <c r="C29" s="512"/>
      <c r="D29" s="512" t="str">
        <f>IF(B29="","",SUMIFS(Faturas!V:V,Faturas!U:U,"Consumo*",Faturas!S:S,Energia!C29,Faturas!R:R,Energia!B29))</f>
        <v/>
      </c>
      <c r="E29" s="512" t="str">
        <f t="shared" si="1"/>
        <v/>
      </c>
      <c r="F29" s="600">
        <f t="shared" ref="F29:F32" si="3">I29</f>
        <v>0</v>
      </c>
      <c r="G29" s="513" t="str">
        <f>IFERROR(VLOOKUP(CONCATENATE(A29,A79),BD!$H$43:$S$59,12,FALSE),"")</f>
        <v/>
      </c>
      <c r="H29" s="513" t="str">
        <f t="shared" si="2"/>
        <v/>
      </c>
      <c r="I29" s="511">
        <f>SUMIFS(DescontoEnergia[Desconto],DescontoEnergia[idSupridora],Energia!A29,DescontoEnergia[Nível],Energia!C29)</f>
        <v>0</v>
      </c>
      <c r="K29" s="1197" t="s">
        <v>22</v>
      </c>
      <c r="L29" s="1198" t="s">
        <v>1128</v>
      </c>
      <c r="M29" s="1198" t="s">
        <v>1129</v>
      </c>
      <c r="N29" s="1199" t="s">
        <v>1130</v>
      </c>
      <c r="O29" s="128"/>
      <c r="P29" s="68">
        <v>88939.902920000008</v>
      </c>
      <c r="Q29" s="68">
        <f>Q30</f>
        <v>0.63819999999999999</v>
      </c>
      <c r="R29" s="68">
        <v>273.60000000000002</v>
      </c>
      <c r="S29" s="513">
        <f ca="1">IF(M30="","",IFERROR(R29*(1-Q29),0))</f>
        <v>98.98848000000001</v>
      </c>
      <c r="T29" s="140">
        <f ca="1">S29*P29</f>
        <v>8804025.801398363</v>
      </c>
      <c r="U29" s="68">
        <f>R29*P29</f>
        <v>24333957.438912004</v>
      </c>
      <c r="V29" s="140">
        <f ca="1">U29-T29</f>
        <v>15529931.637513641</v>
      </c>
    </row>
    <row r="30" spans="1:22">
      <c r="A30" s="74"/>
      <c r="B30" s="512"/>
      <c r="C30" s="512"/>
      <c r="D30" s="512" t="str">
        <f>IF(B30="","",SUMIFS(Faturas!V:V,Faturas!U:U,"Consumo*",Faturas!S:S,Energia!C30,Faturas!R:R,Energia!B30))</f>
        <v/>
      </c>
      <c r="E30" s="512" t="str">
        <f t="shared" si="1"/>
        <v/>
      </c>
      <c r="F30" s="600">
        <f t="shared" si="3"/>
        <v>0</v>
      </c>
      <c r="G30" s="513" t="str">
        <f>IFERROR(VLOOKUP(CONCATENATE(A30,A80),BD!$H$43:$S$59,12,FALSE),"")</f>
        <v/>
      </c>
      <c r="H30" s="513" t="str">
        <f t="shared" si="2"/>
        <v/>
      </c>
      <c r="I30" s="511">
        <f>SUMIFS(DescontoEnergia[Desconto],DescontoEnergia[idSupridora],Energia!A30,DescontoEnergia[Nível],Energia!C30)</f>
        <v>0</v>
      </c>
      <c r="K30" s="68" t="s">
        <v>1131</v>
      </c>
      <c r="L30" s="140">
        <f>IF(J60=0,E35,(J48+J60))+C63+C64+C65+C70</f>
        <v>13938.374</v>
      </c>
      <c r="M30" s="92">
        <f ca="1">LnkTXTER-LnkTXTProinfa</f>
        <v>12225.350105190657</v>
      </c>
      <c r="N30" s="210">
        <f ca="1">M30/L30</f>
        <v>0.87710016284472325</v>
      </c>
      <c r="O30" s="128"/>
      <c r="P30" s="68">
        <v>121096.97702999999</v>
      </c>
      <c r="Q30" s="68">
        <v>0.63819999999999999</v>
      </c>
      <c r="R30" s="68">
        <v>273.60000000000002</v>
      </c>
      <c r="S30" s="513" t="str">
        <f>IF(J28="","",IFERROR(R30*(1-Q30),0))</f>
        <v/>
      </c>
      <c r="T30" s="140" t="e">
        <f t="shared" ref="T30" si="4">S30*P30</f>
        <v>#VALUE!</v>
      </c>
      <c r="U30" s="68">
        <f t="shared" ref="U30" si="5">R30*P30</f>
        <v>33132132.915408</v>
      </c>
      <c r="V30" s="140" t="e">
        <f t="shared" ref="V30:V31" si="6">U30-T30</f>
        <v>#VALUE!</v>
      </c>
    </row>
    <row r="31" spans="1:22" ht="15.75">
      <c r="A31" s="74"/>
      <c r="B31" s="512"/>
      <c r="C31" s="512"/>
      <c r="D31" s="512" t="str">
        <f>IF(B31="","",SUMIFS(Faturas!V:V,Faturas!U:U,"Consumo*",Faturas!S:S,Energia!C31,Faturas!R:R,Energia!B31))</f>
        <v/>
      </c>
      <c r="E31" s="512" t="str">
        <f t="shared" si="1"/>
        <v/>
      </c>
      <c r="F31" s="600">
        <f t="shared" si="3"/>
        <v>0</v>
      </c>
      <c r="G31" s="513" t="str">
        <f>IFERROR(VLOOKUP(CONCATENATE(A31,A81),BD!$H$43:$S$59,12,FALSE),"")</f>
        <v/>
      </c>
      <c r="H31" s="513" t="str">
        <f t="shared" si="2"/>
        <v/>
      </c>
      <c r="I31" s="511">
        <f>SUMIFS(DescontoEnergia[Desconto],DescontoEnergia[idSupridora],Energia!A31,DescontoEnergia[Nível],Energia!C31)</f>
        <v>0</v>
      </c>
      <c r="K31" s="792"/>
      <c r="L31" s="794"/>
      <c r="M31" s="793"/>
      <c r="N31" s="795"/>
      <c r="O31" s="128"/>
      <c r="P31" s="68">
        <v>252593.90320000003</v>
      </c>
      <c r="Q31" s="68">
        <v>0.53600000000000003</v>
      </c>
      <c r="R31" s="68">
        <v>273.60000000000002</v>
      </c>
      <c r="S31" s="513" t="str">
        <f>IF(J29="","",IFERROR(R31*(1-Q31),0))</f>
        <v/>
      </c>
      <c r="T31" s="140" t="e">
        <f>S31*P31</f>
        <v>#VALUE!</v>
      </c>
      <c r="U31" s="68">
        <f>R31*P31</f>
        <v>69109691.915520012</v>
      </c>
      <c r="V31" s="140" t="e">
        <f t="shared" si="6"/>
        <v>#VALUE!</v>
      </c>
    </row>
    <row r="32" spans="1:22" ht="15.75">
      <c r="A32" s="74"/>
      <c r="B32" s="512"/>
      <c r="C32" s="512"/>
      <c r="D32" s="512" t="str">
        <f>IF(B32="","",SUMIFS(Faturas!V:V,Faturas!U:U,"Consumo*",Faturas!S:S,Energia!C32,Faturas!R:R,Energia!B32))</f>
        <v/>
      </c>
      <c r="E32" s="512" t="str">
        <f t="shared" si="1"/>
        <v/>
      </c>
      <c r="F32" s="600">
        <f t="shared" si="3"/>
        <v>0</v>
      </c>
      <c r="G32" s="513" t="str">
        <f>IFERROR(VLOOKUP(CONCATENATE(A32,A82),BD!$H$43:$S$59,12,FALSE),"")</f>
        <v/>
      </c>
      <c r="H32" s="513" t="str">
        <f t="shared" si="2"/>
        <v/>
      </c>
      <c r="I32" s="511">
        <f>SUMIFS(DescontoEnergia[Desconto],DescontoEnergia[idSupridora],Energia!A32,DescontoEnergia[Nível],Energia!C32)</f>
        <v>0</v>
      </c>
      <c r="K32" s="1801"/>
      <c r="L32" s="1801"/>
      <c r="M32" s="796"/>
      <c r="N32" s="796"/>
      <c r="P32" s="68" t="s">
        <v>114</v>
      </c>
      <c r="Q32" s="68" t="s">
        <v>114</v>
      </c>
      <c r="R32" s="68" t="s">
        <v>114</v>
      </c>
      <c r="S32" s="68" t="s">
        <v>114</v>
      </c>
      <c r="T32" s="140" t="e">
        <f ca="1">SUM(T29:T31)</f>
        <v>#VALUE!</v>
      </c>
      <c r="V32" s="140" t="e">
        <f ca="1">SUM(V29:V31)</f>
        <v>#VALUE!</v>
      </c>
    </row>
    <row r="33" spans="1:22" ht="16.5" customHeight="1">
      <c r="A33" s="74"/>
      <c r="B33" s="512"/>
      <c r="C33" s="512"/>
      <c r="D33" s="512"/>
      <c r="E33" s="512" t="str">
        <f t="shared" si="1"/>
        <v/>
      </c>
      <c r="F33" s="600" t="str">
        <f>IF(B33="","",I33)</f>
        <v/>
      </c>
      <c r="G33" s="513" t="str">
        <f>IFERROR(VLOOKUP(CONCATENATE(A33,A83),BD!$H$43:$S$59,12,FALSE),"")</f>
        <v/>
      </c>
      <c r="H33" s="513" t="str">
        <f t="shared" si="2"/>
        <v/>
      </c>
      <c r="I33" s="511">
        <f>SUMIFS(DescontoEnergia[Desconto],DescontoEnergia[idSupridora],Energia!A33,DescontoEnergia[Nível],Energia!C33)</f>
        <v>0</v>
      </c>
      <c r="K33" s="797"/>
      <c r="L33" s="798"/>
      <c r="M33" s="796"/>
      <c r="N33" s="794"/>
      <c r="O33" s="128"/>
      <c r="P33" s="68" t="s">
        <v>114</v>
      </c>
      <c r="Q33" s="68" t="s">
        <v>114</v>
      </c>
      <c r="R33" s="68" t="s">
        <v>114</v>
      </c>
      <c r="S33" s="68" t="s">
        <v>114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12"/>
      <c r="C34" s="512"/>
      <c r="D34" s="512" t="str">
        <f>IF(B34="","",SUMIFS(Faturas!V:V,Faturas!U:U,"Consumo*",Faturas!S:S,Energia!C34,Faturas!R:R,Energia!B34))</f>
        <v/>
      </c>
      <c r="E34" s="512" t="str">
        <f t="shared" si="1"/>
        <v/>
      </c>
      <c r="F34" s="600" t="str">
        <f>IF(B34="","",I34)</f>
        <v/>
      </c>
      <c r="G34" s="513" t="str">
        <f>IFERROR(VLOOKUP(CONCATENATE(A34,A84),BD!$H$43:$S$59,12,FALSE),"")</f>
        <v/>
      </c>
      <c r="H34" s="513" t="str">
        <f t="shared" si="2"/>
        <v/>
      </c>
      <c r="I34" s="511">
        <f>SUMIFS(DescontoEnergia[Desconto],DescontoEnergia[idSupridora],Energia!A34,DescontoEnergia[Nível],Energia!C34)</f>
        <v>0</v>
      </c>
      <c r="K34" s="1558" t="s">
        <v>2163</v>
      </c>
      <c r="L34" s="1559"/>
      <c r="M34" s="746"/>
      <c r="N34" s="100"/>
      <c r="O34" s="128"/>
      <c r="V34" s="140" t="e">
        <f ca="1">V32+V33</f>
        <v>#VALUE!</v>
      </c>
    </row>
    <row r="35" spans="1:22" ht="14.25" customHeight="1">
      <c r="A35" s="74"/>
      <c r="B35" s="730"/>
      <c r="C35" s="731"/>
      <c r="D35" s="732">
        <f>SUM(D28:D34)</f>
        <v>13938374</v>
      </c>
      <c r="E35" s="732">
        <f>SUM(E28:E34)</f>
        <v>13938.374</v>
      </c>
      <c r="F35" s="729"/>
      <c r="G35" s="726">
        <f>IFERROR(SUMPRODUCT(G28:G34,E28:E34)/SUM(E28:E34),0)</f>
        <v>277.02999999999997</v>
      </c>
      <c r="H35" s="727">
        <f>IFERROR(SUMPRODUCT(H28:H34,E28:E34)/SUM(E28:E34),0)</f>
        <v>277.02999999999997</v>
      </c>
      <c r="I35" s="726"/>
      <c r="K35" s="1560" t="s">
        <v>2164</v>
      </c>
      <c r="L35" s="1561">
        <f ca="1">(L16+L17+L18+L19)/LnkTXTEV</f>
        <v>0.13481615978211531</v>
      </c>
      <c r="M35" s="746"/>
      <c r="N35" s="747"/>
      <c r="O35" s="128"/>
      <c r="P35" s="68" t="s">
        <v>114</v>
      </c>
      <c r="Q35" s="68" t="s">
        <v>114</v>
      </c>
      <c r="R35" s="68" t="s">
        <v>114</v>
      </c>
      <c r="S35" s="68" t="s">
        <v>114</v>
      </c>
      <c r="T35" s="68" t="s">
        <v>114</v>
      </c>
    </row>
    <row r="36" spans="1:22" ht="24" customHeight="1">
      <c r="A36" s="74"/>
      <c r="C36" s="68"/>
      <c r="J36" s="74"/>
      <c r="O36" s="128"/>
    </row>
    <row r="37" spans="1:22" ht="24" customHeight="1">
      <c r="A37" s="74"/>
      <c r="B37" s="838" t="s">
        <v>2049</v>
      </c>
      <c r="C37" s="68"/>
      <c r="J37" s="74"/>
      <c r="O37" s="128"/>
    </row>
    <row r="38" spans="1:22" ht="24" customHeight="1">
      <c r="A38" s="74"/>
      <c r="C38" s="68"/>
      <c r="J38" s="74"/>
      <c r="O38" s="128"/>
    </row>
    <row r="39" spans="1:22" ht="24" customHeight="1">
      <c r="A39" s="74"/>
      <c r="B39" s="838" t="s">
        <v>2050</v>
      </c>
      <c r="C39" s="69"/>
      <c r="G39" s="135"/>
      <c r="O39" s="128"/>
    </row>
    <row r="40" spans="1:22" ht="24" customHeight="1">
      <c r="A40" s="74"/>
      <c r="B40" s="1200" t="s">
        <v>778</v>
      </c>
      <c r="C40" s="1201" t="s">
        <v>1132</v>
      </c>
      <c r="D40" s="1202"/>
      <c r="E40" s="1201" t="s">
        <v>62</v>
      </c>
      <c r="F40" s="1201" t="s">
        <v>61</v>
      </c>
      <c r="G40" s="1201" t="s">
        <v>1133</v>
      </c>
      <c r="H40" s="1201" t="s">
        <v>1134</v>
      </c>
      <c r="I40" s="1201" t="s">
        <v>1135</v>
      </c>
      <c r="J40" s="1201" t="s">
        <v>898</v>
      </c>
      <c r="K40" s="1201" t="s">
        <v>1136</v>
      </c>
      <c r="L40" s="1201" t="s">
        <v>1137</v>
      </c>
      <c r="M40" s="1201" t="s">
        <v>1138</v>
      </c>
      <c r="N40" s="1201" t="s">
        <v>1139</v>
      </c>
      <c r="O40" s="128"/>
    </row>
    <row r="41" spans="1:22" ht="24" customHeight="1">
      <c r="A41" s="74"/>
      <c r="B41" s="789"/>
      <c r="C41" s="789"/>
      <c r="D41" s="789"/>
      <c r="E41" s="1739"/>
      <c r="F41" s="1740"/>
      <c r="G41" s="1741"/>
      <c r="H41" s="1742"/>
      <c r="I41" s="1739"/>
      <c r="J41" s="1735"/>
      <c r="K41" s="1737">
        <f>H7</f>
        <v>0</v>
      </c>
      <c r="L41" s="790">
        <f>IFERROR(J41*K41,0)</f>
        <v>0</v>
      </c>
      <c r="M41" s="799">
        <f t="shared" ref="M41:M47" ca="1" si="7">IFERROR(J41*$N$30,0)</f>
        <v>0</v>
      </c>
      <c r="N41" s="790">
        <f ca="1">IFERROR(K41*M41,0)</f>
        <v>0</v>
      </c>
      <c r="O41" s="128"/>
    </row>
    <row r="42" spans="1:22" ht="24" customHeight="1">
      <c r="A42" s="74"/>
      <c r="B42" s="789"/>
      <c r="C42" s="789"/>
      <c r="D42" s="789"/>
      <c r="E42" s="1739"/>
      <c r="F42" s="1740"/>
      <c r="G42" s="1741"/>
      <c r="H42" s="1742"/>
      <c r="I42" s="1743"/>
      <c r="J42" s="1735"/>
      <c r="K42" s="1737">
        <f>H8</f>
        <v>0</v>
      </c>
      <c r="L42" s="790">
        <f>IFERROR(J42*K42,0)</f>
        <v>0</v>
      </c>
      <c r="M42" s="799">
        <f t="shared" ca="1" si="7"/>
        <v>0</v>
      </c>
      <c r="N42" s="790">
        <f ca="1">IFERROR(K42*M42,0)</f>
        <v>0</v>
      </c>
      <c r="O42" s="128"/>
    </row>
    <row r="43" spans="1:22" ht="24" customHeight="1">
      <c r="A43" s="74"/>
      <c r="B43" s="789"/>
      <c r="C43" s="789"/>
      <c r="D43" s="789" t="s">
        <v>114</v>
      </c>
      <c r="E43" s="1739" t="str">
        <f>IF(B43="","",D43/1000)</f>
        <v/>
      </c>
      <c r="F43" s="1740" t="str">
        <f>IF(B43="","",I43)</f>
        <v/>
      </c>
      <c r="G43" s="1741" t="s">
        <v>114</v>
      </c>
      <c r="H43" s="1742">
        <v>0</v>
      </c>
      <c r="I43" s="1739">
        <v>0</v>
      </c>
      <c r="J43" s="1735"/>
      <c r="K43" s="1737">
        <f>IFERROR(E43*(VLOOKUP(EDATE(G43,-1),Índices!#REF!,3,FALSE)/VLOOKUP(EDATE(F43,-1),Índices!#REF!,3,FALSE)),0)</f>
        <v>0</v>
      </c>
      <c r="L43" s="790">
        <f t="shared" ref="L43:L47" si="8">J43*K43</f>
        <v>0</v>
      </c>
      <c r="M43" s="799">
        <f t="shared" ca="1" si="7"/>
        <v>0</v>
      </c>
      <c r="N43" s="790">
        <f t="shared" ref="N43:N47" ca="1" si="9">K43*M43</f>
        <v>0</v>
      </c>
      <c r="O43" s="128"/>
    </row>
    <row r="44" spans="1:22" ht="24" customHeight="1">
      <c r="A44" s="74"/>
      <c r="B44" s="789"/>
      <c r="C44" s="789"/>
      <c r="D44" s="789" t="s">
        <v>114</v>
      </c>
      <c r="E44" s="1739" t="str">
        <f>IF(B44="","",D44/1000)</f>
        <v/>
      </c>
      <c r="F44" s="1740" t="str">
        <f>IF(B44="","",I44)</f>
        <v/>
      </c>
      <c r="G44" s="1741" t="s">
        <v>114</v>
      </c>
      <c r="H44" s="1742">
        <v>0</v>
      </c>
      <c r="I44" s="1739">
        <v>0</v>
      </c>
      <c r="J44" s="1735"/>
      <c r="K44" s="1737">
        <f>IFERROR(E44*(VLOOKUP(EDATE(G44,-1),Índices!#REF!,3,FALSE)/VLOOKUP(EDATE(F44,-1),Índices!#REF!,3,FALSE)),0)</f>
        <v>0</v>
      </c>
      <c r="L44" s="790">
        <f t="shared" si="8"/>
        <v>0</v>
      </c>
      <c r="M44" s="799">
        <f t="shared" ca="1" si="7"/>
        <v>0</v>
      </c>
      <c r="N44" s="790">
        <f ca="1">K44*M44</f>
        <v>0</v>
      </c>
      <c r="O44" s="128"/>
    </row>
    <row r="45" spans="1:22" ht="24" customHeight="1">
      <c r="A45" s="74"/>
      <c r="B45" s="789"/>
      <c r="C45" s="789"/>
      <c r="D45" s="789" t="s">
        <v>114</v>
      </c>
      <c r="E45" s="1739" t="str">
        <f>IF(B45="","",D45/1000)</f>
        <v/>
      </c>
      <c r="F45" s="1740" t="str">
        <f>IF(B45="","",I45)</f>
        <v/>
      </c>
      <c r="G45" s="1741" t="s">
        <v>114</v>
      </c>
      <c r="H45" s="1742">
        <v>0</v>
      </c>
      <c r="I45" s="1739">
        <v>0</v>
      </c>
      <c r="J45" s="1735"/>
      <c r="K45" s="1737">
        <f>IFERROR(E45*(VLOOKUP(EDATE(G45,-1),Índices!#REF!,3,FALSE)/VLOOKUP(EDATE(F45,-1),Índices!#REF!,3,FALSE)),0)</f>
        <v>0</v>
      </c>
      <c r="L45" s="790">
        <f t="shared" si="8"/>
        <v>0</v>
      </c>
      <c r="M45" s="799">
        <f t="shared" ca="1" si="7"/>
        <v>0</v>
      </c>
      <c r="N45" s="790">
        <f t="shared" ca="1" si="9"/>
        <v>0</v>
      </c>
      <c r="O45" s="128"/>
    </row>
    <row r="46" spans="1:22" ht="24" customHeight="1">
      <c r="A46" s="74"/>
      <c r="B46" s="789"/>
      <c r="C46" s="789"/>
      <c r="D46" s="789" t="s">
        <v>114</v>
      </c>
      <c r="E46" s="1739" t="str">
        <f>IF(B46="","",D46/1000)</f>
        <v/>
      </c>
      <c r="F46" s="1740" t="str">
        <f>IF(B46="","",I46)</f>
        <v/>
      </c>
      <c r="G46" s="1741" t="s">
        <v>114</v>
      </c>
      <c r="H46" s="1742">
        <v>0</v>
      </c>
      <c r="I46" s="1739">
        <v>0</v>
      </c>
      <c r="J46" s="1735"/>
      <c r="K46" s="1737">
        <f>IFERROR(E46*(VLOOKUP(EDATE(G46,-1),Índices!#REF!,3,FALSE)/VLOOKUP(EDATE(F46,-1),Índices!#REF!,3,FALSE)),0)</f>
        <v>0</v>
      </c>
      <c r="L46" s="790">
        <f t="shared" si="8"/>
        <v>0</v>
      </c>
      <c r="M46" s="799">
        <f t="shared" ca="1" si="7"/>
        <v>0</v>
      </c>
      <c r="N46" s="790">
        <f t="shared" ca="1" si="9"/>
        <v>0</v>
      </c>
      <c r="O46" s="128"/>
    </row>
    <row r="47" spans="1:22" ht="24" customHeight="1">
      <c r="A47" s="74"/>
      <c r="B47" s="789"/>
      <c r="C47" s="789"/>
      <c r="D47" s="789" t="s">
        <v>114</v>
      </c>
      <c r="E47" s="1739" t="str">
        <f>IF(B47="","",D47/1000)</f>
        <v/>
      </c>
      <c r="F47" s="1740" t="str">
        <f>IF(B47="","",I47)</f>
        <v/>
      </c>
      <c r="G47" s="1741" t="s">
        <v>114</v>
      </c>
      <c r="H47" s="1742">
        <v>0</v>
      </c>
      <c r="I47" s="1739">
        <v>0</v>
      </c>
      <c r="J47" s="1735"/>
      <c r="K47" s="1737">
        <f>IFERROR(E47*(VLOOKUP(EDATE(G47,-1),Índices!#REF!,3,FALSE)/VLOOKUP(EDATE(F47,-1),Índices!#REF!,3,FALSE)),0)</f>
        <v>0</v>
      </c>
      <c r="L47" s="790">
        <f t="shared" si="8"/>
        <v>0</v>
      </c>
      <c r="M47" s="799">
        <f t="shared" ca="1" si="7"/>
        <v>0</v>
      </c>
      <c r="N47" s="790">
        <f t="shared" ca="1" si="9"/>
        <v>0</v>
      </c>
      <c r="O47" s="128"/>
    </row>
    <row r="48" spans="1:22" ht="24" customHeight="1">
      <c r="A48" s="74"/>
      <c r="B48" s="1203" t="s">
        <v>769</v>
      </c>
      <c r="C48" s="1204"/>
      <c r="D48" s="1204"/>
      <c r="E48" s="1203"/>
      <c r="F48" s="1203"/>
      <c r="G48" s="1205"/>
      <c r="H48" s="1203"/>
      <c r="I48" s="1203"/>
      <c r="J48" s="1206">
        <f>SUM(J41:J47)</f>
        <v>0</v>
      </c>
      <c r="K48" s="1207">
        <f ca="1">IFERROR(SUMPRODUCT(K41:K47,M41:M47)/SUM(M41:M47),0)</f>
        <v>0</v>
      </c>
      <c r="L48" s="1203"/>
      <c r="M48" s="1208">
        <f ca="1">SUM(M41:M47)</f>
        <v>0</v>
      </c>
      <c r="N48" s="1208">
        <f ca="1">SUM(N41:N47)</f>
        <v>0</v>
      </c>
      <c r="O48" s="128"/>
    </row>
    <row r="49" spans="1:22" ht="24" customHeight="1">
      <c r="A49" s="74"/>
      <c r="C49" s="68"/>
      <c r="J49" s="74"/>
      <c r="O49" s="128"/>
    </row>
    <row r="50" spans="1:22" ht="24" customHeight="1">
      <c r="A50" s="74"/>
      <c r="C50" s="68"/>
      <c r="J50" s="74"/>
      <c r="O50" s="128"/>
    </row>
    <row r="51" spans="1:22" ht="18" customHeight="1">
      <c r="A51" s="74"/>
      <c r="B51" s="838" t="s">
        <v>2051</v>
      </c>
      <c r="C51" s="69"/>
      <c r="G51" s="135"/>
      <c r="O51" s="128"/>
      <c r="V51" s="68">
        <v>59464827.420289896</v>
      </c>
    </row>
    <row r="52" spans="1:22" ht="14.25" customHeight="1">
      <c r="A52" s="74"/>
      <c r="B52" s="1200" t="s">
        <v>778</v>
      </c>
      <c r="C52" s="1201" t="s">
        <v>1132</v>
      </c>
      <c r="D52" s="1202"/>
      <c r="E52" s="1201" t="s">
        <v>62</v>
      </c>
      <c r="F52" s="1201" t="s">
        <v>61</v>
      </c>
      <c r="G52" s="1201" t="s">
        <v>1133</v>
      </c>
      <c r="H52" s="1201" t="s">
        <v>1134</v>
      </c>
      <c r="I52" s="1201" t="s">
        <v>1135</v>
      </c>
      <c r="J52" s="1201" t="s">
        <v>898</v>
      </c>
      <c r="K52" s="1201" t="s">
        <v>1136</v>
      </c>
      <c r="L52" s="1201" t="s">
        <v>1137</v>
      </c>
      <c r="M52" s="1201" t="s">
        <v>1138</v>
      </c>
      <c r="N52" s="1201" t="s">
        <v>1139</v>
      </c>
      <c r="O52" s="128"/>
      <c r="V52" s="140" t="e">
        <f ca="1">V34-V51</f>
        <v>#VALUE!</v>
      </c>
    </row>
    <row r="53" spans="1:22" ht="18" customHeight="1">
      <c r="A53" s="74"/>
      <c r="B53" s="789"/>
      <c r="C53" s="789"/>
      <c r="D53" s="789"/>
      <c r="E53" s="1739"/>
      <c r="F53" s="1740"/>
      <c r="G53" s="1741"/>
      <c r="H53" s="1742"/>
      <c r="I53" s="1736"/>
      <c r="J53" s="1735"/>
      <c r="K53" s="1737">
        <f>H28</f>
        <v>277.02999999999997</v>
      </c>
      <c r="L53" s="790">
        <f>IFERROR(J53*K53,0)</f>
        <v>0</v>
      </c>
      <c r="M53" s="799">
        <f t="shared" ref="M53:M59" ca="1" si="10">IFERROR(J53*$N$30,0)</f>
        <v>0</v>
      </c>
      <c r="N53" s="790">
        <f ca="1">IFERROR(K53*M53,0)</f>
        <v>0</v>
      </c>
      <c r="O53" s="134"/>
    </row>
    <row r="54" spans="1:22">
      <c r="B54" s="789"/>
      <c r="C54" s="789"/>
      <c r="D54" s="789"/>
      <c r="E54" s="1739"/>
      <c r="F54" s="1740"/>
      <c r="G54" s="1741"/>
      <c r="H54" s="1742"/>
      <c r="I54" s="1738"/>
      <c r="J54" s="1735"/>
      <c r="K54" s="1737" t="str">
        <f>H29</f>
        <v/>
      </c>
      <c r="L54" s="790">
        <f>IFERROR(J54*K54,0)</f>
        <v>0</v>
      </c>
      <c r="M54" s="799">
        <f t="shared" ca="1" si="10"/>
        <v>0</v>
      </c>
      <c r="N54" s="790">
        <f ca="1">IFERROR(K54*M54,0)</f>
        <v>0</v>
      </c>
      <c r="V54" s="68">
        <v>7728827.6146981604</v>
      </c>
    </row>
    <row r="55" spans="1:22">
      <c r="B55" s="789"/>
      <c r="C55" s="789"/>
      <c r="D55" s="789" t="s">
        <v>114</v>
      </c>
      <c r="E55" s="1739" t="str">
        <f>IF(B55="","",D55/1000)</f>
        <v/>
      </c>
      <c r="F55" s="1740" t="str">
        <f>IF(B55="","",I55)</f>
        <v/>
      </c>
      <c r="G55" s="1741" t="s">
        <v>114</v>
      </c>
      <c r="H55" s="1742">
        <v>0</v>
      </c>
      <c r="I55" s="1736">
        <v>0</v>
      </c>
      <c r="J55" s="1735"/>
      <c r="K55" s="1737">
        <f>IFERROR(E55*(VLOOKUP(EDATE(G55,-1),Índices!B7:D501,3,FALSE)/VLOOKUP(EDATE(F55,-1),Índices!B7:D501,3,FALSE)),0)</f>
        <v>0</v>
      </c>
      <c r="L55" s="790">
        <f t="shared" ref="L55:L59" si="11">J55*K55</f>
        <v>0</v>
      </c>
      <c r="M55" s="799">
        <f t="shared" ca="1" si="10"/>
        <v>0</v>
      </c>
      <c r="N55" s="790">
        <f t="shared" ref="N55:N59" ca="1" si="12">K55*M55</f>
        <v>0</v>
      </c>
    </row>
    <row r="56" spans="1:22">
      <c r="B56" s="789"/>
      <c r="C56" s="789"/>
      <c r="D56" s="789" t="s">
        <v>114</v>
      </c>
      <c r="E56" s="1739" t="str">
        <f>IF(B56="","",D56/1000)</f>
        <v/>
      </c>
      <c r="F56" s="1740" t="str">
        <f>IF(B56="","",I56)</f>
        <v/>
      </c>
      <c r="G56" s="1741" t="s">
        <v>114</v>
      </c>
      <c r="H56" s="1742">
        <v>0</v>
      </c>
      <c r="I56" s="1736">
        <v>0</v>
      </c>
      <c r="J56" s="1735"/>
      <c r="K56" s="1737">
        <f>IFERROR(E56*(VLOOKUP(EDATE(G56,-1),Índices!B8:D502,3,FALSE)/VLOOKUP(EDATE(F56,-1),Índices!B8:D502,3,FALSE)),0)</f>
        <v>0</v>
      </c>
      <c r="L56" s="790">
        <f t="shared" si="11"/>
        <v>0</v>
      </c>
      <c r="M56" s="799">
        <f t="shared" ca="1" si="10"/>
        <v>0</v>
      </c>
      <c r="N56" s="790">
        <f t="shared" ca="1" si="12"/>
        <v>0</v>
      </c>
      <c r="V56" s="140" t="e">
        <f ca="1">V52+V54</f>
        <v>#VALUE!</v>
      </c>
    </row>
    <row r="57" spans="1:22">
      <c r="B57" s="789"/>
      <c r="C57" s="789"/>
      <c r="D57" s="789" t="s">
        <v>114</v>
      </c>
      <c r="E57" s="1739" t="str">
        <f>IF(B57="","",D57/1000)</f>
        <v/>
      </c>
      <c r="F57" s="1740" t="str">
        <f>IF(B57="","",I57)</f>
        <v/>
      </c>
      <c r="G57" s="1741" t="s">
        <v>114</v>
      </c>
      <c r="H57" s="1742">
        <v>0</v>
      </c>
      <c r="I57" s="1736">
        <v>0</v>
      </c>
      <c r="J57" s="1735"/>
      <c r="K57" s="1737">
        <f>IFERROR(E57*(VLOOKUP(EDATE(G57,-1),Índices!B9:D503,3,FALSE)/VLOOKUP(EDATE(F57,-1),Índices!B9:D503,3,FALSE)),0)</f>
        <v>0</v>
      </c>
      <c r="L57" s="790">
        <f t="shared" si="11"/>
        <v>0</v>
      </c>
      <c r="M57" s="799">
        <f t="shared" ca="1" si="10"/>
        <v>0</v>
      </c>
      <c r="N57" s="790">
        <f t="shared" ca="1" si="12"/>
        <v>0</v>
      </c>
    </row>
    <row r="58" spans="1:22">
      <c r="B58" s="789"/>
      <c r="C58" s="789"/>
      <c r="D58" s="789" t="s">
        <v>114</v>
      </c>
      <c r="E58" s="1739" t="str">
        <f>IF(B58="","",D58/1000)</f>
        <v/>
      </c>
      <c r="F58" s="1740" t="str">
        <f>IF(B58="","",I58)</f>
        <v/>
      </c>
      <c r="G58" s="1741" t="s">
        <v>114</v>
      </c>
      <c r="H58" s="1742">
        <v>0</v>
      </c>
      <c r="I58" s="1736">
        <v>0</v>
      </c>
      <c r="J58" s="1735"/>
      <c r="K58" s="1737">
        <f>IFERROR(E58*(VLOOKUP(EDATE(G58,-1),Índices!B10:D504,3,FALSE)/VLOOKUP(EDATE(F58,-1),Índices!B10:D504,3,FALSE)),0)</f>
        <v>0</v>
      </c>
      <c r="L58" s="790">
        <f t="shared" si="11"/>
        <v>0</v>
      </c>
      <c r="M58" s="799">
        <f t="shared" ca="1" si="10"/>
        <v>0</v>
      </c>
      <c r="N58" s="790">
        <f t="shared" ca="1" si="12"/>
        <v>0</v>
      </c>
    </row>
    <row r="59" spans="1:22">
      <c r="B59" s="789"/>
      <c r="C59" s="789"/>
      <c r="D59" s="789" t="s">
        <v>114</v>
      </c>
      <c r="E59" s="1739" t="str">
        <f>IF(B59="","",D59/1000)</f>
        <v/>
      </c>
      <c r="F59" s="1740" t="str">
        <f>IF(B59="","",I59)</f>
        <v/>
      </c>
      <c r="G59" s="1741" t="s">
        <v>114</v>
      </c>
      <c r="H59" s="1742">
        <v>0</v>
      </c>
      <c r="I59" s="1736">
        <v>0</v>
      </c>
      <c r="J59" s="1735"/>
      <c r="K59" s="1737">
        <f>IFERROR(E59*(VLOOKUP(EDATE(G59,-1),Índices!B11:D505,3,FALSE)/VLOOKUP(EDATE(F59,-1),Índices!B11:D505,3,FALSE)),0)</f>
        <v>0</v>
      </c>
      <c r="L59" s="790">
        <f t="shared" si="11"/>
        <v>0</v>
      </c>
      <c r="M59" s="799">
        <f t="shared" ca="1" si="10"/>
        <v>0</v>
      </c>
      <c r="N59" s="790">
        <f t="shared" ca="1" si="12"/>
        <v>0</v>
      </c>
    </row>
    <row r="60" spans="1:22">
      <c r="B60" s="1203" t="s">
        <v>769</v>
      </c>
      <c r="C60" s="1204"/>
      <c r="D60" s="1204"/>
      <c r="E60" s="1203"/>
      <c r="F60" s="1203"/>
      <c r="G60" s="1205"/>
      <c r="H60" s="1203"/>
      <c r="I60" s="1203"/>
      <c r="J60" s="1206">
        <f>SUM(J53:J59)</f>
        <v>0</v>
      </c>
      <c r="K60" s="1207">
        <f ca="1">IFERROR(SUMPRODUCT(K53:K59,M53:M59)/SUM(M53:M59),0)</f>
        <v>0</v>
      </c>
      <c r="L60" s="1203"/>
      <c r="M60" s="1208">
        <f ca="1">SUM(M53:M59)</f>
        <v>0</v>
      </c>
      <c r="N60" s="1208">
        <f ca="1">SUM(N53:N59)</f>
        <v>0</v>
      </c>
    </row>
    <row r="61" spans="1:22">
      <c r="C61" s="412"/>
      <c r="D61" s="412"/>
      <c r="E61" s="412"/>
      <c r="K61" s="68" t="s">
        <v>2054</v>
      </c>
    </row>
    <row r="62" spans="1:22" ht="15.75">
      <c r="B62" s="1209" t="s">
        <v>1140</v>
      </c>
      <c r="C62" s="1210" t="s">
        <v>1141</v>
      </c>
      <c r="D62" s="1211"/>
      <c r="E62" s="1212" t="s">
        <v>1142</v>
      </c>
      <c r="F62" s="1212" t="s">
        <v>1143</v>
      </c>
      <c r="H62" s="1213" t="s">
        <v>1144</v>
      </c>
      <c r="I62" s="1214" t="s">
        <v>42</v>
      </c>
      <c r="J62" s="1215" t="s">
        <v>43</v>
      </c>
      <c r="K62" s="1216" t="s">
        <v>1114</v>
      </c>
    </row>
    <row r="63" spans="1:22" ht="15.75">
      <c r="B63" s="78" t="s">
        <v>1145</v>
      </c>
      <c r="C63" s="251">
        <f>IF(ISERROR(VLOOKUP("Angra",AngraCota[],5,FALSE)),0,VLOOKUP("Angra",AngraCota[],5,FALSE))</f>
        <v>0</v>
      </c>
      <c r="D63" s="1734">
        <f t="shared" ref="D63:D65" si="13">E63</f>
        <v>0</v>
      </c>
      <c r="E63" s="217">
        <f>IFERROR(VLOOKUP("Angra",AngraCota[],4,FALSE),0)</f>
        <v>0</v>
      </c>
      <c r="F63" s="107">
        <f>C63*E63</f>
        <v>0</v>
      </c>
      <c r="H63" s="1217" t="s">
        <v>1146</v>
      </c>
      <c r="I63" s="1218" cm="1">
        <f t="array" ref="I63">GSFRH[GSF previsto]</f>
        <v>0.87029999999999996</v>
      </c>
      <c r="J63" s="1219" cm="1">
        <f t="array" ref="J63">GSFRH[PLD]</f>
        <v>195.04</v>
      </c>
      <c r="K63" s="1220">
        <f>(J63*(1-I63)*(C64+C65))</f>
        <v>0</v>
      </c>
    </row>
    <row r="64" spans="1:22" ht="15.75">
      <c r="B64" s="78" t="s">
        <v>1146</v>
      </c>
      <c r="C64" s="251">
        <f>BD!AE22</f>
        <v>0</v>
      </c>
      <c r="D64" s="1734">
        <f t="shared" si="13"/>
        <v>0</v>
      </c>
      <c r="E64" s="217">
        <f>BD!AG22</f>
        <v>0</v>
      </c>
      <c r="F64" s="107">
        <f>C64*E64</f>
        <v>0</v>
      </c>
      <c r="H64" s="800" t="s">
        <v>1147</v>
      </c>
      <c r="I64" s="801">
        <f>I63</f>
        <v>0.87029999999999996</v>
      </c>
      <c r="J64" s="802">
        <f>J63</f>
        <v>195.04</v>
      </c>
      <c r="K64" s="803"/>
    </row>
    <row r="65" spans="1:11" ht="15.75">
      <c r="B65" s="78" t="s">
        <v>1146</v>
      </c>
      <c r="C65" s="251">
        <f>BD!AE23</f>
        <v>0</v>
      </c>
      <c r="D65" s="1734">
        <f t="shared" si="13"/>
        <v>0</v>
      </c>
      <c r="E65" s="217">
        <f>BD!AG23</f>
        <v>0</v>
      </c>
      <c r="F65" s="107">
        <f>C65*E65</f>
        <v>0</v>
      </c>
      <c r="H65" s="804" t="s">
        <v>1148</v>
      </c>
      <c r="I65" s="801">
        <f>I64</f>
        <v>0.87029999999999996</v>
      </c>
      <c r="J65" s="802">
        <f>J64</f>
        <v>195.04</v>
      </c>
      <c r="K65" s="803">
        <f>(J65*(1-I65)*I68*K68*365*24)</f>
        <v>0</v>
      </c>
    </row>
    <row r="66" spans="1:11" ht="15.75">
      <c r="B66" s="791"/>
      <c r="C66" s="791">
        <f>SUM(C63:C65)</f>
        <v>0</v>
      </c>
      <c r="D66" s="791"/>
      <c r="E66" s="791"/>
      <c r="F66" s="791">
        <f>SUM(F63:F65)</f>
        <v>0</v>
      </c>
      <c r="H66" s="785" t="s">
        <v>1149</v>
      </c>
      <c r="I66" s="1221"/>
      <c r="J66" s="1222"/>
      <c r="K66" s="1223">
        <f>SUM(K63:K65)</f>
        <v>0</v>
      </c>
    </row>
    <row r="67" spans="1:11" ht="15.75">
      <c r="H67" s="1802" t="s">
        <v>45</v>
      </c>
      <c r="I67" s="1802"/>
      <c r="J67" s="1224"/>
      <c r="K67" s="1224" t="s">
        <v>44</v>
      </c>
    </row>
    <row r="68" spans="1:11" ht="15.75">
      <c r="H68" s="786" t="str">
        <f>CAPA!C9</f>
        <v>Cedri</v>
      </c>
      <c r="I68" s="806" cm="1">
        <f t="array" ref="I68">GSFRH[Fator de rateio]</f>
        <v>0</v>
      </c>
      <c r="J68" s="899">
        <f>J63</f>
        <v>195.04</v>
      </c>
      <c r="K68" s="787" cm="1">
        <f t="array" ref="K68">GSFRH[MWm repactuado]</f>
        <v>14739.74</v>
      </c>
    </row>
    <row r="69" spans="1:11" ht="15">
      <c r="B69" s="1209" t="s">
        <v>1150</v>
      </c>
      <c r="C69" s="1210" t="s">
        <v>1141</v>
      </c>
      <c r="D69" s="1211"/>
      <c r="E69" s="1212" t="s">
        <v>1142</v>
      </c>
      <c r="F69" s="1212" t="s">
        <v>1143</v>
      </c>
    </row>
    <row r="70" spans="1:11">
      <c r="B70" s="78" t="s">
        <v>1151</v>
      </c>
      <c r="C70" s="251">
        <f>D89</f>
        <v>0</v>
      </c>
      <c r="D70" s="805">
        <f t="shared" ref="D70" si="14">E70</f>
        <v>0</v>
      </c>
      <c r="E70" s="789">
        <v>0</v>
      </c>
      <c r="F70" s="107">
        <f>C70*E70</f>
        <v>0</v>
      </c>
    </row>
    <row r="71" spans="1:11">
      <c r="B71" s="78"/>
      <c r="C71" s="251"/>
      <c r="D71" s="805"/>
      <c r="E71" s="789"/>
      <c r="F71" s="107"/>
      <c r="J71" s="140"/>
    </row>
    <row r="72" spans="1:11">
      <c r="B72" s="791"/>
      <c r="C72" s="791">
        <f>SUM(C70:C71)</f>
        <v>0</v>
      </c>
      <c r="D72" s="791"/>
      <c r="E72" s="791"/>
      <c r="F72" s="791">
        <f>SUM(F70:F71)</f>
        <v>0</v>
      </c>
      <c r="J72" s="140"/>
    </row>
    <row r="75" spans="1:11">
      <c r="C75" s="123" t="s">
        <v>1150</v>
      </c>
    </row>
    <row r="76" spans="1:11">
      <c r="C76" s="1712" t="s">
        <v>2201</v>
      </c>
      <c r="D76" s="1712" t="s">
        <v>2307</v>
      </c>
    </row>
    <row r="77" spans="1:11">
      <c r="A77" s="68" t="s">
        <v>1152</v>
      </c>
      <c r="C77" s="1730">
        <f>SAS_RA0_DataInicio</f>
        <v>44440</v>
      </c>
      <c r="D77" s="850">
        <f>IFERROR(VLOOKUP(C77,GeracaoPropria[],2,FALSE)/1000,0)</f>
        <v>0</v>
      </c>
    </row>
    <row r="78" spans="1:11">
      <c r="A78" s="68" t="str">
        <f>TRIM(LEFT(C28,3))</f>
        <v>A4</v>
      </c>
      <c r="C78" s="1730">
        <f>EDATE(C77,1)</f>
        <v>44470</v>
      </c>
      <c r="D78" s="850">
        <f>IFERROR(VLOOKUP(C78,GeracaoPropria[],2,FALSE)/1000,0)</f>
        <v>0</v>
      </c>
    </row>
    <row r="79" spans="1:11">
      <c r="A79" s="68" t="str">
        <f t="shared" ref="A79:A84" si="15">TRIM(LEFT(C29,3))</f>
        <v/>
      </c>
      <c r="C79" s="1730">
        <f t="shared" ref="C79:C87" si="16">EDATE(C78,1)</f>
        <v>44501</v>
      </c>
      <c r="D79" s="850">
        <f>IFERROR(VLOOKUP(C79,GeracaoPropria[],2,FALSE)/1000,0)</f>
        <v>0</v>
      </c>
    </row>
    <row r="80" spans="1:11">
      <c r="A80" s="68" t="str">
        <f t="shared" si="15"/>
        <v/>
      </c>
      <c r="C80" s="1730">
        <f t="shared" si="16"/>
        <v>44531</v>
      </c>
      <c r="D80" s="850">
        <f>IFERROR(VLOOKUP(C80,GeracaoPropria[],2,FALSE)/1000,0)</f>
        <v>0</v>
      </c>
    </row>
    <row r="81" spans="1:4">
      <c r="A81" s="68" t="str">
        <f t="shared" si="15"/>
        <v/>
      </c>
      <c r="C81" s="1730">
        <f t="shared" si="16"/>
        <v>44562</v>
      </c>
      <c r="D81" s="850">
        <f>IFERROR(VLOOKUP(C81,GeracaoPropria[],2,FALSE)/1000,0)</f>
        <v>0</v>
      </c>
    </row>
    <row r="82" spans="1:4">
      <c r="A82" s="68" t="str">
        <f t="shared" si="15"/>
        <v/>
      </c>
      <c r="C82" s="1730">
        <f t="shared" si="16"/>
        <v>44593</v>
      </c>
      <c r="D82" s="850">
        <f>IFERROR(VLOOKUP(C82,GeracaoPropria[],2,FALSE)/1000,0)</f>
        <v>0</v>
      </c>
    </row>
    <row r="83" spans="1:4">
      <c r="A83" s="68" t="str">
        <f t="shared" si="15"/>
        <v/>
      </c>
      <c r="C83" s="1730">
        <f t="shared" si="16"/>
        <v>44621</v>
      </c>
      <c r="D83" s="850">
        <f>IFERROR(VLOOKUP(C83,GeracaoPropria[],2,FALSE)/1000,0)</f>
        <v>0</v>
      </c>
    </row>
    <row r="84" spans="1:4">
      <c r="A84" s="68" t="str">
        <f t="shared" si="15"/>
        <v/>
      </c>
      <c r="C84" s="1730">
        <f t="shared" si="16"/>
        <v>44652</v>
      </c>
      <c r="D84" s="850">
        <f>IFERROR(VLOOKUP(C84,GeracaoPropria[],2,FALSE)/1000,0)</f>
        <v>0</v>
      </c>
    </row>
    <row r="85" spans="1:4">
      <c r="C85" s="1730">
        <f t="shared" si="16"/>
        <v>44682</v>
      </c>
      <c r="D85" s="850">
        <f>IFERROR(VLOOKUP(C85,GeracaoPropria[],2,FALSE)/1000,0)</f>
        <v>0</v>
      </c>
    </row>
    <row r="86" spans="1:4">
      <c r="C86" s="1730">
        <f>EDATE(C85,1)</f>
        <v>44713</v>
      </c>
      <c r="D86" s="850">
        <f>IFERROR(VLOOKUP(C86,GeracaoPropria[],2,FALSE)/1000,D85)</f>
        <v>0</v>
      </c>
    </row>
    <row r="87" spans="1:4">
      <c r="C87" s="1730">
        <f t="shared" si="16"/>
        <v>44743</v>
      </c>
      <c r="D87" s="850">
        <f>IFERROR(VLOOKUP(C87,GeracaoPropria[],2,FALSE)/1000,D86)</f>
        <v>0</v>
      </c>
    </row>
    <row r="88" spans="1:4">
      <c r="C88" s="1730">
        <f>EDATE(C87,1)</f>
        <v>44774</v>
      </c>
      <c r="D88" s="850">
        <f>IFERROR(VLOOKUP(C88,GeracaoPropria[],2,FALSE)/1000,D87)</f>
        <v>0</v>
      </c>
    </row>
    <row r="89" spans="1:4">
      <c r="C89" s="1713" t="s">
        <v>769</v>
      </c>
      <c r="D89" s="1115">
        <f t="shared" ref="D89" si="17">SUM(D77:D88)</f>
        <v>0</v>
      </c>
    </row>
  </sheetData>
  <mergeCells count="2">
    <mergeCell ref="K32:L32"/>
    <mergeCell ref="H67:I6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844A-7333-449F-A004-FC8052548A17}">
  <sheetPr codeName="Planilha5"/>
  <dimension ref="B1:J18"/>
  <sheetViews>
    <sheetView showGridLines="0" workbookViewId="0">
      <selection activeCell="H7" sqref="H7"/>
    </sheetView>
  </sheetViews>
  <sheetFormatPr defaultRowHeight="15.75"/>
  <cols>
    <col min="2" max="2" width="38.140625" bestFit="1" customWidth="1"/>
    <col min="3" max="3" width="11.28515625" bestFit="1" customWidth="1"/>
    <col min="4" max="4" width="14.7109375" bestFit="1" customWidth="1"/>
    <col min="5" max="5" width="17.5703125" bestFit="1" customWidth="1"/>
    <col min="6" max="6" width="19.5703125" customWidth="1"/>
    <col min="7" max="7" width="17.5703125" customWidth="1"/>
    <col min="8" max="8" width="11.42578125" bestFit="1" customWidth="1"/>
    <col min="9" max="9" width="11.5703125" bestFit="1" customWidth="1"/>
  </cols>
  <sheetData>
    <row r="1" spans="2:10">
      <c r="B1" s="1715" t="s">
        <v>2283</v>
      </c>
      <c r="C1" s="1716"/>
      <c r="D1" s="1717"/>
      <c r="E1" s="1717"/>
      <c r="F1" s="1718" t="s">
        <v>873</v>
      </c>
      <c r="G1" s="1719">
        <f ca="1">LnkTXTIRTEco</f>
        <v>6.4000000000000001E-2</v>
      </c>
    </row>
    <row r="2" spans="2:10">
      <c r="B2" s="1720" t="str">
        <f>CAPA!C9</f>
        <v>Cedri</v>
      </c>
      <c r="C2" s="1721"/>
      <c r="D2" s="1721"/>
      <c r="E2" s="1721"/>
      <c r="F2" s="1722" t="s">
        <v>877</v>
      </c>
      <c r="G2" s="1723">
        <f ca="1">LnkTXTIRTTotal</f>
        <v>-0.14050000000000001</v>
      </c>
    </row>
    <row r="4" spans="2:10">
      <c r="B4" s="9"/>
    </row>
    <row r="5" spans="2:10" ht="25.5">
      <c r="B5" s="1712" t="s">
        <v>2201</v>
      </c>
      <c r="C5" s="1712" t="s">
        <v>2182</v>
      </c>
      <c r="D5" s="1712" t="s">
        <v>2183</v>
      </c>
      <c r="E5" s="1712" t="s">
        <v>2184</v>
      </c>
      <c r="F5" s="1712" t="s">
        <v>790</v>
      </c>
      <c r="G5" s="1712" t="s">
        <v>109</v>
      </c>
      <c r="H5" s="1712" t="s">
        <v>2202</v>
      </c>
      <c r="I5" s="1712" t="s">
        <v>742</v>
      </c>
      <c r="J5" s="1712" t="s">
        <v>1282</v>
      </c>
    </row>
    <row r="6" spans="2:10">
      <c r="B6" s="1730">
        <f>SAS_RA0_DataInicio</f>
        <v>44440</v>
      </c>
      <c r="C6" s="850">
        <f>IFERROR(VLOOKUP(B6,PerdasDitFinal[#All],2,FALSE),0)</f>
        <v>0</v>
      </c>
      <c r="D6" s="850">
        <f>IFERROR(VLOOKUP(B6,PerdasDitFinal[#All],3,FALSE),0)</f>
        <v>0</v>
      </c>
      <c r="E6" s="850">
        <f>IFERROR(VLOOKUP(B6,PerdasDitFinal[#All],4,FALSE),0)</f>
        <v>0</v>
      </c>
      <c r="F6" s="850">
        <f>IF(C6=0,(SUMIF(FaturasT!I:I,'Perdas de Energia'!B6,FaturasT!N:N)+SUMIF(FaturasT!I:I,'Perdas de Energia'!B6,FaturasT!O:ON))/1000,0)</f>
        <v>1120.6769999999999</v>
      </c>
      <c r="G6" s="850">
        <f>IF(C6=0,(SUMIF(FaturasT!I:I,'Perdas de Energia'!B6,FaturasT!P:P)/1000),0)</f>
        <v>35.338000000000001</v>
      </c>
      <c r="H6" s="850">
        <f>SUMIF(dados_MercadoBase[AnoMes],'Perdas de Energia'!B6,dados_MercadoBase[TE_E])</f>
        <v>900.80600000000015</v>
      </c>
      <c r="I6" s="1731">
        <f>C6-D6-E6+F6-H6+G6</f>
        <v>255.20899999999975</v>
      </c>
      <c r="J6" s="1732">
        <f>I6/(C6-D6-E6+F6+G6)</f>
        <v>0.22076616652898082</v>
      </c>
    </row>
    <row r="7" spans="2:10">
      <c r="B7" s="1730">
        <f>EDATE(B6,1)</f>
        <v>44470</v>
      </c>
      <c r="C7" s="850">
        <f>IFERROR(VLOOKUP(B7,PerdasDitFinal[#All],2,FALSE),0)</f>
        <v>0</v>
      </c>
      <c r="D7" s="850">
        <f>IFERROR(VLOOKUP(B7,PerdasDitFinal[#All],3,FALSE),0)</f>
        <v>0</v>
      </c>
      <c r="E7" s="850">
        <f>IFERROR(VLOOKUP(B7,PerdasDitFinal[#All],4,FALSE),0)</f>
        <v>0</v>
      </c>
      <c r="F7" s="850">
        <f>IF(C7=0,(SUMIF(FaturasT!I:I,'Perdas de Energia'!B7,FaturasT!N:N)+SUMIF(FaturasT!I:I,'Perdas de Energia'!B7,FaturasT!O:ON))/1000,0)</f>
        <v>1103.0920000000001</v>
      </c>
      <c r="G7" s="850">
        <f>IF(C7=0,(SUMIF(FaturasT!I:I,'Perdas de Energia'!B7,FaturasT!P:P)/1000),0)</f>
        <v>37.627000000000002</v>
      </c>
      <c r="H7" s="850">
        <f>SUMIF(dados_MercadoBase[AnoMes],'Perdas de Energia'!B7,dados_MercadoBase[TE_E])</f>
        <v>893.99</v>
      </c>
      <c r="I7" s="1731">
        <f t="shared" ref="I7:I16" si="0">C7-D7-E7+F7-H7+G7</f>
        <v>246.7290000000001</v>
      </c>
      <c r="J7" s="1732">
        <f t="shared" ref="J7:J17" si="1">I7/(C7-D7-E7+F7+G7)</f>
        <v>0.21629253128947629</v>
      </c>
    </row>
    <row r="8" spans="2:10">
      <c r="B8" s="1730">
        <f t="shared" ref="B8:B16" si="2">EDATE(B7,1)</f>
        <v>44501</v>
      </c>
      <c r="C8" s="850">
        <f>IFERROR(VLOOKUP(B8,PerdasDitFinal[#All],2,FALSE),0)</f>
        <v>0</v>
      </c>
      <c r="D8" s="850">
        <f>IFERROR(VLOOKUP(B8,PerdasDitFinal[#All],3,FALSE),0)</f>
        <v>0</v>
      </c>
      <c r="E8" s="850">
        <f>IFERROR(VLOOKUP(B8,PerdasDitFinal[#All],4,FALSE),0)</f>
        <v>0</v>
      </c>
      <c r="F8" s="850">
        <f>IF(C8=0,(SUMIF(FaturasT!I:I,'Perdas de Energia'!B8,FaturasT!N:N)+SUMIF(FaturasT!I:I,'Perdas de Energia'!B8,FaturasT!O:ON))/1000,0)</f>
        <v>1136.24</v>
      </c>
      <c r="G8" s="850">
        <f>IF(C8=0,(SUMIF(FaturasT!I:I,'Perdas de Energia'!B8,FaturasT!P:P)/1000),0)</f>
        <v>37.566000000000003</v>
      </c>
      <c r="H8" s="850">
        <f>SUMIF(dados_MercadoBase[AnoMes],'Perdas de Energia'!B8,dados_MercadoBase[TE_E])</f>
        <v>909.53200000000004</v>
      </c>
      <c r="I8" s="1731">
        <f t="shared" si="0"/>
        <v>264.274</v>
      </c>
      <c r="J8" s="1732">
        <f t="shared" si="1"/>
        <v>0.22514282598657698</v>
      </c>
    </row>
    <row r="9" spans="2:10">
      <c r="B9" s="1730">
        <f t="shared" si="2"/>
        <v>44531</v>
      </c>
      <c r="C9" s="850">
        <f>IFERROR(VLOOKUP(B9,PerdasDitFinal[#All],2,FALSE),0)</f>
        <v>0</v>
      </c>
      <c r="D9" s="850">
        <f>IFERROR(VLOOKUP(B9,PerdasDitFinal[#All],3,FALSE),0)</f>
        <v>0</v>
      </c>
      <c r="E9" s="850">
        <f>IFERROR(VLOOKUP(B9,PerdasDitFinal[#All],4,FALSE),0)</f>
        <v>0</v>
      </c>
      <c r="F9" s="850">
        <f>IF(C9=0,(SUMIF(FaturasT!I:I,'Perdas de Energia'!B9,FaturasT!N:N)+SUMIF(FaturasT!I:I,'Perdas de Energia'!B9,FaturasT!O:ON))/1000,0)</f>
        <v>1126.8440000000001</v>
      </c>
      <c r="G9" s="850">
        <f>IF(C9=0,(SUMIF(FaturasT!I:I,'Perdas de Energia'!B9,FaturasT!P:P)/1000),0)</f>
        <v>34.255000000000003</v>
      </c>
      <c r="H9" s="850">
        <f>SUMIF(dados_MercadoBase[AnoMes],'Perdas de Energia'!B9,dados_MercadoBase[TE_E])</f>
        <v>942.34500000000003</v>
      </c>
      <c r="I9" s="1731">
        <f t="shared" si="0"/>
        <v>218.75400000000002</v>
      </c>
      <c r="J9" s="1732">
        <f t="shared" si="1"/>
        <v>0.18840253931835269</v>
      </c>
    </row>
    <row r="10" spans="2:10">
      <c r="B10" s="1730">
        <f t="shared" si="2"/>
        <v>44562</v>
      </c>
      <c r="C10" s="850">
        <f>IFERROR(VLOOKUP(B10,PerdasDitFinal[#All],2,FALSE),0)</f>
        <v>0</v>
      </c>
      <c r="D10" s="850">
        <f>IFERROR(VLOOKUP(B10,PerdasDitFinal[#All],3,FALSE),0)</f>
        <v>0</v>
      </c>
      <c r="E10" s="850">
        <f>IFERROR(VLOOKUP(B10,PerdasDitFinal[#All],4,FALSE),0)</f>
        <v>0</v>
      </c>
      <c r="F10" s="850">
        <f>IF(C10=0,(SUMIF(FaturasT!I:I,'Perdas de Energia'!B10,FaturasT!N:N)+SUMIF(FaturasT!I:I,'Perdas de Energia'!B10,FaturasT!O:ON))/1000,0)</f>
        <v>1242.3389999999999</v>
      </c>
      <c r="G10" s="850">
        <f>IF(C10=0,(SUMIF(FaturasT!I:I,'Perdas de Energia'!B10,FaturasT!P:P)/1000),0)</f>
        <v>29.085999999999999</v>
      </c>
      <c r="H10" s="850">
        <f>SUMIF(dados_MercadoBase[AnoMes],'Perdas de Energia'!B10,dados_MercadoBase[TE_E])</f>
        <v>1054.4690000000003</v>
      </c>
      <c r="I10" s="1731">
        <f t="shared" si="0"/>
        <v>216.95599999999968</v>
      </c>
      <c r="J10" s="1732">
        <f t="shared" si="1"/>
        <v>0.17064002988772414</v>
      </c>
    </row>
    <row r="11" spans="2:10">
      <c r="B11" s="1730">
        <f t="shared" si="2"/>
        <v>44593</v>
      </c>
      <c r="C11" s="850">
        <f>IFERROR(VLOOKUP(B11,PerdasDitFinal[#All],2,FALSE),0)</f>
        <v>0</v>
      </c>
      <c r="D11" s="850">
        <f>IFERROR(VLOOKUP(B11,PerdasDitFinal[#All],3,FALSE),0)</f>
        <v>0</v>
      </c>
      <c r="E11" s="850">
        <f>IFERROR(VLOOKUP(B11,PerdasDitFinal[#All],4,FALSE),0)</f>
        <v>0</v>
      </c>
      <c r="F11" s="850">
        <f>IF(C11=0,(SUMIF(FaturasT!I:I,'Perdas de Energia'!B11,FaturasT!N:N)+SUMIF(FaturasT!I:I,'Perdas de Energia'!B11,FaturasT!O:ON))/1000,0)</f>
        <v>1334.018</v>
      </c>
      <c r="G11" s="850">
        <f>IF(C11=0,(SUMIF(FaturasT!I:I,'Perdas de Energia'!B11,FaturasT!P:P)/1000),0)</f>
        <v>26.048999999999999</v>
      </c>
      <c r="H11" s="850">
        <f>SUMIF(dados_MercadoBase[AnoMes],'Perdas de Energia'!B11,dados_MercadoBase[TE_E])</f>
        <v>948.59299999999985</v>
      </c>
      <c r="I11" s="1731">
        <f t="shared" si="0"/>
        <v>411.47400000000016</v>
      </c>
      <c r="J11" s="1732">
        <f t="shared" si="1"/>
        <v>0.30253950724486378</v>
      </c>
    </row>
    <row r="12" spans="2:10">
      <c r="B12" s="1730">
        <f t="shared" si="2"/>
        <v>44621</v>
      </c>
      <c r="C12" s="850">
        <f>IFERROR(VLOOKUP(B12,PerdasDitFinal[#All],2,FALSE),0)</f>
        <v>0</v>
      </c>
      <c r="D12" s="850">
        <f>IFERROR(VLOOKUP(B12,PerdasDitFinal[#All],3,FALSE),0)</f>
        <v>0</v>
      </c>
      <c r="E12" s="850">
        <f>IFERROR(VLOOKUP(B12,PerdasDitFinal[#All],4,FALSE),0)</f>
        <v>0</v>
      </c>
      <c r="F12" s="850">
        <f>IF(C12=0,(SUMIF(FaturasT!I:I,'Perdas de Energia'!B12,FaturasT!N:N)+SUMIF(FaturasT!I:I,'Perdas de Energia'!B12,FaturasT!O:ON))/1000,0)</f>
        <v>1148.32</v>
      </c>
      <c r="G12" s="850">
        <f>IF(C12=0,(SUMIF(FaturasT!I:I,'Perdas de Energia'!B12,FaturasT!P:P)/1000),0)</f>
        <v>27.152999999999999</v>
      </c>
      <c r="H12" s="850">
        <f>SUMIF(dados_MercadoBase[AnoMes],'Perdas de Energia'!B12,dados_MercadoBase[TE_E])</f>
        <v>988.56400000000008</v>
      </c>
      <c r="I12" s="1731">
        <f t="shared" si="0"/>
        <v>186.90899999999985</v>
      </c>
      <c r="J12" s="1732">
        <f t="shared" si="1"/>
        <v>0.15900748039299911</v>
      </c>
    </row>
    <row r="13" spans="2:10">
      <c r="B13" s="1730">
        <f t="shared" si="2"/>
        <v>44652</v>
      </c>
      <c r="C13" s="850">
        <f>IFERROR(VLOOKUP(B13,PerdasDitFinal[#All],2,FALSE),0)</f>
        <v>0</v>
      </c>
      <c r="D13" s="850">
        <f>IFERROR(VLOOKUP(B13,PerdasDitFinal[#All],3,FALSE),0)</f>
        <v>0</v>
      </c>
      <c r="E13" s="850">
        <f>IFERROR(VLOOKUP(B13,PerdasDitFinal[#All],4,FALSE),0)</f>
        <v>0</v>
      </c>
      <c r="F13" s="850">
        <f>IF(C13=0,(SUMIF(FaturasT!I:I,'Perdas de Energia'!B13,FaturasT!N:N)+SUMIF(FaturasT!I:I,'Perdas de Energia'!B13,FaturasT!O:ON))/1000,0)</f>
        <v>1269.7829999999999</v>
      </c>
      <c r="G13" s="850">
        <f>IF(C13=0,(SUMIF(FaturasT!I:I,'Perdas de Energia'!B13,FaturasT!P:P)/1000),0)</f>
        <v>27.088000000000001</v>
      </c>
      <c r="H13" s="850">
        <f>SUMIF(dados_MercadoBase[AnoMes],'Perdas de Energia'!B13,dados_MercadoBase[TE_E])</f>
        <v>937.79100000000005</v>
      </c>
      <c r="I13" s="1731">
        <f t="shared" si="0"/>
        <v>359.07999999999987</v>
      </c>
      <c r="J13" s="1732">
        <f t="shared" si="1"/>
        <v>0.27688181785235377</v>
      </c>
    </row>
    <row r="14" spans="2:10">
      <c r="B14" s="1730">
        <f t="shared" si="2"/>
        <v>44682</v>
      </c>
      <c r="C14" s="850">
        <f>IFERROR(VLOOKUP(B14,PerdasDitFinal[#All],2,FALSE),0)</f>
        <v>0</v>
      </c>
      <c r="D14" s="850">
        <f>IFERROR(VLOOKUP(B14,PerdasDitFinal[#All],3,FALSE),D13)</f>
        <v>0</v>
      </c>
      <c r="E14" s="850">
        <f>IFERROR(VLOOKUP(B14,PerdasDitFinal[#All],4,FALSE),E13)</f>
        <v>0</v>
      </c>
      <c r="F14" s="850">
        <f>IF(C14=0,IF(IFERROR(VLOOKUP(B14,Consulta3[MesAno],1,FALSE),0)='Perdas de Energia'!B14,(SUMIF(FaturasT!I:I,'Perdas de Energia'!B14,FaturasT!N:N)+SUMIF(FaturasT!I:I,'Perdas de Energia'!B14,FaturasT!O:ON))/1000,F13),0)</f>
        <v>1132.4559999999999</v>
      </c>
      <c r="G14" s="850">
        <f>IF(C14=0,IF(IFERROR(VLOOKUP(B14,FaturasT!I:I,1,FALSE),0)=B14,(SUMIF(Consulta3[MesAno],'Perdas de Energia'!B14,Consulta3[Proinfa (kWh)])/1000),G13),0)</f>
        <v>30.727</v>
      </c>
      <c r="H14" s="850">
        <f>SUMIF(dados_MercadoBase[AnoMes],'Perdas de Energia'!B14,dados_MercadoBase[TE_E])</f>
        <v>916.59799999999996</v>
      </c>
      <c r="I14" s="1731">
        <f t="shared" si="0"/>
        <v>246.58499999999995</v>
      </c>
      <c r="J14" s="1732">
        <f t="shared" si="1"/>
        <v>0.2119915782813194</v>
      </c>
    </row>
    <row r="15" spans="2:10">
      <c r="B15" s="1730">
        <f>EDATE(B14,1)</f>
        <v>44713</v>
      </c>
      <c r="C15" s="850">
        <f>IFERROR(VLOOKUP(B15,PerdasDitFinal[#All],2,FALSE),C14)</f>
        <v>0</v>
      </c>
      <c r="D15" s="850">
        <f>IFERROR(VLOOKUP(B15,PerdasDitFinal[#All],3,FALSE),D14)</f>
        <v>0</v>
      </c>
      <c r="E15" s="850">
        <f>IFERROR(VLOOKUP(B15,PerdasDitFinal[#All],4,FALSE),E14)</f>
        <v>0</v>
      </c>
      <c r="F15" s="850">
        <f>IF(C15=0,IF(IFERROR(VLOOKUP(B15,Consulta3[MesAno],1,FALSE),0)='Perdas de Energia'!B15,(SUMIF(FaturasT!I:I,'Perdas de Energia'!B15,FaturasT!N:N)+SUMIF(FaturasT!I:I,'Perdas de Energia'!B15,FaturasT!O:ON))/1000,F14),0)</f>
        <v>1110.038</v>
      </c>
      <c r="G15" s="850">
        <f>IF(C15=0,IF(IFERROR(VLOOKUP(B15,FaturasT!I:I,1,FALSE),0)=B15,(SUMIF(Consulta3[MesAno],'Perdas de Energia'!B15,Consulta3[Proinfa (kWh)])/1000),G14),0)</f>
        <v>30.706</v>
      </c>
      <c r="H15" s="850">
        <f>SUMIF(dados_MercadoBase[AnoMes],'Perdas de Energia'!B15,dados_MercadoBase[TE_E])</f>
        <v>834.5569999999999</v>
      </c>
      <c r="I15" s="1731">
        <f t="shared" si="0"/>
        <v>306.18700000000013</v>
      </c>
      <c r="J15" s="1732">
        <f t="shared" si="1"/>
        <v>0.26840991493271071</v>
      </c>
    </row>
    <row r="16" spans="2:10">
      <c r="B16" s="1730">
        <f t="shared" si="2"/>
        <v>44743</v>
      </c>
      <c r="C16" s="850">
        <f>IFERROR(VLOOKUP(B16,PerdasDitFinal[#All],2,FALSE),C15)</f>
        <v>0</v>
      </c>
      <c r="D16" s="850">
        <f>IFERROR(VLOOKUP(B16,PerdasDitFinal[#All],3,FALSE),D15)</f>
        <v>0</v>
      </c>
      <c r="E16" s="850">
        <f>IFERROR(VLOOKUP(B16,PerdasDitFinal[#All],4,FALSE),E15)</f>
        <v>0</v>
      </c>
      <c r="F16" s="850">
        <f>IF(C16=0,IF(IFERROR(VLOOKUP(B16,Consulta3[MesAno],1,FALSE),0)='Perdas de Energia'!B16,(SUMIF(FaturasT!I:I,'Perdas de Energia'!B16,FaturasT!N:N)+SUMIF(FaturasT!I:I,'Perdas de Energia'!B16,FaturasT!O:ON))/1000,F15),0)</f>
        <v>1057.2470000000001</v>
      </c>
      <c r="G16" s="850">
        <f>IF(C16=0,IF(IFERROR(VLOOKUP(B16,FaturasT!I:I,1,FALSE),0)=B16,(SUMIF(Consulta3[MesAno],'Perdas de Energia'!B16,Consulta3[Proinfa (kWh)])/1000),G15),0)</f>
        <v>31.815000000000001</v>
      </c>
      <c r="H16" s="850">
        <f>SUMIF(dados_MercadoBase[AnoMes],'Perdas de Energia'!B16,dados_MercadoBase[TE_E])</f>
        <v>880.50700000000018</v>
      </c>
      <c r="I16" s="1731">
        <f t="shared" si="0"/>
        <v>208.55499999999989</v>
      </c>
      <c r="J16" s="1732">
        <f t="shared" si="1"/>
        <v>0.19149965750342943</v>
      </c>
    </row>
    <row r="17" spans="2:10">
      <c r="B17" s="1730">
        <f>EDATE(B16,1)</f>
        <v>44774</v>
      </c>
      <c r="C17" s="850">
        <f>IFERROR(VLOOKUP(B17,PerdasDitFinal[#All],2,FALSE),C16)</f>
        <v>0</v>
      </c>
      <c r="D17" s="850">
        <f>IFERROR(VLOOKUP(B17,PerdasDitFinal[#All],3,FALSE),D16)</f>
        <v>0</v>
      </c>
      <c r="E17" s="850">
        <f>IFERROR(VLOOKUP(B17,PerdasDitFinal[#All],4,FALSE),E16)</f>
        <v>0</v>
      </c>
      <c r="F17" s="850">
        <f>IF(C17=0,IF(IFERROR(VLOOKUP(B17,Consulta3[MesAno],1,FALSE),0)='Perdas de Energia'!B17,(SUMIF(FaturasT!I:I,'Perdas de Energia'!B17,FaturasT!N:N)+SUMIF(FaturasT!I:I,'Perdas de Energia'!B17,FaturasT!O:ON))/1000,F16),0)</f>
        <v>1157.32</v>
      </c>
      <c r="G17" s="850">
        <f>IF(C17=0,IF(IFERROR(VLOOKUP(B17,FaturasT!I:I,1,FALSE),0)=B17,(SUMIF(Consulta3[MesAno],'Perdas de Energia'!B17,Consulta3[Proinfa (kWh)])/1000),G16),0)</f>
        <v>34.048999999999999</v>
      </c>
      <c r="H17" s="850">
        <f>SUMIF(dados_MercadoBase[AnoMes],'Perdas de Energia'!B17,dados_MercadoBase[TE_E])</f>
        <v>893.61500000000001</v>
      </c>
      <c r="I17" s="1731">
        <f>C17-D17-E17+F17-H17+G17</f>
        <v>297.75399999999991</v>
      </c>
      <c r="J17" s="1732">
        <f t="shared" si="1"/>
        <v>0.2499259255528723</v>
      </c>
    </row>
    <row r="18" spans="2:10">
      <c r="B18" s="1713" t="s">
        <v>769</v>
      </c>
      <c r="C18" s="1115">
        <f t="shared" ref="C18:G18" si="3">SUM(C6:C17)</f>
        <v>0</v>
      </c>
      <c r="D18" s="1115">
        <f t="shared" si="3"/>
        <v>0</v>
      </c>
      <c r="E18" s="1115">
        <f t="shared" si="3"/>
        <v>0</v>
      </c>
      <c r="F18" s="1115">
        <f t="shared" si="3"/>
        <v>13938.374</v>
      </c>
      <c r="G18" s="1115">
        <f t="shared" si="3"/>
        <v>381.459</v>
      </c>
      <c r="H18" s="1115">
        <f>SUM(H6:H17)</f>
        <v>11101.367000000002</v>
      </c>
      <c r="I18" s="1115">
        <f>SUM(I6:I17)</f>
        <v>3218.465999999999</v>
      </c>
      <c r="J18" s="1714">
        <f>I18/(C18-D18-E18+F18+G18)</f>
        <v>0.224755833395543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zoomScale="80" zoomScaleNormal="80" workbookViewId="0">
      <selection activeCell="A6" sqref="A6:D29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930" t="s">
        <v>952</v>
      </c>
      <c r="C1" s="1019"/>
      <c r="D1" s="1269"/>
      <c r="E1" s="1270"/>
      <c r="F1" s="1270"/>
      <c r="G1" s="1129" t="s">
        <v>873</v>
      </c>
      <c r="H1" s="1229">
        <f ca="1">LnkTXTIRTEco</f>
        <v>6.4000000000000001E-2</v>
      </c>
    </row>
    <row r="2" spans="1:16" ht="46.5" customHeight="1">
      <c r="B2" s="136" t="str">
        <f>CAPA!C9</f>
        <v>Cedri</v>
      </c>
      <c r="C2" s="70"/>
      <c r="D2" s="70"/>
      <c r="G2" s="120" t="s">
        <v>877</v>
      </c>
      <c r="H2" s="146">
        <f ca="1">LnkTXTIRTTotal</f>
        <v>-0.14050000000000001</v>
      </c>
      <c r="I2" s="90" t="s">
        <v>1231</v>
      </c>
    </row>
    <row r="3" spans="1:16">
      <c r="B3" s="1271" t="s">
        <v>1232</v>
      </c>
      <c r="C3" s="1272">
        <f>SUMPRODUCT(J6:J44,H6:H44)</f>
        <v>2472691.1461900002</v>
      </c>
      <c r="D3" s="73"/>
      <c r="E3" s="1271" t="s">
        <v>1123</v>
      </c>
      <c r="F3" s="68" t="s">
        <v>1233</v>
      </c>
      <c r="G3" s="1273">
        <f>LnkTXTDescTusdAnte</f>
        <v>0</v>
      </c>
      <c r="H3" s="90"/>
      <c r="I3" s="1274">
        <f>BD!P80</f>
        <v>0</v>
      </c>
      <c r="J3" s="90"/>
    </row>
    <row r="4" spans="1:16">
      <c r="B4" s="72"/>
      <c r="C4" s="88"/>
      <c r="D4" s="148"/>
      <c r="E4" s="72"/>
      <c r="F4" s="72"/>
      <c r="G4" s="90"/>
      <c r="H4" s="90"/>
      <c r="I4" s="90"/>
      <c r="J4" s="90"/>
    </row>
    <row r="5" spans="1:16" ht="27">
      <c r="A5" s="74" t="s">
        <v>1234</v>
      </c>
      <c r="B5" s="1275" t="s">
        <v>27</v>
      </c>
      <c r="C5" s="1275" t="s">
        <v>21</v>
      </c>
      <c r="D5" s="1275" t="s">
        <v>22</v>
      </c>
      <c r="E5" s="1275" t="s">
        <v>78</v>
      </c>
      <c r="F5" s="1275" t="s">
        <v>817</v>
      </c>
      <c r="G5" s="1275" t="s">
        <v>1235</v>
      </c>
      <c r="H5" s="1275" t="s">
        <v>60</v>
      </c>
      <c r="I5" s="1275" t="s">
        <v>1124</v>
      </c>
      <c r="J5" s="1275" t="s">
        <v>1125</v>
      </c>
      <c r="L5" s="68"/>
      <c r="M5" s="69"/>
    </row>
    <row r="6" spans="1:16">
      <c r="A6" s="68">
        <v>385</v>
      </c>
      <c r="B6" s="147" t="s">
        <v>2328</v>
      </c>
      <c r="C6" s="147" t="s">
        <v>2038</v>
      </c>
      <c r="D6" s="147" t="s">
        <v>178</v>
      </c>
      <c r="E6" s="147" t="str">
        <f>IF(ISERROR(VLOOKUP(D6,$A$36:$B$39,2,FALSE)),"",VLOOKUP(D6,$A$36:$B$39,2,FALSE))</f>
        <v>Fora Ponta</v>
      </c>
      <c r="F6" s="147" t="str">
        <f>IF(ISERROR(VLOOKUP(D6,$A$36:$C$39,3,FALSE)),"",VLOOKUP(D6,$A$36:$C$39,3,FALSE))</f>
        <v>Potência</v>
      </c>
      <c r="G6" s="147">
        <f>IF(B6="","",SUMIFS(Faturas!V:V,Faturas!R:R,CUSD!B6,Faturas!S:S,CUSD!C6,Faturas!U:U,CUSD!D6))</f>
        <v>55914.990000000005</v>
      </c>
      <c r="H6" s="147">
        <f>IF(B6="","",IF(LEFT(D6,7)="Demanda",G6,G6/1000))</f>
        <v>55914.990000000005</v>
      </c>
      <c r="I6" s="147">
        <f>IF(ISERROR(VLOOKUP(CONCATENATE(A6,A41,E6,F6),BD!$H$6:$V$30,14,FALSE)),"",VLOOKUP(CONCATENATE(A6,A41,E6,F6),BD!$H$6:$V$30,14,FALSE))</f>
        <v>16.440000000000001</v>
      </c>
      <c r="J6" s="147">
        <f t="shared" ref="J6:J13" si="0">IF(ISERROR(I6*(1-$G$3)),"",I6*(1-$G$3))</f>
        <v>16.440000000000001</v>
      </c>
      <c r="L6" s="68"/>
      <c r="N6" s="69"/>
    </row>
    <row r="7" spans="1:16">
      <c r="A7" s="68">
        <v>385</v>
      </c>
      <c r="B7" s="147" t="s">
        <v>2328</v>
      </c>
      <c r="C7" s="147" t="s">
        <v>2038</v>
      </c>
      <c r="D7" s="147" t="s">
        <v>180</v>
      </c>
      <c r="E7" s="147" t="str">
        <f t="shared" ref="E7:E30" si="1">IF(ISERROR(VLOOKUP(D7,$A$36:$B$39,2,FALSE)),"",VLOOKUP(D7,$A$36:$B$39,2,FALSE))</f>
        <v>Ponta</v>
      </c>
      <c r="F7" s="147" t="str">
        <f t="shared" ref="F7:F30" si="2">IF(ISERROR(VLOOKUP(D7,$A$36:$C$39,3,FALSE)),"",VLOOKUP(D7,$A$36:$C$39,3,FALSE))</f>
        <v>Potência</v>
      </c>
      <c r="G7" s="147">
        <f>IF(B7="","",SUMIFS(Faturas!V:V,Faturas!R:R,CUSD!B7,Faturas!S:S,CUSD!C7,Faturas!U:U,CUSD!D7))</f>
        <v>50845.810000000012</v>
      </c>
      <c r="H7" s="147">
        <f t="shared" ref="H7:H30" si="3">IF(B7="","",IF(LEFT(D7,7)="Demanda",G7,G7/1000))</f>
        <v>50845.810000000012</v>
      </c>
      <c r="I7" s="147">
        <f>IF(ISERROR(VLOOKUP(CONCATENATE(A7,A42,E7,F7),BD!$H$6:$V$30,14,FALSE)),"",VLOOKUP(CONCATENATE(A7,A42,E7,F7),BD!$H$6:$V$30,14,FALSE))</f>
        <v>24.54</v>
      </c>
      <c r="J7" s="147">
        <f t="shared" si="0"/>
        <v>24.54</v>
      </c>
      <c r="L7" s="1753"/>
    </row>
    <row r="8" spans="1:16">
      <c r="A8" s="68">
        <v>385</v>
      </c>
      <c r="B8" s="147" t="s">
        <v>2328</v>
      </c>
      <c r="C8" s="147" t="s">
        <v>2038</v>
      </c>
      <c r="D8" s="147" t="s">
        <v>182</v>
      </c>
      <c r="E8" s="147" t="str">
        <f t="shared" si="1"/>
        <v>Não se aplica</v>
      </c>
      <c r="F8" s="147" t="str">
        <f t="shared" si="2"/>
        <v>Energia</v>
      </c>
      <c r="G8" s="147">
        <f>IF(B8="","",SUMIFS(Faturas!V:V,Faturas!R:R,CUSD!B8,Faturas!S:S,CUSD!C8,Faturas!U:U,CUSD!D8))</f>
        <v>22704861</v>
      </c>
      <c r="H8" s="147">
        <f t="shared" si="3"/>
        <v>22704.861000000001</v>
      </c>
      <c r="I8" s="147">
        <f>IF(ISERROR(VLOOKUP(CONCATENATE(A8,A43,E8,F8),BD!$H$6:$V$30,14,FALSE)),"",VLOOKUP(CONCATENATE(A8,A43,E8,F8),BD!$H$6:$V$30,14,FALSE))</f>
        <v>12.13</v>
      </c>
      <c r="J8" s="147">
        <f t="shared" si="0"/>
        <v>12.13</v>
      </c>
      <c r="L8" s="68"/>
      <c r="M8" s="69"/>
    </row>
    <row r="9" spans="1:16">
      <c r="A9" s="68">
        <v>385</v>
      </c>
      <c r="B9" s="147" t="s">
        <v>2328</v>
      </c>
      <c r="C9" s="147" t="s">
        <v>2038</v>
      </c>
      <c r="D9" s="147" t="s">
        <v>184</v>
      </c>
      <c r="E9" s="147" t="str">
        <f t="shared" si="1"/>
        <v>Não se aplica</v>
      </c>
      <c r="F9" s="147" t="str">
        <f t="shared" si="2"/>
        <v>Energia</v>
      </c>
      <c r="G9" s="147">
        <f>IF(B9="","",SUMIFS(Faturas!V:V,Faturas!R:R,CUSD!B9,Faturas!S:S,CUSD!C9,Faturas!U:U,CUSD!D9))</f>
        <v>2496502</v>
      </c>
      <c r="H9" s="147">
        <f t="shared" si="3"/>
        <v>2496.502</v>
      </c>
      <c r="I9" s="147">
        <f>IF(ISERROR(VLOOKUP(CONCATENATE(A9,A44,E9,F9),BD!$H$6:$V$30,14,FALSE)),"",VLOOKUP(CONCATENATE(A9,A44,E9,F9),BD!$H$6:$V$30,14,FALSE))</f>
        <v>12.13</v>
      </c>
      <c r="J9" s="147">
        <f t="shared" si="0"/>
        <v>12.13</v>
      </c>
      <c r="L9" s="68"/>
      <c r="M9" s="69"/>
    </row>
    <row r="10" spans="1:16">
      <c r="B10" s="147"/>
      <c r="C10" s="147"/>
      <c r="D10" s="147"/>
      <c r="E10" s="147" t="str">
        <f t="shared" si="1"/>
        <v/>
      </c>
      <c r="F10" s="147" t="str">
        <f t="shared" si="2"/>
        <v/>
      </c>
      <c r="G10" s="147" t="str">
        <f>IF(B10="","",SUMIFS(Faturas!V:V,Faturas!R:R,CUSD!B10,Faturas!S:S,CUSD!C10,Faturas!U:U,CUSD!D10))</f>
        <v/>
      </c>
      <c r="H10" s="147" t="str">
        <f t="shared" si="3"/>
        <v/>
      </c>
      <c r="I10" s="147" t="str">
        <f>IF(ISERROR(VLOOKUP(CONCATENATE(A10,A45,E10,F10),BD!$H$6:$V$30,14,FALSE)),"",VLOOKUP(CONCATENATE(A10,A45,E10,F10),BD!$H$6:$V$30,14,FALSE))</f>
        <v/>
      </c>
      <c r="J10" s="147" t="str">
        <f t="shared" si="0"/>
        <v/>
      </c>
      <c r="L10" s="68"/>
      <c r="M10" s="69"/>
    </row>
    <row r="11" spans="1:16">
      <c r="B11" s="147"/>
      <c r="C11" s="147"/>
      <c r="D11" s="147"/>
      <c r="E11" s="147" t="str">
        <f t="shared" si="1"/>
        <v/>
      </c>
      <c r="F11" s="147" t="str">
        <f t="shared" si="2"/>
        <v/>
      </c>
      <c r="G11" s="147" t="str">
        <f>IF(B11="","",SUMIFS(Faturas!V:V,Faturas!R:R,CUSD!B11,Faturas!S:S,CUSD!C11,Faturas!U:U,CUSD!D11))</f>
        <v/>
      </c>
      <c r="H11" s="147" t="str">
        <f t="shared" si="3"/>
        <v/>
      </c>
      <c r="I11" s="147" t="str">
        <f>IF(ISERROR(VLOOKUP(CONCATENATE(A11,A46,E11,F11),BD!$H$6:$V$30,14,FALSE)),"",VLOOKUP(CONCATENATE(A11,A46,E11,F11),BD!$H$6:$V$30,14,FALSE))</f>
        <v/>
      </c>
      <c r="J11" s="147" t="str">
        <f t="shared" ref="J11" si="4">IF(ISERROR(I11*(1-$G$3)),"",I11*(1-$G$3))</f>
        <v/>
      </c>
      <c r="L11" s="721"/>
      <c r="M11" s="241"/>
      <c r="N11" s="242"/>
      <c r="O11" s="242"/>
      <c r="P11" s="242"/>
    </row>
    <row r="12" spans="1:16">
      <c r="B12" s="147"/>
      <c r="C12" s="147"/>
      <c r="D12" s="147"/>
      <c r="E12" s="147" t="str">
        <f t="shared" si="1"/>
        <v/>
      </c>
      <c r="F12" s="147" t="str">
        <f t="shared" si="2"/>
        <v/>
      </c>
      <c r="G12" s="147" t="str">
        <f>IF(B12="","",SUMIFS(Faturas!V:V,Faturas!R:R,CUSD!B12,Faturas!S:S,CUSD!C12,Faturas!U:U,CUSD!D12))</f>
        <v/>
      </c>
      <c r="H12" s="147" t="str">
        <f t="shared" si="3"/>
        <v/>
      </c>
      <c r="I12" s="147" t="str">
        <f>IF(ISERROR(VLOOKUP(CONCATENATE(A12,A47,E12,F12),BD!$H$6:$V$30,14,FALSE)),"",VLOOKUP(CONCATENATE(A12,A47,E12,F12),BD!$H$6:$V$30,14,FALSE))</f>
        <v/>
      </c>
      <c r="J12" s="147" t="str">
        <f t="shared" si="0"/>
        <v/>
      </c>
      <c r="N12" s="242"/>
      <c r="O12" s="242"/>
      <c r="P12" s="242"/>
    </row>
    <row r="13" spans="1:16">
      <c r="B13" s="147"/>
      <c r="C13" s="147"/>
      <c r="D13" s="147"/>
      <c r="E13" s="147" t="str">
        <f t="shared" si="1"/>
        <v/>
      </c>
      <c r="F13" s="147" t="str">
        <f t="shared" si="2"/>
        <v/>
      </c>
      <c r="G13" s="147" t="str">
        <f>IF(B13="","",SUMIFS(Faturas!V:V,Faturas!R:R,CUSD!B13,Faturas!S:S,CUSD!C13,Faturas!U:U,CUSD!D13))</f>
        <v/>
      </c>
      <c r="H13" s="147" t="str">
        <f t="shared" si="3"/>
        <v/>
      </c>
      <c r="I13" s="147" t="str">
        <f>IF(ISERROR(VLOOKUP(CONCATENATE(A13,A48,E13,F13),BD!$H$6:$V$30,14,FALSE)),"",VLOOKUP(CONCATENATE(A13,A48,E13,F13),BD!$H$6:$V$30,14,FALSE))</f>
        <v/>
      </c>
      <c r="J13" s="147" t="str">
        <f t="shared" si="0"/>
        <v/>
      </c>
      <c r="K13" s="69"/>
      <c r="L13" s="68"/>
      <c r="M13" s="241"/>
      <c r="N13" s="242"/>
      <c r="O13" s="242"/>
      <c r="P13" s="242"/>
    </row>
    <row r="14" spans="1:16">
      <c r="B14" s="147"/>
      <c r="C14" s="147"/>
      <c r="D14" s="147"/>
      <c r="E14" s="147" t="str">
        <f t="shared" si="1"/>
        <v/>
      </c>
      <c r="F14" s="147" t="str">
        <f t="shared" si="2"/>
        <v/>
      </c>
      <c r="G14" s="147" t="str">
        <f>IF(B14="","",SUMIFS(Faturas!V:V,Faturas!R:R,CUSD!B14,Faturas!S:S,CUSD!C14,Faturas!U:U,CUSD!D14))</f>
        <v/>
      </c>
      <c r="H14" s="147" t="str">
        <f t="shared" si="3"/>
        <v/>
      </c>
      <c r="I14" s="147" t="str">
        <f>IF(ISERROR(VLOOKUP(CONCATENATE(A14,A49,E14,F14),BD!$H$6:$V$30,14,FALSE)),"",VLOOKUP(CONCATENATE(A14,A49,E14,F14),BD!$H$6:$V$30,14,FALSE))</f>
        <v/>
      </c>
      <c r="J14" s="147" t="str">
        <f t="shared" ref="J14:J30" si="5">IF(ISERROR(I14*(1-$G$3)),"",I14*(1-$G$3))</f>
        <v/>
      </c>
      <c r="K14" s="69"/>
      <c r="L14" s="241"/>
      <c r="M14" s="241"/>
      <c r="N14" s="242"/>
      <c r="O14" s="242"/>
      <c r="P14" s="242"/>
    </row>
    <row r="15" spans="1:16">
      <c r="B15" s="147"/>
      <c r="C15" s="147"/>
      <c r="D15" s="147"/>
      <c r="E15" s="147" t="str">
        <f t="shared" si="1"/>
        <v/>
      </c>
      <c r="F15" s="147" t="str">
        <f t="shared" si="2"/>
        <v/>
      </c>
      <c r="G15" s="147" t="str">
        <f>IF(B15="","",SUMIFS(Faturas!V:V,Faturas!R:R,CUSD!B15,Faturas!S:S,CUSD!C15,Faturas!U:U,CUSD!D15))</f>
        <v/>
      </c>
      <c r="H15" s="147" t="str">
        <f t="shared" si="3"/>
        <v/>
      </c>
      <c r="I15" s="147" t="str">
        <f>IF(ISERROR(VLOOKUP(CONCATENATE(A15,A50,E15,F15),BD!$H$6:$V$30,14,FALSE)),"",VLOOKUP(CONCATENATE(A15,A50,E15,F15),BD!$H$6:$V$30,14,FALSE))</f>
        <v/>
      </c>
      <c r="J15" s="147" t="str">
        <f t="shared" si="5"/>
        <v/>
      </c>
      <c r="K15" s="69"/>
      <c r="L15" s="241"/>
      <c r="M15" s="241"/>
      <c r="N15" s="243"/>
      <c r="O15" s="243"/>
      <c r="P15" s="242"/>
    </row>
    <row r="16" spans="1:16">
      <c r="B16" s="147"/>
      <c r="C16" s="147"/>
      <c r="D16" s="147"/>
      <c r="E16" s="147" t="str">
        <f t="shared" si="1"/>
        <v/>
      </c>
      <c r="F16" s="147" t="str">
        <f t="shared" si="2"/>
        <v/>
      </c>
      <c r="G16" s="147" t="str">
        <f>IF(B16="","",SUMIFS(Faturas!V:V,Faturas!R:R,CUSD!B16,Faturas!S:S,CUSD!C16,Faturas!U:U,CUSD!D16))</f>
        <v/>
      </c>
      <c r="H16" s="147" t="str">
        <f t="shared" si="3"/>
        <v/>
      </c>
      <c r="I16" s="147" t="str">
        <f>IF(ISERROR(VLOOKUP(CONCATENATE(A16,A51,E16,F16),BD!$H$6:$V$30,14,FALSE)),"",VLOOKUP(CONCATENATE(A16,A51,E16,F16),BD!$H$6:$V$30,14,FALSE))</f>
        <v/>
      </c>
      <c r="J16" s="147" t="str">
        <f t="shared" si="5"/>
        <v/>
      </c>
      <c r="K16" s="241"/>
      <c r="L16" s="241"/>
      <c r="M16" s="241"/>
      <c r="N16" s="243"/>
      <c r="O16" s="243"/>
      <c r="P16" s="242"/>
    </row>
    <row r="17" spans="2:16">
      <c r="B17" s="147"/>
      <c r="C17" s="147"/>
      <c r="D17" s="147"/>
      <c r="E17" s="147" t="str">
        <f t="shared" si="1"/>
        <v/>
      </c>
      <c r="F17" s="147" t="str">
        <f t="shared" si="2"/>
        <v/>
      </c>
      <c r="G17" s="147" t="str">
        <f>IF(B17="","",SUMIFS(Faturas!V:V,Faturas!R:R,CUSD!B17,Faturas!S:S,CUSD!C17,Faturas!U:U,CUSD!D17))</f>
        <v/>
      </c>
      <c r="H17" s="147" t="str">
        <f t="shared" si="3"/>
        <v/>
      </c>
      <c r="I17" s="147" t="str">
        <f>IF(ISERROR(VLOOKUP(CONCATENATE(A17,A52,E17,F17),BD!$H$6:$V$30,14,FALSE)),"",VLOOKUP(CONCATENATE(A17,A52,E17,F17),BD!$H$6:$V$30,14,FALSE))</f>
        <v/>
      </c>
      <c r="J17" s="147" t="str">
        <f t="shared" si="5"/>
        <v/>
      </c>
      <c r="K17" s="69"/>
      <c r="M17" s="241"/>
      <c r="N17" s="244"/>
      <c r="O17" s="244"/>
      <c r="P17" s="242"/>
    </row>
    <row r="18" spans="2:16">
      <c r="B18" s="147"/>
      <c r="C18" s="147"/>
      <c r="D18" s="147"/>
      <c r="E18" s="147" t="str">
        <f t="shared" si="1"/>
        <v/>
      </c>
      <c r="F18" s="147" t="str">
        <f t="shared" si="2"/>
        <v/>
      </c>
      <c r="G18" s="147" t="str">
        <f>IF(B18="","",SUMIFS(Faturas!V:V,Faturas!R:R,CUSD!B18,Faturas!S:S,CUSD!C18,Faturas!U:U,CUSD!D18))</f>
        <v/>
      </c>
      <c r="H18" s="147" t="str">
        <f t="shared" si="3"/>
        <v/>
      </c>
      <c r="I18" s="147" t="str">
        <f>IF(ISERROR(VLOOKUP(CONCATENATE(A18,A53,E18,F18),BD!$H$6:$V$30,14,FALSE)),"",VLOOKUP(CONCATENATE(A18,A53,E18,F18),BD!$H$6:$V$30,14,FALSE))</f>
        <v/>
      </c>
      <c r="J18" s="147" t="str">
        <f t="shared" si="5"/>
        <v/>
      </c>
      <c r="K18" s="69"/>
      <c r="L18" s="241"/>
      <c r="M18" s="241"/>
      <c r="N18" s="243"/>
      <c r="O18" s="243"/>
      <c r="P18" s="242"/>
    </row>
    <row r="19" spans="2:16">
      <c r="B19" s="147"/>
      <c r="C19" s="147"/>
      <c r="D19" s="147"/>
      <c r="E19" s="147" t="str">
        <f t="shared" si="1"/>
        <v/>
      </c>
      <c r="F19" s="147" t="str">
        <f t="shared" si="2"/>
        <v/>
      </c>
      <c r="G19" s="147" t="str">
        <f>IF(B19="","",SUMIFS(Faturas!V:V,Faturas!R:R,CUSD!B19,Faturas!S:S,CUSD!C19,Faturas!U:U,CUSD!D19))</f>
        <v/>
      </c>
      <c r="H19" s="147" t="str">
        <f t="shared" si="3"/>
        <v/>
      </c>
      <c r="I19" s="147" t="str">
        <f>IF(ISERROR(VLOOKUP(CONCATENATE(A19,A54,E19,F19),BD!$H$6:$V$30,14,FALSE)),"",VLOOKUP(CONCATENATE(A19,A54,E19,F19),BD!$H$6:$V$30,14,FALSE))</f>
        <v/>
      </c>
      <c r="J19" s="147" t="str">
        <f t="shared" si="5"/>
        <v/>
      </c>
      <c r="L19" s="241"/>
      <c r="M19" s="241"/>
      <c r="N19" s="243"/>
      <c r="O19" s="243"/>
      <c r="P19" s="242"/>
    </row>
    <row r="20" spans="2:16">
      <c r="B20" s="147"/>
      <c r="C20" s="147"/>
      <c r="D20" s="147"/>
      <c r="E20" s="147" t="str">
        <f t="shared" si="1"/>
        <v/>
      </c>
      <c r="F20" s="147" t="str">
        <f t="shared" si="2"/>
        <v/>
      </c>
      <c r="G20" s="147" t="str">
        <f>IF(B20="","",SUMIFS(Faturas!V:V,Faturas!R:R,CUSD!B20,Faturas!S:S,CUSD!C20,Faturas!U:U,CUSD!D20))</f>
        <v/>
      </c>
      <c r="H20" s="147" t="str">
        <f t="shared" si="3"/>
        <v/>
      </c>
      <c r="I20" s="147" t="str">
        <f>IF(ISERROR(VLOOKUP(CONCATENATE(A20,A55,E20,F20),BD!$H$6:$V$30,14,FALSE)),"",VLOOKUP(CONCATENATE(A20,A55,E20,F20),BD!$H$6:$V$30,14,FALSE))</f>
        <v/>
      </c>
      <c r="J20" s="147" t="str">
        <f t="shared" si="5"/>
        <v/>
      </c>
      <c r="L20" s="241"/>
      <c r="M20" s="241"/>
      <c r="N20" s="243"/>
      <c r="O20" s="243"/>
      <c r="P20" s="242"/>
    </row>
    <row r="21" spans="2:16">
      <c r="B21" s="147"/>
      <c r="C21" s="147"/>
      <c r="D21" s="147"/>
      <c r="E21" s="147" t="str">
        <f t="shared" si="1"/>
        <v/>
      </c>
      <c r="F21" s="147" t="str">
        <f t="shared" si="2"/>
        <v/>
      </c>
      <c r="G21" s="147" t="str">
        <f>IF(B21="","",SUMIFS(Faturas!V:V,Faturas!R:R,CUSD!B21,Faturas!S:S,CUSD!C21,Faturas!U:U,CUSD!D21))</f>
        <v/>
      </c>
      <c r="H21" s="147" t="str">
        <f t="shared" si="3"/>
        <v/>
      </c>
      <c r="I21" s="147" t="str">
        <f>IF(ISERROR(VLOOKUP(CONCATENATE(A21,A56,E21,F21),BD!$H$6:$V$30,14,FALSE)),"",VLOOKUP(CONCATENATE(A21,A56,E21,F21),BD!$H$6:$V$30,14,FALSE))</f>
        <v/>
      </c>
      <c r="J21" s="147" t="str">
        <f t="shared" si="5"/>
        <v/>
      </c>
      <c r="L21" s="241"/>
      <c r="M21" s="241"/>
      <c r="N21" s="242"/>
      <c r="O21" s="242"/>
      <c r="P21" s="241"/>
    </row>
    <row r="22" spans="2:16">
      <c r="B22" s="147"/>
      <c r="C22" s="147"/>
      <c r="D22" s="147"/>
      <c r="E22" s="147" t="str">
        <f t="shared" si="1"/>
        <v/>
      </c>
      <c r="F22" s="147" t="str">
        <f t="shared" si="2"/>
        <v/>
      </c>
      <c r="G22" s="147" t="str">
        <f>IF(B22="","",SUMIFS(Faturas!V:V,Faturas!R:R,CUSD!B22,Faturas!S:S,CUSD!C22,Faturas!U:U,CUSD!D22))</f>
        <v/>
      </c>
      <c r="H22" s="147" t="str">
        <f t="shared" si="3"/>
        <v/>
      </c>
      <c r="I22" s="147" t="str">
        <f>IF(ISERROR(VLOOKUP(CONCATENATE(A22,A57,E22,F22),BD!$H$6:$V$30,14,FALSE)),"",VLOOKUP(CONCATENATE(A22,A57,E22,F22),BD!$H$6:$V$30,14,FALSE))</f>
        <v/>
      </c>
      <c r="J22" s="147" t="str">
        <f t="shared" si="5"/>
        <v/>
      </c>
      <c r="L22" s="241"/>
      <c r="M22" s="241"/>
      <c r="N22" s="242"/>
      <c r="O22" s="245"/>
      <c r="P22" s="241"/>
    </row>
    <row r="23" spans="2:16">
      <c r="B23" s="147"/>
      <c r="C23" s="147"/>
      <c r="D23" s="147"/>
      <c r="E23" s="147" t="str">
        <f t="shared" si="1"/>
        <v/>
      </c>
      <c r="F23" s="147" t="str">
        <f t="shared" si="2"/>
        <v/>
      </c>
      <c r="G23" s="147" t="str">
        <f>IF(B23="","",SUMIFS(Faturas!V:V,Faturas!R:R,CUSD!B23,Faturas!S:S,CUSD!C23,Faturas!U:U,CUSD!D23))</f>
        <v/>
      </c>
      <c r="H23" s="147" t="str">
        <f t="shared" si="3"/>
        <v/>
      </c>
      <c r="I23" s="147" t="str">
        <f>IF(ISERROR(VLOOKUP(CONCATENATE(A23,A58,E23,F23),BD!$H$6:$V$30,14,FALSE)),"",VLOOKUP(CONCATENATE(A23,A58,E23,F23),BD!$H$6:$V$30,14,FALSE))</f>
        <v/>
      </c>
      <c r="J23" s="147" t="str">
        <f t="shared" si="5"/>
        <v/>
      </c>
      <c r="L23" s="241"/>
      <c r="M23" s="241"/>
      <c r="N23" s="242"/>
      <c r="O23" s="242"/>
      <c r="P23" s="241"/>
    </row>
    <row r="24" spans="2:16">
      <c r="B24" s="147"/>
      <c r="C24" s="147"/>
      <c r="D24" s="147"/>
      <c r="E24" s="147" t="str">
        <f t="shared" si="1"/>
        <v/>
      </c>
      <c r="F24" s="147" t="str">
        <f t="shared" si="2"/>
        <v/>
      </c>
      <c r="G24" s="147" t="str">
        <f>IF(B24="","",SUMIFS(Faturas!V:V,Faturas!R:R,CUSD!B24,Faturas!S:S,CUSD!C24,Faturas!U:U,CUSD!D24))</f>
        <v/>
      </c>
      <c r="H24" s="147" t="str">
        <f t="shared" si="3"/>
        <v/>
      </c>
      <c r="I24" s="147" t="str">
        <f>IF(ISERROR(VLOOKUP(CONCATENATE(A24,A59,E24,F24),BD!$H$6:$V$30,14,FALSE)),"",VLOOKUP(CONCATENATE(A24,A59,E24,F24),BD!$H$6:$V$30,14,FALSE))</f>
        <v/>
      </c>
      <c r="J24" s="147" t="str">
        <f t="shared" si="5"/>
        <v/>
      </c>
      <c r="L24" s="68"/>
      <c r="M24" s="69"/>
      <c r="P24" s="69"/>
    </row>
    <row r="25" spans="2:16">
      <c r="B25" s="147"/>
      <c r="C25" s="147"/>
      <c r="D25" s="147"/>
      <c r="E25" s="147" t="str">
        <f t="shared" si="1"/>
        <v/>
      </c>
      <c r="F25" s="147" t="str">
        <f t="shared" si="2"/>
        <v/>
      </c>
      <c r="G25" s="147" t="str">
        <f>IF(B25="","",SUMIFS(Faturas!V:V,Faturas!R:R,CUSD!B25,Faturas!S:S,CUSD!C25,Faturas!U:U,CUSD!D25))</f>
        <v/>
      </c>
      <c r="H25" s="147" t="str">
        <f t="shared" si="3"/>
        <v/>
      </c>
      <c r="I25" s="147" t="str">
        <f>IF(ISERROR(VLOOKUP(CONCATENATE(A25,A60,E25,F25),BD!$H$6:$V$30,14,FALSE)),"",VLOOKUP(CONCATENATE(A25,A60,E25,F25),BD!$H$6:$V$30,14,FALSE))</f>
        <v/>
      </c>
      <c r="J25" s="147" t="str">
        <f t="shared" si="5"/>
        <v/>
      </c>
      <c r="L25" s="68"/>
      <c r="M25" s="69"/>
      <c r="P25" s="69"/>
    </row>
    <row r="26" spans="2:16">
      <c r="B26" s="147"/>
      <c r="C26" s="147"/>
      <c r="D26" s="147"/>
      <c r="E26" s="147" t="str">
        <f t="shared" si="1"/>
        <v/>
      </c>
      <c r="F26" s="147" t="str">
        <f t="shared" si="2"/>
        <v/>
      </c>
      <c r="G26" s="147" t="str">
        <f>IF(B26="","",SUMIFS(Faturas!V:V,Faturas!R:R,CUSD!B26,Faturas!S:S,CUSD!C26,Faturas!U:U,CUSD!D26))</f>
        <v/>
      </c>
      <c r="H26" s="147" t="str">
        <f t="shared" si="3"/>
        <v/>
      </c>
      <c r="I26" s="147" t="str">
        <f>IF(ISERROR(VLOOKUP(CONCATENATE(A26,A61,E26,F26),BD!$H$6:$V$30,14,FALSE)),"",VLOOKUP(CONCATENATE(A26,A61,E26,F26),BD!$H$6:$V$30,14,FALSE))</f>
        <v/>
      </c>
      <c r="J26" s="147" t="str">
        <f t="shared" si="5"/>
        <v/>
      </c>
      <c r="K26" s="69"/>
      <c r="M26" s="69"/>
      <c r="P26" s="69"/>
    </row>
    <row r="27" spans="2:16">
      <c r="B27" s="147"/>
      <c r="C27" s="147"/>
      <c r="D27" s="147"/>
      <c r="E27" s="147" t="str">
        <f t="shared" si="1"/>
        <v/>
      </c>
      <c r="F27" s="147" t="str">
        <f t="shared" si="2"/>
        <v/>
      </c>
      <c r="G27" s="147" t="str">
        <f>IF(B27="","",SUMIFS(Faturas!V:V,Faturas!R:R,CUSD!B27,Faturas!S:S,CUSD!C27,Faturas!U:U,CUSD!D27))</f>
        <v/>
      </c>
      <c r="H27" s="147" t="str">
        <f t="shared" si="3"/>
        <v/>
      </c>
      <c r="I27" s="147" t="str">
        <f>IF(ISERROR(VLOOKUP(CONCATENATE(A27,A62,E27,F27),BD!$H$6:$V$30,14,FALSE)),"",VLOOKUP(CONCATENATE(A27,A62,E27,F27),BD!$H$6:$V$30,14,FALSE))</f>
        <v/>
      </c>
      <c r="J27" s="147" t="str">
        <f t="shared" si="5"/>
        <v/>
      </c>
      <c r="L27" s="68"/>
      <c r="M27" s="69"/>
      <c r="P27" s="69"/>
    </row>
    <row r="28" spans="2:16">
      <c r="B28" s="147"/>
      <c r="C28" s="147"/>
      <c r="D28" s="147"/>
      <c r="E28" s="147" t="str">
        <f t="shared" si="1"/>
        <v/>
      </c>
      <c r="F28" s="147" t="str">
        <f t="shared" si="2"/>
        <v/>
      </c>
      <c r="G28" s="147" t="str">
        <f>IF(B28="","",SUMIFS(Faturas!V:V,Faturas!R:R,CUSD!B28,Faturas!S:S,CUSD!C28,Faturas!U:U,CUSD!D28))</f>
        <v/>
      </c>
      <c r="H28" s="147" t="str">
        <f t="shared" si="3"/>
        <v/>
      </c>
      <c r="I28" s="147" t="str">
        <f>IF(ISERROR(VLOOKUP(CONCATENATE(A28,A63,E28,F28),BD!$H$6:$V$30,14,FALSE)),"",VLOOKUP(CONCATENATE(A28,A63,E28,F28),BD!$H$6:$V$30,14,FALSE))</f>
        <v/>
      </c>
      <c r="J28" s="147" t="str">
        <f t="shared" si="5"/>
        <v/>
      </c>
      <c r="L28" s="241"/>
      <c r="M28" s="241"/>
      <c r="P28" s="69"/>
    </row>
    <row r="29" spans="2:16">
      <c r="B29" s="147"/>
      <c r="C29" s="147"/>
      <c r="D29" s="147"/>
      <c r="E29" s="147" t="str">
        <f t="shared" si="1"/>
        <v/>
      </c>
      <c r="F29" s="147" t="str">
        <f t="shared" si="2"/>
        <v/>
      </c>
      <c r="G29" s="147" t="str">
        <f>IF(B29="","",SUMIFS(Faturas!V:V,Faturas!R:R,CUSD!B29,Faturas!S:S,CUSD!C29,Faturas!U:U,CUSD!D29))</f>
        <v/>
      </c>
      <c r="H29" s="147" t="str">
        <f t="shared" si="3"/>
        <v/>
      </c>
      <c r="I29" s="147" t="str">
        <f>IF(ISERROR(VLOOKUP(CONCATENATE(A29,A64,E29,F29),BD!$H$6:$V$30,14,FALSE)),"",VLOOKUP(CONCATENATE(A29,A64,E29,F29),BD!$H$6:$V$30,14,FALSE))</f>
        <v/>
      </c>
      <c r="J29" s="147" t="str">
        <f t="shared" si="5"/>
        <v/>
      </c>
      <c r="L29" s="68"/>
      <c r="M29" s="69"/>
      <c r="P29" s="69"/>
    </row>
    <row r="30" spans="2:16">
      <c r="B30" s="147"/>
      <c r="C30" s="147"/>
      <c r="D30" s="147"/>
      <c r="E30" s="147" t="str">
        <f t="shared" si="1"/>
        <v/>
      </c>
      <c r="F30" s="147" t="str">
        <f t="shared" si="2"/>
        <v/>
      </c>
      <c r="G30" s="147" t="str">
        <f>IF(B30="","",SUMIFS(Faturas!V:V,Faturas!R:R,CUSD!B30,Faturas!S:S,CUSD!C30,Faturas!U:U,CUSD!D30))</f>
        <v/>
      </c>
      <c r="H30" s="147" t="str">
        <f t="shared" si="3"/>
        <v/>
      </c>
      <c r="I30" s="147" t="str">
        <f>IF(ISERROR(VLOOKUP(CONCATENATE(A30,A65,E30,F30),BD!$H$6:$V$30,14,FALSE)),"",VLOOKUP(CONCATENATE(A30,A65,E30,F30),BD!$H$6:$V$30,14,FALSE))</f>
        <v/>
      </c>
      <c r="J30" s="147" t="str">
        <f t="shared" si="5"/>
        <v/>
      </c>
      <c r="L30" s="68"/>
      <c r="M30" s="69"/>
      <c r="P30" s="69"/>
    </row>
    <row r="31" spans="2:16">
      <c r="B31" s="372"/>
      <c r="C31" s="372"/>
      <c r="D31" s="372"/>
      <c r="E31" s="372"/>
      <c r="F31" s="372"/>
      <c r="G31" s="373"/>
      <c r="H31" s="373"/>
      <c r="I31" s="373"/>
      <c r="J31" s="140"/>
      <c r="O31" s="69"/>
    </row>
    <row r="32" spans="2:16">
      <c r="B32" s="372"/>
      <c r="C32" s="372"/>
      <c r="D32" s="372"/>
      <c r="E32" s="372"/>
      <c r="F32" s="372"/>
      <c r="G32" s="373"/>
      <c r="H32" s="373"/>
      <c r="I32" s="373"/>
      <c r="J32" s="140"/>
      <c r="O32" s="69"/>
    </row>
    <row r="33" spans="1:15">
      <c r="B33" s="372"/>
      <c r="C33" s="372"/>
      <c r="D33" s="372"/>
      <c r="E33" s="372"/>
      <c r="F33" s="372"/>
      <c r="G33" s="373"/>
      <c r="H33" s="373"/>
      <c r="I33" s="373"/>
      <c r="O33" s="69"/>
    </row>
    <row r="34" spans="1:15" ht="16.5">
      <c r="B34" s="372"/>
      <c r="C34" s="372"/>
      <c r="D34" s="372"/>
      <c r="E34" s="372"/>
      <c r="F34" s="372"/>
      <c r="G34" s="373"/>
      <c r="H34" s="373"/>
      <c r="I34" s="373"/>
      <c r="O34" s="232"/>
    </row>
    <row r="35" spans="1:15">
      <c r="A35" s="68" t="s">
        <v>1236</v>
      </c>
      <c r="B35" s="372"/>
      <c r="C35" s="372"/>
      <c r="D35" s="372"/>
      <c r="E35" s="372"/>
      <c r="F35" s="372"/>
      <c r="G35" s="373"/>
      <c r="H35" s="373"/>
      <c r="I35" s="373"/>
      <c r="O35" s="69"/>
    </row>
    <row r="36" spans="1:15">
      <c r="A36" s="147" t="s">
        <v>178</v>
      </c>
      <c r="B36" s="287" t="s">
        <v>1237</v>
      </c>
      <c r="C36" s="287" t="s">
        <v>1238</v>
      </c>
      <c r="D36" s="287"/>
      <c r="E36" s="287"/>
      <c r="F36" s="372"/>
      <c r="G36" s="373"/>
      <c r="H36" s="287"/>
      <c r="I36" s="287"/>
      <c r="O36" s="69"/>
    </row>
    <row r="37" spans="1:15">
      <c r="A37" s="147" t="s">
        <v>180</v>
      </c>
      <c r="B37" s="287" t="s">
        <v>893</v>
      </c>
      <c r="C37" s="287" t="s">
        <v>1238</v>
      </c>
      <c r="D37" s="287"/>
      <c r="E37" s="287"/>
      <c r="F37" s="372"/>
      <c r="G37" s="373"/>
      <c r="H37" s="287"/>
      <c r="I37" s="287"/>
      <c r="O37" s="69"/>
    </row>
    <row r="38" spans="1:15">
      <c r="A38" s="147" t="s">
        <v>182</v>
      </c>
      <c r="B38" s="287" t="s">
        <v>1239</v>
      </c>
      <c r="C38" s="287" t="s">
        <v>108</v>
      </c>
      <c r="D38" s="287"/>
      <c r="E38" s="287"/>
      <c r="F38" s="372"/>
      <c r="G38" s="373"/>
      <c r="H38" s="287"/>
      <c r="I38" s="287"/>
      <c r="O38" s="69"/>
    </row>
    <row r="39" spans="1:15">
      <c r="A39" s="147" t="s">
        <v>184</v>
      </c>
      <c r="B39" s="287" t="s">
        <v>1239</v>
      </c>
      <c r="C39" s="287" t="s">
        <v>108</v>
      </c>
      <c r="D39" s="287"/>
      <c r="E39" s="287"/>
      <c r="F39" s="372"/>
      <c r="G39" s="373"/>
      <c r="H39" s="287"/>
      <c r="I39" s="287"/>
      <c r="O39" s="69"/>
    </row>
    <row r="40" spans="1:15">
      <c r="B40" s="287"/>
      <c r="C40" s="287"/>
      <c r="D40" s="287"/>
      <c r="E40" s="287"/>
      <c r="F40" s="372"/>
      <c r="G40" s="373"/>
      <c r="H40" s="287"/>
      <c r="I40" s="287"/>
      <c r="O40" s="69"/>
    </row>
    <row r="41" spans="1:15">
      <c r="A41" s="68" t="str">
        <f>IF(LEFT(C6,1)="B","B",TRIM(LEFT(C6,3)))</f>
        <v>A4</v>
      </c>
      <c r="B41" s="287"/>
      <c r="C41" s="287"/>
      <c r="D41" s="287"/>
      <c r="E41" s="287"/>
      <c r="F41" s="372"/>
      <c r="G41" s="373"/>
      <c r="H41" s="287"/>
      <c r="I41" s="287"/>
      <c r="O41" s="69"/>
    </row>
    <row r="42" spans="1:15">
      <c r="A42" s="68" t="str">
        <f t="shared" ref="A42:A52" si="6">IF(LEFT(C7,1)="B","B",TRIM(LEFT(C7,3)))</f>
        <v>A4</v>
      </c>
      <c r="B42" s="287"/>
      <c r="C42" s="287"/>
      <c r="D42" s="287"/>
      <c r="E42" s="287"/>
      <c r="F42" s="372"/>
      <c r="G42" s="373"/>
      <c r="H42" s="287"/>
      <c r="I42" s="287"/>
      <c r="O42" s="69"/>
    </row>
    <row r="43" spans="1:15">
      <c r="A43" s="68" t="str">
        <f t="shared" si="6"/>
        <v>A4</v>
      </c>
      <c r="B43" s="287"/>
      <c r="C43" s="287"/>
      <c r="D43" s="287"/>
      <c r="E43" s="287"/>
      <c r="F43" s="372"/>
      <c r="G43" s="373"/>
      <c r="H43" s="287"/>
      <c r="I43" s="287"/>
      <c r="O43" s="69"/>
    </row>
    <row r="44" spans="1:15" ht="15.75" customHeight="1">
      <c r="A44" s="68" t="str">
        <f t="shared" si="6"/>
        <v>A4</v>
      </c>
      <c r="B44" s="287"/>
      <c r="C44" s="287"/>
      <c r="D44" s="287"/>
      <c r="E44" s="287"/>
      <c r="F44" s="372"/>
      <c r="G44" s="373"/>
      <c r="H44" s="287"/>
      <c r="I44" s="287"/>
      <c r="O44" s="69"/>
    </row>
    <row r="45" spans="1:15">
      <c r="A45" s="68" t="str">
        <f t="shared" si="6"/>
        <v/>
      </c>
    </row>
    <row r="46" spans="1:15">
      <c r="A46" s="68" t="str">
        <f t="shared" si="6"/>
        <v/>
      </c>
    </row>
    <row r="47" spans="1:15">
      <c r="A47" s="68" t="str">
        <f t="shared" si="6"/>
        <v/>
      </c>
    </row>
    <row r="48" spans="1:15">
      <c r="A48" s="68" t="str">
        <f t="shared" si="6"/>
        <v/>
      </c>
    </row>
    <row r="49" spans="1:1">
      <c r="A49" s="68" t="str">
        <f t="shared" si="6"/>
        <v/>
      </c>
    </row>
    <row r="50" spans="1:1">
      <c r="A50" s="68" t="str">
        <f t="shared" si="6"/>
        <v/>
      </c>
    </row>
    <row r="51" spans="1:1">
      <c r="A51" s="68" t="str">
        <f t="shared" si="6"/>
        <v/>
      </c>
    </row>
    <row r="52" spans="1:1">
      <c r="A52" s="68" t="str">
        <f t="shared" si="6"/>
        <v/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zoomScale="90" zoomScaleNormal="90" workbookViewId="0">
      <selection activeCell="J9" sqref="J9"/>
    </sheetView>
  </sheetViews>
  <sheetFormatPr defaultColWidth="9.140625" defaultRowHeight="14.25"/>
  <cols>
    <col min="1" max="1" width="3.5703125" style="149" customWidth="1"/>
    <col min="2" max="2" width="25.42578125" style="149" customWidth="1"/>
    <col min="3" max="3" width="28" style="149" bestFit="1" customWidth="1"/>
    <col min="4" max="4" width="16.85546875" style="149" customWidth="1"/>
    <col min="5" max="5" width="15.28515625" style="149" customWidth="1"/>
    <col min="6" max="7" width="15.28515625" style="152" customWidth="1"/>
    <col min="8" max="8" width="15.28515625" style="149" customWidth="1"/>
    <col min="9" max="9" width="17.85546875" style="149" customWidth="1"/>
    <col min="10" max="25" width="15.28515625" style="149" customWidth="1"/>
    <col min="26" max="26" width="3.42578125" style="149" customWidth="1"/>
    <col min="27" max="27" width="6.85546875" style="149" customWidth="1"/>
    <col min="28" max="16384" width="9.140625" style="149"/>
  </cols>
  <sheetData>
    <row r="1" spans="2:27" ht="30.75" customHeight="1">
      <c r="B1" s="1225" t="s">
        <v>635</v>
      </c>
      <c r="C1" s="1019">
        <f>Resultado!C1</f>
        <v>0</v>
      </c>
      <c r="D1" s="1226"/>
      <c r="E1" s="1227"/>
      <c r="F1" s="1228"/>
      <c r="G1" s="1129" t="s">
        <v>873</v>
      </c>
      <c r="H1" s="1229">
        <f ca="1">LnkTXTIRTEco</f>
        <v>6.4000000000000001E-2</v>
      </c>
    </row>
    <row r="2" spans="2:27">
      <c r="B2" s="136" t="str">
        <f>CAPA!C9</f>
        <v>Cedri</v>
      </c>
      <c r="C2" s="70"/>
      <c r="D2" s="70"/>
      <c r="G2" s="120" t="s">
        <v>877</v>
      </c>
      <c r="H2" s="146">
        <f ca="1">LnkTXTIRTTotal</f>
        <v>-0.14050000000000001</v>
      </c>
    </row>
    <row r="3" spans="2:27">
      <c r="D3" s="151"/>
      <c r="G3" s="150"/>
      <c r="H3" s="150"/>
    </row>
    <row r="4" spans="2:27">
      <c r="D4" s="151"/>
      <c r="G4" s="150"/>
      <c r="H4" s="150"/>
    </row>
    <row r="5" spans="2:27">
      <c r="D5" s="151"/>
      <c r="F5" s="153"/>
      <c r="G5" s="150"/>
      <c r="H5" s="150"/>
    </row>
    <row r="6" spans="2:27">
      <c r="B6" s="1230" t="s">
        <v>1153</v>
      </c>
      <c r="C6" s="1230"/>
      <c r="D6" s="1230"/>
      <c r="E6" s="1230"/>
      <c r="F6" s="1230"/>
      <c r="G6" s="1230"/>
      <c r="H6" s="1230"/>
      <c r="I6" s="153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153"/>
      <c r="U6" s="153"/>
      <c r="V6" s="153"/>
      <c r="W6" s="153"/>
      <c r="X6" s="153"/>
      <c r="Y6" s="153"/>
      <c r="Z6" s="153"/>
    </row>
    <row r="7" spans="2:27">
      <c r="D7" s="151"/>
      <c r="G7" s="150"/>
      <c r="H7" s="150"/>
    </row>
    <row r="8" spans="2:27" ht="28.5">
      <c r="B8" s="1231" t="s">
        <v>778</v>
      </c>
      <c r="C8" s="1231" t="s">
        <v>1154</v>
      </c>
      <c r="D8" s="1231" t="s">
        <v>1155</v>
      </c>
      <c r="E8" s="1231" t="s">
        <v>1156</v>
      </c>
      <c r="H8" s="150"/>
    </row>
    <row r="9" spans="2:27">
      <c r="B9" s="156" t="s">
        <v>893</v>
      </c>
      <c r="C9" s="179">
        <f>SUMIFS($M$18:$M$63,$D$18:$D$63,"Ponta")</f>
        <v>0</v>
      </c>
      <c r="D9" s="179">
        <f>SUMIFS($J$18:$J$63,$D$18:$D$63,"Ponta")</f>
        <v>0</v>
      </c>
      <c r="E9" s="179">
        <f>SUMIFS($L$18:$L$63,$D$18:$D$63,"Ponta")</f>
        <v>0</v>
      </c>
    </row>
    <row r="10" spans="2:27">
      <c r="B10" s="1232" t="s">
        <v>1157</v>
      </c>
      <c r="C10" s="1233">
        <f>SUMIFS($M$18:$M$63,$D$18:$D$63,"Fora Ponta")</f>
        <v>0</v>
      </c>
      <c r="D10" s="1233">
        <f>SUMIFS($J$18:$J$63,$D$18:$D$63,"Fora Ponta")</f>
        <v>0</v>
      </c>
      <c r="E10" s="1233">
        <f>SUMIFS($L$18:$L$63,$D$18:$D$63,"Fora Ponta")</f>
        <v>0</v>
      </c>
    </row>
    <row r="11" spans="2:27">
      <c r="D11" s="68"/>
      <c r="E11" s="68"/>
      <c r="G11" s="149"/>
    </row>
    <row r="12" spans="2:27">
      <c r="B12" s="154"/>
      <c r="C12" s="154"/>
      <c r="D12" s="154"/>
      <c r="E12" s="154"/>
      <c r="F12" s="154"/>
      <c r="G12" s="154"/>
      <c r="H12" s="154"/>
    </row>
    <row r="13" spans="2:27">
      <c r="B13" s="155"/>
    </row>
    <row r="14" spans="2:27">
      <c r="B14" s="156"/>
      <c r="F14" s="1234" t="s">
        <v>1158</v>
      </c>
      <c r="G14" s="1235"/>
      <c r="H14" s="1235"/>
      <c r="I14" s="1235"/>
      <c r="J14" s="1235"/>
      <c r="K14" s="1235"/>
      <c r="L14" s="1235"/>
      <c r="M14" s="1235"/>
      <c r="N14" s="1235"/>
      <c r="O14" s="1235"/>
      <c r="P14" s="1235"/>
      <c r="Q14" s="1235"/>
      <c r="R14" s="1236"/>
    </row>
    <row r="15" spans="2:27">
      <c r="B15" s="1808" t="s">
        <v>1159</v>
      </c>
      <c r="C15" s="1809" t="s">
        <v>1160</v>
      </c>
      <c r="D15" s="1810" t="s">
        <v>78</v>
      </c>
      <c r="E15" s="1811" t="s">
        <v>1161</v>
      </c>
      <c r="F15" s="1811"/>
      <c r="G15" s="1811"/>
      <c r="H15" s="1812"/>
      <c r="I15" s="1813" t="s">
        <v>1162</v>
      </c>
      <c r="J15" s="1814"/>
      <c r="K15" s="1814"/>
      <c r="L15" s="1814"/>
      <c r="M15" s="1815" t="s">
        <v>1163</v>
      </c>
      <c r="N15" s="1816"/>
      <c r="O15" s="1816"/>
      <c r="P15" s="1816"/>
      <c r="Q15" s="1816"/>
      <c r="R15" s="1816"/>
      <c r="S15" s="1816"/>
      <c r="T15" s="1816"/>
      <c r="U15" s="1816"/>
      <c r="V15" s="1816"/>
      <c r="W15" s="1816"/>
      <c r="X15" s="1816"/>
      <c r="Y15" s="1816"/>
      <c r="Z15" s="65"/>
      <c r="AA15" s="382"/>
    </row>
    <row r="16" spans="2:27">
      <c r="B16" s="1808"/>
      <c r="C16" s="1809"/>
      <c r="D16" s="1810"/>
      <c r="E16" s="1819" t="s">
        <v>110</v>
      </c>
      <c r="F16" s="1820"/>
      <c r="G16" s="1820" t="s">
        <v>1164</v>
      </c>
      <c r="H16" s="1821"/>
      <c r="I16" s="1822" t="s">
        <v>110</v>
      </c>
      <c r="J16" s="1823"/>
      <c r="K16" s="1823" t="s">
        <v>1164</v>
      </c>
      <c r="L16" s="1824"/>
      <c r="M16" s="1817"/>
      <c r="N16" s="1818"/>
      <c r="O16" s="1818"/>
      <c r="P16" s="1818"/>
      <c r="Q16" s="1818"/>
      <c r="R16" s="1818"/>
      <c r="S16" s="1818"/>
      <c r="T16" s="1818"/>
      <c r="U16" s="1818"/>
      <c r="V16" s="1818"/>
      <c r="W16" s="1818"/>
      <c r="X16" s="1818"/>
      <c r="Y16" s="1818"/>
      <c r="Z16" s="65"/>
      <c r="AA16" s="382"/>
    </row>
    <row r="17" spans="2:27">
      <c r="B17" s="1808"/>
      <c r="C17" s="1809"/>
      <c r="D17" s="1810"/>
      <c r="E17" s="383" t="s">
        <v>695</v>
      </c>
      <c r="F17" s="384" t="s">
        <v>696</v>
      </c>
      <c r="G17" s="384" t="s">
        <v>695</v>
      </c>
      <c r="H17" s="385" t="s">
        <v>696</v>
      </c>
      <c r="I17" s="386" t="s">
        <v>695</v>
      </c>
      <c r="J17" s="387" t="s">
        <v>696</v>
      </c>
      <c r="K17" s="387" t="s">
        <v>695</v>
      </c>
      <c r="L17" s="387" t="s">
        <v>696</v>
      </c>
      <c r="M17" s="388" t="s">
        <v>769</v>
      </c>
      <c r="N17" s="388">
        <f>SAS_RA0_DataInicio</f>
        <v>44440</v>
      </c>
      <c r="O17" s="388">
        <f>EDATE(N17,1)</f>
        <v>44470</v>
      </c>
      <c r="P17" s="388">
        <f t="shared" ref="P17:Y17" si="0">EDATE(O17,1)</f>
        <v>44501</v>
      </c>
      <c r="Q17" s="388">
        <f t="shared" si="0"/>
        <v>44531</v>
      </c>
      <c r="R17" s="388">
        <f t="shared" si="0"/>
        <v>44562</v>
      </c>
      <c r="S17" s="388">
        <f t="shared" si="0"/>
        <v>44593</v>
      </c>
      <c r="T17" s="388">
        <f t="shared" si="0"/>
        <v>44621</v>
      </c>
      <c r="U17" s="388">
        <f t="shared" si="0"/>
        <v>44652</v>
      </c>
      <c r="V17" s="388">
        <f t="shared" si="0"/>
        <v>44682</v>
      </c>
      <c r="W17" s="388">
        <f t="shared" si="0"/>
        <v>44713</v>
      </c>
      <c r="X17" s="388">
        <f t="shared" si="0"/>
        <v>44743</v>
      </c>
      <c r="Y17" s="388">
        <f t="shared" si="0"/>
        <v>44774</v>
      </c>
      <c r="Z17" s="65"/>
      <c r="AA17" s="324" t="s">
        <v>782</v>
      </c>
    </row>
    <row r="18" spans="2:27" hidden="1">
      <c r="B18" s="1237">
        <f>RBBD!B3</f>
        <v>0</v>
      </c>
      <c r="C18" s="1237">
        <f>RBBD!C3</f>
        <v>0</v>
      </c>
      <c r="D18" s="1237">
        <f>RBBD!D3</f>
        <v>0</v>
      </c>
      <c r="E18" s="1237">
        <f>RBBD!E3</f>
        <v>0</v>
      </c>
      <c r="F18" s="1237">
        <f>RBBD!F3</f>
        <v>0</v>
      </c>
      <c r="G18" s="1237">
        <f>RBBD!G3</f>
        <v>0</v>
      </c>
      <c r="H18" s="1237">
        <f>RBBD!H3</f>
        <v>0</v>
      </c>
      <c r="I18" s="1237">
        <f>E18*$M18</f>
        <v>0</v>
      </c>
      <c r="J18" s="1237">
        <f>F18*$M18</f>
        <v>0</v>
      </c>
      <c r="K18" s="1237">
        <f>G18*$M18</f>
        <v>0</v>
      </c>
      <c r="L18" s="1237">
        <f>H18*$M18</f>
        <v>0</v>
      </c>
      <c r="M18" s="1237">
        <f>SUM(N18:Y18)</f>
        <v>0</v>
      </c>
      <c r="N18" s="1237">
        <f>RBBD!I3</f>
        <v>0</v>
      </c>
      <c r="O18" s="1237">
        <f>RBBD!J3</f>
        <v>0</v>
      </c>
      <c r="P18" s="1237">
        <f>RBBD!K3</f>
        <v>0</v>
      </c>
      <c r="Q18" s="1237">
        <f>RBBD!L3</f>
        <v>0</v>
      </c>
      <c r="R18" s="1237">
        <f>RBBD!M3</f>
        <v>0</v>
      </c>
      <c r="S18" s="1237">
        <f>RBBD!N3</f>
        <v>0</v>
      </c>
      <c r="T18" s="1237">
        <f>RBBD!O3</f>
        <v>0</v>
      </c>
      <c r="U18" s="1237">
        <f>RBBD!P3</f>
        <v>0</v>
      </c>
      <c r="V18" s="1237">
        <f>RBBD!Q3</f>
        <v>0</v>
      </c>
      <c r="W18" s="1237">
        <f>RBBD!R3</f>
        <v>0</v>
      </c>
      <c r="X18" s="1237">
        <f>RBBD!S3</f>
        <v>0</v>
      </c>
      <c r="Y18" s="1237">
        <f>RBBD!T3</f>
        <v>0</v>
      </c>
      <c r="Z18" s="65"/>
      <c r="AA18" s="324">
        <f t="shared" ref="AA18:AA23" si="1">IF(B18=0,0,1)</f>
        <v>0</v>
      </c>
    </row>
    <row r="19" spans="2:27" hidden="1">
      <c r="B19" s="1237">
        <f>RBBD!B4</f>
        <v>0</v>
      </c>
      <c r="C19" s="1237">
        <f>RBBD!C4</f>
        <v>0</v>
      </c>
      <c r="D19" s="1237">
        <f>RBBD!D4</f>
        <v>0</v>
      </c>
      <c r="E19" s="1237">
        <f>RBBD!E4</f>
        <v>0</v>
      </c>
      <c r="F19" s="1237">
        <f>RBBD!F4</f>
        <v>0</v>
      </c>
      <c r="G19" s="1237">
        <f>RBBD!G4</f>
        <v>0</v>
      </c>
      <c r="H19" s="1237">
        <f>RBBD!H4</f>
        <v>0</v>
      </c>
      <c r="I19" s="1237">
        <f t="shared" ref="I19:L60" si="2">E19*$M19</f>
        <v>0</v>
      </c>
      <c r="J19" s="1237">
        <f t="shared" si="2"/>
        <v>0</v>
      </c>
      <c r="K19" s="1237">
        <f t="shared" si="2"/>
        <v>0</v>
      </c>
      <c r="L19" s="1237">
        <f t="shared" si="2"/>
        <v>0</v>
      </c>
      <c r="M19" s="1237">
        <f t="shared" ref="M19:M60" si="3">SUM(N19:Y19)</f>
        <v>0</v>
      </c>
      <c r="N19" s="1237">
        <f>RBBD!I4</f>
        <v>0</v>
      </c>
      <c r="O19" s="1237">
        <f>RBBD!J4</f>
        <v>0</v>
      </c>
      <c r="P19" s="1237">
        <f>RBBD!K4</f>
        <v>0</v>
      </c>
      <c r="Q19" s="1237">
        <f>RBBD!L4</f>
        <v>0</v>
      </c>
      <c r="R19" s="1237">
        <f>RBBD!M4</f>
        <v>0</v>
      </c>
      <c r="S19" s="1237">
        <f>RBBD!N4</f>
        <v>0</v>
      </c>
      <c r="T19" s="1237">
        <f>RBBD!O4</f>
        <v>0</v>
      </c>
      <c r="U19" s="1237">
        <f>RBBD!P4</f>
        <v>0</v>
      </c>
      <c r="V19" s="1237">
        <f>RBBD!Q4</f>
        <v>0</v>
      </c>
      <c r="W19" s="1237">
        <f>RBBD!R4</f>
        <v>0</v>
      </c>
      <c r="X19" s="1237">
        <f>RBBD!S4</f>
        <v>0</v>
      </c>
      <c r="Y19" s="1237">
        <f>RBBD!T4</f>
        <v>0</v>
      </c>
      <c r="Z19" s="65"/>
      <c r="AA19" s="324">
        <f t="shared" si="1"/>
        <v>0</v>
      </c>
    </row>
    <row r="20" spans="2:27" hidden="1">
      <c r="B20" s="1237">
        <f>RBBD!B5</f>
        <v>0</v>
      </c>
      <c r="C20" s="1237">
        <f>RBBD!C5</f>
        <v>0</v>
      </c>
      <c r="D20" s="1237">
        <f>RBBD!D5</f>
        <v>0</v>
      </c>
      <c r="E20" s="1237">
        <f>RBBD!E5</f>
        <v>0</v>
      </c>
      <c r="F20" s="1237">
        <f>RBBD!F5</f>
        <v>0</v>
      </c>
      <c r="G20" s="1237">
        <f>RBBD!G5</f>
        <v>0</v>
      </c>
      <c r="H20" s="1237">
        <f>RBBD!H5</f>
        <v>0</v>
      </c>
      <c r="I20" s="1237">
        <f t="shared" si="2"/>
        <v>0</v>
      </c>
      <c r="J20" s="1237">
        <f t="shared" si="2"/>
        <v>0</v>
      </c>
      <c r="K20" s="1237">
        <f t="shared" si="2"/>
        <v>0</v>
      </c>
      <c r="L20" s="1237">
        <f t="shared" si="2"/>
        <v>0</v>
      </c>
      <c r="M20" s="1237">
        <f t="shared" si="3"/>
        <v>0</v>
      </c>
      <c r="N20" s="1237">
        <f>RBBD!I5</f>
        <v>0</v>
      </c>
      <c r="O20" s="1237">
        <f>RBBD!J5</f>
        <v>0</v>
      </c>
      <c r="P20" s="1237">
        <f>RBBD!K5</f>
        <v>0</v>
      </c>
      <c r="Q20" s="1237">
        <f>RBBD!L5</f>
        <v>0</v>
      </c>
      <c r="R20" s="1237">
        <f>RBBD!M5</f>
        <v>0</v>
      </c>
      <c r="S20" s="1237">
        <f>RBBD!N5</f>
        <v>0</v>
      </c>
      <c r="T20" s="1237">
        <f>RBBD!O5</f>
        <v>0</v>
      </c>
      <c r="U20" s="1237">
        <f>RBBD!P5</f>
        <v>0</v>
      </c>
      <c r="V20" s="1237">
        <f>RBBD!Q5</f>
        <v>0</v>
      </c>
      <c r="W20" s="1237">
        <f>RBBD!R5</f>
        <v>0</v>
      </c>
      <c r="X20" s="1237">
        <f>RBBD!S5</f>
        <v>0</v>
      </c>
      <c r="Y20" s="1237">
        <f>RBBD!T5</f>
        <v>0</v>
      </c>
      <c r="Z20" s="65"/>
      <c r="AA20" s="324">
        <f t="shared" si="1"/>
        <v>0</v>
      </c>
    </row>
    <row r="21" spans="2:27" hidden="1">
      <c r="B21" s="1237">
        <f>RBBD!B6</f>
        <v>0</v>
      </c>
      <c r="C21" s="1237">
        <f>RBBD!C6</f>
        <v>0</v>
      </c>
      <c r="D21" s="1237">
        <f>RBBD!D6</f>
        <v>0</v>
      </c>
      <c r="E21" s="1237">
        <f>RBBD!E6</f>
        <v>0</v>
      </c>
      <c r="F21" s="1237">
        <f>RBBD!F6</f>
        <v>0</v>
      </c>
      <c r="G21" s="1237">
        <f>RBBD!G6</f>
        <v>0</v>
      </c>
      <c r="H21" s="1237">
        <f>RBBD!H6</f>
        <v>0</v>
      </c>
      <c r="I21" s="1237">
        <f t="shared" si="2"/>
        <v>0</v>
      </c>
      <c r="J21" s="1237">
        <f t="shared" si="2"/>
        <v>0</v>
      </c>
      <c r="K21" s="1237">
        <f t="shared" si="2"/>
        <v>0</v>
      </c>
      <c r="L21" s="1237">
        <f t="shared" si="2"/>
        <v>0</v>
      </c>
      <c r="M21" s="1237">
        <f t="shared" si="3"/>
        <v>0</v>
      </c>
      <c r="N21" s="1237">
        <f>RBBD!I6</f>
        <v>0</v>
      </c>
      <c r="O21" s="1237">
        <f>RBBD!J6</f>
        <v>0</v>
      </c>
      <c r="P21" s="1237">
        <f>RBBD!K6</f>
        <v>0</v>
      </c>
      <c r="Q21" s="1237">
        <f>RBBD!L6</f>
        <v>0</v>
      </c>
      <c r="R21" s="1237">
        <f>RBBD!M6</f>
        <v>0</v>
      </c>
      <c r="S21" s="1237">
        <f>RBBD!N6</f>
        <v>0</v>
      </c>
      <c r="T21" s="1237">
        <f>RBBD!O6</f>
        <v>0</v>
      </c>
      <c r="U21" s="1237">
        <f>RBBD!P6</f>
        <v>0</v>
      </c>
      <c r="V21" s="1237">
        <f>RBBD!Q6</f>
        <v>0</v>
      </c>
      <c r="W21" s="1237">
        <f>RBBD!R6</f>
        <v>0</v>
      </c>
      <c r="X21" s="1237">
        <f>RBBD!S6</f>
        <v>0</v>
      </c>
      <c r="Y21" s="1237">
        <f>RBBD!T6</f>
        <v>0</v>
      </c>
      <c r="Z21" s="65"/>
      <c r="AA21" s="324">
        <f t="shared" si="1"/>
        <v>0</v>
      </c>
    </row>
    <row r="22" spans="2:27" hidden="1">
      <c r="B22" s="1237">
        <f>RBBD!B7</f>
        <v>0</v>
      </c>
      <c r="C22" s="1237">
        <f>RBBD!C7</f>
        <v>0</v>
      </c>
      <c r="D22" s="1237">
        <f>RBBD!D7</f>
        <v>0</v>
      </c>
      <c r="E22" s="1237">
        <f>RBBD!E7</f>
        <v>0</v>
      </c>
      <c r="F22" s="1237">
        <f>RBBD!F7</f>
        <v>0</v>
      </c>
      <c r="G22" s="1237">
        <f>RBBD!G7</f>
        <v>0</v>
      </c>
      <c r="H22" s="1237">
        <f>RBBD!H7</f>
        <v>0</v>
      </c>
      <c r="I22" s="1237">
        <f t="shared" si="2"/>
        <v>0</v>
      </c>
      <c r="J22" s="1237">
        <f t="shared" si="2"/>
        <v>0</v>
      </c>
      <c r="K22" s="1237">
        <f t="shared" si="2"/>
        <v>0</v>
      </c>
      <c r="L22" s="1237">
        <f t="shared" si="2"/>
        <v>0</v>
      </c>
      <c r="M22" s="1237">
        <f t="shared" si="3"/>
        <v>0</v>
      </c>
      <c r="N22" s="1237">
        <f>RBBD!I7</f>
        <v>0</v>
      </c>
      <c r="O22" s="1237">
        <f>RBBD!J7</f>
        <v>0</v>
      </c>
      <c r="P22" s="1237">
        <f>RBBD!K7</f>
        <v>0</v>
      </c>
      <c r="Q22" s="1237">
        <f>RBBD!L7</f>
        <v>0</v>
      </c>
      <c r="R22" s="1237">
        <f>RBBD!M7</f>
        <v>0</v>
      </c>
      <c r="S22" s="1237">
        <f>RBBD!N7</f>
        <v>0</v>
      </c>
      <c r="T22" s="1237">
        <f>RBBD!O7</f>
        <v>0</v>
      </c>
      <c r="U22" s="1237">
        <f>RBBD!P7</f>
        <v>0</v>
      </c>
      <c r="V22" s="1237">
        <f>RBBD!Q7</f>
        <v>0</v>
      </c>
      <c r="W22" s="1237">
        <f>RBBD!R7</f>
        <v>0</v>
      </c>
      <c r="X22" s="1237">
        <f>RBBD!S7</f>
        <v>0</v>
      </c>
      <c r="Y22" s="1237">
        <f>RBBD!T7</f>
        <v>0</v>
      </c>
      <c r="Z22" s="65"/>
      <c r="AA22" s="324">
        <f t="shared" si="1"/>
        <v>0</v>
      </c>
    </row>
    <row r="23" spans="2:27" hidden="1">
      <c r="B23" s="1237">
        <f>RBBD!B8</f>
        <v>0</v>
      </c>
      <c r="C23" s="1237">
        <f>RBBD!C8</f>
        <v>0</v>
      </c>
      <c r="D23" s="1237">
        <f>RBBD!D8</f>
        <v>0</v>
      </c>
      <c r="E23" s="1237">
        <f>RBBD!E8</f>
        <v>0</v>
      </c>
      <c r="F23" s="1237">
        <f>RBBD!F8</f>
        <v>0</v>
      </c>
      <c r="G23" s="1237">
        <f>RBBD!G8</f>
        <v>0</v>
      </c>
      <c r="H23" s="1237">
        <f>RBBD!H8</f>
        <v>0</v>
      </c>
      <c r="I23" s="1237">
        <f t="shared" si="2"/>
        <v>0</v>
      </c>
      <c r="J23" s="1237">
        <f t="shared" si="2"/>
        <v>0</v>
      </c>
      <c r="K23" s="1237">
        <f t="shared" si="2"/>
        <v>0</v>
      </c>
      <c r="L23" s="1237">
        <f t="shared" si="2"/>
        <v>0</v>
      </c>
      <c r="M23" s="1237">
        <f t="shared" si="3"/>
        <v>0</v>
      </c>
      <c r="N23" s="1237">
        <f>RBBD!I8</f>
        <v>0</v>
      </c>
      <c r="O23" s="1237">
        <f>RBBD!J8</f>
        <v>0</v>
      </c>
      <c r="P23" s="1237">
        <f>RBBD!K8</f>
        <v>0</v>
      </c>
      <c r="Q23" s="1237">
        <f>RBBD!L8</f>
        <v>0</v>
      </c>
      <c r="R23" s="1237">
        <f>RBBD!M8</f>
        <v>0</v>
      </c>
      <c r="S23" s="1237">
        <f>RBBD!N8</f>
        <v>0</v>
      </c>
      <c r="T23" s="1237">
        <f>RBBD!O8</f>
        <v>0</v>
      </c>
      <c r="U23" s="1237">
        <f>RBBD!P8</f>
        <v>0</v>
      </c>
      <c r="V23" s="1237">
        <f>RBBD!Q8</f>
        <v>0</v>
      </c>
      <c r="W23" s="1237">
        <f>RBBD!R8</f>
        <v>0</v>
      </c>
      <c r="X23" s="1237">
        <f>RBBD!S8</f>
        <v>0</v>
      </c>
      <c r="Y23" s="1237">
        <f>RBBD!T8</f>
        <v>0</v>
      </c>
      <c r="Z23" s="65"/>
      <c r="AA23" s="324">
        <f t="shared" si="1"/>
        <v>0</v>
      </c>
    </row>
    <row r="24" spans="2:27" hidden="1">
      <c r="B24" s="1237">
        <f>RBBD!B9</f>
        <v>0</v>
      </c>
      <c r="C24" s="1237">
        <f>RBBD!C9</f>
        <v>0</v>
      </c>
      <c r="D24" s="1237">
        <f>RBBD!D9</f>
        <v>0</v>
      </c>
      <c r="E24" s="1237">
        <f>RBBD!E9</f>
        <v>0</v>
      </c>
      <c r="F24" s="1237">
        <f>RBBD!F9</f>
        <v>0</v>
      </c>
      <c r="G24" s="1237">
        <f>RBBD!G9</f>
        <v>0</v>
      </c>
      <c r="H24" s="1237">
        <f>RBBD!H9</f>
        <v>0</v>
      </c>
      <c r="I24" s="1237">
        <f t="shared" si="2"/>
        <v>0</v>
      </c>
      <c r="J24" s="1237">
        <f t="shared" si="2"/>
        <v>0</v>
      </c>
      <c r="K24" s="1237">
        <f t="shared" si="2"/>
        <v>0</v>
      </c>
      <c r="L24" s="1237">
        <f t="shared" si="2"/>
        <v>0</v>
      </c>
      <c r="M24" s="1237">
        <f t="shared" si="3"/>
        <v>0</v>
      </c>
      <c r="N24" s="1237">
        <f>RBBD!I9</f>
        <v>0</v>
      </c>
      <c r="O24" s="1237">
        <f>RBBD!J9</f>
        <v>0</v>
      </c>
      <c r="P24" s="1237">
        <f>RBBD!K9</f>
        <v>0</v>
      </c>
      <c r="Q24" s="1237">
        <f>RBBD!L9</f>
        <v>0</v>
      </c>
      <c r="R24" s="1237">
        <f>RBBD!M9</f>
        <v>0</v>
      </c>
      <c r="S24" s="1237">
        <f>RBBD!N9</f>
        <v>0</v>
      </c>
      <c r="T24" s="1237">
        <f>RBBD!O9</f>
        <v>0</v>
      </c>
      <c r="U24" s="1237">
        <f>RBBD!P9</f>
        <v>0</v>
      </c>
      <c r="V24" s="1237">
        <f>RBBD!Q9</f>
        <v>0</v>
      </c>
      <c r="W24" s="1237">
        <f>RBBD!R9</f>
        <v>0</v>
      </c>
      <c r="X24" s="1237">
        <f>RBBD!S9</f>
        <v>0</v>
      </c>
      <c r="Y24" s="1237">
        <f>RBBD!T9</f>
        <v>0</v>
      </c>
      <c r="Z24" s="65"/>
      <c r="AA24" s="324">
        <f t="shared" ref="AA24:AA38" si="4">IF(B24=0,0,1)</f>
        <v>0</v>
      </c>
    </row>
    <row r="25" spans="2:27" hidden="1">
      <c r="B25" s="1237">
        <f>RBBD!B10</f>
        <v>0</v>
      </c>
      <c r="C25" s="1237">
        <f>RBBD!C10</f>
        <v>0</v>
      </c>
      <c r="D25" s="1237">
        <f>RBBD!D10</f>
        <v>0</v>
      </c>
      <c r="E25" s="1237">
        <f>RBBD!E10</f>
        <v>0</v>
      </c>
      <c r="F25" s="1237">
        <f>RBBD!F10</f>
        <v>0</v>
      </c>
      <c r="G25" s="1237">
        <f>RBBD!G10</f>
        <v>0</v>
      </c>
      <c r="H25" s="1237">
        <f>RBBD!H10</f>
        <v>0</v>
      </c>
      <c r="I25" s="1237">
        <f t="shared" si="2"/>
        <v>0</v>
      </c>
      <c r="J25" s="1237">
        <f t="shared" si="2"/>
        <v>0</v>
      </c>
      <c r="K25" s="1237">
        <f t="shared" si="2"/>
        <v>0</v>
      </c>
      <c r="L25" s="1237">
        <f t="shared" si="2"/>
        <v>0</v>
      </c>
      <c r="M25" s="1237">
        <f t="shared" si="3"/>
        <v>0</v>
      </c>
      <c r="N25" s="1237">
        <f>RBBD!I10</f>
        <v>0</v>
      </c>
      <c r="O25" s="1237">
        <f>RBBD!J10</f>
        <v>0</v>
      </c>
      <c r="P25" s="1237">
        <f>RBBD!K10</f>
        <v>0</v>
      </c>
      <c r="Q25" s="1237">
        <f>RBBD!L10</f>
        <v>0</v>
      </c>
      <c r="R25" s="1237">
        <f>RBBD!M10</f>
        <v>0</v>
      </c>
      <c r="S25" s="1237">
        <f>RBBD!N10</f>
        <v>0</v>
      </c>
      <c r="T25" s="1237">
        <f>RBBD!O10</f>
        <v>0</v>
      </c>
      <c r="U25" s="1237">
        <f>RBBD!P10</f>
        <v>0</v>
      </c>
      <c r="V25" s="1237">
        <f>RBBD!Q10</f>
        <v>0</v>
      </c>
      <c r="W25" s="1237">
        <f>RBBD!R10</f>
        <v>0</v>
      </c>
      <c r="X25" s="1237">
        <f>RBBD!S10</f>
        <v>0</v>
      </c>
      <c r="Y25" s="1237">
        <f>RBBD!T10</f>
        <v>0</v>
      </c>
      <c r="Z25" s="65"/>
      <c r="AA25" s="324">
        <f t="shared" si="4"/>
        <v>0</v>
      </c>
    </row>
    <row r="26" spans="2:27" hidden="1">
      <c r="B26" s="1237">
        <f>RBBD!B11</f>
        <v>0</v>
      </c>
      <c r="C26" s="1237">
        <f>RBBD!C11</f>
        <v>0</v>
      </c>
      <c r="D26" s="1237">
        <f>RBBD!D11</f>
        <v>0</v>
      </c>
      <c r="E26" s="1237">
        <f>RBBD!E11</f>
        <v>0</v>
      </c>
      <c r="F26" s="1237">
        <f>RBBD!F11</f>
        <v>0</v>
      </c>
      <c r="G26" s="1237">
        <f>RBBD!G11</f>
        <v>0</v>
      </c>
      <c r="H26" s="1237">
        <f>RBBD!H11</f>
        <v>0</v>
      </c>
      <c r="I26" s="1237">
        <f t="shared" si="2"/>
        <v>0</v>
      </c>
      <c r="J26" s="1237">
        <f t="shared" si="2"/>
        <v>0</v>
      </c>
      <c r="K26" s="1237">
        <f t="shared" si="2"/>
        <v>0</v>
      </c>
      <c r="L26" s="1237">
        <f t="shared" si="2"/>
        <v>0</v>
      </c>
      <c r="M26" s="1237">
        <f t="shared" si="3"/>
        <v>0</v>
      </c>
      <c r="N26" s="1237">
        <f>RBBD!I11</f>
        <v>0</v>
      </c>
      <c r="O26" s="1237">
        <f>RBBD!J11</f>
        <v>0</v>
      </c>
      <c r="P26" s="1237">
        <f>RBBD!K11</f>
        <v>0</v>
      </c>
      <c r="Q26" s="1237">
        <f>RBBD!L11</f>
        <v>0</v>
      </c>
      <c r="R26" s="1237">
        <f>RBBD!M11</f>
        <v>0</v>
      </c>
      <c r="S26" s="1237">
        <f>RBBD!N11</f>
        <v>0</v>
      </c>
      <c r="T26" s="1237">
        <f>RBBD!O11</f>
        <v>0</v>
      </c>
      <c r="U26" s="1237">
        <f>RBBD!P11</f>
        <v>0</v>
      </c>
      <c r="V26" s="1237">
        <f>RBBD!Q11</f>
        <v>0</v>
      </c>
      <c r="W26" s="1237">
        <f>RBBD!R11</f>
        <v>0</v>
      </c>
      <c r="X26" s="1237">
        <f>RBBD!S11</f>
        <v>0</v>
      </c>
      <c r="Y26" s="1237">
        <f>RBBD!T11</f>
        <v>0</v>
      </c>
      <c r="Z26" s="65"/>
      <c r="AA26" s="324">
        <f t="shared" si="4"/>
        <v>0</v>
      </c>
    </row>
    <row r="27" spans="2:27" hidden="1">
      <c r="B27" s="1237">
        <f>RBBD!B12</f>
        <v>0</v>
      </c>
      <c r="C27" s="1237">
        <f>RBBD!C12</f>
        <v>0</v>
      </c>
      <c r="D27" s="1237">
        <f>RBBD!D12</f>
        <v>0</v>
      </c>
      <c r="E27" s="1237">
        <f>RBBD!E12</f>
        <v>0</v>
      </c>
      <c r="F27" s="1237">
        <f>RBBD!F12</f>
        <v>0</v>
      </c>
      <c r="G27" s="1237">
        <f>RBBD!G12</f>
        <v>0</v>
      </c>
      <c r="H27" s="1237">
        <f>RBBD!H12</f>
        <v>0</v>
      </c>
      <c r="I27" s="1237">
        <f t="shared" si="2"/>
        <v>0</v>
      </c>
      <c r="J27" s="1237">
        <f t="shared" si="2"/>
        <v>0</v>
      </c>
      <c r="K27" s="1237">
        <f t="shared" si="2"/>
        <v>0</v>
      </c>
      <c r="L27" s="1237">
        <f t="shared" si="2"/>
        <v>0</v>
      </c>
      <c r="M27" s="1237">
        <f t="shared" si="3"/>
        <v>0</v>
      </c>
      <c r="N27" s="1237">
        <f>RBBD!I12</f>
        <v>0</v>
      </c>
      <c r="O27" s="1237">
        <f>RBBD!J12</f>
        <v>0</v>
      </c>
      <c r="P27" s="1237">
        <f>RBBD!K12</f>
        <v>0</v>
      </c>
      <c r="Q27" s="1237">
        <f>RBBD!L12</f>
        <v>0</v>
      </c>
      <c r="R27" s="1237">
        <f>RBBD!M12</f>
        <v>0</v>
      </c>
      <c r="S27" s="1237">
        <f>RBBD!N12</f>
        <v>0</v>
      </c>
      <c r="T27" s="1237">
        <f>RBBD!O12</f>
        <v>0</v>
      </c>
      <c r="U27" s="1237">
        <f>RBBD!P12</f>
        <v>0</v>
      </c>
      <c r="V27" s="1237">
        <f>RBBD!Q12</f>
        <v>0</v>
      </c>
      <c r="W27" s="1237">
        <f>RBBD!R12</f>
        <v>0</v>
      </c>
      <c r="X27" s="1237">
        <f>RBBD!S12</f>
        <v>0</v>
      </c>
      <c r="Y27" s="1237">
        <f>RBBD!T12</f>
        <v>0</v>
      </c>
      <c r="Z27" s="65"/>
      <c r="AA27" s="324">
        <f t="shared" si="4"/>
        <v>0</v>
      </c>
    </row>
    <row r="28" spans="2:27" hidden="1">
      <c r="B28" s="1237">
        <f>RBBD!B13</f>
        <v>0</v>
      </c>
      <c r="C28" s="1237">
        <f>RBBD!C13</f>
        <v>0</v>
      </c>
      <c r="D28" s="1237">
        <f>RBBD!D13</f>
        <v>0</v>
      </c>
      <c r="E28" s="1237">
        <f>RBBD!G13</f>
        <v>0</v>
      </c>
      <c r="F28" s="1237">
        <f>RBBD!H13</f>
        <v>0</v>
      </c>
      <c r="G28" s="1237">
        <f>RBBD!E13</f>
        <v>0</v>
      </c>
      <c r="H28" s="1237">
        <f>RBBD!F13</f>
        <v>0</v>
      </c>
      <c r="I28" s="1237">
        <f t="shared" si="2"/>
        <v>0</v>
      </c>
      <c r="J28" s="1237">
        <f t="shared" si="2"/>
        <v>0</v>
      </c>
      <c r="K28" s="1237">
        <f t="shared" si="2"/>
        <v>0</v>
      </c>
      <c r="L28" s="1237">
        <f t="shared" si="2"/>
        <v>0</v>
      </c>
      <c r="M28" s="1237">
        <f t="shared" si="3"/>
        <v>0</v>
      </c>
      <c r="N28" s="1237">
        <f>RBBD!I13</f>
        <v>0</v>
      </c>
      <c r="O28" s="1237">
        <f>RBBD!J13</f>
        <v>0</v>
      </c>
      <c r="P28" s="1237">
        <f>RBBD!K13</f>
        <v>0</v>
      </c>
      <c r="Q28" s="1237">
        <f>RBBD!L13</f>
        <v>0</v>
      </c>
      <c r="R28" s="1237">
        <f>RBBD!M13</f>
        <v>0</v>
      </c>
      <c r="S28" s="1237">
        <f>RBBD!N13</f>
        <v>0</v>
      </c>
      <c r="T28" s="1237">
        <f>RBBD!O13</f>
        <v>0</v>
      </c>
      <c r="U28" s="1237">
        <f>RBBD!P13</f>
        <v>0</v>
      </c>
      <c r="V28" s="1237">
        <f>RBBD!Q13</f>
        <v>0</v>
      </c>
      <c r="W28" s="1237">
        <f>RBBD!R13</f>
        <v>0</v>
      </c>
      <c r="X28" s="1237">
        <f>RBBD!S13</f>
        <v>0</v>
      </c>
      <c r="Y28" s="1237">
        <f>RBBD!T13</f>
        <v>0</v>
      </c>
      <c r="Z28" s="65"/>
      <c r="AA28" s="324">
        <f t="shared" si="4"/>
        <v>0</v>
      </c>
    </row>
    <row r="29" spans="2:27" hidden="1">
      <c r="B29" s="1237">
        <f>RBBD!B14</f>
        <v>0</v>
      </c>
      <c r="C29" s="1237">
        <f>RBBD!C14</f>
        <v>0</v>
      </c>
      <c r="D29" s="1237">
        <f>RBBD!D14</f>
        <v>0</v>
      </c>
      <c r="E29" s="1237">
        <f>RBBD!G14</f>
        <v>0</v>
      </c>
      <c r="F29" s="1237">
        <f>RBBD!H14</f>
        <v>0</v>
      </c>
      <c r="G29" s="1237">
        <f>RBBD!E14</f>
        <v>0</v>
      </c>
      <c r="H29" s="1237">
        <f>RBBD!F14</f>
        <v>0</v>
      </c>
      <c r="I29" s="1237">
        <f t="shared" si="2"/>
        <v>0</v>
      </c>
      <c r="J29" s="1237">
        <f t="shared" si="2"/>
        <v>0</v>
      </c>
      <c r="K29" s="1237">
        <f t="shared" si="2"/>
        <v>0</v>
      </c>
      <c r="L29" s="1237">
        <f t="shared" si="2"/>
        <v>0</v>
      </c>
      <c r="M29" s="1237">
        <f t="shared" si="3"/>
        <v>0</v>
      </c>
      <c r="N29" s="1237">
        <f>RBBD!I14</f>
        <v>0</v>
      </c>
      <c r="O29" s="1237">
        <f>RBBD!J14</f>
        <v>0</v>
      </c>
      <c r="P29" s="1237">
        <f>RBBD!K14</f>
        <v>0</v>
      </c>
      <c r="Q29" s="1237">
        <f>RBBD!L14</f>
        <v>0</v>
      </c>
      <c r="R29" s="1237">
        <f>RBBD!M14</f>
        <v>0</v>
      </c>
      <c r="S29" s="1237">
        <f>RBBD!N14</f>
        <v>0</v>
      </c>
      <c r="T29" s="1237">
        <f>RBBD!O14</f>
        <v>0</v>
      </c>
      <c r="U29" s="1237">
        <f>RBBD!P14</f>
        <v>0</v>
      </c>
      <c r="V29" s="1237">
        <f>RBBD!Q14</f>
        <v>0</v>
      </c>
      <c r="W29" s="1237">
        <f>RBBD!R14</f>
        <v>0</v>
      </c>
      <c r="X29" s="1237">
        <f>RBBD!S14</f>
        <v>0</v>
      </c>
      <c r="Y29" s="1237">
        <f>RBBD!T14</f>
        <v>0</v>
      </c>
      <c r="Z29" s="65"/>
      <c r="AA29" s="324">
        <f t="shared" si="4"/>
        <v>0</v>
      </c>
    </row>
    <row r="30" spans="2:27" hidden="1">
      <c r="B30" s="1237">
        <f>RBBD!B15</f>
        <v>0</v>
      </c>
      <c r="C30" s="1237">
        <f>RBBD!C15</f>
        <v>0</v>
      </c>
      <c r="D30" s="1237">
        <f>RBBD!D15</f>
        <v>0</v>
      </c>
      <c r="E30" s="1237">
        <f>RBBD!G15</f>
        <v>0</v>
      </c>
      <c r="F30" s="1237">
        <f>RBBD!H15</f>
        <v>0</v>
      </c>
      <c r="G30" s="1237">
        <f>RBBD!E15</f>
        <v>0</v>
      </c>
      <c r="H30" s="1237">
        <f>RBBD!F15</f>
        <v>0</v>
      </c>
      <c r="I30" s="1237">
        <f t="shared" si="2"/>
        <v>0</v>
      </c>
      <c r="J30" s="1237">
        <f t="shared" si="2"/>
        <v>0</v>
      </c>
      <c r="K30" s="1237">
        <f t="shared" si="2"/>
        <v>0</v>
      </c>
      <c r="L30" s="1237">
        <f t="shared" si="2"/>
        <v>0</v>
      </c>
      <c r="M30" s="1237">
        <f t="shared" si="3"/>
        <v>0</v>
      </c>
      <c r="N30" s="1237">
        <f>RBBD!I15</f>
        <v>0</v>
      </c>
      <c r="O30" s="1237">
        <f>RBBD!J15</f>
        <v>0</v>
      </c>
      <c r="P30" s="1237">
        <f>RBBD!K15</f>
        <v>0</v>
      </c>
      <c r="Q30" s="1237">
        <f>RBBD!L15</f>
        <v>0</v>
      </c>
      <c r="R30" s="1237">
        <f>RBBD!M15</f>
        <v>0</v>
      </c>
      <c r="S30" s="1237">
        <f>RBBD!N15</f>
        <v>0</v>
      </c>
      <c r="T30" s="1237">
        <f>RBBD!O15</f>
        <v>0</v>
      </c>
      <c r="U30" s="1237">
        <f>RBBD!P15</f>
        <v>0</v>
      </c>
      <c r="V30" s="1237">
        <f>RBBD!Q15</f>
        <v>0</v>
      </c>
      <c r="W30" s="1237">
        <f>RBBD!R15</f>
        <v>0</v>
      </c>
      <c r="X30" s="1237">
        <f>RBBD!S15</f>
        <v>0</v>
      </c>
      <c r="Y30" s="1237">
        <f>RBBD!T15</f>
        <v>0</v>
      </c>
      <c r="Z30" s="65"/>
      <c r="AA30" s="324">
        <f t="shared" si="4"/>
        <v>0</v>
      </c>
    </row>
    <row r="31" spans="2:27" hidden="1">
      <c r="B31" s="1237">
        <f>RBBD!B16</f>
        <v>0</v>
      </c>
      <c r="C31" s="1237">
        <f>RBBD!C16</f>
        <v>0</v>
      </c>
      <c r="D31" s="1237">
        <f>RBBD!D16</f>
        <v>0</v>
      </c>
      <c r="E31" s="1237">
        <f>RBBD!G16</f>
        <v>0</v>
      </c>
      <c r="F31" s="1237">
        <f>RBBD!H16</f>
        <v>0</v>
      </c>
      <c r="G31" s="1237">
        <f>RBBD!E16</f>
        <v>0</v>
      </c>
      <c r="H31" s="1237">
        <f>RBBD!F16</f>
        <v>0</v>
      </c>
      <c r="I31" s="1237">
        <f t="shared" si="2"/>
        <v>0</v>
      </c>
      <c r="J31" s="1237">
        <f t="shared" si="2"/>
        <v>0</v>
      </c>
      <c r="K31" s="1237">
        <f t="shared" si="2"/>
        <v>0</v>
      </c>
      <c r="L31" s="1237">
        <f t="shared" si="2"/>
        <v>0</v>
      </c>
      <c r="M31" s="1237">
        <f t="shared" si="3"/>
        <v>0</v>
      </c>
      <c r="N31" s="1237">
        <f>RBBD!I16</f>
        <v>0</v>
      </c>
      <c r="O31" s="1237">
        <f>RBBD!J16</f>
        <v>0</v>
      </c>
      <c r="P31" s="1237">
        <f>RBBD!K16</f>
        <v>0</v>
      </c>
      <c r="Q31" s="1237">
        <f>RBBD!L16</f>
        <v>0</v>
      </c>
      <c r="R31" s="1237">
        <f>RBBD!M16</f>
        <v>0</v>
      </c>
      <c r="S31" s="1237">
        <f>RBBD!N16</f>
        <v>0</v>
      </c>
      <c r="T31" s="1237">
        <f>RBBD!O16</f>
        <v>0</v>
      </c>
      <c r="U31" s="1237">
        <f>RBBD!P16</f>
        <v>0</v>
      </c>
      <c r="V31" s="1237">
        <f>RBBD!Q16</f>
        <v>0</v>
      </c>
      <c r="W31" s="1237">
        <f>RBBD!R16</f>
        <v>0</v>
      </c>
      <c r="X31" s="1237">
        <f>RBBD!S16</f>
        <v>0</v>
      </c>
      <c r="Y31" s="1237">
        <f>RBBD!T16</f>
        <v>0</v>
      </c>
      <c r="Z31" s="65"/>
      <c r="AA31" s="324">
        <f t="shared" si="4"/>
        <v>0</v>
      </c>
    </row>
    <row r="32" spans="2:27" hidden="1">
      <c r="B32" s="1237">
        <f>RBBD!B17</f>
        <v>0</v>
      </c>
      <c r="C32" s="1237">
        <f>RBBD!C17</f>
        <v>0</v>
      </c>
      <c r="D32" s="1237">
        <f>RBBD!D17</f>
        <v>0</v>
      </c>
      <c r="E32" s="1237">
        <f>RBBD!G17</f>
        <v>0</v>
      </c>
      <c r="F32" s="1237">
        <f>RBBD!H17</f>
        <v>0</v>
      </c>
      <c r="G32" s="1237">
        <f>RBBD!E17</f>
        <v>0</v>
      </c>
      <c r="H32" s="1237">
        <f>RBBD!F17</f>
        <v>0</v>
      </c>
      <c r="I32" s="1237">
        <f t="shared" si="2"/>
        <v>0</v>
      </c>
      <c r="J32" s="1237">
        <f t="shared" si="2"/>
        <v>0</v>
      </c>
      <c r="K32" s="1237">
        <f t="shared" si="2"/>
        <v>0</v>
      </c>
      <c r="L32" s="1237">
        <f t="shared" si="2"/>
        <v>0</v>
      </c>
      <c r="M32" s="1237">
        <f t="shared" si="3"/>
        <v>0</v>
      </c>
      <c r="N32" s="1237">
        <f>RBBD!I17</f>
        <v>0</v>
      </c>
      <c r="O32" s="1237">
        <f>RBBD!J17</f>
        <v>0</v>
      </c>
      <c r="P32" s="1237">
        <f>RBBD!K17</f>
        <v>0</v>
      </c>
      <c r="Q32" s="1237">
        <f>RBBD!L17</f>
        <v>0</v>
      </c>
      <c r="R32" s="1237">
        <f>RBBD!M17</f>
        <v>0</v>
      </c>
      <c r="S32" s="1237">
        <f>RBBD!N17</f>
        <v>0</v>
      </c>
      <c r="T32" s="1237">
        <f>RBBD!O17</f>
        <v>0</v>
      </c>
      <c r="U32" s="1237">
        <f>RBBD!P17</f>
        <v>0</v>
      </c>
      <c r="V32" s="1237">
        <f>RBBD!Q17</f>
        <v>0</v>
      </c>
      <c r="W32" s="1237">
        <f>RBBD!R17</f>
        <v>0</v>
      </c>
      <c r="X32" s="1237">
        <f>RBBD!S17</f>
        <v>0</v>
      </c>
      <c r="Y32" s="1237">
        <f>RBBD!T17</f>
        <v>0</v>
      </c>
      <c r="Z32" s="65"/>
      <c r="AA32" s="324">
        <f t="shared" si="4"/>
        <v>0</v>
      </c>
    </row>
    <row r="33" spans="2:27" hidden="1">
      <c r="B33" s="1237">
        <f>RBBD!B18</f>
        <v>0</v>
      </c>
      <c r="C33" s="1237">
        <f>RBBD!C18</f>
        <v>0</v>
      </c>
      <c r="D33" s="1237">
        <f>RBBD!D18</f>
        <v>0</v>
      </c>
      <c r="E33" s="1237">
        <f>RBBD!G18</f>
        <v>0</v>
      </c>
      <c r="F33" s="1237">
        <f>RBBD!H18</f>
        <v>0</v>
      </c>
      <c r="G33" s="1237">
        <f>RBBD!E18</f>
        <v>0</v>
      </c>
      <c r="H33" s="1237">
        <f>RBBD!F18</f>
        <v>0</v>
      </c>
      <c r="I33" s="1237">
        <f t="shared" si="2"/>
        <v>0</v>
      </c>
      <c r="J33" s="1237">
        <f t="shared" si="2"/>
        <v>0</v>
      </c>
      <c r="K33" s="1237">
        <f t="shared" si="2"/>
        <v>0</v>
      </c>
      <c r="L33" s="1237">
        <f t="shared" si="2"/>
        <v>0</v>
      </c>
      <c r="M33" s="1237">
        <f t="shared" si="3"/>
        <v>0</v>
      </c>
      <c r="N33" s="1237">
        <f>RBBD!I18</f>
        <v>0</v>
      </c>
      <c r="O33" s="1237">
        <f>RBBD!J18</f>
        <v>0</v>
      </c>
      <c r="P33" s="1237">
        <f>RBBD!K18</f>
        <v>0</v>
      </c>
      <c r="Q33" s="1237">
        <f>RBBD!L18</f>
        <v>0</v>
      </c>
      <c r="R33" s="1237">
        <f>RBBD!M18</f>
        <v>0</v>
      </c>
      <c r="S33" s="1237">
        <f>RBBD!N18</f>
        <v>0</v>
      </c>
      <c r="T33" s="1237">
        <f>RBBD!O18</f>
        <v>0</v>
      </c>
      <c r="U33" s="1237">
        <f>RBBD!P18</f>
        <v>0</v>
      </c>
      <c r="V33" s="1237">
        <f>RBBD!Q18</f>
        <v>0</v>
      </c>
      <c r="W33" s="1237">
        <f>RBBD!R18</f>
        <v>0</v>
      </c>
      <c r="X33" s="1237">
        <f>RBBD!S18</f>
        <v>0</v>
      </c>
      <c r="Y33" s="1237">
        <f>RBBD!T18</f>
        <v>0</v>
      </c>
      <c r="Z33" s="65"/>
      <c r="AA33" s="324">
        <f t="shared" si="4"/>
        <v>0</v>
      </c>
    </row>
    <row r="34" spans="2:27" hidden="1">
      <c r="B34" s="1237">
        <f>RBBD!B19</f>
        <v>0</v>
      </c>
      <c r="C34" s="1237">
        <f>RBBD!C19</f>
        <v>0</v>
      </c>
      <c r="D34" s="1237">
        <f>RBBD!D19</f>
        <v>0</v>
      </c>
      <c r="E34" s="1237">
        <f>RBBD!G19</f>
        <v>0</v>
      </c>
      <c r="F34" s="1237">
        <f>RBBD!H19</f>
        <v>0</v>
      </c>
      <c r="G34" s="1237">
        <f>RBBD!E19</f>
        <v>0</v>
      </c>
      <c r="H34" s="1237">
        <f>RBBD!F19</f>
        <v>0</v>
      </c>
      <c r="I34" s="1237">
        <f t="shared" si="2"/>
        <v>0</v>
      </c>
      <c r="J34" s="1237">
        <f t="shared" si="2"/>
        <v>0</v>
      </c>
      <c r="K34" s="1237">
        <f t="shared" si="2"/>
        <v>0</v>
      </c>
      <c r="L34" s="1237">
        <f t="shared" si="2"/>
        <v>0</v>
      </c>
      <c r="M34" s="1237">
        <f t="shared" si="3"/>
        <v>0</v>
      </c>
      <c r="N34" s="1237">
        <f>RBBD!I19</f>
        <v>0</v>
      </c>
      <c r="O34" s="1237">
        <f>RBBD!J19</f>
        <v>0</v>
      </c>
      <c r="P34" s="1237">
        <f>RBBD!K19</f>
        <v>0</v>
      </c>
      <c r="Q34" s="1237">
        <f>RBBD!L19</f>
        <v>0</v>
      </c>
      <c r="R34" s="1237">
        <f>RBBD!M19</f>
        <v>0</v>
      </c>
      <c r="S34" s="1237">
        <f>RBBD!N19</f>
        <v>0</v>
      </c>
      <c r="T34" s="1237">
        <f>RBBD!O19</f>
        <v>0</v>
      </c>
      <c r="U34" s="1237">
        <f>RBBD!P19</f>
        <v>0</v>
      </c>
      <c r="V34" s="1237">
        <f>RBBD!Q19</f>
        <v>0</v>
      </c>
      <c r="W34" s="1237">
        <f>RBBD!R19</f>
        <v>0</v>
      </c>
      <c r="X34" s="1237">
        <f>RBBD!S19</f>
        <v>0</v>
      </c>
      <c r="Y34" s="1237">
        <f>RBBD!T19</f>
        <v>0</v>
      </c>
      <c r="Z34" s="65"/>
      <c r="AA34" s="324">
        <f t="shared" si="4"/>
        <v>0</v>
      </c>
    </row>
    <row r="35" spans="2:27" hidden="1">
      <c r="B35" s="1237">
        <f>RBBD!B20</f>
        <v>0</v>
      </c>
      <c r="C35" s="1237">
        <f>RBBD!C20</f>
        <v>0</v>
      </c>
      <c r="D35" s="1237">
        <f>RBBD!D20</f>
        <v>0</v>
      </c>
      <c r="E35" s="1237">
        <f>RBBD!G20</f>
        <v>0</v>
      </c>
      <c r="F35" s="1237">
        <f>RBBD!H20</f>
        <v>0</v>
      </c>
      <c r="G35" s="1237">
        <f>RBBD!E20</f>
        <v>0</v>
      </c>
      <c r="H35" s="1237">
        <f>RBBD!F20</f>
        <v>0</v>
      </c>
      <c r="I35" s="1237">
        <f t="shared" si="2"/>
        <v>0</v>
      </c>
      <c r="J35" s="1237">
        <f t="shared" si="2"/>
        <v>0</v>
      </c>
      <c r="K35" s="1237">
        <f t="shared" si="2"/>
        <v>0</v>
      </c>
      <c r="L35" s="1237">
        <f t="shared" si="2"/>
        <v>0</v>
      </c>
      <c r="M35" s="1237">
        <f t="shared" si="3"/>
        <v>0</v>
      </c>
      <c r="N35" s="1237">
        <f>RBBD!I20</f>
        <v>0</v>
      </c>
      <c r="O35" s="1237">
        <f>RBBD!J20</f>
        <v>0</v>
      </c>
      <c r="P35" s="1237">
        <f>RBBD!K20</f>
        <v>0</v>
      </c>
      <c r="Q35" s="1237">
        <f>RBBD!L20</f>
        <v>0</v>
      </c>
      <c r="R35" s="1237">
        <f>RBBD!M20</f>
        <v>0</v>
      </c>
      <c r="S35" s="1237">
        <f>RBBD!N20</f>
        <v>0</v>
      </c>
      <c r="T35" s="1237">
        <f>RBBD!O20</f>
        <v>0</v>
      </c>
      <c r="U35" s="1237">
        <f>RBBD!P20</f>
        <v>0</v>
      </c>
      <c r="V35" s="1237">
        <f>RBBD!Q20</f>
        <v>0</v>
      </c>
      <c r="W35" s="1237">
        <f>RBBD!R20</f>
        <v>0</v>
      </c>
      <c r="X35" s="1237">
        <f>RBBD!S20</f>
        <v>0</v>
      </c>
      <c r="Y35" s="1237">
        <f>RBBD!T20</f>
        <v>0</v>
      </c>
      <c r="Z35" s="65"/>
      <c r="AA35" s="324">
        <f t="shared" si="4"/>
        <v>0</v>
      </c>
    </row>
    <row r="36" spans="2:27" hidden="1">
      <c r="B36" s="1237">
        <f>RBBD!B21</f>
        <v>0</v>
      </c>
      <c r="C36" s="1237">
        <f>RBBD!C21</f>
        <v>0</v>
      </c>
      <c r="D36" s="1237">
        <f>RBBD!D21</f>
        <v>0</v>
      </c>
      <c r="E36" s="1237">
        <f>RBBD!G21</f>
        <v>0</v>
      </c>
      <c r="F36" s="1237">
        <f>RBBD!H21</f>
        <v>0</v>
      </c>
      <c r="G36" s="1237">
        <f>RBBD!E21</f>
        <v>0</v>
      </c>
      <c r="H36" s="1237">
        <f>RBBD!F21</f>
        <v>0</v>
      </c>
      <c r="I36" s="1237">
        <f t="shared" si="2"/>
        <v>0</v>
      </c>
      <c r="J36" s="1237">
        <f t="shared" si="2"/>
        <v>0</v>
      </c>
      <c r="K36" s="1237">
        <f t="shared" si="2"/>
        <v>0</v>
      </c>
      <c r="L36" s="1237">
        <f t="shared" si="2"/>
        <v>0</v>
      </c>
      <c r="M36" s="1237">
        <f t="shared" si="3"/>
        <v>0</v>
      </c>
      <c r="N36" s="1237">
        <f>RBBD!I21</f>
        <v>0</v>
      </c>
      <c r="O36" s="1237">
        <f>RBBD!J21</f>
        <v>0</v>
      </c>
      <c r="P36" s="1237">
        <f>RBBD!K21</f>
        <v>0</v>
      </c>
      <c r="Q36" s="1237">
        <f>RBBD!L21</f>
        <v>0</v>
      </c>
      <c r="R36" s="1237">
        <f>RBBD!M21</f>
        <v>0</v>
      </c>
      <c r="S36" s="1237">
        <f>RBBD!N21</f>
        <v>0</v>
      </c>
      <c r="T36" s="1237">
        <f>RBBD!O21</f>
        <v>0</v>
      </c>
      <c r="U36" s="1237">
        <f>RBBD!P21</f>
        <v>0</v>
      </c>
      <c r="V36" s="1237">
        <f>RBBD!Q21</f>
        <v>0</v>
      </c>
      <c r="W36" s="1237">
        <f>RBBD!R21</f>
        <v>0</v>
      </c>
      <c r="X36" s="1237">
        <f>RBBD!S21</f>
        <v>0</v>
      </c>
      <c r="Y36" s="1237">
        <f>RBBD!T21</f>
        <v>0</v>
      </c>
      <c r="Z36" s="65"/>
      <c r="AA36" s="324">
        <f t="shared" si="4"/>
        <v>0</v>
      </c>
    </row>
    <row r="37" spans="2:27" hidden="1">
      <c r="B37" s="1237">
        <f>RBBD!B22</f>
        <v>0</v>
      </c>
      <c r="C37" s="1237">
        <f>RBBD!C22</f>
        <v>0</v>
      </c>
      <c r="D37" s="1237">
        <f>RBBD!D22</f>
        <v>0</v>
      </c>
      <c r="E37" s="1237">
        <f>RBBD!G22</f>
        <v>0</v>
      </c>
      <c r="F37" s="1237">
        <f>RBBD!H22</f>
        <v>0</v>
      </c>
      <c r="G37" s="1237">
        <f>RBBD!E22</f>
        <v>0</v>
      </c>
      <c r="H37" s="1237">
        <f>RBBD!F22</f>
        <v>0</v>
      </c>
      <c r="I37" s="1237">
        <f t="shared" si="2"/>
        <v>0</v>
      </c>
      <c r="J37" s="1237">
        <f t="shared" si="2"/>
        <v>0</v>
      </c>
      <c r="K37" s="1237">
        <f t="shared" si="2"/>
        <v>0</v>
      </c>
      <c r="L37" s="1237">
        <f t="shared" si="2"/>
        <v>0</v>
      </c>
      <c r="M37" s="1237">
        <f t="shared" si="3"/>
        <v>0</v>
      </c>
      <c r="N37" s="1237">
        <f>RBBD!I22</f>
        <v>0</v>
      </c>
      <c r="O37" s="1237">
        <f>RBBD!J22</f>
        <v>0</v>
      </c>
      <c r="P37" s="1237">
        <f>RBBD!K22</f>
        <v>0</v>
      </c>
      <c r="Q37" s="1237">
        <f>RBBD!L22</f>
        <v>0</v>
      </c>
      <c r="R37" s="1237">
        <f>RBBD!M22</f>
        <v>0</v>
      </c>
      <c r="S37" s="1237">
        <f>RBBD!N22</f>
        <v>0</v>
      </c>
      <c r="T37" s="1237">
        <f>RBBD!O22</f>
        <v>0</v>
      </c>
      <c r="U37" s="1237">
        <f>RBBD!P22</f>
        <v>0</v>
      </c>
      <c r="V37" s="1237">
        <f>RBBD!Q22</f>
        <v>0</v>
      </c>
      <c r="W37" s="1237">
        <f>RBBD!R22</f>
        <v>0</v>
      </c>
      <c r="X37" s="1237">
        <f>RBBD!S22</f>
        <v>0</v>
      </c>
      <c r="Y37" s="1237">
        <f>RBBD!T22</f>
        <v>0</v>
      </c>
      <c r="Z37" s="65"/>
      <c r="AA37" s="324">
        <f t="shared" si="4"/>
        <v>0</v>
      </c>
    </row>
    <row r="38" spans="2:27" hidden="1">
      <c r="B38" s="1237">
        <f>RBBD!B23</f>
        <v>0</v>
      </c>
      <c r="C38" s="1237">
        <f>RBBD!C23</f>
        <v>0</v>
      </c>
      <c r="D38" s="1237">
        <f>RBBD!D23</f>
        <v>0</v>
      </c>
      <c r="E38" s="1237">
        <f>RBBD!G23</f>
        <v>0</v>
      </c>
      <c r="F38" s="1237">
        <f>RBBD!H23</f>
        <v>0</v>
      </c>
      <c r="G38" s="1237">
        <f>RBBD!E23</f>
        <v>0</v>
      </c>
      <c r="H38" s="1237">
        <f>RBBD!F23</f>
        <v>0</v>
      </c>
      <c r="I38" s="1237">
        <f t="shared" si="2"/>
        <v>0</v>
      </c>
      <c r="J38" s="1237">
        <f t="shared" si="2"/>
        <v>0</v>
      </c>
      <c r="K38" s="1237">
        <f t="shared" si="2"/>
        <v>0</v>
      </c>
      <c r="L38" s="1237">
        <f t="shared" si="2"/>
        <v>0</v>
      </c>
      <c r="M38" s="1237">
        <f t="shared" si="3"/>
        <v>0</v>
      </c>
      <c r="N38" s="1237">
        <f>RBBD!I23</f>
        <v>0</v>
      </c>
      <c r="O38" s="1237">
        <f>RBBD!J23</f>
        <v>0</v>
      </c>
      <c r="P38" s="1237">
        <f>RBBD!K23</f>
        <v>0</v>
      </c>
      <c r="Q38" s="1237">
        <f>RBBD!L23</f>
        <v>0</v>
      </c>
      <c r="R38" s="1237">
        <f>RBBD!M23</f>
        <v>0</v>
      </c>
      <c r="S38" s="1237">
        <f>RBBD!N23</f>
        <v>0</v>
      </c>
      <c r="T38" s="1237">
        <f>RBBD!O23</f>
        <v>0</v>
      </c>
      <c r="U38" s="1237">
        <f>RBBD!P23</f>
        <v>0</v>
      </c>
      <c r="V38" s="1237">
        <f>RBBD!Q23</f>
        <v>0</v>
      </c>
      <c r="W38" s="1237">
        <f>RBBD!R23</f>
        <v>0</v>
      </c>
      <c r="X38" s="1237">
        <f>RBBD!S23</f>
        <v>0</v>
      </c>
      <c r="Y38" s="1237">
        <f>RBBD!T23</f>
        <v>0</v>
      </c>
      <c r="Z38" s="65"/>
      <c r="AA38" s="324">
        <f t="shared" si="4"/>
        <v>0</v>
      </c>
    </row>
    <row r="39" spans="2:27" hidden="1">
      <c r="B39" s="1237">
        <f>RBBD!B24</f>
        <v>0</v>
      </c>
      <c r="C39" s="1237">
        <f>RBBD!C24</f>
        <v>0</v>
      </c>
      <c r="D39" s="1237">
        <f>RBBD!D24</f>
        <v>0</v>
      </c>
      <c r="E39" s="1237">
        <f>RBBD!G24</f>
        <v>0</v>
      </c>
      <c r="F39" s="1237">
        <f>RBBD!H24</f>
        <v>0</v>
      </c>
      <c r="G39" s="1237">
        <f>RBBD!E24</f>
        <v>0</v>
      </c>
      <c r="H39" s="1237">
        <f>RBBD!F24</f>
        <v>0</v>
      </c>
      <c r="I39" s="1237">
        <f t="shared" si="2"/>
        <v>0</v>
      </c>
      <c r="J39" s="1237">
        <f t="shared" si="2"/>
        <v>0</v>
      </c>
      <c r="K39" s="1237">
        <f t="shared" si="2"/>
        <v>0</v>
      </c>
      <c r="L39" s="1237">
        <f t="shared" si="2"/>
        <v>0</v>
      </c>
      <c r="M39" s="1237">
        <f t="shared" si="3"/>
        <v>0</v>
      </c>
      <c r="N39" s="1237">
        <f>RBBD!I24</f>
        <v>0</v>
      </c>
      <c r="O39" s="1237">
        <f>RBBD!J24</f>
        <v>0</v>
      </c>
      <c r="P39" s="1237">
        <f>RBBD!K24</f>
        <v>0</v>
      </c>
      <c r="Q39" s="1237">
        <f>RBBD!L24</f>
        <v>0</v>
      </c>
      <c r="R39" s="1237">
        <f>RBBD!M24</f>
        <v>0</v>
      </c>
      <c r="S39" s="1237">
        <f>RBBD!N24</f>
        <v>0</v>
      </c>
      <c r="T39" s="1237">
        <f>RBBD!O24</f>
        <v>0</v>
      </c>
      <c r="U39" s="1237">
        <f>RBBD!P24</f>
        <v>0</v>
      </c>
      <c r="V39" s="1237">
        <f>RBBD!Q24</f>
        <v>0</v>
      </c>
      <c r="W39" s="1237">
        <f>RBBD!R24</f>
        <v>0</v>
      </c>
      <c r="X39" s="1237">
        <f>RBBD!S24</f>
        <v>0</v>
      </c>
      <c r="Y39" s="1237">
        <f>RBBD!T24</f>
        <v>0</v>
      </c>
      <c r="Z39" s="65"/>
      <c r="AA39" s="324">
        <f t="shared" ref="AA39:AA60" si="5">IF(B39=0,0,1)</f>
        <v>0</v>
      </c>
    </row>
    <row r="40" spans="2:27" hidden="1">
      <c r="B40" s="1237">
        <f>RBBD!B25</f>
        <v>0</v>
      </c>
      <c r="C40" s="1237">
        <f>RBBD!C25</f>
        <v>0</v>
      </c>
      <c r="D40" s="1237">
        <f>RBBD!D25</f>
        <v>0</v>
      </c>
      <c r="E40" s="1237">
        <f>RBBD!G25</f>
        <v>0</v>
      </c>
      <c r="F40" s="1237">
        <f>RBBD!H25</f>
        <v>0</v>
      </c>
      <c r="G40" s="1237">
        <f>RBBD!E25</f>
        <v>0</v>
      </c>
      <c r="H40" s="1237">
        <f>RBBD!F25</f>
        <v>0</v>
      </c>
      <c r="I40" s="1237">
        <f t="shared" si="2"/>
        <v>0</v>
      </c>
      <c r="J40" s="1237">
        <f t="shared" si="2"/>
        <v>0</v>
      </c>
      <c r="K40" s="1237">
        <f t="shared" si="2"/>
        <v>0</v>
      </c>
      <c r="L40" s="1237">
        <f t="shared" si="2"/>
        <v>0</v>
      </c>
      <c r="M40" s="1237">
        <f t="shared" si="3"/>
        <v>0</v>
      </c>
      <c r="N40" s="1237">
        <f>RBBD!I25</f>
        <v>0</v>
      </c>
      <c r="O40" s="1237">
        <f>RBBD!J25</f>
        <v>0</v>
      </c>
      <c r="P40" s="1237">
        <f>RBBD!K25</f>
        <v>0</v>
      </c>
      <c r="Q40" s="1237">
        <f>RBBD!L25</f>
        <v>0</v>
      </c>
      <c r="R40" s="1237">
        <f>RBBD!M25</f>
        <v>0</v>
      </c>
      <c r="S40" s="1237">
        <f>RBBD!N25</f>
        <v>0</v>
      </c>
      <c r="T40" s="1237">
        <f>RBBD!O25</f>
        <v>0</v>
      </c>
      <c r="U40" s="1237">
        <f>RBBD!P25</f>
        <v>0</v>
      </c>
      <c r="V40" s="1237">
        <f>RBBD!Q25</f>
        <v>0</v>
      </c>
      <c r="W40" s="1237">
        <f>RBBD!R25</f>
        <v>0</v>
      </c>
      <c r="X40" s="1237">
        <f>RBBD!S25</f>
        <v>0</v>
      </c>
      <c r="Y40" s="1237">
        <f>RBBD!T25</f>
        <v>0</v>
      </c>
      <c r="Z40" s="65"/>
      <c r="AA40" s="324">
        <f t="shared" si="5"/>
        <v>0</v>
      </c>
    </row>
    <row r="41" spans="2:27" hidden="1">
      <c r="B41" s="1237">
        <f>RBBD!B26</f>
        <v>0</v>
      </c>
      <c r="C41" s="1237">
        <f>RBBD!C26</f>
        <v>0</v>
      </c>
      <c r="D41" s="1237">
        <f>RBBD!D26</f>
        <v>0</v>
      </c>
      <c r="E41" s="1237">
        <f>RBBD!G26</f>
        <v>0</v>
      </c>
      <c r="F41" s="1237">
        <f>RBBD!H26</f>
        <v>0</v>
      </c>
      <c r="G41" s="1237">
        <f>RBBD!E26</f>
        <v>0</v>
      </c>
      <c r="H41" s="1237">
        <f>RBBD!F26</f>
        <v>0</v>
      </c>
      <c r="I41" s="1237">
        <f t="shared" si="2"/>
        <v>0</v>
      </c>
      <c r="J41" s="1237">
        <f t="shared" si="2"/>
        <v>0</v>
      </c>
      <c r="K41" s="1237">
        <f t="shared" si="2"/>
        <v>0</v>
      </c>
      <c r="L41" s="1237">
        <f t="shared" si="2"/>
        <v>0</v>
      </c>
      <c r="M41" s="1237">
        <f t="shared" si="3"/>
        <v>0</v>
      </c>
      <c r="N41" s="1237">
        <f>RBBD!I26</f>
        <v>0</v>
      </c>
      <c r="O41" s="1237">
        <f>RBBD!J26</f>
        <v>0</v>
      </c>
      <c r="P41" s="1237">
        <f>RBBD!K26</f>
        <v>0</v>
      </c>
      <c r="Q41" s="1237">
        <f>RBBD!L26</f>
        <v>0</v>
      </c>
      <c r="R41" s="1237">
        <f>RBBD!M26</f>
        <v>0</v>
      </c>
      <c r="S41" s="1237">
        <f>RBBD!N26</f>
        <v>0</v>
      </c>
      <c r="T41" s="1237">
        <f>RBBD!O26</f>
        <v>0</v>
      </c>
      <c r="U41" s="1237">
        <f>RBBD!P26</f>
        <v>0</v>
      </c>
      <c r="V41" s="1237">
        <f>RBBD!Q26</f>
        <v>0</v>
      </c>
      <c r="W41" s="1237">
        <f>RBBD!R26</f>
        <v>0</v>
      </c>
      <c r="X41" s="1237">
        <f>RBBD!S26</f>
        <v>0</v>
      </c>
      <c r="Y41" s="1237">
        <f>RBBD!T26</f>
        <v>0</v>
      </c>
      <c r="Z41" s="65"/>
      <c r="AA41" s="324">
        <f t="shared" si="5"/>
        <v>0</v>
      </c>
    </row>
    <row r="42" spans="2:27" hidden="1">
      <c r="B42" s="1237">
        <f>RBBD!B27</f>
        <v>0</v>
      </c>
      <c r="C42" s="1237">
        <f>RBBD!C27</f>
        <v>0</v>
      </c>
      <c r="D42" s="1237">
        <f>RBBD!D27</f>
        <v>0</v>
      </c>
      <c r="E42" s="1237">
        <f>RBBD!G27</f>
        <v>0</v>
      </c>
      <c r="F42" s="1237">
        <f>RBBD!H27</f>
        <v>0</v>
      </c>
      <c r="G42" s="1237">
        <f>RBBD!E27</f>
        <v>0</v>
      </c>
      <c r="H42" s="1237">
        <f>RBBD!F27</f>
        <v>0</v>
      </c>
      <c r="I42" s="1237">
        <f t="shared" si="2"/>
        <v>0</v>
      </c>
      <c r="J42" s="1237">
        <f t="shared" si="2"/>
        <v>0</v>
      </c>
      <c r="K42" s="1237">
        <f t="shared" si="2"/>
        <v>0</v>
      </c>
      <c r="L42" s="1237">
        <f t="shared" si="2"/>
        <v>0</v>
      </c>
      <c r="M42" s="1237">
        <f t="shared" si="3"/>
        <v>0</v>
      </c>
      <c r="N42" s="1237">
        <f>RBBD!I27</f>
        <v>0</v>
      </c>
      <c r="O42" s="1237">
        <f>RBBD!J27</f>
        <v>0</v>
      </c>
      <c r="P42" s="1237">
        <f>RBBD!K27</f>
        <v>0</v>
      </c>
      <c r="Q42" s="1237">
        <f>RBBD!L27</f>
        <v>0</v>
      </c>
      <c r="R42" s="1237">
        <f>RBBD!M27</f>
        <v>0</v>
      </c>
      <c r="S42" s="1237">
        <f>RBBD!N27</f>
        <v>0</v>
      </c>
      <c r="T42" s="1237">
        <f>RBBD!O27</f>
        <v>0</v>
      </c>
      <c r="U42" s="1237">
        <f>RBBD!P27</f>
        <v>0</v>
      </c>
      <c r="V42" s="1237">
        <f>RBBD!Q27</f>
        <v>0</v>
      </c>
      <c r="W42" s="1237">
        <f>RBBD!R27</f>
        <v>0</v>
      </c>
      <c r="X42" s="1237">
        <f>RBBD!S27</f>
        <v>0</v>
      </c>
      <c r="Y42" s="1237">
        <f>RBBD!T27</f>
        <v>0</v>
      </c>
      <c r="Z42" s="65"/>
      <c r="AA42" s="324">
        <f t="shared" si="5"/>
        <v>0</v>
      </c>
    </row>
    <row r="43" spans="2:27" hidden="1">
      <c r="B43" s="1237">
        <f>RBBD!B28</f>
        <v>0</v>
      </c>
      <c r="C43" s="1237">
        <f>RBBD!C28</f>
        <v>0</v>
      </c>
      <c r="D43" s="1237">
        <f>RBBD!D28</f>
        <v>0</v>
      </c>
      <c r="E43" s="1237">
        <f>RBBD!G28</f>
        <v>0</v>
      </c>
      <c r="F43" s="1237">
        <f>RBBD!H28</f>
        <v>0</v>
      </c>
      <c r="G43" s="1237">
        <f>RBBD!E28</f>
        <v>0</v>
      </c>
      <c r="H43" s="1237">
        <f>RBBD!F28</f>
        <v>0</v>
      </c>
      <c r="I43" s="1237">
        <f t="shared" si="2"/>
        <v>0</v>
      </c>
      <c r="J43" s="1237">
        <f t="shared" si="2"/>
        <v>0</v>
      </c>
      <c r="K43" s="1237">
        <f t="shared" si="2"/>
        <v>0</v>
      </c>
      <c r="L43" s="1237">
        <f t="shared" si="2"/>
        <v>0</v>
      </c>
      <c r="M43" s="1237">
        <f t="shared" si="3"/>
        <v>0</v>
      </c>
      <c r="N43" s="1237">
        <f>RBBD!I28</f>
        <v>0</v>
      </c>
      <c r="O43" s="1237">
        <f>RBBD!J28</f>
        <v>0</v>
      </c>
      <c r="P43" s="1237">
        <f>RBBD!K28</f>
        <v>0</v>
      </c>
      <c r="Q43" s="1237">
        <f>RBBD!L28</f>
        <v>0</v>
      </c>
      <c r="R43" s="1237">
        <f>RBBD!M28</f>
        <v>0</v>
      </c>
      <c r="S43" s="1237">
        <f>RBBD!N28</f>
        <v>0</v>
      </c>
      <c r="T43" s="1237">
        <f>RBBD!O28</f>
        <v>0</v>
      </c>
      <c r="U43" s="1237">
        <f>RBBD!P28</f>
        <v>0</v>
      </c>
      <c r="V43" s="1237">
        <f>RBBD!Q28</f>
        <v>0</v>
      </c>
      <c r="W43" s="1237">
        <f>RBBD!R28</f>
        <v>0</v>
      </c>
      <c r="X43" s="1237">
        <f>RBBD!S28</f>
        <v>0</v>
      </c>
      <c r="Y43" s="1237">
        <f>RBBD!T28</f>
        <v>0</v>
      </c>
      <c r="Z43" s="65"/>
      <c r="AA43" s="324">
        <f t="shared" si="5"/>
        <v>0</v>
      </c>
    </row>
    <row r="44" spans="2:27" hidden="1">
      <c r="B44" s="1237">
        <f>RBBD!B29</f>
        <v>0</v>
      </c>
      <c r="C44" s="1237">
        <f>RBBD!C29</f>
        <v>0</v>
      </c>
      <c r="D44" s="1237">
        <f>RBBD!D29</f>
        <v>0</v>
      </c>
      <c r="E44" s="1237">
        <f>RBBD!G29</f>
        <v>0</v>
      </c>
      <c r="F44" s="1237">
        <f>RBBD!H29</f>
        <v>0</v>
      </c>
      <c r="G44" s="1237">
        <f>RBBD!E29</f>
        <v>0</v>
      </c>
      <c r="H44" s="1237">
        <f>RBBD!F29</f>
        <v>0</v>
      </c>
      <c r="I44" s="1237">
        <f t="shared" si="2"/>
        <v>0</v>
      </c>
      <c r="J44" s="1237">
        <f t="shared" si="2"/>
        <v>0</v>
      </c>
      <c r="K44" s="1237">
        <f t="shared" si="2"/>
        <v>0</v>
      </c>
      <c r="L44" s="1237">
        <f t="shared" si="2"/>
        <v>0</v>
      </c>
      <c r="M44" s="1237">
        <f t="shared" si="3"/>
        <v>0</v>
      </c>
      <c r="N44" s="1237">
        <f>RBBD!I29</f>
        <v>0</v>
      </c>
      <c r="O44" s="1237">
        <f>RBBD!J29</f>
        <v>0</v>
      </c>
      <c r="P44" s="1237">
        <f>RBBD!K29</f>
        <v>0</v>
      </c>
      <c r="Q44" s="1237">
        <f>RBBD!L29</f>
        <v>0</v>
      </c>
      <c r="R44" s="1237">
        <f>RBBD!M29</f>
        <v>0</v>
      </c>
      <c r="S44" s="1237">
        <f>RBBD!N29</f>
        <v>0</v>
      </c>
      <c r="T44" s="1237">
        <f>RBBD!O29</f>
        <v>0</v>
      </c>
      <c r="U44" s="1237">
        <f>RBBD!P29</f>
        <v>0</v>
      </c>
      <c r="V44" s="1237">
        <f>RBBD!Q29</f>
        <v>0</v>
      </c>
      <c r="W44" s="1237">
        <f>RBBD!R29</f>
        <v>0</v>
      </c>
      <c r="X44" s="1237">
        <f>RBBD!S29</f>
        <v>0</v>
      </c>
      <c r="Y44" s="1237">
        <f>RBBD!T29</f>
        <v>0</v>
      </c>
      <c r="Z44" s="65"/>
      <c r="AA44" s="324">
        <f t="shared" si="5"/>
        <v>0</v>
      </c>
    </row>
    <row r="45" spans="2:27" hidden="1">
      <c r="B45" s="1237">
        <f>RBBD!B30</f>
        <v>0</v>
      </c>
      <c r="C45" s="1237">
        <f>RBBD!C30</f>
        <v>0</v>
      </c>
      <c r="D45" s="1237">
        <f>RBBD!D30</f>
        <v>0</v>
      </c>
      <c r="E45" s="1237">
        <f>RBBD!G30</f>
        <v>0</v>
      </c>
      <c r="F45" s="1237">
        <f>RBBD!H30</f>
        <v>0</v>
      </c>
      <c r="G45" s="1237">
        <f>RBBD!E30</f>
        <v>0</v>
      </c>
      <c r="H45" s="1237">
        <f>RBBD!F30</f>
        <v>0</v>
      </c>
      <c r="I45" s="1237">
        <f t="shared" si="2"/>
        <v>0</v>
      </c>
      <c r="J45" s="1237">
        <f t="shared" si="2"/>
        <v>0</v>
      </c>
      <c r="K45" s="1237">
        <f t="shared" si="2"/>
        <v>0</v>
      </c>
      <c r="L45" s="1237">
        <f t="shared" si="2"/>
        <v>0</v>
      </c>
      <c r="M45" s="1237">
        <f t="shared" si="3"/>
        <v>0</v>
      </c>
      <c r="N45" s="1237">
        <f>RBBD!I30</f>
        <v>0</v>
      </c>
      <c r="O45" s="1237">
        <f>RBBD!J30</f>
        <v>0</v>
      </c>
      <c r="P45" s="1237">
        <f>RBBD!K30</f>
        <v>0</v>
      </c>
      <c r="Q45" s="1237">
        <f>RBBD!L30</f>
        <v>0</v>
      </c>
      <c r="R45" s="1237">
        <f>RBBD!M30</f>
        <v>0</v>
      </c>
      <c r="S45" s="1237">
        <f>RBBD!N30</f>
        <v>0</v>
      </c>
      <c r="T45" s="1237">
        <f>RBBD!O30</f>
        <v>0</v>
      </c>
      <c r="U45" s="1237">
        <f>RBBD!P30</f>
        <v>0</v>
      </c>
      <c r="V45" s="1237">
        <f>RBBD!Q30</f>
        <v>0</v>
      </c>
      <c r="W45" s="1237">
        <f>RBBD!R30</f>
        <v>0</v>
      </c>
      <c r="X45" s="1237">
        <f>RBBD!S30</f>
        <v>0</v>
      </c>
      <c r="Y45" s="1237">
        <f>RBBD!T30</f>
        <v>0</v>
      </c>
      <c r="Z45" s="65"/>
      <c r="AA45" s="324">
        <f t="shared" si="5"/>
        <v>0</v>
      </c>
    </row>
    <row r="46" spans="2:27" hidden="1">
      <c r="B46" s="1237">
        <f>RBBD!B31</f>
        <v>0</v>
      </c>
      <c r="C46" s="1237">
        <f>RBBD!C31</f>
        <v>0</v>
      </c>
      <c r="D46" s="1237">
        <f>RBBD!D31</f>
        <v>0</v>
      </c>
      <c r="E46" s="1237">
        <f>RBBD!G31</f>
        <v>0</v>
      </c>
      <c r="F46" s="1237">
        <f>RBBD!H31</f>
        <v>0</v>
      </c>
      <c r="G46" s="1237">
        <f>RBBD!E31</f>
        <v>0</v>
      </c>
      <c r="H46" s="1237">
        <f>RBBD!F31</f>
        <v>0</v>
      </c>
      <c r="I46" s="1237">
        <f t="shared" si="2"/>
        <v>0</v>
      </c>
      <c r="J46" s="1237">
        <f t="shared" si="2"/>
        <v>0</v>
      </c>
      <c r="K46" s="1237">
        <f t="shared" si="2"/>
        <v>0</v>
      </c>
      <c r="L46" s="1237">
        <f t="shared" si="2"/>
        <v>0</v>
      </c>
      <c r="M46" s="1237">
        <f t="shared" si="3"/>
        <v>0</v>
      </c>
      <c r="N46" s="1237">
        <f>RBBD!I31</f>
        <v>0</v>
      </c>
      <c r="O46" s="1237">
        <f>RBBD!J31</f>
        <v>0</v>
      </c>
      <c r="P46" s="1237">
        <f>RBBD!K31</f>
        <v>0</v>
      </c>
      <c r="Q46" s="1237">
        <f>RBBD!L31</f>
        <v>0</v>
      </c>
      <c r="R46" s="1237">
        <f>RBBD!M31</f>
        <v>0</v>
      </c>
      <c r="S46" s="1237">
        <f>RBBD!N31</f>
        <v>0</v>
      </c>
      <c r="T46" s="1237">
        <f>RBBD!O31</f>
        <v>0</v>
      </c>
      <c r="U46" s="1237">
        <f>RBBD!P31</f>
        <v>0</v>
      </c>
      <c r="V46" s="1237">
        <f>RBBD!Q31</f>
        <v>0</v>
      </c>
      <c r="W46" s="1237">
        <f>RBBD!R31</f>
        <v>0</v>
      </c>
      <c r="X46" s="1237">
        <f>RBBD!S31</f>
        <v>0</v>
      </c>
      <c r="Y46" s="1237">
        <f>RBBD!T31</f>
        <v>0</v>
      </c>
      <c r="Z46" s="65"/>
      <c r="AA46" s="324">
        <f t="shared" si="5"/>
        <v>0</v>
      </c>
    </row>
    <row r="47" spans="2:27" hidden="1">
      <c r="B47" s="1237">
        <f>RBBD!B32</f>
        <v>0</v>
      </c>
      <c r="C47" s="1237">
        <f>RBBD!C32</f>
        <v>0</v>
      </c>
      <c r="D47" s="1237">
        <f>RBBD!D32</f>
        <v>0</v>
      </c>
      <c r="E47" s="1237">
        <f>RBBD!G32</f>
        <v>0</v>
      </c>
      <c r="F47" s="1237">
        <f>RBBD!H32</f>
        <v>0</v>
      </c>
      <c r="G47" s="1237">
        <f>RBBD!E32</f>
        <v>0</v>
      </c>
      <c r="H47" s="1237">
        <f>RBBD!F32</f>
        <v>0</v>
      </c>
      <c r="I47" s="1237">
        <f t="shared" si="2"/>
        <v>0</v>
      </c>
      <c r="J47" s="1237">
        <f t="shared" si="2"/>
        <v>0</v>
      </c>
      <c r="K47" s="1237">
        <f t="shared" si="2"/>
        <v>0</v>
      </c>
      <c r="L47" s="1237">
        <f t="shared" si="2"/>
        <v>0</v>
      </c>
      <c r="M47" s="1237">
        <f t="shared" si="3"/>
        <v>0</v>
      </c>
      <c r="N47" s="1237">
        <f>RBBD!I32</f>
        <v>0</v>
      </c>
      <c r="O47" s="1237">
        <f>RBBD!J32</f>
        <v>0</v>
      </c>
      <c r="P47" s="1237">
        <f>RBBD!K32</f>
        <v>0</v>
      </c>
      <c r="Q47" s="1237">
        <f>RBBD!L32</f>
        <v>0</v>
      </c>
      <c r="R47" s="1237">
        <f>RBBD!M32</f>
        <v>0</v>
      </c>
      <c r="S47" s="1237">
        <f>RBBD!N32</f>
        <v>0</v>
      </c>
      <c r="T47" s="1237">
        <f>RBBD!O32</f>
        <v>0</v>
      </c>
      <c r="U47" s="1237">
        <f>RBBD!P32</f>
        <v>0</v>
      </c>
      <c r="V47" s="1237">
        <f>RBBD!Q32</f>
        <v>0</v>
      </c>
      <c r="W47" s="1237">
        <f>RBBD!R32</f>
        <v>0</v>
      </c>
      <c r="X47" s="1237">
        <f>RBBD!S32</f>
        <v>0</v>
      </c>
      <c r="Y47" s="1237">
        <f>RBBD!T32</f>
        <v>0</v>
      </c>
      <c r="Z47" s="65"/>
      <c r="AA47" s="324">
        <f t="shared" si="5"/>
        <v>0</v>
      </c>
    </row>
    <row r="48" spans="2:27" hidden="1">
      <c r="B48" s="1237">
        <f>RBBD!B33</f>
        <v>0</v>
      </c>
      <c r="C48" s="1237">
        <f>RBBD!C33</f>
        <v>0</v>
      </c>
      <c r="D48" s="1237">
        <f>RBBD!D33</f>
        <v>0</v>
      </c>
      <c r="E48" s="1237">
        <f>RBBD!G33</f>
        <v>0</v>
      </c>
      <c r="F48" s="1237">
        <f>RBBD!H33</f>
        <v>0</v>
      </c>
      <c r="G48" s="1237">
        <f>RBBD!E33</f>
        <v>0</v>
      </c>
      <c r="H48" s="1237">
        <f>RBBD!F33</f>
        <v>0</v>
      </c>
      <c r="I48" s="1237">
        <f t="shared" si="2"/>
        <v>0</v>
      </c>
      <c r="J48" s="1237">
        <f t="shared" si="2"/>
        <v>0</v>
      </c>
      <c r="K48" s="1237">
        <f t="shared" si="2"/>
        <v>0</v>
      </c>
      <c r="L48" s="1237">
        <f t="shared" si="2"/>
        <v>0</v>
      </c>
      <c r="M48" s="1237">
        <f t="shared" si="3"/>
        <v>0</v>
      </c>
      <c r="N48" s="1237">
        <f>RBBD!I33</f>
        <v>0</v>
      </c>
      <c r="O48" s="1237">
        <f>RBBD!J33</f>
        <v>0</v>
      </c>
      <c r="P48" s="1237">
        <f>RBBD!K33</f>
        <v>0</v>
      </c>
      <c r="Q48" s="1237">
        <f>RBBD!L33</f>
        <v>0</v>
      </c>
      <c r="R48" s="1237">
        <f>RBBD!M33</f>
        <v>0</v>
      </c>
      <c r="S48" s="1237">
        <f>RBBD!N33</f>
        <v>0</v>
      </c>
      <c r="T48" s="1237">
        <f>RBBD!O33</f>
        <v>0</v>
      </c>
      <c r="U48" s="1237">
        <f>RBBD!P33</f>
        <v>0</v>
      </c>
      <c r="V48" s="1237">
        <f>RBBD!Q33</f>
        <v>0</v>
      </c>
      <c r="W48" s="1237">
        <f>RBBD!R33</f>
        <v>0</v>
      </c>
      <c r="X48" s="1237">
        <f>RBBD!S33</f>
        <v>0</v>
      </c>
      <c r="Y48" s="1237">
        <f>RBBD!T33</f>
        <v>0</v>
      </c>
      <c r="Z48" s="65"/>
      <c r="AA48" s="324">
        <f t="shared" si="5"/>
        <v>0</v>
      </c>
    </row>
    <row r="49" spans="2:27" hidden="1">
      <c r="B49" s="1237">
        <f>RBBD!B34</f>
        <v>0</v>
      </c>
      <c r="C49" s="1237">
        <f>RBBD!C34</f>
        <v>0</v>
      </c>
      <c r="D49" s="1237">
        <f>RBBD!D34</f>
        <v>0</v>
      </c>
      <c r="E49" s="1237">
        <f>RBBD!G34</f>
        <v>0</v>
      </c>
      <c r="F49" s="1237">
        <f>RBBD!H34</f>
        <v>0</v>
      </c>
      <c r="G49" s="1237">
        <f>RBBD!E34</f>
        <v>0</v>
      </c>
      <c r="H49" s="1237">
        <f>RBBD!F34</f>
        <v>0</v>
      </c>
      <c r="I49" s="1237">
        <f t="shared" si="2"/>
        <v>0</v>
      </c>
      <c r="J49" s="1237">
        <f t="shared" si="2"/>
        <v>0</v>
      </c>
      <c r="K49" s="1237">
        <f t="shared" si="2"/>
        <v>0</v>
      </c>
      <c r="L49" s="1237">
        <f t="shared" si="2"/>
        <v>0</v>
      </c>
      <c r="M49" s="1237">
        <f t="shared" si="3"/>
        <v>0</v>
      </c>
      <c r="N49" s="1237">
        <f>RBBD!I34</f>
        <v>0</v>
      </c>
      <c r="O49" s="1237">
        <f>RBBD!J34</f>
        <v>0</v>
      </c>
      <c r="P49" s="1237">
        <f>RBBD!K34</f>
        <v>0</v>
      </c>
      <c r="Q49" s="1237">
        <f>RBBD!L34</f>
        <v>0</v>
      </c>
      <c r="R49" s="1237">
        <f>RBBD!M34</f>
        <v>0</v>
      </c>
      <c r="S49" s="1237">
        <f>RBBD!N34</f>
        <v>0</v>
      </c>
      <c r="T49" s="1237">
        <f>RBBD!O34</f>
        <v>0</v>
      </c>
      <c r="U49" s="1237">
        <f>RBBD!P34</f>
        <v>0</v>
      </c>
      <c r="V49" s="1237">
        <f>RBBD!Q34</f>
        <v>0</v>
      </c>
      <c r="W49" s="1237">
        <f>RBBD!R34</f>
        <v>0</v>
      </c>
      <c r="X49" s="1237">
        <f>RBBD!S34</f>
        <v>0</v>
      </c>
      <c r="Y49" s="1237">
        <f>RBBD!T34</f>
        <v>0</v>
      </c>
      <c r="Z49" s="65"/>
      <c r="AA49" s="324">
        <f t="shared" si="5"/>
        <v>0</v>
      </c>
    </row>
    <row r="50" spans="2:27" hidden="1">
      <c r="B50" s="1237">
        <f>RBBD!B35</f>
        <v>0</v>
      </c>
      <c r="C50" s="1237">
        <f>RBBD!C35</f>
        <v>0</v>
      </c>
      <c r="D50" s="1237">
        <f>RBBD!D35</f>
        <v>0</v>
      </c>
      <c r="E50" s="1237">
        <f>RBBD!G35</f>
        <v>0</v>
      </c>
      <c r="F50" s="1237">
        <f>RBBD!H35</f>
        <v>0</v>
      </c>
      <c r="G50" s="1237">
        <f>RBBD!E35</f>
        <v>0</v>
      </c>
      <c r="H50" s="1237">
        <f>RBBD!F35</f>
        <v>0</v>
      </c>
      <c r="I50" s="1237">
        <f t="shared" si="2"/>
        <v>0</v>
      </c>
      <c r="J50" s="1237">
        <f t="shared" si="2"/>
        <v>0</v>
      </c>
      <c r="K50" s="1237">
        <f t="shared" si="2"/>
        <v>0</v>
      </c>
      <c r="L50" s="1237">
        <f t="shared" si="2"/>
        <v>0</v>
      </c>
      <c r="M50" s="1237">
        <f t="shared" si="3"/>
        <v>0</v>
      </c>
      <c r="N50" s="1237">
        <f>RBBD!I35</f>
        <v>0</v>
      </c>
      <c r="O50" s="1237">
        <f>RBBD!J35</f>
        <v>0</v>
      </c>
      <c r="P50" s="1237">
        <f>RBBD!K35</f>
        <v>0</v>
      </c>
      <c r="Q50" s="1237">
        <f>RBBD!L35</f>
        <v>0</v>
      </c>
      <c r="R50" s="1237">
        <f>RBBD!M35</f>
        <v>0</v>
      </c>
      <c r="S50" s="1237">
        <f>RBBD!N35</f>
        <v>0</v>
      </c>
      <c r="T50" s="1237">
        <f>RBBD!O35</f>
        <v>0</v>
      </c>
      <c r="U50" s="1237">
        <f>RBBD!P35</f>
        <v>0</v>
      </c>
      <c r="V50" s="1237">
        <f>RBBD!Q35</f>
        <v>0</v>
      </c>
      <c r="W50" s="1237">
        <f>RBBD!R35</f>
        <v>0</v>
      </c>
      <c r="X50" s="1237">
        <f>RBBD!S35</f>
        <v>0</v>
      </c>
      <c r="Y50" s="1237">
        <f>RBBD!T35</f>
        <v>0</v>
      </c>
      <c r="Z50" s="65"/>
      <c r="AA50" s="324">
        <f t="shared" si="5"/>
        <v>0</v>
      </c>
    </row>
    <row r="51" spans="2:27" hidden="1">
      <c r="B51" s="1237">
        <f>RBBD!B36</f>
        <v>0</v>
      </c>
      <c r="C51" s="1237">
        <f>RBBD!C36</f>
        <v>0</v>
      </c>
      <c r="D51" s="1237">
        <f>RBBD!D36</f>
        <v>0</v>
      </c>
      <c r="E51" s="1237">
        <f>RBBD!G36</f>
        <v>0</v>
      </c>
      <c r="F51" s="1237">
        <f>RBBD!H36</f>
        <v>0</v>
      </c>
      <c r="G51" s="1237">
        <f>RBBD!E36</f>
        <v>0</v>
      </c>
      <c r="H51" s="1237">
        <f>RBBD!F36</f>
        <v>0</v>
      </c>
      <c r="I51" s="1237">
        <f t="shared" si="2"/>
        <v>0</v>
      </c>
      <c r="J51" s="1237">
        <f t="shared" si="2"/>
        <v>0</v>
      </c>
      <c r="K51" s="1237">
        <f t="shared" si="2"/>
        <v>0</v>
      </c>
      <c r="L51" s="1237">
        <f t="shared" si="2"/>
        <v>0</v>
      </c>
      <c r="M51" s="1237">
        <f t="shared" si="3"/>
        <v>0</v>
      </c>
      <c r="N51" s="1237">
        <f>RBBD!I36</f>
        <v>0</v>
      </c>
      <c r="O51" s="1237">
        <f>RBBD!J36</f>
        <v>0</v>
      </c>
      <c r="P51" s="1237">
        <f>RBBD!K36</f>
        <v>0</v>
      </c>
      <c r="Q51" s="1237">
        <f>RBBD!L36</f>
        <v>0</v>
      </c>
      <c r="R51" s="1237">
        <f>RBBD!M36</f>
        <v>0</v>
      </c>
      <c r="S51" s="1237">
        <f>RBBD!N36</f>
        <v>0</v>
      </c>
      <c r="T51" s="1237">
        <f>RBBD!O36</f>
        <v>0</v>
      </c>
      <c r="U51" s="1237">
        <f>RBBD!P36</f>
        <v>0</v>
      </c>
      <c r="V51" s="1237">
        <f>RBBD!Q36</f>
        <v>0</v>
      </c>
      <c r="W51" s="1237">
        <f>RBBD!R36</f>
        <v>0</v>
      </c>
      <c r="X51" s="1237">
        <f>RBBD!S36</f>
        <v>0</v>
      </c>
      <c r="Y51" s="1237">
        <f>RBBD!T36</f>
        <v>0</v>
      </c>
      <c r="Z51" s="65"/>
      <c r="AA51" s="324">
        <f t="shared" si="5"/>
        <v>0</v>
      </c>
    </row>
    <row r="52" spans="2:27" hidden="1">
      <c r="B52" s="1237">
        <f>RBBD!B37</f>
        <v>0</v>
      </c>
      <c r="C52" s="1237">
        <f>RBBD!C37</f>
        <v>0</v>
      </c>
      <c r="D52" s="1237">
        <f>RBBD!D37</f>
        <v>0</v>
      </c>
      <c r="E52" s="1237">
        <f>RBBD!G37</f>
        <v>0</v>
      </c>
      <c r="F52" s="1237">
        <f>RBBD!H37</f>
        <v>0</v>
      </c>
      <c r="G52" s="1237">
        <f>RBBD!E37</f>
        <v>0</v>
      </c>
      <c r="H52" s="1237">
        <f>RBBD!F37</f>
        <v>0</v>
      </c>
      <c r="I52" s="1237">
        <f t="shared" si="2"/>
        <v>0</v>
      </c>
      <c r="J52" s="1237">
        <f t="shared" si="2"/>
        <v>0</v>
      </c>
      <c r="K52" s="1237">
        <f t="shared" si="2"/>
        <v>0</v>
      </c>
      <c r="L52" s="1237">
        <f t="shared" si="2"/>
        <v>0</v>
      </c>
      <c r="M52" s="1237">
        <f t="shared" si="3"/>
        <v>0</v>
      </c>
      <c r="N52" s="1237">
        <f>RBBD!I37</f>
        <v>0</v>
      </c>
      <c r="O52" s="1237">
        <f>RBBD!J37</f>
        <v>0</v>
      </c>
      <c r="P52" s="1237">
        <f>RBBD!K37</f>
        <v>0</v>
      </c>
      <c r="Q52" s="1237">
        <f>RBBD!L37</f>
        <v>0</v>
      </c>
      <c r="R52" s="1237">
        <f>RBBD!M37</f>
        <v>0</v>
      </c>
      <c r="S52" s="1237">
        <f>RBBD!N37</f>
        <v>0</v>
      </c>
      <c r="T52" s="1237">
        <f>RBBD!O37</f>
        <v>0</v>
      </c>
      <c r="U52" s="1237">
        <f>RBBD!P37</f>
        <v>0</v>
      </c>
      <c r="V52" s="1237">
        <f>RBBD!Q37</f>
        <v>0</v>
      </c>
      <c r="W52" s="1237">
        <f>RBBD!R37</f>
        <v>0</v>
      </c>
      <c r="X52" s="1237">
        <f>RBBD!S37</f>
        <v>0</v>
      </c>
      <c r="Y52" s="1237">
        <f>RBBD!T37</f>
        <v>0</v>
      </c>
      <c r="Z52" s="65"/>
      <c r="AA52" s="324">
        <f t="shared" si="5"/>
        <v>0</v>
      </c>
    </row>
    <row r="53" spans="2:27" hidden="1">
      <c r="B53" s="1237">
        <f>RBBD!B38</f>
        <v>0</v>
      </c>
      <c r="C53" s="1237">
        <f>RBBD!C38</f>
        <v>0</v>
      </c>
      <c r="D53" s="1237">
        <f>RBBD!D38</f>
        <v>0</v>
      </c>
      <c r="E53" s="1237">
        <f>RBBD!G38</f>
        <v>0</v>
      </c>
      <c r="F53" s="1237">
        <f>RBBD!H38</f>
        <v>0</v>
      </c>
      <c r="G53" s="1237">
        <f>RBBD!E38</f>
        <v>0</v>
      </c>
      <c r="H53" s="1237">
        <f>RBBD!F38</f>
        <v>0</v>
      </c>
      <c r="I53" s="1237">
        <f t="shared" si="2"/>
        <v>0</v>
      </c>
      <c r="J53" s="1237">
        <f t="shared" si="2"/>
        <v>0</v>
      </c>
      <c r="K53" s="1237">
        <f t="shared" si="2"/>
        <v>0</v>
      </c>
      <c r="L53" s="1237">
        <f t="shared" si="2"/>
        <v>0</v>
      </c>
      <c r="M53" s="1237">
        <f t="shared" si="3"/>
        <v>0</v>
      </c>
      <c r="N53" s="1237">
        <f>RBBD!I38</f>
        <v>0</v>
      </c>
      <c r="O53" s="1237">
        <f>RBBD!J38</f>
        <v>0</v>
      </c>
      <c r="P53" s="1237">
        <f>RBBD!K38</f>
        <v>0</v>
      </c>
      <c r="Q53" s="1237">
        <f>RBBD!L38</f>
        <v>0</v>
      </c>
      <c r="R53" s="1237">
        <f>RBBD!M38</f>
        <v>0</v>
      </c>
      <c r="S53" s="1237">
        <f>RBBD!N38</f>
        <v>0</v>
      </c>
      <c r="T53" s="1237">
        <f>RBBD!O38</f>
        <v>0</v>
      </c>
      <c r="U53" s="1237">
        <f>RBBD!P38</f>
        <v>0</v>
      </c>
      <c r="V53" s="1237">
        <f>RBBD!Q38</f>
        <v>0</v>
      </c>
      <c r="W53" s="1237">
        <f>RBBD!R38</f>
        <v>0</v>
      </c>
      <c r="X53" s="1237">
        <f>RBBD!S38</f>
        <v>0</v>
      </c>
      <c r="Y53" s="1237">
        <f>RBBD!T38</f>
        <v>0</v>
      </c>
      <c r="Z53" s="65"/>
      <c r="AA53" s="324">
        <f t="shared" si="5"/>
        <v>0</v>
      </c>
    </row>
    <row r="54" spans="2:27" hidden="1">
      <c r="B54" s="1237">
        <f>RBBD!B39</f>
        <v>0</v>
      </c>
      <c r="C54" s="1237">
        <f>RBBD!C39</f>
        <v>0</v>
      </c>
      <c r="D54" s="1237">
        <f>RBBD!D39</f>
        <v>0</v>
      </c>
      <c r="E54" s="1237">
        <f>RBBD!G39</f>
        <v>0</v>
      </c>
      <c r="F54" s="1237">
        <f>RBBD!H39</f>
        <v>0</v>
      </c>
      <c r="G54" s="1237">
        <f>RBBD!E39</f>
        <v>0</v>
      </c>
      <c r="H54" s="1237">
        <f>RBBD!F39</f>
        <v>0</v>
      </c>
      <c r="I54" s="1237">
        <f t="shared" si="2"/>
        <v>0</v>
      </c>
      <c r="J54" s="1237">
        <f t="shared" si="2"/>
        <v>0</v>
      </c>
      <c r="K54" s="1237">
        <f t="shared" si="2"/>
        <v>0</v>
      </c>
      <c r="L54" s="1237">
        <f t="shared" si="2"/>
        <v>0</v>
      </c>
      <c r="M54" s="1237">
        <f t="shared" si="3"/>
        <v>0</v>
      </c>
      <c r="N54" s="1237">
        <f>RBBD!I39</f>
        <v>0</v>
      </c>
      <c r="O54" s="1237">
        <f>RBBD!J39</f>
        <v>0</v>
      </c>
      <c r="P54" s="1237">
        <f>RBBD!K39</f>
        <v>0</v>
      </c>
      <c r="Q54" s="1237">
        <f>RBBD!L39</f>
        <v>0</v>
      </c>
      <c r="R54" s="1237">
        <f>RBBD!M39</f>
        <v>0</v>
      </c>
      <c r="S54" s="1237">
        <f>RBBD!N39</f>
        <v>0</v>
      </c>
      <c r="T54" s="1237">
        <f>RBBD!O39</f>
        <v>0</v>
      </c>
      <c r="U54" s="1237">
        <f>RBBD!P39</f>
        <v>0</v>
      </c>
      <c r="V54" s="1237">
        <f>RBBD!Q39</f>
        <v>0</v>
      </c>
      <c r="W54" s="1237">
        <f>RBBD!R39</f>
        <v>0</v>
      </c>
      <c r="X54" s="1237">
        <f>RBBD!S39</f>
        <v>0</v>
      </c>
      <c r="Y54" s="1237">
        <f>RBBD!T39</f>
        <v>0</v>
      </c>
      <c r="Z54" s="65"/>
      <c r="AA54" s="324">
        <f t="shared" si="5"/>
        <v>0</v>
      </c>
    </row>
    <row r="55" spans="2:27" hidden="1">
      <c r="B55" s="1237">
        <f>RBBD!B40</f>
        <v>0</v>
      </c>
      <c r="C55" s="1237">
        <f>RBBD!C40</f>
        <v>0</v>
      </c>
      <c r="D55" s="1237">
        <f>RBBD!D40</f>
        <v>0</v>
      </c>
      <c r="E55" s="1237">
        <f>RBBD!G40</f>
        <v>0</v>
      </c>
      <c r="F55" s="1237">
        <f>RBBD!H40</f>
        <v>0</v>
      </c>
      <c r="G55" s="1237">
        <f>RBBD!E40</f>
        <v>0</v>
      </c>
      <c r="H55" s="1237">
        <f>RBBD!F40</f>
        <v>0</v>
      </c>
      <c r="I55" s="1237">
        <f t="shared" si="2"/>
        <v>0</v>
      </c>
      <c r="J55" s="1237">
        <f t="shared" si="2"/>
        <v>0</v>
      </c>
      <c r="K55" s="1237">
        <f t="shared" si="2"/>
        <v>0</v>
      </c>
      <c r="L55" s="1237">
        <f t="shared" si="2"/>
        <v>0</v>
      </c>
      <c r="M55" s="1237">
        <f t="shared" si="3"/>
        <v>0</v>
      </c>
      <c r="N55" s="1237">
        <f>RBBD!I40</f>
        <v>0</v>
      </c>
      <c r="O55" s="1237">
        <f>RBBD!J40</f>
        <v>0</v>
      </c>
      <c r="P55" s="1237">
        <f>RBBD!K40</f>
        <v>0</v>
      </c>
      <c r="Q55" s="1237">
        <f>RBBD!L40</f>
        <v>0</v>
      </c>
      <c r="R55" s="1237">
        <f>RBBD!M40</f>
        <v>0</v>
      </c>
      <c r="S55" s="1237">
        <f>RBBD!N40</f>
        <v>0</v>
      </c>
      <c r="T55" s="1237">
        <f>RBBD!O40</f>
        <v>0</v>
      </c>
      <c r="U55" s="1237">
        <f>RBBD!P40</f>
        <v>0</v>
      </c>
      <c r="V55" s="1237">
        <f>RBBD!Q40</f>
        <v>0</v>
      </c>
      <c r="W55" s="1237">
        <f>RBBD!R40</f>
        <v>0</v>
      </c>
      <c r="X55" s="1237">
        <f>RBBD!S40</f>
        <v>0</v>
      </c>
      <c r="Y55" s="1237">
        <f>RBBD!T40</f>
        <v>0</v>
      </c>
      <c r="Z55" s="65"/>
      <c r="AA55" s="324">
        <f t="shared" si="5"/>
        <v>0</v>
      </c>
    </row>
    <row r="56" spans="2:27" hidden="1">
      <c r="B56" s="1237">
        <f>RBBD!B41</f>
        <v>0</v>
      </c>
      <c r="C56" s="1237">
        <f>RBBD!C41</f>
        <v>0</v>
      </c>
      <c r="D56" s="1237">
        <f>RBBD!D41</f>
        <v>0</v>
      </c>
      <c r="E56" s="1237">
        <f>RBBD!G41</f>
        <v>0</v>
      </c>
      <c r="F56" s="1237">
        <f>RBBD!H41</f>
        <v>0</v>
      </c>
      <c r="G56" s="1237">
        <f>RBBD!E41</f>
        <v>0</v>
      </c>
      <c r="H56" s="1237">
        <f>RBBD!F41</f>
        <v>0</v>
      </c>
      <c r="I56" s="1237">
        <f t="shared" si="2"/>
        <v>0</v>
      </c>
      <c r="J56" s="1237">
        <f t="shared" si="2"/>
        <v>0</v>
      </c>
      <c r="K56" s="1237">
        <f t="shared" si="2"/>
        <v>0</v>
      </c>
      <c r="L56" s="1237">
        <f t="shared" si="2"/>
        <v>0</v>
      </c>
      <c r="M56" s="1237">
        <f t="shared" si="3"/>
        <v>0</v>
      </c>
      <c r="N56" s="1237">
        <f>RBBD!I41</f>
        <v>0</v>
      </c>
      <c r="O56" s="1237">
        <f>RBBD!J41</f>
        <v>0</v>
      </c>
      <c r="P56" s="1237">
        <f>RBBD!K41</f>
        <v>0</v>
      </c>
      <c r="Q56" s="1237">
        <f>RBBD!L41</f>
        <v>0</v>
      </c>
      <c r="R56" s="1237">
        <f>RBBD!M41</f>
        <v>0</v>
      </c>
      <c r="S56" s="1237">
        <f>RBBD!N41</f>
        <v>0</v>
      </c>
      <c r="T56" s="1237">
        <f>RBBD!O41</f>
        <v>0</v>
      </c>
      <c r="U56" s="1237">
        <f>RBBD!P41</f>
        <v>0</v>
      </c>
      <c r="V56" s="1237">
        <f>RBBD!Q41</f>
        <v>0</v>
      </c>
      <c r="W56" s="1237">
        <f>RBBD!R41</f>
        <v>0</v>
      </c>
      <c r="X56" s="1237">
        <f>RBBD!S41</f>
        <v>0</v>
      </c>
      <c r="Y56" s="1237">
        <f>RBBD!T41</f>
        <v>0</v>
      </c>
      <c r="Z56" s="65"/>
      <c r="AA56" s="324">
        <f t="shared" si="5"/>
        <v>0</v>
      </c>
    </row>
    <row r="57" spans="2:27" hidden="1">
      <c r="B57" s="1237">
        <f>RBBD!B42</f>
        <v>0</v>
      </c>
      <c r="C57" s="1237">
        <f>RBBD!C42</f>
        <v>0</v>
      </c>
      <c r="D57" s="1237">
        <f>RBBD!D42</f>
        <v>0</v>
      </c>
      <c r="E57" s="1237">
        <f>RBBD!G42</f>
        <v>0</v>
      </c>
      <c r="F57" s="1237">
        <f>RBBD!H42</f>
        <v>0</v>
      </c>
      <c r="G57" s="1237">
        <f>RBBD!E42</f>
        <v>0</v>
      </c>
      <c r="H57" s="1237">
        <f>RBBD!F42</f>
        <v>0</v>
      </c>
      <c r="I57" s="1237">
        <f t="shared" si="2"/>
        <v>0</v>
      </c>
      <c r="J57" s="1237">
        <f t="shared" si="2"/>
        <v>0</v>
      </c>
      <c r="K57" s="1237">
        <f t="shared" si="2"/>
        <v>0</v>
      </c>
      <c r="L57" s="1237">
        <f t="shared" si="2"/>
        <v>0</v>
      </c>
      <c r="M57" s="1237">
        <f t="shared" si="3"/>
        <v>0</v>
      </c>
      <c r="N57" s="1237">
        <f>RBBD!I42</f>
        <v>0</v>
      </c>
      <c r="O57" s="1237">
        <f>RBBD!J42</f>
        <v>0</v>
      </c>
      <c r="P57" s="1237">
        <f>RBBD!K42</f>
        <v>0</v>
      </c>
      <c r="Q57" s="1237">
        <f>RBBD!L42</f>
        <v>0</v>
      </c>
      <c r="R57" s="1237">
        <f>RBBD!M42</f>
        <v>0</v>
      </c>
      <c r="S57" s="1237">
        <f>RBBD!N42</f>
        <v>0</v>
      </c>
      <c r="T57" s="1237">
        <f>RBBD!O42</f>
        <v>0</v>
      </c>
      <c r="U57" s="1237">
        <f>RBBD!P42</f>
        <v>0</v>
      </c>
      <c r="V57" s="1237">
        <f>RBBD!Q42</f>
        <v>0</v>
      </c>
      <c r="W57" s="1237">
        <f>RBBD!R42</f>
        <v>0</v>
      </c>
      <c r="X57" s="1237">
        <f>RBBD!S42</f>
        <v>0</v>
      </c>
      <c r="Y57" s="1237">
        <f>RBBD!T42</f>
        <v>0</v>
      </c>
      <c r="Z57" s="65"/>
      <c r="AA57" s="324">
        <f t="shared" si="5"/>
        <v>0</v>
      </c>
    </row>
    <row r="58" spans="2:27" hidden="1">
      <c r="B58" s="1237">
        <f>RBBD!B43</f>
        <v>0</v>
      </c>
      <c r="C58" s="1237">
        <f>RBBD!C43</f>
        <v>0</v>
      </c>
      <c r="D58" s="1237">
        <f>RBBD!D43</f>
        <v>0</v>
      </c>
      <c r="E58" s="1237">
        <f>RBBD!G43</f>
        <v>0</v>
      </c>
      <c r="F58" s="1237">
        <f>RBBD!H43</f>
        <v>0</v>
      </c>
      <c r="G58" s="1237">
        <f>RBBD!E43</f>
        <v>0</v>
      </c>
      <c r="H58" s="1237">
        <f>RBBD!F43</f>
        <v>0</v>
      </c>
      <c r="I58" s="1237">
        <f t="shared" si="2"/>
        <v>0</v>
      </c>
      <c r="J58" s="1237">
        <f t="shared" si="2"/>
        <v>0</v>
      </c>
      <c r="K58" s="1237">
        <f t="shared" si="2"/>
        <v>0</v>
      </c>
      <c r="L58" s="1237">
        <f t="shared" si="2"/>
        <v>0</v>
      </c>
      <c r="M58" s="1237">
        <f t="shared" si="3"/>
        <v>0</v>
      </c>
      <c r="N58" s="1237">
        <f>RBBD!I43</f>
        <v>0</v>
      </c>
      <c r="O58" s="1237">
        <f>RBBD!J43</f>
        <v>0</v>
      </c>
      <c r="P58" s="1237">
        <f>RBBD!K43</f>
        <v>0</v>
      </c>
      <c r="Q58" s="1237">
        <f>RBBD!L43</f>
        <v>0</v>
      </c>
      <c r="R58" s="1237">
        <f>RBBD!M43</f>
        <v>0</v>
      </c>
      <c r="S58" s="1237">
        <f>RBBD!N43</f>
        <v>0</v>
      </c>
      <c r="T58" s="1237">
        <f>RBBD!O43</f>
        <v>0</v>
      </c>
      <c r="U58" s="1237">
        <f>RBBD!P43</f>
        <v>0</v>
      </c>
      <c r="V58" s="1237">
        <f>RBBD!Q43</f>
        <v>0</v>
      </c>
      <c r="W58" s="1237">
        <f>RBBD!R43</f>
        <v>0</v>
      </c>
      <c r="X58" s="1237">
        <f>RBBD!S43</f>
        <v>0</v>
      </c>
      <c r="Y58" s="1237">
        <f>RBBD!T43</f>
        <v>0</v>
      </c>
      <c r="Z58" s="65"/>
      <c r="AA58" s="324">
        <f t="shared" si="5"/>
        <v>0</v>
      </c>
    </row>
    <row r="59" spans="2:27" hidden="1">
      <c r="B59" s="1237">
        <f>RBBD!B44</f>
        <v>0</v>
      </c>
      <c r="C59" s="1237">
        <f>RBBD!C44</f>
        <v>0</v>
      </c>
      <c r="D59" s="1237">
        <f>RBBD!D44</f>
        <v>0</v>
      </c>
      <c r="E59" s="1237">
        <f>RBBD!G44</f>
        <v>0</v>
      </c>
      <c r="F59" s="1237">
        <f>RBBD!H44</f>
        <v>0</v>
      </c>
      <c r="G59" s="1237">
        <f>RBBD!E44</f>
        <v>0</v>
      </c>
      <c r="H59" s="1237">
        <f>RBBD!F44</f>
        <v>0</v>
      </c>
      <c r="I59" s="1237">
        <f t="shared" si="2"/>
        <v>0</v>
      </c>
      <c r="J59" s="1237">
        <f t="shared" si="2"/>
        <v>0</v>
      </c>
      <c r="K59" s="1237">
        <f t="shared" si="2"/>
        <v>0</v>
      </c>
      <c r="L59" s="1237">
        <f t="shared" si="2"/>
        <v>0</v>
      </c>
      <c r="M59" s="1237">
        <f t="shared" si="3"/>
        <v>0</v>
      </c>
      <c r="N59" s="1237">
        <f>RBBD!I44</f>
        <v>0</v>
      </c>
      <c r="O59" s="1237">
        <f>RBBD!J44</f>
        <v>0</v>
      </c>
      <c r="P59" s="1237">
        <f>RBBD!K44</f>
        <v>0</v>
      </c>
      <c r="Q59" s="1237">
        <f>RBBD!L44</f>
        <v>0</v>
      </c>
      <c r="R59" s="1237">
        <f>RBBD!M44</f>
        <v>0</v>
      </c>
      <c r="S59" s="1237">
        <f>RBBD!N44</f>
        <v>0</v>
      </c>
      <c r="T59" s="1237">
        <f>RBBD!O44</f>
        <v>0</v>
      </c>
      <c r="U59" s="1237">
        <f>RBBD!P44</f>
        <v>0</v>
      </c>
      <c r="V59" s="1237">
        <f>RBBD!Q44</f>
        <v>0</v>
      </c>
      <c r="W59" s="1237">
        <f>RBBD!R44</f>
        <v>0</v>
      </c>
      <c r="X59" s="1237">
        <f>RBBD!S44</f>
        <v>0</v>
      </c>
      <c r="Y59" s="1237">
        <f>RBBD!T44</f>
        <v>0</v>
      </c>
      <c r="Z59" s="65"/>
      <c r="AA59" s="324">
        <f t="shared" si="5"/>
        <v>0</v>
      </c>
    </row>
    <row r="60" spans="2:27" hidden="1">
      <c r="B60" s="1237">
        <f>RBBD!B45</f>
        <v>0</v>
      </c>
      <c r="C60" s="1237">
        <f>RBBD!C45</f>
        <v>0</v>
      </c>
      <c r="D60" s="1237">
        <f>RBBD!D45</f>
        <v>0</v>
      </c>
      <c r="E60" s="1237">
        <f>RBBD!G45</f>
        <v>0</v>
      </c>
      <c r="F60" s="1237">
        <f>RBBD!H45</f>
        <v>0</v>
      </c>
      <c r="G60" s="1237">
        <f>RBBD!E45</f>
        <v>0</v>
      </c>
      <c r="H60" s="1237">
        <f>RBBD!F45</f>
        <v>0</v>
      </c>
      <c r="I60" s="1237">
        <f t="shared" si="2"/>
        <v>0</v>
      </c>
      <c r="J60" s="1237">
        <f t="shared" si="2"/>
        <v>0</v>
      </c>
      <c r="K60" s="1237">
        <f t="shared" si="2"/>
        <v>0</v>
      </c>
      <c r="L60" s="1237">
        <f t="shared" si="2"/>
        <v>0</v>
      </c>
      <c r="M60" s="1237">
        <f t="shared" si="3"/>
        <v>0</v>
      </c>
      <c r="N60" s="1237">
        <f>RBBD!I45</f>
        <v>0</v>
      </c>
      <c r="O60" s="1237">
        <f>RBBD!J45</f>
        <v>0</v>
      </c>
      <c r="P60" s="1237">
        <f>RBBD!K45</f>
        <v>0</v>
      </c>
      <c r="Q60" s="1237">
        <f>RBBD!L45</f>
        <v>0</v>
      </c>
      <c r="R60" s="1237">
        <f>RBBD!M45</f>
        <v>0</v>
      </c>
      <c r="S60" s="1237">
        <f>RBBD!N45</f>
        <v>0</v>
      </c>
      <c r="T60" s="1237">
        <f>RBBD!O45</f>
        <v>0</v>
      </c>
      <c r="U60" s="1237">
        <f>RBBD!P45</f>
        <v>0</v>
      </c>
      <c r="V60" s="1237">
        <f>RBBD!Q45</f>
        <v>0</v>
      </c>
      <c r="W60" s="1237">
        <f>RBBD!R45</f>
        <v>0</v>
      </c>
      <c r="X60" s="1237">
        <f>RBBD!S45</f>
        <v>0</v>
      </c>
      <c r="Y60" s="1237">
        <f>RBBD!T45</f>
        <v>0</v>
      </c>
      <c r="Z60" s="65"/>
      <c r="AA60" s="324">
        <f t="shared" si="5"/>
        <v>0</v>
      </c>
    </row>
    <row r="61" spans="2:27">
      <c r="T61" s="68"/>
      <c r="U61" s="68"/>
      <c r="V61" s="68"/>
      <c r="W61" s="68"/>
    </row>
    <row r="62" spans="2:27">
      <c r="C62" s="1238" t="s">
        <v>1165</v>
      </c>
      <c r="D62" s="1239"/>
      <c r="E62" s="1239" t="e">
        <f>SUM(I18:I61)/SUM(M18:M61)</f>
        <v>#DIV/0!</v>
      </c>
      <c r="F62" s="1239" t="e">
        <f>SUM(J18:J61)/SUM(M18:M61)</f>
        <v>#DIV/0!</v>
      </c>
      <c r="G62" s="1239" t="e">
        <f>SUM(K18:K61)/SUM(M18:M61)</f>
        <v>#DIV/0!</v>
      </c>
      <c r="H62" s="1239" t="e">
        <f>SUM(L18:L61)/SUM(M18:M61)</f>
        <v>#DIV/0!</v>
      </c>
      <c r="I62" s="1240">
        <f>SUM(I16:I61)</f>
        <v>0</v>
      </c>
      <c r="J62" s="1240">
        <f>SUM(J16:J61)</f>
        <v>0</v>
      </c>
      <c r="K62" s="1240">
        <f>SUM(K16:K61)</f>
        <v>0</v>
      </c>
      <c r="L62" s="1240">
        <f>SUM(L16:L61)</f>
        <v>0</v>
      </c>
      <c r="M62" s="1240">
        <f>SUM(M17:M61)</f>
        <v>0</v>
      </c>
      <c r="N62" s="1240">
        <f>SUM(N18:N61)</f>
        <v>0</v>
      </c>
      <c r="O62" s="1240">
        <f t="shared" ref="O62:Y62" si="6">SUM(O18:O61)</f>
        <v>0</v>
      </c>
      <c r="P62" s="1240">
        <f t="shared" si="6"/>
        <v>0</v>
      </c>
      <c r="Q62" s="1240">
        <f t="shared" si="6"/>
        <v>0</v>
      </c>
      <c r="R62" s="1240">
        <f t="shared" si="6"/>
        <v>0</v>
      </c>
      <c r="S62" s="1240">
        <f t="shared" si="6"/>
        <v>0</v>
      </c>
      <c r="T62" s="1240">
        <f t="shared" si="6"/>
        <v>0</v>
      </c>
      <c r="U62" s="1240">
        <f t="shared" si="6"/>
        <v>0</v>
      </c>
      <c r="V62" s="1240">
        <f t="shared" si="6"/>
        <v>0</v>
      </c>
      <c r="W62" s="1240">
        <f t="shared" si="6"/>
        <v>0</v>
      </c>
      <c r="X62" s="1240">
        <f t="shared" si="6"/>
        <v>0</v>
      </c>
      <c r="Y62" s="1240">
        <f t="shared" si="6"/>
        <v>0</v>
      </c>
    </row>
    <row r="63" spans="2:27">
      <c r="C63" s="157"/>
      <c r="D63" s="158"/>
      <c r="E63" s="158"/>
      <c r="F63" s="159"/>
      <c r="G63" s="159"/>
      <c r="H63" s="160"/>
      <c r="T63" s="68"/>
      <c r="U63" s="68"/>
      <c r="V63" s="68"/>
      <c r="W63" s="68"/>
    </row>
    <row r="64" spans="2:27">
      <c r="C64" s="161"/>
      <c r="T64" s="68"/>
      <c r="U64" s="68"/>
      <c r="V64" s="68"/>
      <c r="W64" s="68"/>
    </row>
    <row r="65" spans="2:51">
      <c r="C65" s="157"/>
      <c r="D65" s="158"/>
      <c r="E65" s="158"/>
      <c r="F65" s="159"/>
      <c r="G65" s="159"/>
      <c r="H65" s="160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6"/>
      <c r="AH65" s="156"/>
      <c r="AI65" s="156"/>
      <c r="AJ65" s="156"/>
      <c r="AK65" s="156"/>
      <c r="AL65" s="280"/>
      <c r="AM65" s="281"/>
      <c r="AN65" s="280"/>
      <c r="AO65" s="156"/>
      <c r="AP65" s="156"/>
      <c r="AQ65" s="156"/>
      <c r="AR65" s="156"/>
      <c r="AS65" s="156"/>
      <c r="AT65" s="156"/>
      <c r="AU65" s="156"/>
      <c r="AV65" s="156"/>
      <c r="AW65" s="156"/>
      <c r="AX65" s="156"/>
      <c r="AY65" s="156"/>
    </row>
    <row r="66" spans="2:51">
      <c r="B66" s="162"/>
      <c r="C66" s="162"/>
      <c r="D66" s="162"/>
      <c r="E66" s="162"/>
      <c r="F66" s="162"/>
      <c r="G66" s="162"/>
      <c r="H66" s="162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3"/>
      <c r="T66" s="153"/>
      <c r="U66" s="68"/>
      <c r="V66" s="68"/>
      <c r="W66" s="68"/>
      <c r="X66" s="68"/>
      <c r="Y66" s="68"/>
      <c r="AG66" s="156"/>
      <c r="AH66" s="156"/>
      <c r="AI66" s="156"/>
      <c r="AJ66" s="156"/>
      <c r="AK66" s="156"/>
      <c r="AL66" s="280"/>
      <c r="AM66" s="281"/>
      <c r="AN66" s="280"/>
      <c r="AO66" s="156"/>
      <c r="AP66" s="156"/>
      <c r="AQ66" s="156"/>
      <c r="AR66" s="156"/>
      <c r="AS66" s="156"/>
      <c r="AT66" s="156"/>
      <c r="AU66" s="156"/>
      <c r="AV66" s="156"/>
      <c r="AW66" s="156"/>
      <c r="AX66" s="156"/>
      <c r="AY66" s="156"/>
    </row>
    <row r="67" spans="2:51">
      <c r="B67" s="1230" t="s">
        <v>1166</v>
      </c>
      <c r="C67" s="1230"/>
      <c r="D67" s="1230"/>
      <c r="E67" s="1230"/>
      <c r="F67" s="1230"/>
      <c r="G67" s="1230"/>
      <c r="H67" s="1230"/>
      <c r="I67" s="1230"/>
      <c r="T67" s="68"/>
      <c r="U67" s="68"/>
      <c r="V67" s="68"/>
      <c r="W67" s="68"/>
      <c r="X67" s="68"/>
      <c r="Y67" s="68"/>
      <c r="AG67" s="156"/>
      <c r="AH67" s="156"/>
      <c r="AI67" s="156"/>
      <c r="AJ67" s="156"/>
      <c r="AK67" s="156"/>
      <c r="AL67" s="280"/>
      <c r="AM67" s="281"/>
      <c r="AN67" s="280"/>
      <c r="AO67" s="156"/>
      <c r="AP67" s="156"/>
      <c r="AQ67" s="156"/>
      <c r="AR67" s="156"/>
      <c r="AS67" s="156"/>
      <c r="AT67" s="156"/>
      <c r="AU67" s="156"/>
      <c r="AV67" s="156"/>
      <c r="AW67" s="156"/>
      <c r="AX67" s="156"/>
      <c r="AY67" s="156"/>
    </row>
    <row r="68" spans="2:51">
      <c r="B68" s="156"/>
      <c r="C68" s="154"/>
      <c r="D68" s="162"/>
      <c r="E68" s="162"/>
      <c r="F68" s="162"/>
      <c r="G68" s="162"/>
      <c r="H68" s="162"/>
      <c r="I68" s="162"/>
      <c r="J68" s="156"/>
      <c r="K68" s="156"/>
      <c r="L68" s="156"/>
      <c r="M68" s="156"/>
      <c r="N68" s="156"/>
      <c r="O68" s="156"/>
      <c r="P68" s="156"/>
      <c r="Q68" s="156"/>
      <c r="T68" s="68"/>
      <c r="U68" s="68"/>
      <c r="V68" s="68"/>
      <c r="W68" s="68"/>
      <c r="X68" s="68"/>
      <c r="Y68" s="68"/>
      <c r="AG68" s="156"/>
      <c r="AH68" s="156"/>
      <c r="AI68" s="156"/>
      <c r="AJ68" s="156"/>
      <c r="AK68" s="156"/>
      <c r="AL68" s="280"/>
      <c r="AM68" s="281"/>
      <c r="AN68" s="280"/>
      <c r="AO68" s="156"/>
      <c r="AP68" s="156"/>
      <c r="AQ68" s="156"/>
      <c r="AR68" s="156"/>
      <c r="AS68" s="156"/>
      <c r="AT68" s="156"/>
      <c r="AU68" s="156"/>
      <c r="AV68" s="156"/>
      <c r="AW68" s="156"/>
      <c r="AX68" s="156"/>
      <c r="AY68" s="156"/>
    </row>
    <row r="69" spans="2:51">
      <c r="B69" s="156"/>
      <c r="D69" s="708"/>
      <c r="E69" s="1241">
        <f>IF(MONTH(E70)=7,E70,0)</f>
        <v>0</v>
      </c>
      <c r="F69" s="1241">
        <f t="shared" ref="F69:P69" si="7">IF(MONTH(F70)=7,F70,0)</f>
        <v>0</v>
      </c>
      <c r="G69" s="1241">
        <f t="shared" si="7"/>
        <v>0</v>
      </c>
      <c r="H69" s="1241">
        <f t="shared" si="7"/>
        <v>0</v>
      </c>
      <c r="I69" s="1241">
        <f t="shared" si="7"/>
        <v>0</v>
      </c>
      <c r="J69" s="1241">
        <f t="shared" si="7"/>
        <v>0</v>
      </c>
      <c r="K69" s="1241">
        <f t="shared" si="7"/>
        <v>0</v>
      </c>
      <c r="L69" s="1241">
        <f t="shared" si="7"/>
        <v>0</v>
      </c>
      <c r="M69" s="1241">
        <f t="shared" si="7"/>
        <v>0</v>
      </c>
      <c r="N69" s="1241">
        <f t="shared" si="7"/>
        <v>0</v>
      </c>
      <c r="O69" s="1241">
        <f t="shared" si="7"/>
        <v>44743</v>
      </c>
      <c r="P69" s="1241">
        <f t="shared" si="7"/>
        <v>0</v>
      </c>
      <c r="Q69" s="769">
        <f>SUM(E69:P69)</f>
        <v>44743</v>
      </c>
      <c r="T69" s="68"/>
      <c r="U69" s="68"/>
      <c r="V69" s="68"/>
      <c r="W69" s="68"/>
      <c r="X69" s="68"/>
      <c r="Y69" s="68"/>
      <c r="AG69" s="156"/>
      <c r="AH69" s="156"/>
      <c r="AI69" s="156"/>
      <c r="AJ69" s="156"/>
      <c r="AK69" s="156"/>
      <c r="AL69" s="280"/>
      <c r="AM69" s="281"/>
      <c r="AN69" s="280"/>
      <c r="AO69" s="156"/>
      <c r="AP69" s="156"/>
      <c r="AQ69" s="156"/>
      <c r="AR69" s="156"/>
      <c r="AS69" s="156"/>
      <c r="AT69" s="156"/>
      <c r="AU69" s="156"/>
      <c r="AV69" s="156"/>
      <c r="AW69" s="156"/>
      <c r="AX69" s="156"/>
      <c r="AY69" s="156"/>
    </row>
    <row r="70" spans="2:51">
      <c r="B70" s="156"/>
      <c r="D70" s="294" t="s">
        <v>1167</v>
      </c>
      <c r="E70" s="1242">
        <f>G76</f>
        <v>44440</v>
      </c>
      <c r="F70" s="1242">
        <f>G77</f>
        <v>44470</v>
      </c>
      <c r="G70" s="1242">
        <f>G78</f>
        <v>44501</v>
      </c>
      <c r="H70" s="1242">
        <f>G79</f>
        <v>44531</v>
      </c>
      <c r="I70" s="1242">
        <f>G80</f>
        <v>44562</v>
      </c>
      <c r="J70" s="1242">
        <f>G81</f>
        <v>44593</v>
      </c>
      <c r="K70" s="1242">
        <f>G82</f>
        <v>44621</v>
      </c>
      <c r="L70" s="1242">
        <f>G83</f>
        <v>44652</v>
      </c>
      <c r="M70" s="1242">
        <f>G84</f>
        <v>44682</v>
      </c>
      <c r="N70" s="1242">
        <f>G85</f>
        <v>44713</v>
      </c>
      <c r="O70" s="1242">
        <f>G86</f>
        <v>44743</v>
      </c>
      <c r="P70" s="1242">
        <f>G87</f>
        <v>44774</v>
      </c>
      <c r="T70" s="68"/>
      <c r="U70" s="68"/>
      <c r="V70" s="68"/>
      <c r="W70" s="68"/>
      <c r="X70" s="68"/>
      <c r="Y70" s="68"/>
      <c r="AG70" s="156"/>
      <c r="AH70" s="156"/>
      <c r="AI70" s="156"/>
      <c r="AJ70" s="156"/>
      <c r="AK70" s="156"/>
      <c r="AL70" s="280"/>
      <c r="AM70" s="281"/>
      <c r="AN70" s="280"/>
      <c r="AO70" s="156"/>
      <c r="AP70" s="156"/>
      <c r="AQ70" s="156"/>
      <c r="AR70" s="156"/>
      <c r="AS70" s="156"/>
      <c r="AT70" s="156"/>
      <c r="AU70" s="156"/>
      <c r="AV70" s="156"/>
      <c r="AW70" s="156"/>
      <c r="AX70" s="156"/>
      <c r="AY70" s="156"/>
    </row>
    <row r="71" spans="2:51">
      <c r="B71" s="156"/>
      <c r="C71" s="1243" t="s">
        <v>1168</v>
      </c>
      <c r="D71" s="1244">
        <f>SUM(E71:P71)</f>
        <v>0</v>
      </c>
      <c r="E71" s="1245">
        <f>SUMIF($G$76:$G$420,E70,$N$76:$N$420)</f>
        <v>0</v>
      </c>
      <c r="F71" s="1245">
        <f t="shared" ref="F71:P71" si="8">SUMIF($G$76:$G$420,F70,$N$76:$N$420)</f>
        <v>0</v>
      </c>
      <c r="G71" s="1245">
        <f t="shared" si="8"/>
        <v>0</v>
      </c>
      <c r="H71" s="1245">
        <f t="shared" si="8"/>
        <v>0</v>
      </c>
      <c r="I71" s="1245">
        <f t="shared" si="8"/>
        <v>0</v>
      </c>
      <c r="J71" s="1245">
        <f t="shared" si="8"/>
        <v>0</v>
      </c>
      <c r="K71" s="1245">
        <f t="shared" si="8"/>
        <v>0</v>
      </c>
      <c r="L71" s="1245">
        <f t="shared" si="8"/>
        <v>0</v>
      </c>
      <c r="M71" s="1245">
        <f t="shared" si="8"/>
        <v>0</v>
      </c>
      <c r="N71" s="1245">
        <f t="shared" si="8"/>
        <v>0</v>
      </c>
      <c r="O71" s="1245">
        <f t="shared" si="8"/>
        <v>0</v>
      </c>
      <c r="P71" s="1245">
        <f t="shared" si="8"/>
        <v>0</v>
      </c>
      <c r="T71" s="68"/>
      <c r="U71" s="68"/>
      <c r="V71" s="68"/>
      <c r="W71" s="68"/>
      <c r="X71" s="68"/>
      <c r="Y71" s="68"/>
      <c r="AG71" s="156"/>
      <c r="AH71" s="156"/>
      <c r="AI71" s="156"/>
      <c r="AJ71" s="156"/>
      <c r="AK71" s="156"/>
      <c r="AL71" s="280"/>
      <c r="AM71" s="281"/>
      <c r="AN71" s="280"/>
      <c r="AO71" s="156"/>
      <c r="AP71" s="156"/>
      <c r="AQ71" s="156"/>
      <c r="AR71" s="156"/>
      <c r="AS71" s="156"/>
      <c r="AT71" s="156"/>
      <c r="AU71" s="156"/>
      <c r="AV71" s="156"/>
      <c r="AW71" s="156"/>
      <c r="AX71" s="156"/>
      <c r="AY71" s="156"/>
    </row>
    <row r="72" spans="2:51">
      <c r="B72" s="156"/>
      <c r="C72" s="1243" t="s">
        <v>1169</v>
      </c>
      <c r="D72" s="1244">
        <f>SUM(E72:P72)</f>
        <v>0</v>
      </c>
      <c r="E72" s="1245">
        <f>SUMIF(Indexador!$B$25:$B$48,'Rede Básica + Ajuste'!E70,Indexador!$J$25:$J$48)</f>
        <v>0</v>
      </c>
      <c r="F72" s="1245">
        <f>SUMIF(Indexador!$B$25:$B$48,'Rede Básica + Ajuste'!F70,Indexador!$J$25:$J$48)</f>
        <v>0</v>
      </c>
      <c r="G72" s="1245">
        <f>SUMIF(Indexador!$B$25:$B$48,'Rede Básica + Ajuste'!G70,Indexador!$J$25:$J$48)</f>
        <v>0</v>
      </c>
      <c r="H72" s="1245">
        <f>SUMIF(Indexador!$B$25:$B$48,'Rede Básica + Ajuste'!H70,Indexador!$J$25:$J$48)</f>
        <v>0</v>
      </c>
      <c r="I72" s="1245">
        <f>SUMIF(Indexador!$B$25:$B$48,'Rede Básica + Ajuste'!I70,Indexador!$J$25:$J$48)</f>
        <v>0</v>
      </c>
      <c r="J72" s="1245">
        <f>SUMIF(Indexador!$B$25:$B$48,'Rede Básica + Ajuste'!J70,Indexador!$J$25:$J$48)</f>
        <v>0</v>
      </c>
      <c r="K72" s="1245">
        <f>SUMIF(Indexador!$B$25:$B$48,'Rede Básica + Ajuste'!K70,Indexador!$J$25:$J$48)</f>
        <v>0</v>
      </c>
      <c r="L72" s="1245">
        <f>SUMIF(Indexador!$B$25:$B$48,'Rede Básica + Ajuste'!L70,Indexador!$J$25:$J$48)</f>
        <v>0</v>
      </c>
      <c r="M72" s="1245">
        <f>SUMIF(Indexador!$B$25:$B$48,'Rede Básica + Ajuste'!M70,Indexador!$J$25:$J$48)</f>
        <v>0</v>
      </c>
      <c r="N72" s="1245">
        <f>SUMIF(Indexador!$B$25:$B$48,'Rede Básica + Ajuste'!N70,Indexador!$J$25:$J$48)</f>
        <v>0</v>
      </c>
      <c r="O72" s="1245">
        <f>SUMIF(Indexador!$B$25:$B$48,'Rede Básica + Ajuste'!O70,Indexador!$J$25:$J$48)</f>
        <v>0</v>
      </c>
      <c r="P72" s="1245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6"/>
      <c r="AH72" s="156"/>
      <c r="AI72" s="156"/>
      <c r="AJ72" s="156"/>
      <c r="AK72" s="156"/>
      <c r="AL72" s="280"/>
      <c r="AM72" s="281"/>
      <c r="AN72" s="280"/>
      <c r="AO72" s="156"/>
      <c r="AP72" s="156"/>
      <c r="AQ72" s="156"/>
      <c r="AR72" s="156"/>
      <c r="AS72" s="156"/>
      <c r="AT72" s="156"/>
      <c r="AU72" s="156"/>
      <c r="AV72" s="156"/>
      <c r="AW72" s="156"/>
      <c r="AX72" s="156"/>
      <c r="AY72" s="156"/>
    </row>
    <row r="73" spans="2:51">
      <c r="B73" s="156"/>
      <c r="G73" s="149"/>
      <c r="M73" s="94"/>
      <c r="S73" s="68"/>
      <c r="T73" s="68"/>
      <c r="U73" s="68"/>
      <c r="V73" s="68"/>
      <c r="W73" s="68"/>
      <c r="X73" s="68"/>
      <c r="AF73" s="156"/>
      <c r="AG73" s="156"/>
      <c r="AH73" s="156"/>
      <c r="AI73" s="156"/>
      <c r="AJ73" s="156"/>
      <c r="AK73" s="280"/>
      <c r="AL73" s="281"/>
      <c r="AM73" s="280"/>
      <c r="AN73" s="156"/>
      <c r="AO73" s="156"/>
      <c r="AP73" s="156"/>
      <c r="AQ73" s="156"/>
      <c r="AR73" s="156"/>
      <c r="AS73" s="156"/>
      <c r="AT73" s="156"/>
      <c r="AU73" s="156"/>
      <c r="AV73" s="156"/>
      <c r="AW73" s="156"/>
      <c r="AX73" s="156"/>
    </row>
    <row r="74" spans="2:51" ht="15.75">
      <c r="B74" s="156"/>
      <c r="C74" s="270"/>
      <c r="D74" s="270"/>
      <c r="E74" s="270"/>
      <c r="F74" s="270"/>
      <c r="G74" s="270"/>
      <c r="H74" s="270"/>
      <c r="I74" s="270"/>
      <c r="J74" s="1804" t="s">
        <v>1170</v>
      </c>
      <c r="K74" s="1805"/>
      <c r="L74" s="1803" t="s">
        <v>1171</v>
      </c>
      <c r="M74" s="1803"/>
      <c r="N74" s="278"/>
      <c r="O74" s="270"/>
      <c r="AF74" s="156"/>
      <c r="AG74" s="156"/>
      <c r="AH74" s="156"/>
      <c r="AI74" s="280"/>
      <c r="AJ74" s="281"/>
      <c r="AK74" s="280"/>
      <c r="AL74" s="156"/>
      <c r="AM74" s="156"/>
      <c r="AN74" s="156"/>
      <c r="AO74" s="156"/>
      <c r="AP74" s="156"/>
      <c r="AQ74" s="156"/>
      <c r="AR74" s="156"/>
      <c r="AS74" s="156"/>
      <c r="AT74" s="156"/>
      <c r="AU74" s="156"/>
      <c r="AV74" s="156"/>
      <c r="AW74" s="156"/>
      <c r="AX74" s="156"/>
    </row>
    <row r="75" spans="2:51" ht="15.75">
      <c r="B75" s="156"/>
      <c r="C75" s="1806" t="s">
        <v>1153</v>
      </c>
      <c r="D75" s="1807"/>
      <c r="F75" s="270"/>
      <c r="G75" s="1246" t="s">
        <v>646</v>
      </c>
      <c r="H75" s="1247" t="s">
        <v>1172</v>
      </c>
      <c r="I75" s="1247" t="s">
        <v>1173</v>
      </c>
      <c r="J75" s="1248" t="s">
        <v>1174</v>
      </c>
      <c r="K75" s="1248" t="s">
        <v>1175</v>
      </c>
      <c r="L75" s="1248" t="s">
        <v>1174</v>
      </c>
      <c r="M75" s="1248" t="s">
        <v>1175</v>
      </c>
      <c r="N75" s="277" t="s">
        <v>1176</v>
      </c>
      <c r="AF75" s="156"/>
      <c r="AG75" s="156"/>
      <c r="AH75" s="280"/>
      <c r="AI75" s="281"/>
      <c r="AJ75" s="280"/>
      <c r="AK75" s="156"/>
      <c r="AL75" s="156"/>
      <c r="AM75" s="156"/>
      <c r="AN75" s="156"/>
      <c r="AO75" s="156"/>
      <c r="AP75" s="156"/>
      <c r="AQ75" s="156"/>
      <c r="AR75" s="156"/>
      <c r="AS75" s="156"/>
      <c r="AT75" s="156"/>
      <c r="AU75" s="156"/>
      <c r="AV75" s="156"/>
      <c r="AW75" s="156"/>
      <c r="AX75" s="156"/>
    </row>
    <row r="76" spans="2:51" ht="15.75">
      <c r="B76" s="156"/>
      <c r="C76" s="1243" t="s">
        <v>1177</v>
      </c>
      <c r="D76" s="1249">
        <f>IF(D18="Ponta",B18,0)</f>
        <v>0</v>
      </c>
      <c r="E76" s="18"/>
      <c r="F76" s="270"/>
      <c r="G76" s="1250">
        <f>DATE(YEAR(CAPA!C14),MONTH(CAPA!C14),1)</f>
        <v>44440</v>
      </c>
      <c r="H76" s="272">
        <f>SUMIFS($N$18:$N$60,$B$18:$B$60,$D$76,$D$18:$D$60,"Ponta")</f>
        <v>0</v>
      </c>
      <c r="I76" s="272">
        <f>SUMIFS($N$18:$N$60,$B$18:$B$60,$D$76,$D$18:$D$60,"Fora Ponta")</f>
        <v>0</v>
      </c>
      <c r="J76" s="272">
        <f>SUMIFS($E$18:$E$60,$B$18:$B$60,$D$76,$D$18:$D$60,"Ponta")</f>
        <v>0</v>
      </c>
      <c r="K76" s="272">
        <f>SUMIFS($E$18:$E$60,$B$18:$B$60,$D$76,$D$18:$D$60,"Fora Ponta")</f>
        <v>0</v>
      </c>
      <c r="L76" s="1251">
        <f>IF(MONTH(DataRevRea)=7,'Rede Básica + Ajuste'!J76,IF(G76&lt;$Q$69,(SUMIFS($E$18:$E$60,$B$18:$B$60,$D$76,$D$18:$D$60,"Ponta")),(SUMIFS($F$18:$F$60,$B$18:$B$60,$D$76,$D$18:$D$60,"Ponta"))))</f>
        <v>0</v>
      </c>
      <c r="M76" s="1251">
        <f>IF(MONTH(DataRevRea)=7,'Rede Básica + Ajuste'!K76,IF(G76&lt;$Q$69,(SUMIFS($E$18:$E$60,$B$18:$B$60,$D$76,$D$18:$D$60,"Fora Ponta")),(SUMIFS($F$18:$F$60,$B$18:$B$60,$D$76,$D$18:$D$60,"Fora Ponta"))))</f>
        <v>0</v>
      </c>
      <c r="N76" s="1252">
        <f>+(H76*(L76-J76))+(I76*(M76-K76))</f>
        <v>0</v>
      </c>
      <c r="AF76" s="156"/>
      <c r="AG76" s="156"/>
      <c r="AH76" s="280"/>
      <c r="AI76" s="281"/>
      <c r="AJ76" s="280"/>
      <c r="AK76" s="156"/>
      <c r="AL76" s="156"/>
      <c r="AM76" s="156"/>
      <c r="AN76" s="156"/>
      <c r="AO76" s="156"/>
      <c r="AP76" s="156"/>
      <c r="AQ76" s="156"/>
      <c r="AR76" s="156"/>
      <c r="AS76" s="156"/>
      <c r="AT76" s="156"/>
      <c r="AU76" s="156"/>
      <c r="AV76" s="156"/>
      <c r="AW76" s="156"/>
      <c r="AX76" s="156"/>
    </row>
    <row r="77" spans="2:51" ht="15.75">
      <c r="B77" s="156"/>
      <c r="C77" s="270"/>
      <c r="D77" s="270"/>
      <c r="E77" s="270"/>
      <c r="F77" s="270"/>
      <c r="G77" s="271">
        <f>DATE(YEAR(G76),MONTH(G76)+1,1)</f>
        <v>44470</v>
      </c>
      <c r="H77" s="272">
        <f>SUMIFS($O$18:$O$60,$B$18:$B$60,$D$76,$D$18:$D$60,"Ponta")</f>
        <v>0</v>
      </c>
      <c r="I77" s="272">
        <f>SUMIFS($O$18:$O$60,$B$18:$B$60,$D$76,$D$18:$D$60,"Fora Ponta")</f>
        <v>0</v>
      </c>
      <c r="J77" s="272">
        <f t="shared" ref="J77:J87" si="9">SUMIFS($E$18:$E$60,$B$18:$B$60,$D$76,$D$18:$D$60,"Ponta")</f>
        <v>0</v>
      </c>
      <c r="K77" s="272">
        <f t="shared" ref="K77:K87" si="10">SUMIFS($E$18:$E$60,$B$18:$B$60,$D$76,$D$18:$D$60,"Fora Ponta")</f>
        <v>0</v>
      </c>
      <c r="L77" s="272">
        <f>IF(MONTH(DataRevRea)=7,'Rede Básica + Ajuste'!J77,IF(G77&lt;$Q$69,(SUMIFS($E$18:$E$60,$B$18:$B$60,$D$76,$D$18:$D$60,"Ponta")),(SUMIFS($F$18:$F$60,$B$18:$B$60,$D$76,$D$18:$D$60,"Ponta"))))</f>
        <v>0</v>
      </c>
      <c r="M77" s="272">
        <f>IF(MONTH(DataRevRea)=7,'Rede Básica + Ajuste'!K77,IF(G77&lt;$Q$69,(SUMIFS($E$18:$E$60,$B$18:$B$60,$D$76,$D$18:$D$60,"Fora Ponta")),(SUMIFS($F$18:$F$60,$B$18:$B$60,$D$76,$D$18:$D$60,"Fora Ponta"))))</f>
        <v>0</v>
      </c>
      <c r="N77" s="279">
        <f t="shared" ref="N77:N87" si="11">+(H77*(L77-J77))+(I77*(M77-K77))</f>
        <v>0</v>
      </c>
      <c r="AF77" s="156"/>
      <c r="AG77" s="156"/>
      <c r="AH77" s="280"/>
      <c r="AI77" s="281"/>
      <c r="AJ77" s="280"/>
      <c r="AK77" s="156"/>
      <c r="AL77" s="156"/>
      <c r="AM77" s="156"/>
      <c r="AN77" s="156"/>
      <c r="AO77" s="156"/>
      <c r="AP77" s="156"/>
      <c r="AQ77" s="156"/>
      <c r="AR77" s="156"/>
      <c r="AS77" s="156"/>
      <c r="AT77" s="156"/>
      <c r="AU77" s="156"/>
      <c r="AV77" s="156"/>
      <c r="AW77" s="156"/>
      <c r="AX77" s="156"/>
    </row>
    <row r="78" spans="2:51" ht="15.75">
      <c r="B78" s="156"/>
      <c r="C78" s="273"/>
      <c r="D78" s="1253" t="s">
        <v>1178</v>
      </c>
      <c r="E78" s="1254" t="s">
        <v>1179</v>
      </c>
      <c r="F78" s="270"/>
      <c r="G78" s="271">
        <f t="shared" ref="G78:G87" si="12">DATE(YEAR(G77),MONTH(G77)+1,1)</f>
        <v>44501</v>
      </c>
      <c r="H78" s="272">
        <f>SUMIFS($P$18:$P$60,$B$18:$B$60,$D$76,$D$18:$D$60,"Ponta")</f>
        <v>0</v>
      </c>
      <c r="I78" s="272">
        <f>SUMIFS($P$18:$P$60,$B$18:$B$60,$D$76,$D$18:$D$60,"Fora Ponta")</f>
        <v>0</v>
      </c>
      <c r="J78" s="272">
        <f t="shared" si="9"/>
        <v>0</v>
      </c>
      <c r="K78" s="272">
        <f t="shared" si="10"/>
        <v>0</v>
      </c>
      <c r="L78" s="272">
        <f>IF(MONTH(DataRevRea)=7,'Rede Básica + Ajuste'!J78,IF(G78&lt;$Q$69,(SUMIFS($E$18:$E$60,$B$18:$B$60,$D$76,$D$18:$D$60,"Ponta")),(SUMIFS($F$18:$F$60,$B$18:$B$60,$D$76,$D$18:$D$60,"Ponta"))))</f>
        <v>0</v>
      </c>
      <c r="M78" s="272">
        <f>IF(MONTH(DataRevRea)=7,'Rede Básica + Ajuste'!K78,IF(G78&lt;$Q$69,(SUMIFS($E$18:$E$60,$B$18:$B$60,$D$76,$D$18:$D$60,"Fora Ponta")),(SUMIFS($F$18:$F$60,$B$18:$B$60,$D$76,$D$18:$D$60,"Fora Ponta"))))</f>
        <v>0</v>
      </c>
      <c r="N78" s="279">
        <f t="shared" si="11"/>
        <v>0</v>
      </c>
      <c r="AF78" s="156"/>
      <c r="AG78" s="156"/>
      <c r="AH78" s="280"/>
      <c r="AI78" s="281"/>
      <c r="AJ78" s="280"/>
      <c r="AK78" s="156"/>
      <c r="AL78" s="156"/>
      <c r="AM78" s="156"/>
      <c r="AN78" s="156"/>
      <c r="AO78" s="156"/>
      <c r="AP78" s="156"/>
      <c r="AQ78" s="156"/>
      <c r="AR78" s="156"/>
      <c r="AS78" s="156"/>
      <c r="AT78" s="156"/>
      <c r="AU78" s="156"/>
      <c r="AV78" s="156"/>
      <c r="AW78" s="156"/>
      <c r="AX78" s="156"/>
    </row>
    <row r="79" spans="2:51" ht="15.75">
      <c r="B79" s="156"/>
      <c r="C79" s="1255" t="str">
        <f>"Cobertura "&amp;YEAR(CAPA!C14)</f>
        <v>Cobertura 2021</v>
      </c>
      <c r="D79" s="1256">
        <f>SUMPRODUCT(H76:H87,J76:J87)</f>
        <v>0</v>
      </c>
      <c r="E79" s="1256">
        <f>SUMPRODUCT(I76:I87,K76:K87)</f>
        <v>0</v>
      </c>
      <c r="F79" s="270"/>
      <c r="G79" s="271">
        <f t="shared" si="12"/>
        <v>44531</v>
      </c>
      <c r="H79" s="272">
        <f>SUMIFS($Q$18:$Q$60,$B$18:$B$60,$D$76,$D$18:$D$60,"Ponta")</f>
        <v>0</v>
      </c>
      <c r="I79" s="272">
        <f>SUMIFS($Q$18:$Q$60,$B$18:$B$60,$D$76,$D$18:$D$60,"Fora Ponta")</f>
        <v>0</v>
      </c>
      <c r="J79" s="272">
        <f t="shared" si="9"/>
        <v>0</v>
      </c>
      <c r="K79" s="272">
        <f t="shared" si="10"/>
        <v>0</v>
      </c>
      <c r="L79" s="272">
        <f>IF(MONTH(DataRevRea)=7,'Rede Básica + Ajuste'!J79,IF(G79&lt;$Q$69,(SUMIFS($E$18:$E$60,$B$18:$B$60,$D$76,$D$18:$D$60,"Ponta")),(SUMIFS($F$18:$F$60,$B$18:$B$60,$D$76,$D$18:$D$60,"Ponta"))))</f>
        <v>0</v>
      </c>
      <c r="M79" s="272">
        <f>IF(MONTH(DataRevRea)=7,'Rede Básica + Ajuste'!K79,IF(G79&lt;$Q$69,(SUMIFS($E$18:$E$60,$B$18:$B$60,$D$76,$D$18:$D$60,"Fora Ponta")),(SUMIFS($F$18:$F$60,$B$18:$B$60,$D$76,$D$18:$D$60,"Fora Ponta"))))</f>
        <v>0</v>
      </c>
      <c r="N79" s="279">
        <f t="shared" si="11"/>
        <v>0</v>
      </c>
      <c r="AF79" s="156"/>
      <c r="AG79" s="156"/>
      <c r="AH79" s="280"/>
      <c r="AI79" s="281"/>
      <c r="AJ79" s="280"/>
      <c r="AK79" s="156"/>
      <c r="AL79" s="156"/>
      <c r="AM79" s="156"/>
      <c r="AN79" s="156"/>
      <c r="AO79" s="156"/>
      <c r="AP79" s="156"/>
      <c r="AQ79" s="156"/>
      <c r="AR79" s="156"/>
      <c r="AS79" s="156"/>
      <c r="AT79" s="156"/>
      <c r="AU79" s="156"/>
      <c r="AV79" s="156"/>
      <c r="AW79" s="156"/>
      <c r="AX79" s="156"/>
    </row>
    <row r="80" spans="2:51" ht="15.75">
      <c r="B80" s="156"/>
      <c r="C80" s="1255" t="s">
        <v>1180</v>
      </c>
      <c r="D80" s="1256">
        <f>SUMPRODUCT(H76:H87,L76:L87)</f>
        <v>0</v>
      </c>
      <c r="E80" s="1256">
        <f>SUMPRODUCT(I76:I87,M76:M87)</f>
        <v>0</v>
      </c>
      <c r="F80" s="270"/>
      <c r="G80" s="271">
        <f t="shared" si="12"/>
        <v>44562</v>
      </c>
      <c r="H80" s="272">
        <f>SUMIFS($R$18:$R$60,$B$18:$B$60,$D$76,$D$18:$D$60,"Ponta")</f>
        <v>0</v>
      </c>
      <c r="I80" s="272">
        <f>SUMIFS($R$18:$R$60,$B$18:$B$60,$D$76,$D$18:$D$60,"Fora Ponta")</f>
        <v>0</v>
      </c>
      <c r="J80" s="272">
        <f t="shared" si="9"/>
        <v>0</v>
      </c>
      <c r="K80" s="272">
        <f t="shared" si="10"/>
        <v>0</v>
      </c>
      <c r="L80" s="272">
        <f>IF(MONTH(DataRevRea)=7,'Rede Básica + Ajuste'!J80,IF(G80&lt;$Q$69,(SUMIFS($E$18:$E$60,$B$18:$B$60,$D$76,$D$18:$D$60,"Ponta")),(SUMIFS($F$18:$F$60,$B$18:$B$60,$D$76,$D$18:$D$60,"Ponta"))))</f>
        <v>0</v>
      </c>
      <c r="M80" s="272">
        <f>IF(MONTH(DataRevRea)=7,'Rede Básica + Ajuste'!K80,IF(G80&lt;$Q$69,(SUMIFS($E$18:$E$60,$B$18:$B$60,$D$76,$D$18:$D$60,"Fora Ponta")),(SUMIFS($F$18:$F$60,$B$18:$B$60,$D$76,$D$18:$D$60,"Fora Ponta"))))</f>
        <v>0</v>
      </c>
      <c r="N80" s="279">
        <f t="shared" si="11"/>
        <v>0</v>
      </c>
      <c r="AF80" s="156"/>
      <c r="AG80" s="156"/>
      <c r="AH80" s="280"/>
      <c r="AI80" s="281"/>
      <c r="AJ80" s="280"/>
      <c r="AK80" s="156"/>
      <c r="AL80" s="156"/>
      <c r="AM80" s="156"/>
      <c r="AN80" s="156"/>
      <c r="AO80" s="156"/>
      <c r="AP80" s="156"/>
      <c r="AQ80" s="156"/>
      <c r="AR80" s="156"/>
      <c r="AS80" s="156"/>
      <c r="AT80" s="156"/>
      <c r="AU80" s="156"/>
      <c r="AV80" s="156"/>
      <c r="AW80" s="156"/>
      <c r="AX80" s="156"/>
    </row>
    <row r="81" spans="2:50" ht="15.75">
      <c r="B81" s="156"/>
      <c r="C81" s="270"/>
      <c r="D81" s="270"/>
      <c r="E81" s="270"/>
      <c r="F81" s="270"/>
      <c r="G81" s="271">
        <f t="shared" si="12"/>
        <v>44593</v>
      </c>
      <c r="H81" s="272">
        <f>SUMIFS($S$18:$S$60,$B$18:$B$60,$D$76,$D$18:$D$60,"Ponta")</f>
        <v>0</v>
      </c>
      <c r="I81" s="272">
        <f>SUMIFS($S$18:$S$60,$B$18:$B$60,$D$76,$D$18:$D$60,"Fora Ponta")</f>
        <v>0</v>
      </c>
      <c r="J81" s="272">
        <f t="shared" si="9"/>
        <v>0</v>
      </c>
      <c r="K81" s="272">
        <f t="shared" si="10"/>
        <v>0</v>
      </c>
      <c r="L81" s="272">
        <f>IF(MONTH(DataRevRea)=7,'Rede Básica + Ajuste'!J81,IF(G81&lt;$Q$69,(SUMIFS($E$18:$E$60,$B$18:$B$60,$D$76,$D$18:$D$60,"Ponta")),(SUMIFS($F$18:$F$60,$B$18:$B$60,$D$76,$D$18:$D$60,"Ponta"))))</f>
        <v>0</v>
      </c>
      <c r="M81" s="272">
        <f>IF(MONTH(DataRevRea)=7,'Rede Básica + Ajuste'!K81,IF(G81&lt;$Q$69,(SUMIFS($E$18:$E$60,$B$18:$B$60,$D$76,$D$18:$D$60,"Fora Ponta")),(SUMIFS($F$18:$F$60,$B$18:$B$60,$D$76,$D$18:$D$60,"Fora Ponta"))))</f>
        <v>0</v>
      </c>
      <c r="N81" s="279">
        <f t="shared" si="11"/>
        <v>0</v>
      </c>
      <c r="AF81" s="156"/>
      <c r="AG81" s="156"/>
      <c r="AH81" s="280"/>
      <c r="AI81" s="281"/>
      <c r="AJ81" s="280"/>
      <c r="AK81" s="156"/>
      <c r="AL81" s="156"/>
      <c r="AM81" s="156"/>
      <c r="AN81" s="156"/>
      <c r="AO81" s="156"/>
      <c r="AP81" s="156"/>
      <c r="AQ81" s="156"/>
      <c r="AR81" s="156"/>
      <c r="AS81" s="156"/>
      <c r="AT81" s="156"/>
      <c r="AU81" s="156"/>
      <c r="AV81" s="156"/>
      <c r="AW81" s="156"/>
      <c r="AX81" s="156"/>
    </row>
    <row r="82" spans="2:50" ht="15.75">
      <c r="B82" s="156"/>
      <c r="C82" s="282"/>
      <c r="D82" s="282"/>
      <c r="E82" s="282"/>
      <c r="F82" s="270"/>
      <c r="G82" s="271">
        <f t="shared" si="12"/>
        <v>44621</v>
      </c>
      <c r="H82" s="272">
        <f>SUMIFS($T$18:$T$60,$B$18:$B$60,$D$76,$D$18:$D$60,"Ponta")</f>
        <v>0</v>
      </c>
      <c r="I82" s="272">
        <f>SUMIFS($T$18:$T$60,$B$18:$B$60,$D$76,$D$18:$D$60,"Fora Ponta")</f>
        <v>0</v>
      </c>
      <c r="J82" s="272">
        <f t="shared" si="9"/>
        <v>0</v>
      </c>
      <c r="K82" s="272">
        <f t="shared" si="10"/>
        <v>0</v>
      </c>
      <c r="L82" s="272">
        <f>IF(MONTH(DataRevRea)=7,'Rede Básica + Ajuste'!J82,IF(G82&lt;$Q$69,(SUMIFS($E$18:$E$60,$B$18:$B$60,$D$76,$D$18:$D$60,"Ponta")),(SUMIFS($F$18:$F$60,$B$18:$B$60,$D$76,$D$18:$D$60,"Ponta"))))</f>
        <v>0</v>
      </c>
      <c r="M82" s="272">
        <f>IF(MONTH(DataRevRea)=7,'Rede Básica + Ajuste'!K82,IF(G82&lt;$Q$69,(SUMIFS($E$18:$E$60,$B$18:$B$60,$D$76,$D$18:$D$60,"Fora Ponta")),(SUMIFS($F$18:$F$60,$B$18:$B$60,$D$76,$D$18:$D$60,"Fora Ponta"))))</f>
        <v>0</v>
      </c>
      <c r="N82" s="279">
        <f t="shared" si="11"/>
        <v>0</v>
      </c>
      <c r="AF82" s="156"/>
      <c r="AG82" s="156"/>
      <c r="AH82" s="280"/>
      <c r="AI82" s="281"/>
      <c r="AJ82" s="280"/>
      <c r="AK82" s="156"/>
      <c r="AL82" s="156"/>
      <c r="AM82" s="156"/>
      <c r="AN82" s="156"/>
      <c r="AO82" s="156"/>
      <c r="AP82" s="156"/>
      <c r="AQ82" s="156"/>
      <c r="AR82" s="156"/>
      <c r="AS82" s="156"/>
      <c r="AT82" s="156"/>
      <c r="AU82" s="156"/>
      <c r="AV82" s="156"/>
      <c r="AW82" s="156"/>
      <c r="AX82" s="156"/>
    </row>
    <row r="83" spans="2:50" ht="15.75">
      <c r="B83" s="156"/>
      <c r="C83" s="274"/>
      <c r="D83" s="274"/>
      <c r="E83" s="283"/>
      <c r="F83" s="270"/>
      <c r="G83" s="271">
        <f t="shared" si="12"/>
        <v>44652</v>
      </c>
      <c r="H83" s="272">
        <f>SUMIFS($U$18:$U$60,$B$18:$B$60,$D$76,$D$18:$D$60,"Ponta")</f>
        <v>0</v>
      </c>
      <c r="I83" s="272">
        <f>SUMIFS($U$18:$U$60,$B$18:$B$60,$D$76,$D$18:$D$60,"Fora Ponta")</f>
        <v>0</v>
      </c>
      <c r="J83" s="272">
        <f t="shared" si="9"/>
        <v>0</v>
      </c>
      <c r="K83" s="272">
        <f t="shared" si="10"/>
        <v>0</v>
      </c>
      <c r="L83" s="272">
        <f>IF(MONTH(DataRevRea)=7,'Rede Básica + Ajuste'!J83,IF(G83&lt;$Q$69,(SUMIFS($E$18:$E$60,$B$18:$B$60,$D$76,$D$18:$D$60,"Ponta")),(SUMIFS($F$18:$F$60,$B$18:$B$60,$D$76,$D$18:$D$60,"Ponta"))))</f>
        <v>0</v>
      </c>
      <c r="M83" s="272">
        <f>IF(MONTH(DataRevRea)=7,'Rede Básica + Ajuste'!K83,IF(G83&lt;$Q$69,(SUMIFS($E$18:$E$60,$B$18:$B$60,$D$76,$D$18:$D$60,"Fora Ponta")),(SUMIFS($F$18:$F$60,$B$18:$B$60,$D$76,$D$18:$D$60,"Fora Ponta"))))</f>
        <v>0</v>
      </c>
      <c r="N83" s="279">
        <f t="shared" si="11"/>
        <v>0</v>
      </c>
      <c r="AF83" s="156"/>
      <c r="AG83" s="156"/>
      <c r="AH83" s="280"/>
      <c r="AI83" s="281"/>
      <c r="AJ83" s="280"/>
      <c r="AK83" s="156"/>
      <c r="AL83" s="156"/>
      <c r="AM83" s="156"/>
      <c r="AN83" s="156"/>
      <c r="AO83" s="156"/>
      <c r="AP83" s="156"/>
      <c r="AQ83" s="156"/>
      <c r="AR83" s="156"/>
      <c r="AS83" s="156"/>
      <c r="AT83" s="156"/>
      <c r="AU83" s="156"/>
      <c r="AV83" s="156"/>
      <c r="AW83" s="156"/>
      <c r="AX83" s="156"/>
    </row>
    <row r="84" spans="2:50" ht="15.75">
      <c r="B84" s="156"/>
      <c r="C84" s="284"/>
      <c r="D84" s="274"/>
      <c r="E84" s="283"/>
      <c r="F84" s="270"/>
      <c r="G84" s="271">
        <f t="shared" si="12"/>
        <v>44682</v>
      </c>
      <c r="H84" s="272">
        <f>SUMIFS($V$18:$V$60,$B$18:$B$60,$D$76,$D$18:$D$60,"Ponta")</f>
        <v>0</v>
      </c>
      <c r="I84" s="272">
        <f>SUMIFS($V$18:$V$60,$B$18:$B$60,$D$76,$D$18:$D$60,"Fora Ponta")</f>
        <v>0</v>
      </c>
      <c r="J84" s="272">
        <f t="shared" si="9"/>
        <v>0</v>
      </c>
      <c r="K84" s="272">
        <f t="shared" si="10"/>
        <v>0</v>
      </c>
      <c r="L84" s="272">
        <f>IF(MONTH(DataRevRea)=7,'Rede Básica + Ajuste'!J84,IF(G84&lt;$Q$69,(SUMIFS($E$18:$E$60,$B$18:$B$60,$D$76,$D$18:$D$60,"Ponta")),(SUMIFS($F$18:$F$60,$B$18:$B$60,$D$76,$D$18:$D$60,"Ponta"))))</f>
        <v>0</v>
      </c>
      <c r="M84" s="272">
        <f>IF(MONTH(DataRevRea)=7,'Rede Básica + Ajuste'!K84,IF(G84&lt;$Q$69,(SUMIFS($E$18:$E$60,$B$18:$B$60,$D$76,$D$18:$D$60,"Fora Ponta")),(SUMIFS($F$18:$F$60,$B$18:$B$60,$D$76,$D$18:$D$60,"Fora Ponta"))))</f>
        <v>0</v>
      </c>
      <c r="N84" s="279">
        <f t="shared" si="11"/>
        <v>0</v>
      </c>
      <c r="AF84" s="156"/>
      <c r="AG84" s="156"/>
      <c r="AH84" s="280"/>
      <c r="AI84" s="281"/>
      <c r="AJ84" s="280"/>
      <c r="AK84" s="156"/>
      <c r="AL84" s="156"/>
      <c r="AM84" s="156"/>
      <c r="AN84" s="156"/>
      <c r="AO84" s="156"/>
      <c r="AP84" s="156"/>
      <c r="AQ84" s="156"/>
      <c r="AR84" s="156"/>
      <c r="AS84" s="156"/>
      <c r="AT84" s="156"/>
      <c r="AU84" s="156"/>
      <c r="AV84" s="156"/>
      <c r="AW84" s="156"/>
      <c r="AX84" s="156"/>
    </row>
    <row r="85" spans="2:50" ht="15.75">
      <c r="B85" s="156"/>
      <c r="C85" s="270"/>
      <c r="D85" s="270"/>
      <c r="E85" s="270"/>
      <c r="F85" s="270"/>
      <c r="G85" s="271">
        <f t="shared" si="12"/>
        <v>44713</v>
      </c>
      <c r="H85" s="272">
        <f>SUMIFS($W$18:$W$60,$B$18:$B$60,$D$76,$D$18:$D$60,"Ponta")</f>
        <v>0</v>
      </c>
      <c r="I85" s="272">
        <f>SUMIFS($W$18:$W$60,$B$18:$B$60,$D$76,$D$18:$D$60,"Fora Ponta")</f>
        <v>0</v>
      </c>
      <c r="J85" s="272">
        <f t="shared" si="9"/>
        <v>0</v>
      </c>
      <c r="K85" s="272">
        <f t="shared" si="10"/>
        <v>0</v>
      </c>
      <c r="L85" s="272">
        <f>IF(MONTH(DataRevRea)=7,'Rede Básica + Ajuste'!J85,IF(G85&lt;$Q$69,(SUMIFS($E$18:$E$60,$B$18:$B$60,$D$76,$D$18:$D$60,"Ponta")),(SUMIFS($F$18:$F$60,$B$18:$B$60,$D$76,$D$18:$D$60,"Ponta"))))</f>
        <v>0</v>
      </c>
      <c r="M85" s="272">
        <f>IF(MONTH(DataRevRea)=7,'Rede Básica + Ajuste'!K85,IF(G85&lt;$Q$69,(SUMIFS($E$18:$E$60,$B$18:$B$60,$D$76,$D$18:$D$60,"Fora Ponta")),(SUMIFS($F$18:$F$60,$B$18:$B$60,$D$76,$D$18:$D$60,"Fora Ponta"))))</f>
        <v>0</v>
      </c>
      <c r="N85" s="279">
        <f t="shared" si="11"/>
        <v>0</v>
      </c>
      <c r="AF85" s="156"/>
      <c r="AG85" s="156"/>
      <c r="AH85" s="280"/>
      <c r="AI85" s="281"/>
      <c r="AJ85" s="280"/>
      <c r="AK85" s="156"/>
      <c r="AL85" s="156"/>
      <c r="AM85" s="156"/>
      <c r="AN85" s="156"/>
      <c r="AO85" s="156"/>
      <c r="AP85" s="156"/>
      <c r="AQ85" s="156"/>
      <c r="AR85" s="156"/>
      <c r="AS85" s="156"/>
      <c r="AT85" s="156"/>
      <c r="AU85" s="156"/>
      <c r="AV85" s="156"/>
      <c r="AW85" s="156"/>
      <c r="AX85" s="156"/>
    </row>
    <row r="86" spans="2:50" ht="15.75">
      <c r="B86" s="156"/>
      <c r="C86" s="276"/>
      <c r="D86" s="276"/>
      <c r="E86" s="276"/>
      <c r="F86" s="270"/>
      <c r="G86" s="271">
        <f t="shared" si="12"/>
        <v>44743</v>
      </c>
      <c r="H86" s="272">
        <f>SUMIFS($X$18:$X$60,$B$18:$B$60,$D$76,$D$18:$D$60,"Ponta")</f>
        <v>0</v>
      </c>
      <c r="I86" s="272">
        <f>SUMIFS($X$18:$X$60,$B$18:$B$60,$D$76,$D$18:$D$60,"Fora Ponta")</f>
        <v>0</v>
      </c>
      <c r="J86" s="272">
        <f t="shared" si="9"/>
        <v>0</v>
      </c>
      <c r="K86" s="272">
        <f t="shared" si="10"/>
        <v>0</v>
      </c>
      <c r="L86" s="272">
        <f>IF(MONTH(DataRevRea)=7,'Rede Básica + Ajuste'!J86,IF(G86&lt;$Q$69,(SUMIFS($E$18:$E$60,$B$18:$B$60,$D$76,$D$18:$D$60,"Ponta")),(SUMIFS($F$18:$F$60,$B$18:$B$60,$D$76,$D$18:$D$60,"Ponta"))))</f>
        <v>0</v>
      </c>
      <c r="M86" s="272">
        <f>IF(MONTH(DataRevRea)=7,'Rede Básica + Ajuste'!K86,IF(G86&lt;$Q$69,(SUMIFS($E$18:$E$60,$B$18:$B$60,$D$76,$D$18:$D$60,"Fora Ponta")),(SUMIFS($F$18:$F$60,$B$18:$B$60,$D$76,$D$18:$D$60,"Fora Ponta"))))</f>
        <v>0</v>
      </c>
      <c r="N86" s="279">
        <f t="shared" si="11"/>
        <v>0</v>
      </c>
      <c r="AF86" s="156"/>
      <c r="AG86" s="156"/>
      <c r="AH86" s="280"/>
      <c r="AI86" s="281"/>
      <c r="AJ86" s="280"/>
      <c r="AK86" s="156"/>
      <c r="AL86" s="156"/>
      <c r="AM86" s="156"/>
      <c r="AN86" s="156"/>
      <c r="AO86" s="156"/>
      <c r="AP86" s="156"/>
      <c r="AQ86" s="156"/>
      <c r="AR86" s="156"/>
      <c r="AS86" s="156"/>
      <c r="AT86" s="156"/>
      <c r="AU86" s="156"/>
      <c r="AV86" s="156"/>
      <c r="AW86" s="156"/>
      <c r="AX86" s="156"/>
    </row>
    <row r="87" spans="2:50" ht="15.75">
      <c r="B87" s="156"/>
      <c r="C87" s="274"/>
      <c r="D87" s="275"/>
      <c r="E87" s="274"/>
      <c r="F87" s="270"/>
      <c r="G87" s="1257">
        <f t="shared" si="12"/>
        <v>44774</v>
      </c>
      <c r="H87" s="1258">
        <f>SUMIFS($Y$18:$Y$60,$B$18:$B$60,$D$76,$D$18:$D$60,"Ponta")</f>
        <v>0</v>
      </c>
      <c r="I87" s="1258">
        <f>SUMIFS($Y$18:$Y$60,$B$18:$B$60,$D$76,$D$18:$D$60,"Fora Ponta")</f>
        <v>0</v>
      </c>
      <c r="J87" s="1258">
        <f t="shared" si="9"/>
        <v>0</v>
      </c>
      <c r="K87" s="1258">
        <f t="shared" si="10"/>
        <v>0</v>
      </c>
      <c r="L87" s="1258">
        <f>IF(MONTH(DataRevRea)=7,'Rede Básica + Ajuste'!J87,IF(G87&lt;$Q$69,(SUMIFS($E$18:$E$60,$B$18:$B$60,$D$76,$D$18:$D$60,"Ponta")),(SUMIFS($F$18:$F$60,$B$18:$B$60,$D$76,$D$18:$D$60,"Ponta"))))</f>
        <v>0</v>
      </c>
      <c r="M87" s="1258">
        <f>IF(MONTH(DataRevRea)=7,'Rede Básica + Ajuste'!K87,IF(G87&lt;$Q$69,(SUMIFS($E$18:$E$60,$B$18:$B$60,$D$76,$D$18:$D$60,"Fora Ponta")),(SUMIFS($F$18:$F$60,$B$18:$B$60,$D$76,$D$18:$D$60,"Fora Ponta"))))</f>
        <v>0</v>
      </c>
      <c r="N87" s="1259">
        <f t="shared" si="11"/>
        <v>0</v>
      </c>
      <c r="AF87" s="156"/>
      <c r="AG87" s="156"/>
      <c r="AH87" s="280"/>
      <c r="AI87" s="281"/>
      <c r="AJ87" s="280"/>
      <c r="AK87" s="156"/>
      <c r="AL87" s="156"/>
      <c r="AM87" s="156"/>
      <c r="AN87" s="156"/>
      <c r="AO87" s="156"/>
      <c r="AP87" s="156"/>
      <c r="AQ87" s="156"/>
      <c r="AR87" s="156"/>
      <c r="AS87" s="156"/>
      <c r="AT87" s="156"/>
      <c r="AU87" s="156"/>
      <c r="AV87" s="156"/>
      <c r="AW87" s="156"/>
      <c r="AX87" s="156"/>
    </row>
    <row r="88" spans="2:50">
      <c r="G88" s="149"/>
      <c r="AF88" s="156"/>
      <c r="AG88" s="156"/>
      <c r="AH88" s="156"/>
      <c r="AI88" s="156"/>
      <c r="AJ88" s="156"/>
      <c r="AK88" s="156"/>
      <c r="AL88" s="156"/>
      <c r="AM88" s="156"/>
      <c r="AN88" s="156"/>
      <c r="AO88" s="156"/>
      <c r="AP88" s="156"/>
      <c r="AQ88" s="156"/>
      <c r="AR88" s="156"/>
      <c r="AS88" s="156"/>
      <c r="AT88" s="156"/>
      <c r="AU88" s="156"/>
      <c r="AV88" s="156"/>
      <c r="AW88" s="156"/>
      <c r="AX88" s="156"/>
    </row>
    <row r="89" spans="2:50" ht="15.75">
      <c r="C89" s="270"/>
      <c r="D89" s="270"/>
      <c r="E89" s="270"/>
      <c r="F89" s="270"/>
      <c r="G89" s="270"/>
      <c r="H89" s="270"/>
      <c r="I89" s="270"/>
      <c r="J89" s="1804" t="s">
        <v>1170</v>
      </c>
      <c r="K89" s="1805"/>
      <c r="L89" s="1803" t="s">
        <v>1171</v>
      </c>
      <c r="M89" s="1803"/>
      <c r="N89" s="278"/>
    </row>
    <row r="90" spans="2:50" ht="15.75">
      <c r="C90" s="1806" t="s">
        <v>1181</v>
      </c>
      <c r="D90" s="1807"/>
      <c r="F90" s="270"/>
      <c r="G90" s="1246" t="s">
        <v>646</v>
      </c>
      <c r="H90" s="1247" t="s">
        <v>1172</v>
      </c>
      <c r="I90" s="1247" t="s">
        <v>1173</v>
      </c>
      <c r="J90" s="1248" t="s">
        <v>1174</v>
      </c>
      <c r="K90" s="1248" t="s">
        <v>1175</v>
      </c>
      <c r="L90" s="1248" t="s">
        <v>1174</v>
      </c>
      <c r="M90" s="1248" t="s">
        <v>1175</v>
      </c>
      <c r="N90" s="277" t="s">
        <v>1176</v>
      </c>
    </row>
    <row r="91" spans="2:50" ht="15.75">
      <c r="C91" s="1243" t="s">
        <v>1177</v>
      </c>
      <c r="D91" s="1249">
        <f>IF(D18="Ponta",B18,0)</f>
        <v>0</v>
      </c>
      <c r="E91" s="18"/>
      <c r="F91" s="270"/>
      <c r="G91" s="1250">
        <f>G76</f>
        <v>44440</v>
      </c>
      <c r="H91" s="272">
        <f>H76</f>
        <v>0</v>
      </c>
      <c r="I91" s="272">
        <f>I76</f>
        <v>0</v>
      </c>
      <c r="J91" s="272">
        <f>SUMIFS($G$18:$G$60,$B$18:$B$60,$D$76,$D$18:$D$60,"Ponta")</f>
        <v>0</v>
      </c>
      <c r="K91" s="272">
        <f>SUMIFS($G$18:$G$60,$B$18:$B$60,$D$76,$D$18:$D$60,"Fora Ponta")</f>
        <v>0</v>
      </c>
      <c r="L91" s="1251">
        <f>IF(MONTH(DataRevRea)=7,'Rede Básica + Ajuste'!J91,IF(G91&lt;$Q$69,(SUMIFS($G$18:$G$60,$B$18:$B$60,$D$91,$D$18:$D$60,"Ponta")),(SUMIFS($H$18:$H$60,$B$18:$B$60,$D$91,$D$18:$D$60,"Ponta"))))</f>
        <v>0</v>
      </c>
      <c r="M91" s="1251">
        <f>IF(MONTH(DataRevRea)=7,'Rede Básica + Ajuste'!K91,IF(G91&lt;$Q$69,(SUMIFS($G$18:$G$60,$B$18:$B$60,$D$91,$D$18:$D$60,"Fora Ponta")),(SUMIFS($H$18:$H$60,$B$18:$B$60,$D$91,$D$18:$D$60,"Fora Ponta"))))</f>
        <v>0</v>
      </c>
      <c r="N91" s="1252">
        <f>+(H91*(L91-J91))+(I91*(M91-K91))</f>
        <v>0</v>
      </c>
    </row>
    <row r="92" spans="2:50" ht="15.75">
      <c r="C92" s="270"/>
      <c r="D92" s="270"/>
      <c r="E92" s="270"/>
      <c r="F92" s="270"/>
      <c r="G92" s="271">
        <f t="shared" ref="G92:I102" si="13">G77</f>
        <v>44470</v>
      </c>
      <c r="H92" s="272">
        <f t="shared" si="13"/>
        <v>0</v>
      </c>
      <c r="I92" s="272">
        <f t="shared" si="13"/>
        <v>0</v>
      </c>
      <c r="J92" s="272">
        <f t="shared" ref="J92:J102" si="14">SUMIFS($G$18:$G$60,$B$18:$B$60,$D$76,$D$18:$D$60,"Ponta")</f>
        <v>0</v>
      </c>
      <c r="K92" s="272">
        <f t="shared" ref="K92:K102" si="15">SUMIFS($G$18:$G$60,$B$18:$B$60,$D$76,$D$18:$D$60,"Fora Ponta")</f>
        <v>0</v>
      </c>
      <c r="L92" s="272">
        <f>IF(MONTH(DataRevRea)=7,'Rede Básica + Ajuste'!J92,IF(G92&lt;$Q$69,(SUMIFS($G$18:$G$60,$B$18:$B$60,$D$91,$D$18:$D$60,"Ponta")),(SUMIFS($H$18:$H$60,$B$18:$B$60,$D$91,$D$18:$D$60,"Ponta"))))</f>
        <v>0</v>
      </c>
      <c r="M92" s="272">
        <f>IF(MONTH(DataRevRea)=7,'Rede Básica + Ajuste'!K92,IF(G92&lt;$Q$69,(SUMIFS($G$18:$G$60,$B$18:$B$60,$D$91,$D$18:$D$60,"Fora Ponta")),(SUMIFS($H$18:$H$60,$B$18:$B$60,$D$91,$D$18:$D$60,"Fora Ponta"))))</f>
        <v>0</v>
      </c>
      <c r="N92" s="279">
        <f t="shared" ref="N92:N102" si="16">+(H92*(L92-J92))+(I92*(M92-K92))</f>
        <v>0</v>
      </c>
    </row>
    <row r="93" spans="2:50" ht="15.75">
      <c r="C93" s="273"/>
      <c r="D93" s="1253" t="s">
        <v>1178</v>
      </c>
      <c r="E93" s="1254" t="s">
        <v>1179</v>
      </c>
      <c r="F93" s="270"/>
      <c r="G93" s="271">
        <f t="shared" si="13"/>
        <v>44501</v>
      </c>
      <c r="H93" s="272">
        <f t="shared" si="13"/>
        <v>0</v>
      </c>
      <c r="I93" s="272">
        <f t="shared" si="13"/>
        <v>0</v>
      </c>
      <c r="J93" s="272">
        <f t="shared" si="14"/>
        <v>0</v>
      </c>
      <c r="K93" s="272">
        <f t="shared" si="15"/>
        <v>0</v>
      </c>
      <c r="L93" s="272">
        <f>IF(MONTH(DataRevRea)=7,'Rede Básica + Ajuste'!J93,IF(G93&lt;$Q$69,(SUMIFS($G$18:$G$60,$B$18:$B$60,$D$91,$D$18:$D$60,"Ponta")),(SUMIFS($H$18:$H$60,$B$18:$B$60,$D$91,$D$18:$D$60,"Ponta"))))</f>
        <v>0</v>
      </c>
      <c r="M93" s="272">
        <f>IF(MONTH(DataRevRea)=7,'Rede Básica + Ajuste'!K93,IF(G93&lt;$Q$69,(SUMIFS($G$18:$G$60,$B$18:$B$60,$D$91,$D$18:$D$60,"Fora Ponta")),(SUMIFS($H$18:$H$60,$B$18:$B$60,$D$91,$D$18:$D$60,"Fora Ponta"))))</f>
        <v>0</v>
      </c>
      <c r="N93" s="279">
        <f t="shared" si="16"/>
        <v>0</v>
      </c>
    </row>
    <row r="94" spans="2:50" ht="15.75">
      <c r="C94" s="1255" t="str">
        <f>C79</f>
        <v>Cobertura 2021</v>
      </c>
      <c r="D94" s="1256">
        <f>SUMPRODUCT(H91:H102,J91:J102)</f>
        <v>0</v>
      </c>
      <c r="E94" s="1256">
        <f>SUMPRODUCT(I91:I102,K91:K102)</f>
        <v>0</v>
      </c>
      <c r="F94" s="270"/>
      <c r="G94" s="271">
        <f t="shared" si="13"/>
        <v>44531</v>
      </c>
      <c r="H94" s="272">
        <f t="shared" si="13"/>
        <v>0</v>
      </c>
      <c r="I94" s="272">
        <f t="shared" si="13"/>
        <v>0</v>
      </c>
      <c r="J94" s="272">
        <f t="shared" si="14"/>
        <v>0</v>
      </c>
      <c r="K94" s="272">
        <f t="shared" si="15"/>
        <v>0</v>
      </c>
      <c r="L94" s="272">
        <f>IF(MONTH(DataRevRea)=7,'Rede Básica + Ajuste'!J94,IF(G94&lt;$Q$69,(SUMIFS($G$18:$G$60,$B$18:$B$60,$D$91,$D$18:$D$60,"Ponta")),(SUMIFS($H$18:$H$60,$B$18:$B$60,$D$91,$D$18:$D$60,"Ponta"))))</f>
        <v>0</v>
      </c>
      <c r="M94" s="272">
        <f>IF(MONTH(DataRevRea)=7,'Rede Básica + Ajuste'!K94,IF(G94&lt;$Q$69,(SUMIFS($G$18:$G$60,$B$18:$B$60,$D$91,$D$18:$D$60,"Fora Ponta")),(SUMIFS($H$18:$H$60,$B$18:$B$60,$D$91,$D$18:$D$60,"Fora Ponta"))))</f>
        <v>0</v>
      </c>
      <c r="N94" s="279">
        <f t="shared" si="16"/>
        <v>0</v>
      </c>
    </row>
    <row r="95" spans="2:50" ht="15.75">
      <c r="C95" s="1255" t="s">
        <v>1180</v>
      </c>
      <c r="D95" s="1256">
        <f>SUMPRODUCT(H91:H102,L91:L102)</f>
        <v>0</v>
      </c>
      <c r="E95" s="1256">
        <f>SUMPRODUCT(I91:I102,M91:M102)</f>
        <v>0</v>
      </c>
      <c r="F95" s="270"/>
      <c r="G95" s="271">
        <f t="shared" si="13"/>
        <v>44562</v>
      </c>
      <c r="H95" s="272">
        <f t="shared" si="13"/>
        <v>0</v>
      </c>
      <c r="I95" s="272">
        <f t="shared" si="13"/>
        <v>0</v>
      </c>
      <c r="J95" s="272">
        <f t="shared" si="14"/>
        <v>0</v>
      </c>
      <c r="K95" s="272">
        <f t="shared" si="15"/>
        <v>0</v>
      </c>
      <c r="L95" s="272">
        <f>IF(MONTH(DataRevRea)=7,'Rede Básica + Ajuste'!J95,IF(G95&lt;$Q$69,(SUMIFS($G$18:$G$60,$B$18:$B$60,$D$91,$D$18:$D$60,"Ponta")),(SUMIFS($H$18:$H$60,$B$18:$B$60,$D$91,$D$18:$D$60,"Ponta"))))</f>
        <v>0</v>
      </c>
      <c r="M95" s="272">
        <f>IF(MONTH(DataRevRea)=7,'Rede Básica + Ajuste'!K95,IF(G95&lt;$Q$69,(SUMIFS($G$18:$G$60,$B$18:$B$60,$D$91,$D$18:$D$60,"Fora Ponta")),(SUMIFS($H$18:$H$60,$B$18:$B$60,$D$91,$D$18:$D$60,"Fora Ponta"))))</f>
        <v>0</v>
      </c>
      <c r="N95" s="279">
        <f t="shared" si="16"/>
        <v>0</v>
      </c>
    </row>
    <row r="96" spans="2:50" ht="15.75">
      <c r="C96" s="270"/>
      <c r="D96" s="270"/>
      <c r="E96" s="270"/>
      <c r="F96" s="270"/>
      <c r="G96" s="271">
        <f t="shared" si="13"/>
        <v>44593</v>
      </c>
      <c r="H96" s="272">
        <f t="shared" si="13"/>
        <v>0</v>
      </c>
      <c r="I96" s="272">
        <f t="shared" si="13"/>
        <v>0</v>
      </c>
      <c r="J96" s="272">
        <f t="shared" si="14"/>
        <v>0</v>
      </c>
      <c r="K96" s="272">
        <f t="shared" si="15"/>
        <v>0</v>
      </c>
      <c r="L96" s="272">
        <f>IF(MONTH(DataRevRea)=7,'Rede Básica + Ajuste'!J96,IF(G96&lt;$Q$69,(SUMIFS($G$18:$G$60,$B$18:$B$60,$D$91,$D$18:$D$60,"Ponta")),(SUMIFS($H$18:$H$60,$B$18:$B$60,$D$91,$D$18:$D$60,"Ponta"))))</f>
        <v>0</v>
      </c>
      <c r="M96" s="272">
        <f>IF(MONTH(DataRevRea)=7,'Rede Básica + Ajuste'!K96,IF(G96&lt;$Q$69,(SUMIFS($G$18:$G$60,$B$18:$B$60,$D$91,$D$18:$D$60,"Fora Ponta")),(SUMIFS($H$18:$H$60,$B$18:$B$60,$D$91,$D$18:$D$60,"Fora Ponta"))))</f>
        <v>0</v>
      </c>
      <c r="N96" s="279">
        <f t="shared" si="16"/>
        <v>0</v>
      </c>
    </row>
    <row r="97" spans="3:14" ht="15.75">
      <c r="C97" s="282"/>
      <c r="D97" s="282"/>
      <c r="E97" s="282"/>
      <c r="F97" s="270"/>
      <c r="G97" s="271">
        <f t="shared" si="13"/>
        <v>44621</v>
      </c>
      <c r="H97" s="272">
        <f t="shared" si="13"/>
        <v>0</v>
      </c>
      <c r="I97" s="272">
        <f t="shared" si="13"/>
        <v>0</v>
      </c>
      <c r="J97" s="272">
        <f t="shared" si="14"/>
        <v>0</v>
      </c>
      <c r="K97" s="272">
        <f t="shared" si="15"/>
        <v>0</v>
      </c>
      <c r="L97" s="272">
        <f>IF(MONTH(DataRevRea)=7,'Rede Básica + Ajuste'!J97,IF(G97&lt;$Q$69,(SUMIFS($G$18:$G$60,$B$18:$B$60,$D$91,$D$18:$D$60,"Ponta")),(SUMIFS($H$18:$H$60,$B$18:$B$60,$D$91,$D$18:$D$60,"Ponta"))))</f>
        <v>0</v>
      </c>
      <c r="M97" s="272">
        <f>IF(MONTH(DataRevRea)=7,'Rede Básica + Ajuste'!K97,IF(G97&lt;$Q$69,(SUMIFS($G$18:$G$60,$B$18:$B$60,$D$91,$D$18:$D$60,"Fora Ponta")),(SUMIFS($H$18:$H$60,$B$18:$B$60,$D$91,$D$18:$D$60,"Fora Ponta"))))</f>
        <v>0</v>
      </c>
      <c r="N97" s="279">
        <f t="shared" si="16"/>
        <v>0</v>
      </c>
    </row>
    <row r="98" spans="3:14" ht="15.75">
      <c r="C98" s="274"/>
      <c r="D98" s="274"/>
      <c r="E98" s="283"/>
      <c r="F98" s="270"/>
      <c r="G98" s="271">
        <f t="shared" si="13"/>
        <v>44652</v>
      </c>
      <c r="H98" s="272">
        <f t="shared" si="13"/>
        <v>0</v>
      </c>
      <c r="I98" s="272">
        <f t="shared" si="13"/>
        <v>0</v>
      </c>
      <c r="J98" s="272">
        <f t="shared" si="14"/>
        <v>0</v>
      </c>
      <c r="K98" s="272">
        <f t="shared" si="15"/>
        <v>0</v>
      </c>
      <c r="L98" s="272">
        <f>IF(MONTH(DataRevRea)=7,'Rede Básica + Ajuste'!J98,IF(G98&lt;$Q$69,(SUMIFS($G$18:$G$60,$B$18:$B$60,$D$91,$D$18:$D$60,"Ponta")),(SUMIFS($H$18:$H$60,$B$18:$B$60,$D$91,$D$18:$D$60,"Ponta"))))</f>
        <v>0</v>
      </c>
      <c r="M98" s="272">
        <f>IF(MONTH(DataRevRea)=7,'Rede Básica + Ajuste'!K98,IF(G98&lt;$Q$69,(SUMIFS($G$18:$G$60,$B$18:$B$60,$D$91,$D$18:$D$60,"Fora Ponta")),(SUMIFS($H$18:$H$60,$B$18:$B$60,$D$91,$D$18:$D$60,"Fora Ponta"))))</f>
        <v>0</v>
      </c>
      <c r="N98" s="279">
        <f t="shared" si="16"/>
        <v>0</v>
      </c>
    </row>
    <row r="99" spans="3:14" ht="15.75">
      <c r="C99" s="284"/>
      <c r="D99" s="274"/>
      <c r="E99" s="283"/>
      <c r="F99" s="270"/>
      <c r="G99" s="271">
        <f t="shared" si="13"/>
        <v>44682</v>
      </c>
      <c r="H99" s="272">
        <f t="shared" si="13"/>
        <v>0</v>
      </c>
      <c r="I99" s="272">
        <f t="shared" si="13"/>
        <v>0</v>
      </c>
      <c r="J99" s="272">
        <f t="shared" si="14"/>
        <v>0</v>
      </c>
      <c r="K99" s="272">
        <f t="shared" si="15"/>
        <v>0</v>
      </c>
      <c r="L99" s="272">
        <f>IF(MONTH(DataRevRea)=7,'Rede Básica + Ajuste'!J99,IF(G99&lt;$Q$69,(SUMIFS($G$18:$G$60,$B$18:$B$60,$D$91,$D$18:$D$60,"Ponta")),(SUMIFS($H$18:$H$60,$B$18:$B$60,$D$91,$D$18:$D$60,"Ponta"))))</f>
        <v>0</v>
      </c>
      <c r="M99" s="272">
        <f>IF(MONTH(DataRevRea)=7,'Rede Básica + Ajuste'!K99,IF(G99&lt;$Q$69,(SUMIFS($G$18:$G$60,$B$18:$B$60,$D$91,$D$18:$D$60,"Fora Ponta")),(SUMIFS($H$18:$H$60,$B$18:$B$60,$D$91,$D$18:$D$60,"Fora Ponta"))))</f>
        <v>0</v>
      </c>
      <c r="N99" s="279">
        <f t="shared" si="16"/>
        <v>0</v>
      </c>
    </row>
    <row r="100" spans="3:14" ht="15.75">
      <c r="C100" s="270"/>
      <c r="D100" s="270"/>
      <c r="E100" s="270"/>
      <c r="F100" s="270"/>
      <c r="G100" s="271">
        <f t="shared" si="13"/>
        <v>44713</v>
      </c>
      <c r="H100" s="272">
        <f t="shared" si="13"/>
        <v>0</v>
      </c>
      <c r="I100" s="272">
        <f t="shared" si="13"/>
        <v>0</v>
      </c>
      <c r="J100" s="272">
        <f t="shared" si="14"/>
        <v>0</v>
      </c>
      <c r="K100" s="272">
        <f t="shared" si="15"/>
        <v>0</v>
      </c>
      <c r="L100" s="272">
        <f>IF(MONTH(DataRevRea)=7,'Rede Básica + Ajuste'!J100,IF(G100&lt;$Q$69,(SUMIFS($G$18:$G$60,$B$18:$B$60,$D$91,$D$18:$D$60,"Ponta")),(SUMIFS($H$18:$H$60,$B$18:$B$60,$D$91,$D$18:$D$60,"Ponta"))))</f>
        <v>0</v>
      </c>
      <c r="M100" s="272">
        <f>IF(MONTH(DataRevRea)=7,'Rede Básica + Ajuste'!K100,IF(G100&lt;$Q$69,(SUMIFS($G$18:$G$60,$B$18:$B$60,$D$91,$D$18:$D$60,"Fora Ponta")),(SUMIFS($H$18:$H$60,$B$18:$B$60,$D$91,$D$18:$D$60,"Fora Ponta"))))</f>
        <v>0</v>
      </c>
      <c r="N100" s="279">
        <f t="shared" si="16"/>
        <v>0</v>
      </c>
    </row>
    <row r="101" spans="3:14" ht="15.75">
      <c r="C101" s="276"/>
      <c r="D101" s="276"/>
      <c r="E101" s="276"/>
      <c r="F101" s="270"/>
      <c r="G101" s="271">
        <f t="shared" si="13"/>
        <v>44743</v>
      </c>
      <c r="H101" s="272">
        <f t="shared" si="13"/>
        <v>0</v>
      </c>
      <c r="I101" s="272">
        <f t="shared" si="13"/>
        <v>0</v>
      </c>
      <c r="J101" s="272">
        <f t="shared" si="14"/>
        <v>0</v>
      </c>
      <c r="K101" s="272">
        <f t="shared" si="15"/>
        <v>0</v>
      </c>
      <c r="L101" s="272">
        <f>IF(MONTH(DataRevRea)=7,'Rede Básica + Ajuste'!J101,IF(G101&lt;$Q$69,(SUMIFS($G$18:$G$60,$B$18:$B$60,$D$91,$D$18:$D$60,"Ponta")),(SUMIFS($H$18:$H$60,$B$18:$B$60,$D$91,$D$18:$D$60,"Ponta"))))</f>
        <v>0</v>
      </c>
      <c r="M101" s="272">
        <f>IF(MONTH(DataRevRea)=7,'Rede Básica + Ajuste'!K101,IF(G101&lt;$Q$69,(SUMIFS($G$18:$G$60,$B$18:$B$60,$D$91,$D$18:$D$60,"Fora Ponta")),(SUMIFS($H$18:$H$60,$B$18:$B$60,$D$91,$D$18:$D$60,"Fora Ponta"))))</f>
        <v>0</v>
      </c>
      <c r="N101" s="279">
        <f t="shared" si="16"/>
        <v>0</v>
      </c>
    </row>
    <row r="102" spans="3:14" ht="15.75">
      <c r="C102" s="274"/>
      <c r="D102" s="275"/>
      <c r="E102" s="274"/>
      <c r="F102" s="270"/>
      <c r="G102" s="1257">
        <f t="shared" si="13"/>
        <v>44774</v>
      </c>
      <c r="H102" s="1258">
        <f t="shared" si="13"/>
        <v>0</v>
      </c>
      <c r="I102" s="1258">
        <f t="shared" si="13"/>
        <v>0</v>
      </c>
      <c r="J102" s="1258">
        <f t="shared" si="14"/>
        <v>0</v>
      </c>
      <c r="K102" s="1258">
        <f t="shared" si="15"/>
        <v>0</v>
      </c>
      <c r="L102" s="1258">
        <f>IF(MONTH(DataRevRea)=7,'Rede Básica + Ajuste'!J102,IF(G102&lt;$Q$69,(SUMIFS($G$18:$G$60,$B$18:$B$60,$D$91,$D$18:$D$60,"Ponta")),(SUMIFS($H$18:$H$60,$B$18:$B$60,$D$91,$D$18:$D$60,"Ponta"))))</f>
        <v>0</v>
      </c>
      <c r="M102" s="1258">
        <f>IF(MONTH(DataRevRea)=7,'Rede Básica + Ajuste'!K102,IF(G102&lt;$Q$69,(SUMIFS($G$18:$G$60,$B$18:$B$60,$D$91,$D$18:$D$60,"Fora Ponta")),(SUMIFS($H$18:$H$60,$B$18:$B$60,$D$91,$D$18:$D$60,"Fora Ponta"))))</f>
        <v>0</v>
      </c>
      <c r="N102" s="1259">
        <f t="shared" si="16"/>
        <v>0</v>
      </c>
    </row>
    <row r="103" spans="3:14">
      <c r="G103" s="149"/>
    </row>
    <row r="104" spans="3:14" ht="15.75">
      <c r="C104" s="270"/>
      <c r="D104" s="270"/>
      <c r="E104" s="270"/>
      <c r="F104" s="270"/>
      <c r="G104" s="270"/>
      <c r="H104" s="270"/>
      <c r="I104" s="270"/>
      <c r="J104" s="1804" t="s">
        <v>1170</v>
      </c>
      <c r="K104" s="1805"/>
      <c r="L104" s="1803" t="s">
        <v>1171</v>
      </c>
      <c r="M104" s="1803"/>
      <c r="N104" s="278"/>
    </row>
    <row r="105" spans="3:14" ht="15.75">
      <c r="C105" s="1806" t="s">
        <v>1153</v>
      </c>
      <c r="D105" s="1807"/>
      <c r="F105" s="270"/>
      <c r="G105" s="1246" t="s">
        <v>646</v>
      </c>
      <c r="H105" s="1247" t="s">
        <v>1172</v>
      </c>
      <c r="I105" s="1247" t="s">
        <v>1173</v>
      </c>
      <c r="J105" s="1248" t="s">
        <v>1174</v>
      </c>
      <c r="K105" s="1248" t="s">
        <v>1175</v>
      </c>
      <c r="L105" s="1248" t="s">
        <v>1174</v>
      </c>
      <c r="M105" s="1248" t="s">
        <v>1175</v>
      </c>
      <c r="N105" s="277" t="s">
        <v>1176</v>
      </c>
    </row>
    <row r="106" spans="3:14" ht="15.75">
      <c r="C106" s="1243" t="s">
        <v>1177</v>
      </c>
      <c r="D106" s="1260">
        <f>IF(D19="Ponta",B19,0)</f>
        <v>0</v>
      </c>
      <c r="E106" s="18"/>
      <c r="F106" s="270"/>
      <c r="G106" s="1250">
        <f>G91</f>
        <v>44440</v>
      </c>
      <c r="H106" s="272">
        <f>SUMIFS($N$18:$N$60,$B$18:$B$60,$D$106,$D$18:$D$60,"Ponta")</f>
        <v>0</v>
      </c>
      <c r="I106" s="272">
        <f>SUMIFS($N$18:$N$60,$B$18:$B$60,$D$106,$D$18:$D$60,"Fora Ponta")</f>
        <v>0</v>
      </c>
      <c r="J106" s="272">
        <f>SUMIFS($E$18:$E$60,$B$18:$B$60,$D$106,$D$18:$D$60,"Ponta")</f>
        <v>0</v>
      </c>
      <c r="K106" s="272">
        <f>SUMIFS($E$18:$E$60,$B$18:$B$60,$D$106,$D$18:$D$60,"Fora Ponta")</f>
        <v>0</v>
      </c>
      <c r="L106" s="1251">
        <f>IF(MONTH(DataRevRea)=7,'Rede Básica + Ajuste'!J106,IF(G106&lt;$Q$69,(SUMIFS($E$18:$E$60,$B$18:$B$60,$D$106,$D$18:$D$60,"Ponta")),(SUMIFS($F$18:$F$60,$B$18:$B$60,$D$106,$D$18:$D$60,"Ponta"))))</f>
        <v>0</v>
      </c>
      <c r="M106" s="1251">
        <f>IF(MONTH(DataRevRea)=7,'Rede Básica + Ajuste'!K106,IF(G106&lt;$Q$69,(SUMIFS($E$18:$E$60,$B$18:$B$60,$D$106,$D$18:$D$60,"Fora Ponta")),(SUMIFS($F$18:$F$60,$B$18:$B$60,$D$106,$D$18:$D$60,"Fora Ponta"))))</f>
        <v>0</v>
      </c>
      <c r="N106" s="1252">
        <f>+(H106*(L106-J106))+(I106*(M106-K106))</f>
        <v>0</v>
      </c>
    </row>
    <row r="107" spans="3:14" ht="15.75">
      <c r="C107" s="270"/>
      <c r="D107" s="270"/>
      <c r="E107" s="270"/>
      <c r="F107" s="270"/>
      <c r="G107" s="271">
        <f t="shared" ref="G107:G117" si="17">G92</f>
        <v>44470</v>
      </c>
      <c r="H107" s="272">
        <f>SUMIFS($O$18:$O$60,$B$18:$B$60,$D$106,$D$18:$D$60,"Ponta")</f>
        <v>0</v>
      </c>
      <c r="I107" s="272">
        <f>SUMIFS($O$18:$O$60,$B$18:$B$60,$D$106,$D$18:$D$60,"Fora Ponta")</f>
        <v>0</v>
      </c>
      <c r="J107" s="272">
        <f t="shared" ref="J107:J117" si="18">SUMIFS($E$18:$E$60,$B$18:$B$60,$D$106,$D$18:$D$60,"Ponta")</f>
        <v>0</v>
      </c>
      <c r="K107" s="272">
        <f t="shared" ref="K107:K117" si="19">SUMIFS($E$18:$E$60,$B$18:$B$60,$D$106,$D$18:$D$60,"Fora Ponta")</f>
        <v>0</v>
      </c>
      <c r="L107" s="272">
        <f>IF(MONTH(DataRevRea)=7,'Rede Básica + Ajuste'!J107,IF(G107&lt;$Q$69,(SUMIFS($E$18:$E$60,$B$18:$B$60,$D$106,$D$18:$D$60,"Ponta")),(SUMIFS($F$18:$F$60,$B$18:$B$60,$D$106,$D$18:$D$60,"Ponta"))))</f>
        <v>0</v>
      </c>
      <c r="M107" s="272">
        <f>IF(MONTH(DataRevRea)=7,'Rede Básica + Ajuste'!K107,IF(G107&lt;$Q$69,(SUMIFS($E$18:$E$60,$B$18:$B$60,$D$106,$D$18:$D$60,"Fora Ponta")),(SUMIFS($F$18:$F$60,$B$18:$B$60,$D$106,$D$18:$D$60,"Fora Ponta"))))</f>
        <v>0</v>
      </c>
      <c r="N107" s="279">
        <f t="shared" ref="N107:N117" si="20">+(H107*(L107-J107))+(I107*(M107-K107))</f>
        <v>0</v>
      </c>
    </row>
    <row r="108" spans="3:14" ht="15.75">
      <c r="C108" s="273"/>
      <c r="D108" s="1253" t="s">
        <v>1178</v>
      </c>
      <c r="E108" s="1254" t="s">
        <v>1179</v>
      </c>
      <c r="F108" s="270"/>
      <c r="G108" s="271">
        <f t="shared" si="17"/>
        <v>44501</v>
      </c>
      <c r="H108" s="272">
        <f>SUMIFS($P$18:$P$60,$B$18:$B$60,$D$106,$D$18:$D$60,"Ponta")</f>
        <v>0</v>
      </c>
      <c r="I108" s="272">
        <f>SUMIFS($P$18:$P$60,$B$18:$B$60,$D$106,$D$18:$D$60,"Fora Ponta")</f>
        <v>0</v>
      </c>
      <c r="J108" s="272">
        <f t="shared" si="18"/>
        <v>0</v>
      </c>
      <c r="K108" s="272">
        <f t="shared" si="19"/>
        <v>0</v>
      </c>
      <c r="L108" s="272">
        <f>IF(MONTH(DataRevRea)=7,'Rede Básica + Ajuste'!J108,IF(G108&lt;$Q$69,(SUMIFS($E$18:$E$60,$B$18:$B$60,$D$106,$D$18:$D$60,"Ponta")),(SUMIFS($F$18:$F$60,$B$18:$B$60,$D$106,$D$18:$D$60,"Ponta"))))</f>
        <v>0</v>
      </c>
      <c r="M108" s="272">
        <f>IF(MONTH(DataRevRea)=7,'Rede Básica + Ajuste'!K108,IF(G108&lt;$Q$69,(SUMIFS($E$18:$E$60,$B$18:$B$60,$D$106,$D$18:$D$60,"Fora Ponta")),(SUMIFS($F$18:$F$60,$B$18:$B$60,$D$106,$D$18:$D$60,"Fora Ponta"))))</f>
        <v>0</v>
      </c>
      <c r="N108" s="279">
        <f t="shared" si="20"/>
        <v>0</v>
      </c>
    </row>
    <row r="109" spans="3:14" ht="15.75">
      <c r="C109" s="1255" t="str">
        <f>C94</f>
        <v>Cobertura 2021</v>
      </c>
      <c r="D109" s="1256">
        <f>SUMPRODUCT(H106:H117,J106:J117)</f>
        <v>0</v>
      </c>
      <c r="E109" s="1256">
        <f>SUMPRODUCT(I106:I117,K106:K117)</f>
        <v>0</v>
      </c>
      <c r="F109" s="270"/>
      <c r="G109" s="271">
        <f t="shared" si="17"/>
        <v>44531</v>
      </c>
      <c r="H109" s="272">
        <f>SUMIFS($Q$18:$Q$60,$B$18:$B$60,$D$106,$D$18:$D$60,"Ponta")</f>
        <v>0</v>
      </c>
      <c r="I109" s="272">
        <f>SUMIFS($Q$18:$Q$60,$B$18:$B$60,$D$106,$D$18:$D$60,"Fora Ponta")</f>
        <v>0</v>
      </c>
      <c r="J109" s="272">
        <f t="shared" si="18"/>
        <v>0</v>
      </c>
      <c r="K109" s="272">
        <f t="shared" si="19"/>
        <v>0</v>
      </c>
      <c r="L109" s="272">
        <f>IF(MONTH(DataRevRea)=7,'Rede Básica + Ajuste'!J109,IF(G109&lt;$Q$69,(SUMIFS($E$18:$E$60,$B$18:$B$60,$D$106,$D$18:$D$60,"Ponta")),(SUMIFS($F$18:$F$60,$B$18:$B$60,$D$106,$D$18:$D$60,"Ponta"))))</f>
        <v>0</v>
      </c>
      <c r="M109" s="272">
        <f>IF(MONTH(DataRevRea)=7,'Rede Básica + Ajuste'!K109,IF(G109&lt;$Q$69,(SUMIFS($E$18:$E$60,$B$18:$B$60,$D$106,$D$18:$D$60,"Fora Ponta")),(SUMIFS($F$18:$F$60,$B$18:$B$60,$D$106,$D$18:$D$60,"Fora Ponta"))))</f>
        <v>0</v>
      </c>
      <c r="N109" s="279">
        <f t="shared" si="20"/>
        <v>0</v>
      </c>
    </row>
    <row r="110" spans="3:14" ht="15.75">
      <c r="C110" s="1255" t="s">
        <v>1180</v>
      </c>
      <c r="D110" s="1256">
        <f>SUMPRODUCT(H106:H117,L106:L117)</f>
        <v>0</v>
      </c>
      <c r="E110" s="1256">
        <f>SUMPRODUCT(I106:I117,M106:M117)</f>
        <v>0</v>
      </c>
      <c r="F110" s="270"/>
      <c r="G110" s="271">
        <f t="shared" si="17"/>
        <v>44562</v>
      </c>
      <c r="H110" s="272">
        <f>SUMIFS($R$18:$R$60,$B$18:$B$60,$D$106,$D$18:$D$60,"Ponta")</f>
        <v>0</v>
      </c>
      <c r="I110" s="272">
        <f>SUMIFS($R$18:$R$60,$B$18:$B$60,$D$106,$D$18:$D$60,"Fora Ponta")</f>
        <v>0</v>
      </c>
      <c r="J110" s="272">
        <f t="shared" si="18"/>
        <v>0</v>
      </c>
      <c r="K110" s="272">
        <f t="shared" si="19"/>
        <v>0</v>
      </c>
      <c r="L110" s="272">
        <f>IF(MONTH(DataRevRea)=7,'Rede Básica + Ajuste'!J110,IF(G110&lt;$Q$69,(SUMIFS($E$18:$E$60,$B$18:$B$60,$D$106,$D$18:$D$60,"Ponta")),(SUMIFS($F$18:$F$60,$B$18:$B$60,$D$106,$D$18:$D$60,"Ponta"))))</f>
        <v>0</v>
      </c>
      <c r="M110" s="272">
        <f>IF(MONTH(DataRevRea)=7,'Rede Básica + Ajuste'!K110,IF(G110&lt;$Q$69,(SUMIFS($E$18:$E$60,$B$18:$B$60,$D$106,$D$18:$D$60,"Fora Ponta")),(SUMIFS($F$18:$F$60,$B$18:$B$60,$D$106,$D$18:$D$60,"Fora Ponta"))))</f>
        <v>0</v>
      </c>
      <c r="N110" s="279">
        <f t="shared" si="20"/>
        <v>0</v>
      </c>
    </row>
    <row r="111" spans="3:14" ht="15.75">
      <c r="C111" s="270"/>
      <c r="D111" s="270"/>
      <c r="E111" s="270"/>
      <c r="F111" s="270"/>
      <c r="G111" s="271">
        <f t="shared" si="17"/>
        <v>44593</v>
      </c>
      <c r="H111" s="272">
        <f>SUMIFS($S$18:$S$60,$B$18:$B$60,$D$106,$D$18:$D$60,"Ponta")</f>
        <v>0</v>
      </c>
      <c r="I111" s="272">
        <f>SUMIFS($S$18:$S$60,$B$18:$B$60,$D$106,$D$18:$D$60,"Fora Ponta")</f>
        <v>0</v>
      </c>
      <c r="J111" s="272">
        <f t="shared" si="18"/>
        <v>0</v>
      </c>
      <c r="K111" s="272">
        <f t="shared" si="19"/>
        <v>0</v>
      </c>
      <c r="L111" s="272">
        <f>IF(MONTH(DataRevRea)=7,'Rede Básica + Ajuste'!J111,IF(G111&lt;$Q$69,(SUMIFS($E$18:$E$60,$B$18:$B$60,$D$106,$D$18:$D$60,"Ponta")),(SUMIFS($F$18:$F$60,$B$18:$B$60,$D$106,$D$18:$D$60,"Ponta"))))</f>
        <v>0</v>
      </c>
      <c r="M111" s="272">
        <f>IF(MONTH(DataRevRea)=7,'Rede Básica + Ajuste'!K111,IF(G111&lt;$Q$69,(SUMIFS($E$18:$E$60,$B$18:$B$60,$D$106,$D$18:$D$60,"Fora Ponta")),(SUMIFS($F$18:$F$60,$B$18:$B$60,$D$106,$D$18:$D$60,"Fora Ponta"))))</f>
        <v>0</v>
      </c>
      <c r="N111" s="279">
        <f t="shared" si="20"/>
        <v>0</v>
      </c>
    </row>
    <row r="112" spans="3:14" ht="15.75">
      <c r="C112" s="282"/>
      <c r="D112" s="282"/>
      <c r="E112" s="282"/>
      <c r="F112" s="270"/>
      <c r="G112" s="271">
        <f t="shared" si="17"/>
        <v>44621</v>
      </c>
      <c r="H112" s="272">
        <f>SUMIFS($T$18:$T$60,$B$18:$B$60,$D$106,$D$18:$D$60,"Ponta")</f>
        <v>0</v>
      </c>
      <c r="I112" s="272">
        <f>SUMIFS($T$18:$T$60,$B$18:$B$60,$D$106,$D$18:$D$60,"Fora Ponta")</f>
        <v>0</v>
      </c>
      <c r="J112" s="272">
        <f t="shared" si="18"/>
        <v>0</v>
      </c>
      <c r="K112" s="272">
        <f t="shared" si="19"/>
        <v>0</v>
      </c>
      <c r="L112" s="272">
        <f>IF(MONTH(DataRevRea)=7,'Rede Básica + Ajuste'!J112,IF(G112&lt;$Q$69,(SUMIFS($E$18:$E$60,$B$18:$B$60,$D$106,$D$18:$D$60,"Ponta")),(SUMIFS($F$18:$F$60,$B$18:$B$60,$D$106,$D$18:$D$60,"Ponta"))))</f>
        <v>0</v>
      </c>
      <c r="M112" s="272">
        <f>IF(MONTH(DataRevRea)=7,'Rede Básica + Ajuste'!K112,IF(G112&lt;$Q$69,(SUMIFS($E$18:$E$60,$B$18:$B$60,$D$106,$D$18:$D$60,"Fora Ponta")),(SUMIFS($F$18:$F$60,$B$18:$B$60,$D$106,$D$18:$D$60,"Fora Ponta"))))</f>
        <v>0</v>
      </c>
      <c r="N112" s="279">
        <f t="shared" si="20"/>
        <v>0</v>
      </c>
    </row>
    <row r="113" spans="3:14" ht="15.75">
      <c r="C113" s="274"/>
      <c r="D113" s="274"/>
      <c r="E113" s="283"/>
      <c r="F113" s="270"/>
      <c r="G113" s="271">
        <f t="shared" si="17"/>
        <v>44652</v>
      </c>
      <c r="H113" s="272">
        <f>SUMIFS($U$18:$U$60,$B$18:$B$60,$D$106,$D$18:$D$60,"Ponta")</f>
        <v>0</v>
      </c>
      <c r="I113" s="272">
        <f>SUMIFS($U$18:$U$60,$B$18:$B$60,$D$106,$D$18:$D$60,"Fora Ponta")</f>
        <v>0</v>
      </c>
      <c r="J113" s="272">
        <f t="shared" si="18"/>
        <v>0</v>
      </c>
      <c r="K113" s="272">
        <f t="shared" si="19"/>
        <v>0</v>
      </c>
      <c r="L113" s="272">
        <f>IF(MONTH(DataRevRea)=7,'Rede Básica + Ajuste'!J113,IF(G113&lt;$Q$69,(SUMIFS($E$18:$E$60,$B$18:$B$60,$D$106,$D$18:$D$60,"Ponta")),(SUMIFS($F$18:$F$60,$B$18:$B$60,$D$106,$D$18:$D$60,"Ponta"))))</f>
        <v>0</v>
      </c>
      <c r="M113" s="272">
        <f>IF(MONTH(DataRevRea)=7,'Rede Básica + Ajuste'!K113,IF(G113&lt;$Q$69,(SUMIFS($E$18:$E$60,$B$18:$B$60,$D$106,$D$18:$D$60,"Fora Ponta")),(SUMIFS($F$18:$F$60,$B$18:$B$60,$D$106,$D$18:$D$60,"Fora Ponta"))))</f>
        <v>0</v>
      </c>
      <c r="N113" s="279">
        <f t="shared" si="20"/>
        <v>0</v>
      </c>
    </row>
    <row r="114" spans="3:14" ht="15.75">
      <c r="C114" s="284"/>
      <c r="D114" s="274"/>
      <c r="E114" s="283"/>
      <c r="F114" s="270"/>
      <c r="G114" s="271">
        <f t="shared" si="17"/>
        <v>44682</v>
      </c>
      <c r="H114" s="272">
        <f>SUMIFS($V$18:$V$60,$B$18:$B$60,$D$106,$D$18:$D$60,"Ponta")</f>
        <v>0</v>
      </c>
      <c r="I114" s="272">
        <f>SUMIFS($V$18:$V$60,$B$18:$B$60,$D$106,$D$18:$D$60,"Fora Ponta")</f>
        <v>0</v>
      </c>
      <c r="J114" s="272">
        <f t="shared" si="18"/>
        <v>0</v>
      </c>
      <c r="K114" s="272">
        <f t="shared" si="19"/>
        <v>0</v>
      </c>
      <c r="L114" s="272">
        <f>IF(MONTH(DataRevRea)=7,'Rede Básica + Ajuste'!J114,IF(G114&lt;$Q$69,(SUMIFS($E$18:$E$60,$B$18:$B$60,$D$106,$D$18:$D$60,"Ponta")),(SUMIFS($F$18:$F$60,$B$18:$B$60,$D$106,$D$18:$D$60,"Ponta"))))</f>
        <v>0</v>
      </c>
      <c r="M114" s="272">
        <f>IF(MONTH(DataRevRea)=7,'Rede Básica + Ajuste'!K114,IF(G114&lt;$Q$69,(SUMIFS($E$18:$E$60,$B$18:$B$60,$D$106,$D$18:$D$60,"Fora Ponta")),(SUMIFS($F$18:$F$60,$B$18:$B$60,$D$106,$D$18:$D$60,"Fora Ponta"))))</f>
        <v>0</v>
      </c>
      <c r="N114" s="279">
        <f t="shared" si="20"/>
        <v>0</v>
      </c>
    </row>
    <row r="115" spans="3:14" ht="15.75">
      <c r="C115" s="270"/>
      <c r="D115" s="270"/>
      <c r="E115" s="270"/>
      <c r="F115" s="270"/>
      <c r="G115" s="271">
        <f t="shared" si="17"/>
        <v>44713</v>
      </c>
      <c r="H115" s="272">
        <f>SUMIFS($W$18:$W$60,$B$18:$B$60,$D$106,$D$18:$D$60,"Ponta")</f>
        <v>0</v>
      </c>
      <c r="I115" s="272">
        <f>SUMIFS($W$18:$W$60,$B$18:$B$60,$D$106,$D$18:$D$60,"Fora Ponta")</f>
        <v>0</v>
      </c>
      <c r="J115" s="272">
        <f t="shared" si="18"/>
        <v>0</v>
      </c>
      <c r="K115" s="272">
        <f t="shared" si="19"/>
        <v>0</v>
      </c>
      <c r="L115" s="272">
        <f>IF(MONTH(DataRevRea)=7,'Rede Básica + Ajuste'!J115,IF(G115&lt;$Q$69,(SUMIFS($E$18:$E$60,$B$18:$B$60,$D$106,$D$18:$D$60,"Ponta")),(SUMIFS($F$18:$F$60,$B$18:$B$60,$D$106,$D$18:$D$60,"Ponta"))))</f>
        <v>0</v>
      </c>
      <c r="M115" s="272">
        <f>IF(MONTH(DataRevRea)=7,'Rede Básica + Ajuste'!K115,IF(G115&lt;$Q$69,(SUMIFS($E$18:$E$60,$B$18:$B$60,$D$106,$D$18:$D$60,"Fora Ponta")),(SUMIFS($F$18:$F$60,$B$18:$B$60,$D$106,$D$18:$D$60,"Fora Ponta"))))</f>
        <v>0</v>
      </c>
      <c r="N115" s="279">
        <f t="shared" si="20"/>
        <v>0</v>
      </c>
    </row>
    <row r="116" spans="3:14" ht="15.75">
      <c r="C116" s="276"/>
      <c r="D116" s="276"/>
      <c r="E116" s="276"/>
      <c r="F116" s="270"/>
      <c r="G116" s="271">
        <f t="shared" si="17"/>
        <v>44743</v>
      </c>
      <c r="H116" s="272">
        <f>SUMIFS($X$18:$X$60,$B$18:$B$60,$D$106,$D$18:$D$60,"Ponta")</f>
        <v>0</v>
      </c>
      <c r="I116" s="272">
        <f>SUMIFS($X$18:$X$60,$B$18:$B$60,$D$106,$D$18:$D$60,"Fora Ponta")</f>
        <v>0</v>
      </c>
      <c r="J116" s="272">
        <f t="shared" si="18"/>
        <v>0</v>
      </c>
      <c r="K116" s="272">
        <f t="shared" si="19"/>
        <v>0</v>
      </c>
      <c r="L116" s="272">
        <f>IF(MONTH(DataRevRea)=7,'Rede Básica + Ajuste'!J116,IF(G116&lt;$Q$69,(SUMIFS($E$18:$E$60,$B$18:$B$60,$D$106,$D$18:$D$60,"Ponta")),(SUMIFS($F$18:$F$60,$B$18:$B$60,$D$106,$D$18:$D$60,"Ponta"))))</f>
        <v>0</v>
      </c>
      <c r="M116" s="272">
        <f>IF(MONTH(DataRevRea)=7,'Rede Básica + Ajuste'!K116,IF(G116&lt;$Q$69,(SUMIFS($E$18:$E$60,$B$18:$B$60,$D$106,$D$18:$D$60,"Fora Ponta")),(SUMIFS($F$18:$F$60,$B$18:$B$60,$D$106,$D$18:$D$60,"Fora Ponta"))))</f>
        <v>0</v>
      </c>
      <c r="N116" s="279">
        <f t="shared" si="20"/>
        <v>0</v>
      </c>
    </row>
    <row r="117" spans="3:14" ht="15.75">
      <c r="C117" s="274"/>
      <c r="D117" s="275"/>
      <c r="E117" s="274"/>
      <c r="F117" s="270"/>
      <c r="G117" s="1257">
        <f t="shared" si="17"/>
        <v>44774</v>
      </c>
      <c r="H117" s="1258">
        <f>SUMIFS($Y$18:$Y$60,$B$18:$B$60,$D$106,$D$18:$D$60,"Ponta")</f>
        <v>0</v>
      </c>
      <c r="I117" s="1258">
        <f>SUMIFS($Y$18:$Y$60,$B$18:$B$60,$D$106,$D$18:$D$60,"Fora Ponta")</f>
        <v>0</v>
      </c>
      <c r="J117" s="1258">
        <f t="shared" si="18"/>
        <v>0</v>
      </c>
      <c r="K117" s="1258">
        <f t="shared" si="19"/>
        <v>0</v>
      </c>
      <c r="L117" s="1258">
        <f>IF(MONTH(DataRevRea)=7,'Rede Básica + Ajuste'!J117,IF(G117&lt;$Q$69,(SUMIFS($E$18:$E$60,$B$18:$B$60,$D$106,$D$18:$D$60,"Ponta")),(SUMIFS($F$18:$F$60,$B$18:$B$60,$D$106,$D$18:$D$60,"Ponta"))))</f>
        <v>0</v>
      </c>
      <c r="M117" s="1258">
        <f>IF(MONTH(DataRevRea)=7,'Rede Básica + Ajuste'!K117,IF(G117&lt;$Q$69,(SUMIFS($E$18:$E$60,$B$18:$B$60,$D$106,$D$18:$D$60,"Fora Ponta")),(SUMIFS($F$18:$F$60,$B$18:$B$60,$D$106,$D$18:$D$60,"Fora Ponta"))))</f>
        <v>0</v>
      </c>
      <c r="N117" s="1259">
        <f t="shared" si="20"/>
        <v>0</v>
      </c>
    </row>
    <row r="118" spans="3:14">
      <c r="G118" s="149"/>
    </row>
    <row r="119" spans="3:14" ht="15.75">
      <c r="C119" s="270"/>
      <c r="D119" s="270"/>
      <c r="E119" s="270"/>
      <c r="F119" s="270"/>
      <c r="G119" s="270"/>
      <c r="H119" s="270"/>
      <c r="I119" s="270"/>
      <c r="J119" s="1804" t="s">
        <v>1170</v>
      </c>
      <c r="K119" s="1805"/>
      <c r="L119" s="1803" t="s">
        <v>1171</v>
      </c>
      <c r="M119" s="1803"/>
      <c r="N119" s="278"/>
    </row>
    <row r="120" spans="3:14" ht="15.75">
      <c r="C120" s="1806" t="s">
        <v>1181</v>
      </c>
      <c r="D120" s="1807"/>
      <c r="F120" s="270"/>
      <c r="G120" s="1246" t="s">
        <v>646</v>
      </c>
      <c r="H120" s="1247" t="s">
        <v>1172</v>
      </c>
      <c r="I120" s="1247" t="s">
        <v>1173</v>
      </c>
      <c r="J120" s="1248" t="s">
        <v>1174</v>
      </c>
      <c r="K120" s="1248" t="s">
        <v>1175</v>
      </c>
      <c r="L120" s="1248" t="s">
        <v>1174</v>
      </c>
      <c r="M120" s="1248" t="s">
        <v>1175</v>
      </c>
      <c r="N120" s="277" t="s">
        <v>1176</v>
      </c>
    </row>
    <row r="121" spans="3:14" ht="15.75">
      <c r="C121" s="1243" t="s">
        <v>1177</v>
      </c>
      <c r="D121" s="1260">
        <f>IF(D19="Ponta",B19,0)</f>
        <v>0</v>
      </c>
      <c r="E121" s="18"/>
      <c r="F121" s="270"/>
      <c r="G121" s="1250">
        <f>G106</f>
        <v>44440</v>
      </c>
      <c r="H121" s="272">
        <f>H106</f>
        <v>0</v>
      </c>
      <c r="I121" s="272">
        <f>I106</f>
        <v>0</v>
      </c>
      <c r="J121" s="272">
        <f>SUMIFS($G$18:$G$60,$B$18:$B$60,$D$121,$D$18:$D$60,"Ponta")</f>
        <v>0</v>
      </c>
      <c r="K121" s="272">
        <f>SUMIFS($G$18:$G$60,$B$18:$B$60,$D$121,$D$18:$D$60,"Fora Ponta")</f>
        <v>0</v>
      </c>
      <c r="L121" s="1251">
        <f>IF(MONTH(DataRevRea)=7,'Rede Básica + Ajuste'!J121,IF(G121&lt;$Q$69,(SUMIFS($G$18:$G$60,$B$18:$B$60,$D$121,$D$18:$D$60,"Ponta")),(SUMIFS($H$18:$H$60,$B$18:$B$60,$D$121,$D$18:$D$60,"Ponta"))))</f>
        <v>0</v>
      </c>
      <c r="M121" s="1251">
        <f>IF(MONTH(DataRevRea)=7,'Rede Básica + Ajuste'!K121,IF(G121&lt;$Q$69,(SUMIFS($G$18:$G$60,$B$18:$B$60,$D$121,$D$18:$D$60,"Fora Ponta")),(SUMIFS($H$18:$H$60,$B$18:$B$60,$D$121,$D$18:$D$60,"Fora Ponta"))))</f>
        <v>0</v>
      </c>
      <c r="N121" s="1252">
        <f>+(H121*(L121-J121))+(I121*(M121-K121))</f>
        <v>0</v>
      </c>
    </row>
    <row r="122" spans="3:14" ht="15.75">
      <c r="C122" s="270"/>
      <c r="D122" s="270"/>
      <c r="E122" s="270"/>
      <c r="F122" s="270"/>
      <c r="G122" s="271">
        <f t="shared" ref="G122:I132" si="21">G107</f>
        <v>44470</v>
      </c>
      <c r="H122" s="272">
        <f t="shared" si="21"/>
        <v>0</v>
      </c>
      <c r="I122" s="272">
        <f t="shared" si="21"/>
        <v>0</v>
      </c>
      <c r="J122" s="272">
        <f t="shared" ref="J122:J132" si="22">SUMIFS($G$18:$G$60,$B$18:$B$60,$D$121,$D$18:$D$60,"Ponta")</f>
        <v>0</v>
      </c>
      <c r="K122" s="272">
        <f t="shared" ref="K122:K132" si="23">SUMIFS($G$18:$G$60,$B$18:$B$60,$D$121,$D$18:$D$60,"Fora Ponta")</f>
        <v>0</v>
      </c>
      <c r="L122" s="272">
        <f>IF(MONTH(DataRevRea)=7,'Rede Básica + Ajuste'!J122,IF(G122&lt;$Q$69,(SUMIFS($G$18:$G$60,$B$18:$B$60,$D$121,$D$18:$D$60,"Ponta")),(SUMIFS($H$18:$H$60,$B$18:$B$60,$D$121,$D$18:$D$60,"Ponta"))))</f>
        <v>0</v>
      </c>
      <c r="M122" s="272">
        <f>IF(MONTH(DataRevRea)=7,'Rede Básica + Ajuste'!K122,IF(G122&lt;$Q$69,(SUMIFS($G$18:$G$60,$B$18:$B$60,$D$121,$D$18:$D$60,"Fora Ponta")),(SUMIFS($H$18:$H$60,$B$18:$B$60,$D$121,$D$18:$D$60,"Fora Ponta"))))</f>
        <v>0</v>
      </c>
      <c r="N122" s="279">
        <f t="shared" ref="N122:N132" si="24">+(H122*(L122-J122))+(I122*(M122-K122))</f>
        <v>0</v>
      </c>
    </row>
    <row r="123" spans="3:14" ht="15.75">
      <c r="C123" s="273"/>
      <c r="D123" s="1253" t="s">
        <v>1178</v>
      </c>
      <c r="E123" s="1254" t="s">
        <v>1179</v>
      </c>
      <c r="F123" s="270"/>
      <c r="G123" s="271">
        <f t="shared" si="21"/>
        <v>44501</v>
      </c>
      <c r="H123" s="272">
        <f t="shared" si="21"/>
        <v>0</v>
      </c>
      <c r="I123" s="272">
        <f t="shared" si="21"/>
        <v>0</v>
      </c>
      <c r="J123" s="272">
        <f t="shared" si="22"/>
        <v>0</v>
      </c>
      <c r="K123" s="272">
        <f t="shared" si="23"/>
        <v>0</v>
      </c>
      <c r="L123" s="272">
        <f>IF(MONTH(DataRevRea)=7,'Rede Básica + Ajuste'!J123,IF(G123&lt;$Q$69,(SUMIFS($G$18:$G$60,$B$18:$B$60,$D$121,$D$18:$D$60,"Ponta")),(SUMIFS($H$18:$H$60,$B$18:$B$60,$D$121,$D$18:$D$60,"Ponta"))))</f>
        <v>0</v>
      </c>
      <c r="M123" s="272">
        <f>IF(MONTH(DataRevRea)=7,'Rede Básica + Ajuste'!K123,IF(G123&lt;$Q$69,(SUMIFS($G$18:$G$60,$B$18:$B$60,$D$121,$D$18:$D$60,"Fora Ponta")),(SUMIFS($H$18:$H$60,$B$18:$B$60,$D$121,$D$18:$D$60,"Fora Ponta"))))</f>
        <v>0</v>
      </c>
      <c r="N123" s="279">
        <f t="shared" si="24"/>
        <v>0</v>
      </c>
    </row>
    <row r="124" spans="3:14" ht="15.75">
      <c r="C124" s="1255" t="str">
        <f>C109</f>
        <v>Cobertura 2021</v>
      </c>
      <c r="D124" s="1256">
        <f>SUMPRODUCT(H121:H132,J121:J132)</f>
        <v>0</v>
      </c>
      <c r="E124" s="1256">
        <f>SUMPRODUCT(I121:I132,K121:K132)</f>
        <v>0</v>
      </c>
      <c r="F124" s="270"/>
      <c r="G124" s="271">
        <f t="shared" si="21"/>
        <v>44531</v>
      </c>
      <c r="H124" s="272">
        <f t="shared" si="21"/>
        <v>0</v>
      </c>
      <c r="I124" s="272">
        <f t="shared" si="21"/>
        <v>0</v>
      </c>
      <c r="J124" s="272">
        <f t="shared" si="22"/>
        <v>0</v>
      </c>
      <c r="K124" s="272">
        <f t="shared" si="23"/>
        <v>0</v>
      </c>
      <c r="L124" s="272">
        <f>IF(MONTH(DataRevRea)=7,'Rede Básica + Ajuste'!J124,IF(G124&lt;$Q$69,(SUMIFS($G$18:$G$60,$B$18:$B$60,$D$121,$D$18:$D$60,"Ponta")),(SUMIFS($H$18:$H$60,$B$18:$B$60,$D$121,$D$18:$D$60,"Ponta"))))</f>
        <v>0</v>
      </c>
      <c r="M124" s="272">
        <f>IF(MONTH(DataRevRea)=7,'Rede Básica + Ajuste'!K124,IF(G124&lt;$Q$69,(SUMIFS($G$18:$G$60,$B$18:$B$60,$D$121,$D$18:$D$60,"Fora Ponta")),(SUMIFS($H$18:$H$60,$B$18:$B$60,$D$121,$D$18:$D$60,"Fora Ponta"))))</f>
        <v>0</v>
      </c>
      <c r="N124" s="279">
        <f t="shared" si="24"/>
        <v>0</v>
      </c>
    </row>
    <row r="125" spans="3:14" ht="15.75">
      <c r="C125" s="1255" t="s">
        <v>1180</v>
      </c>
      <c r="D125" s="1256">
        <f>SUMPRODUCT(H121:H132,L121:L132)</f>
        <v>0</v>
      </c>
      <c r="E125" s="1256">
        <f>SUMPRODUCT(I121:I132,M121:M132)</f>
        <v>0</v>
      </c>
      <c r="F125" s="270"/>
      <c r="G125" s="271">
        <f t="shared" si="21"/>
        <v>44562</v>
      </c>
      <c r="H125" s="272">
        <f t="shared" si="21"/>
        <v>0</v>
      </c>
      <c r="I125" s="272">
        <f t="shared" si="21"/>
        <v>0</v>
      </c>
      <c r="J125" s="272">
        <f t="shared" si="22"/>
        <v>0</v>
      </c>
      <c r="K125" s="272">
        <f t="shared" si="23"/>
        <v>0</v>
      </c>
      <c r="L125" s="272">
        <f>IF(MONTH(DataRevRea)=7,'Rede Básica + Ajuste'!J125,IF(G125&lt;$Q$69,(SUMIFS($G$18:$G$60,$B$18:$B$60,$D$121,$D$18:$D$60,"Ponta")),(SUMIFS($H$18:$H$60,$B$18:$B$60,$D$121,$D$18:$D$60,"Ponta"))))</f>
        <v>0</v>
      </c>
      <c r="M125" s="272">
        <f>IF(MONTH(DataRevRea)=7,'Rede Básica + Ajuste'!K125,IF(G125&lt;$Q$69,(SUMIFS($G$18:$G$60,$B$18:$B$60,$D$121,$D$18:$D$60,"Fora Ponta")),(SUMIFS($H$18:$H$60,$B$18:$B$60,$D$121,$D$18:$D$60,"Fora Ponta"))))</f>
        <v>0</v>
      </c>
      <c r="N125" s="279">
        <f t="shared" si="24"/>
        <v>0</v>
      </c>
    </row>
    <row r="126" spans="3:14" ht="15.75">
      <c r="C126" s="270"/>
      <c r="D126" s="270"/>
      <c r="E126" s="270"/>
      <c r="F126" s="270"/>
      <c r="G126" s="271">
        <f t="shared" si="21"/>
        <v>44593</v>
      </c>
      <c r="H126" s="272">
        <f t="shared" si="21"/>
        <v>0</v>
      </c>
      <c r="I126" s="272">
        <f t="shared" si="21"/>
        <v>0</v>
      </c>
      <c r="J126" s="272">
        <f t="shared" si="22"/>
        <v>0</v>
      </c>
      <c r="K126" s="272">
        <f t="shared" si="23"/>
        <v>0</v>
      </c>
      <c r="L126" s="272">
        <f>IF(MONTH(DataRevRea)=7,'Rede Básica + Ajuste'!J126,IF(G126&lt;$Q$69,(SUMIFS($G$18:$G$60,$B$18:$B$60,$D$121,$D$18:$D$60,"Ponta")),(SUMIFS($H$18:$H$60,$B$18:$B$60,$D$121,$D$18:$D$60,"Ponta"))))</f>
        <v>0</v>
      </c>
      <c r="M126" s="272">
        <f>IF(MONTH(DataRevRea)=7,'Rede Básica + Ajuste'!K126,IF(G126&lt;$Q$69,(SUMIFS($G$18:$G$60,$B$18:$B$60,$D$121,$D$18:$D$60,"Fora Ponta")),(SUMIFS($H$18:$H$60,$B$18:$B$60,$D$121,$D$18:$D$60,"Fora Ponta"))))</f>
        <v>0</v>
      </c>
      <c r="N126" s="279">
        <f t="shared" si="24"/>
        <v>0</v>
      </c>
    </row>
    <row r="127" spans="3:14" ht="15.75">
      <c r="C127" s="282"/>
      <c r="D127" s="282"/>
      <c r="E127" s="282"/>
      <c r="F127" s="270"/>
      <c r="G127" s="271">
        <f t="shared" si="21"/>
        <v>44621</v>
      </c>
      <c r="H127" s="272">
        <f t="shared" si="21"/>
        <v>0</v>
      </c>
      <c r="I127" s="272">
        <f t="shared" si="21"/>
        <v>0</v>
      </c>
      <c r="J127" s="272">
        <f t="shared" si="22"/>
        <v>0</v>
      </c>
      <c r="K127" s="272">
        <f t="shared" si="23"/>
        <v>0</v>
      </c>
      <c r="L127" s="272">
        <f>IF(MONTH(DataRevRea)=7,'Rede Básica + Ajuste'!J127,IF(G127&lt;$Q$69,(SUMIFS($G$18:$G$60,$B$18:$B$60,$D$121,$D$18:$D$60,"Ponta")),(SUMIFS($H$18:$H$60,$B$18:$B$60,$D$121,$D$18:$D$60,"Ponta"))))</f>
        <v>0</v>
      </c>
      <c r="M127" s="272">
        <f>IF(MONTH(DataRevRea)=7,'Rede Básica + Ajuste'!K127,IF(G127&lt;$Q$69,(SUMIFS($G$18:$G$60,$B$18:$B$60,$D$121,$D$18:$D$60,"Fora Ponta")),(SUMIFS($H$18:$H$60,$B$18:$B$60,$D$121,$D$18:$D$60,"Fora Ponta"))))</f>
        <v>0</v>
      </c>
      <c r="N127" s="279">
        <f t="shared" si="24"/>
        <v>0</v>
      </c>
    </row>
    <row r="128" spans="3:14" ht="15.75">
      <c r="C128" s="274"/>
      <c r="D128" s="274"/>
      <c r="E128" s="283"/>
      <c r="F128" s="270"/>
      <c r="G128" s="271">
        <f t="shared" si="21"/>
        <v>44652</v>
      </c>
      <c r="H128" s="272">
        <f t="shared" si="21"/>
        <v>0</v>
      </c>
      <c r="I128" s="272">
        <f t="shared" si="21"/>
        <v>0</v>
      </c>
      <c r="J128" s="272">
        <f t="shared" si="22"/>
        <v>0</v>
      </c>
      <c r="K128" s="272">
        <f t="shared" si="23"/>
        <v>0</v>
      </c>
      <c r="L128" s="272">
        <f>IF(MONTH(DataRevRea)=7,'Rede Básica + Ajuste'!J128,IF(G128&lt;$Q$69,(SUMIFS($G$18:$G$60,$B$18:$B$60,$D$121,$D$18:$D$60,"Ponta")),(SUMIFS($H$18:$H$60,$B$18:$B$60,$D$121,$D$18:$D$60,"Ponta"))))</f>
        <v>0</v>
      </c>
      <c r="M128" s="272">
        <f>IF(MONTH(DataRevRea)=7,'Rede Básica + Ajuste'!K128,IF(G128&lt;$Q$69,(SUMIFS($G$18:$G$60,$B$18:$B$60,$D$121,$D$18:$D$60,"Fora Ponta")),(SUMIFS($H$18:$H$60,$B$18:$B$60,$D$121,$D$18:$D$60,"Fora Ponta"))))</f>
        <v>0</v>
      </c>
      <c r="N128" s="279">
        <f t="shared" si="24"/>
        <v>0</v>
      </c>
    </row>
    <row r="129" spans="3:14" ht="15.75">
      <c r="C129" s="284"/>
      <c r="D129" s="274"/>
      <c r="E129" s="283"/>
      <c r="F129" s="270"/>
      <c r="G129" s="271">
        <f t="shared" si="21"/>
        <v>44682</v>
      </c>
      <c r="H129" s="272">
        <f t="shared" si="21"/>
        <v>0</v>
      </c>
      <c r="I129" s="272">
        <f t="shared" si="21"/>
        <v>0</v>
      </c>
      <c r="J129" s="272">
        <f t="shared" si="22"/>
        <v>0</v>
      </c>
      <c r="K129" s="272">
        <f t="shared" si="23"/>
        <v>0</v>
      </c>
      <c r="L129" s="272">
        <f>IF(MONTH(DataRevRea)=7,'Rede Básica + Ajuste'!J129,IF(G129&lt;$Q$69,(SUMIFS($G$18:$G$60,$B$18:$B$60,$D$121,$D$18:$D$60,"Ponta")),(SUMIFS($H$18:$H$60,$B$18:$B$60,$D$121,$D$18:$D$60,"Ponta"))))</f>
        <v>0</v>
      </c>
      <c r="M129" s="272">
        <f>IF(MONTH(DataRevRea)=7,'Rede Básica + Ajuste'!K129,IF(G129&lt;$Q$69,(SUMIFS($G$18:$G$60,$B$18:$B$60,$D$121,$D$18:$D$60,"Fora Ponta")),(SUMIFS($H$18:$H$60,$B$18:$B$60,$D$121,$D$18:$D$60,"Fora Ponta"))))</f>
        <v>0</v>
      </c>
      <c r="N129" s="279">
        <f t="shared" si="24"/>
        <v>0</v>
      </c>
    </row>
    <row r="130" spans="3:14" ht="15.75">
      <c r="C130" s="270"/>
      <c r="D130" s="270"/>
      <c r="E130" s="270"/>
      <c r="F130" s="270"/>
      <c r="G130" s="271">
        <f t="shared" si="21"/>
        <v>44713</v>
      </c>
      <c r="H130" s="272">
        <f t="shared" si="21"/>
        <v>0</v>
      </c>
      <c r="I130" s="272">
        <f t="shared" si="21"/>
        <v>0</v>
      </c>
      <c r="J130" s="272">
        <f t="shared" si="22"/>
        <v>0</v>
      </c>
      <c r="K130" s="272">
        <f t="shared" si="23"/>
        <v>0</v>
      </c>
      <c r="L130" s="272">
        <f>IF(MONTH(DataRevRea)=7,'Rede Básica + Ajuste'!J130,IF(G130&lt;$Q$69,(SUMIFS($G$18:$G$60,$B$18:$B$60,$D$121,$D$18:$D$60,"Ponta")),(SUMIFS($H$18:$H$60,$B$18:$B$60,$D$121,$D$18:$D$60,"Ponta"))))</f>
        <v>0</v>
      </c>
      <c r="M130" s="272">
        <f>IF(MONTH(DataRevRea)=7,'Rede Básica + Ajuste'!K130,IF(G130&lt;$Q$69,(SUMIFS($G$18:$G$60,$B$18:$B$60,$D$121,$D$18:$D$60,"Fora Ponta")),(SUMIFS($H$18:$H$60,$B$18:$B$60,$D$121,$D$18:$D$60,"Fora Ponta"))))</f>
        <v>0</v>
      </c>
      <c r="N130" s="279">
        <f t="shared" si="24"/>
        <v>0</v>
      </c>
    </row>
    <row r="131" spans="3:14" ht="15.75">
      <c r="C131" s="276"/>
      <c r="D131" s="276"/>
      <c r="E131" s="276"/>
      <c r="F131" s="270"/>
      <c r="G131" s="271">
        <f t="shared" si="21"/>
        <v>44743</v>
      </c>
      <c r="H131" s="272">
        <f t="shared" si="21"/>
        <v>0</v>
      </c>
      <c r="I131" s="272">
        <f t="shared" si="21"/>
        <v>0</v>
      </c>
      <c r="J131" s="272">
        <f t="shared" si="22"/>
        <v>0</v>
      </c>
      <c r="K131" s="272">
        <f t="shared" si="23"/>
        <v>0</v>
      </c>
      <c r="L131" s="272">
        <f>IF(MONTH(DataRevRea)=7,'Rede Básica + Ajuste'!J131,IF(G131&lt;$Q$69,(SUMIFS($G$18:$G$60,$B$18:$B$60,$D$121,$D$18:$D$60,"Ponta")),(SUMIFS($H$18:$H$60,$B$18:$B$60,$D$121,$D$18:$D$60,"Ponta"))))</f>
        <v>0</v>
      </c>
      <c r="M131" s="272">
        <f>IF(MONTH(DataRevRea)=7,'Rede Básica + Ajuste'!K131,IF(G131&lt;$Q$69,(SUMIFS($G$18:$G$60,$B$18:$B$60,$D$121,$D$18:$D$60,"Fora Ponta")),(SUMIFS($H$18:$H$60,$B$18:$B$60,$D$121,$D$18:$D$60,"Fora Ponta"))))</f>
        <v>0</v>
      </c>
      <c r="N131" s="279">
        <f t="shared" si="24"/>
        <v>0</v>
      </c>
    </row>
    <row r="132" spans="3:14" ht="15.75">
      <c r="C132" s="274"/>
      <c r="D132" s="275"/>
      <c r="E132" s="274"/>
      <c r="F132" s="270"/>
      <c r="G132" s="1257">
        <f t="shared" si="21"/>
        <v>44774</v>
      </c>
      <c r="H132" s="1258">
        <f t="shared" si="21"/>
        <v>0</v>
      </c>
      <c r="I132" s="1258">
        <f t="shared" si="21"/>
        <v>0</v>
      </c>
      <c r="J132" s="1258">
        <f t="shared" si="22"/>
        <v>0</v>
      </c>
      <c r="K132" s="1258">
        <f t="shared" si="23"/>
        <v>0</v>
      </c>
      <c r="L132" s="1258">
        <f>IF(MONTH(DataRevRea)=7,'Rede Básica + Ajuste'!J132,IF(G132&lt;$Q$69,(SUMIFS($G$18:$G$60,$B$18:$B$60,$D$121,$D$18:$D$60,"Ponta")),(SUMIFS($H$18:$H$60,$B$18:$B$60,$D$121,$D$18:$D$60,"Ponta"))))</f>
        <v>0</v>
      </c>
      <c r="M132" s="1258">
        <f>IF(MONTH(DataRevRea)=7,'Rede Básica + Ajuste'!K132,IF(G132&lt;$Q$69,(SUMIFS($G$18:$G$60,$B$18:$B$60,$D$121,$D$18:$D$60,"Fora Ponta")),(SUMIFS($H$18:$H$60,$B$18:$B$60,$D$121,$D$18:$D$60,"Fora Ponta"))))</f>
        <v>0</v>
      </c>
      <c r="N132" s="1259">
        <f t="shared" si="24"/>
        <v>0</v>
      </c>
    </row>
    <row r="133" spans="3:14">
      <c r="G133" s="149"/>
    </row>
    <row r="134" spans="3:14" ht="15.75">
      <c r="C134" s="270"/>
      <c r="D134" s="270"/>
      <c r="E134" s="270"/>
      <c r="F134" s="270"/>
      <c r="G134" s="270"/>
      <c r="H134" s="270"/>
      <c r="I134" s="270"/>
      <c r="J134" s="1804" t="s">
        <v>1170</v>
      </c>
      <c r="K134" s="1805"/>
      <c r="L134" s="1803" t="s">
        <v>1171</v>
      </c>
      <c r="M134" s="1803"/>
      <c r="N134" s="278"/>
    </row>
    <row r="135" spans="3:14" ht="15.75">
      <c r="C135" s="1806" t="s">
        <v>1153</v>
      </c>
      <c r="D135" s="1807"/>
      <c r="F135" s="270"/>
      <c r="G135" s="1246" t="s">
        <v>646</v>
      </c>
      <c r="H135" s="1247" t="s">
        <v>1172</v>
      </c>
      <c r="I135" s="1247" t="s">
        <v>1173</v>
      </c>
      <c r="J135" s="1248" t="s">
        <v>1174</v>
      </c>
      <c r="K135" s="1248" t="s">
        <v>1175</v>
      </c>
      <c r="L135" s="1248" t="s">
        <v>1174</v>
      </c>
      <c r="M135" s="1248" t="s">
        <v>1175</v>
      </c>
      <c r="N135" s="277" t="s">
        <v>1176</v>
      </c>
    </row>
    <row r="136" spans="3:14" ht="15.75">
      <c r="C136" s="1243" t="s">
        <v>1177</v>
      </c>
      <c r="D136" s="1260">
        <f>IF(D20="Ponta",B20,0)</f>
        <v>0</v>
      </c>
      <c r="E136" s="18"/>
      <c r="F136" s="270"/>
      <c r="G136" s="1250">
        <f>G121</f>
        <v>44440</v>
      </c>
      <c r="H136" s="272">
        <f>SUMIFS($N$18:$N$60,$B$18:$B$60,$D$136,$D$18:$D$60,"Ponta")</f>
        <v>0</v>
      </c>
      <c r="I136" s="272">
        <f>SUMIFS($N$18:$N$60,$B$18:$B$60,$D$136,$D$18:$D$60,"Fora Ponta")</f>
        <v>0</v>
      </c>
      <c r="J136" s="272">
        <f>SUMIFS($E$18:$E$60,$B$18:$B$60,$D$136,$D$18:$D$60,"Ponta")</f>
        <v>0</v>
      </c>
      <c r="K136" s="272">
        <f>SUMIFS($E$18:$E$60,$B$18:$B$60,$D$136,$D$18:$D$60,"Fora Ponta")</f>
        <v>0</v>
      </c>
      <c r="L136" s="1251">
        <f>IF(MONTH(DataRevRea)=7,'Rede Básica + Ajuste'!J136,IF(G136&lt;$Q$69,(SUMIFS($E$18:$E$60,$B$18:$B$60,$D$136,$D$18:$D$60,"Ponta")),(SUMIFS($F$18:$F$60,$B$18:$B$60,$D$136,$D$18:$D$60,"Ponta"))))</f>
        <v>0</v>
      </c>
      <c r="M136" s="1251">
        <f>IF(MONTH(DataRevRea)=7,'Rede Básica + Ajuste'!K136,IF(G136&lt;$Q$69,(SUMIFS($E$18:$E$60,$B$18:$B$60,$D$136,$D$18:$D$60,"Fora Ponta")),(SUMIFS($F$18:$F$60,$B$18:$B$60,$D$136,$D$18:$D$60,"Fora Ponta"))))</f>
        <v>0</v>
      </c>
      <c r="N136" s="1252">
        <f>+(H136*(L136-J136))+(I136*(M136-K136))</f>
        <v>0</v>
      </c>
    </row>
    <row r="137" spans="3:14" ht="15.75">
      <c r="C137" s="270"/>
      <c r="D137" s="270"/>
      <c r="E137" s="270"/>
      <c r="F137" s="270"/>
      <c r="G137" s="271">
        <f t="shared" ref="G137:G147" si="25">G122</f>
        <v>44470</v>
      </c>
      <c r="H137" s="272">
        <f>SUMIFS($O$18:$O$60,$B$18:$B$60,$D$136,$D$18:$D$60,"Ponta")</f>
        <v>0</v>
      </c>
      <c r="I137" s="272">
        <f>SUMIFS($O$18:$O$60,$B$18:$B$60,$D$136,$D$18:$D$60,"Fora Ponta")</f>
        <v>0</v>
      </c>
      <c r="J137" s="272">
        <f t="shared" ref="J137:J147" si="26">SUMIFS($E$18:$E$60,$B$18:$B$60,$D$106,$D$18:$D$60,"Ponta")</f>
        <v>0</v>
      </c>
      <c r="K137" s="272">
        <f t="shared" ref="K137:K147" si="27">SUMIFS($E$18:$E$60,$B$18:$B$60,$D$136,$D$18:$D$60,"Fora Ponta")</f>
        <v>0</v>
      </c>
      <c r="L137" s="272">
        <f>IF(MONTH(DataRevRea)=7,'Rede Básica + Ajuste'!J137,IF(G137&lt;$Q$69,(SUMIFS($E$18:$E$60,$B$18:$B$60,$D$136,$D$18:$D$60,"Ponta")),(SUMIFS($F$18:$F$60,$B$18:$B$60,$D$136,$D$18:$D$60,"Ponta"))))</f>
        <v>0</v>
      </c>
      <c r="M137" s="272">
        <f>IF(MONTH(DataRevRea)=7,'Rede Básica + Ajuste'!K137,IF(G137&lt;$Q$69,(SUMIFS($E$18:$E$60,$B$18:$B$60,$D$136,$D$18:$D$60,"Fora Ponta")),(SUMIFS($F$18:$F$60,$B$18:$B$60,$D$136,$D$18:$D$60,"Fora Ponta"))))</f>
        <v>0</v>
      </c>
      <c r="N137" s="279">
        <f t="shared" ref="N137:N147" si="28">+(H137*(L137-J137))+(I137*(M137-K137))</f>
        <v>0</v>
      </c>
    </row>
    <row r="138" spans="3:14" ht="15.75">
      <c r="C138" s="273"/>
      <c r="D138" s="1253" t="s">
        <v>1178</v>
      </c>
      <c r="E138" s="1254" t="s">
        <v>1179</v>
      </c>
      <c r="F138" s="270"/>
      <c r="G138" s="271">
        <f t="shared" si="25"/>
        <v>44501</v>
      </c>
      <c r="H138" s="272">
        <f>SUMIFS($P$18:$P$60,$B$18:$B$60,$D$136,$D$18:$D$60,"Ponta")</f>
        <v>0</v>
      </c>
      <c r="I138" s="272">
        <f>SUMIFS($P$18:$P$60,$B$18:$B$60,$D$136,$D$18:$D$60,"Fora Ponta")</f>
        <v>0</v>
      </c>
      <c r="J138" s="272">
        <f t="shared" si="26"/>
        <v>0</v>
      </c>
      <c r="K138" s="272">
        <f t="shared" si="27"/>
        <v>0</v>
      </c>
      <c r="L138" s="272">
        <f>IF(MONTH(DataRevRea)=7,'Rede Básica + Ajuste'!J138,IF(G138&lt;$Q$69,(SUMIFS($E$18:$E$60,$B$18:$B$60,$D$136,$D$18:$D$60,"Ponta")),(SUMIFS($F$18:$F$60,$B$18:$B$60,$D$136,$D$18:$D$60,"Ponta"))))</f>
        <v>0</v>
      </c>
      <c r="M138" s="272">
        <f>IF(MONTH(DataRevRea)=7,'Rede Básica + Ajuste'!K138,IF(G138&lt;$Q$69,(SUMIFS($E$18:$E$60,$B$18:$B$60,$D$136,$D$18:$D$60,"Fora Ponta")),(SUMIFS($F$18:$F$60,$B$18:$B$60,$D$136,$D$18:$D$60,"Fora Ponta"))))</f>
        <v>0</v>
      </c>
      <c r="N138" s="279">
        <f t="shared" si="28"/>
        <v>0</v>
      </c>
    </row>
    <row r="139" spans="3:14" ht="15.75">
      <c r="C139" s="1255" t="str">
        <f>C124</f>
        <v>Cobertura 2021</v>
      </c>
      <c r="D139" s="1256">
        <f>SUMPRODUCT(H136:H147,J136:J147)</f>
        <v>0</v>
      </c>
      <c r="E139" s="1256">
        <f>SUMPRODUCT(I136:I147,K136:K147)</f>
        <v>0</v>
      </c>
      <c r="F139" s="270"/>
      <c r="G139" s="271">
        <f t="shared" si="25"/>
        <v>44531</v>
      </c>
      <c r="H139" s="272">
        <f>SUMIFS($Q$18:$Q$60,$B$18:$B$60,$D$136,$D$18:$D$60,"Ponta")</f>
        <v>0</v>
      </c>
      <c r="I139" s="272">
        <f>SUMIFS($Q$18:$Q$60,$B$18:$B$60,$D$136,$D$18:$D$60,"Fora Ponta")</f>
        <v>0</v>
      </c>
      <c r="J139" s="272">
        <f t="shared" si="26"/>
        <v>0</v>
      </c>
      <c r="K139" s="272">
        <f t="shared" si="27"/>
        <v>0</v>
      </c>
      <c r="L139" s="272">
        <f>IF(MONTH(DataRevRea)=7,'Rede Básica + Ajuste'!J139,IF(G139&lt;$Q$69,(SUMIFS($E$18:$E$60,$B$18:$B$60,$D$136,$D$18:$D$60,"Ponta")),(SUMIFS($F$18:$F$60,$B$18:$B$60,$D$136,$D$18:$D$60,"Ponta"))))</f>
        <v>0</v>
      </c>
      <c r="M139" s="272">
        <f>IF(MONTH(DataRevRea)=7,'Rede Básica + Ajuste'!K139,IF(G139&lt;$Q$69,(SUMIFS($E$18:$E$60,$B$18:$B$60,$D$136,$D$18:$D$60,"Fora Ponta")),(SUMIFS($F$18:$F$60,$B$18:$B$60,$D$136,$D$18:$D$60,"Fora Ponta"))))</f>
        <v>0</v>
      </c>
      <c r="N139" s="279">
        <f t="shared" si="28"/>
        <v>0</v>
      </c>
    </row>
    <row r="140" spans="3:14" ht="15.75">
      <c r="C140" s="1255" t="s">
        <v>1180</v>
      </c>
      <c r="D140" s="1256">
        <f>SUMPRODUCT(H136:H147,L136:L147)</f>
        <v>0</v>
      </c>
      <c r="E140" s="1256">
        <f>SUMPRODUCT(I136:I147,M136:M147)</f>
        <v>0</v>
      </c>
      <c r="F140" s="270"/>
      <c r="G140" s="271">
        <f t="shared" si="25"/>
        <v>44562</v>
      </c>
      <c r="H140" s="272">
        <f>SUMIFS($R$18:$R$60,$B$18:$B$60,$D$136,$D$18:$D$60,"Ponta")</f>
        <v>0</v>
      </c>
      <c r="I140" s="272">
        <f>SUMIFS($R$18:$R$60,$B$18:$B$60,$D$136,$D$18:$D$60,"Fora Ponta")</f>
        <v>0</v>
      </c>
      <c r="J140" s="272">
        <f t="shared" si="26"/>
        <v>0</v>
      </c>
      <c r="K140" s="272">
        <f t="shared" si="27"/>
        <v>0</v>
      </c>
      <c r="L140" s="272">
        <f>IF(MONTH(DataRevRea)=7,'Rede Básica + Ajuste'!J140,IF(G140&lt;$Q$69,(SUMIFS($E$18:$E$60,$B$18:$B$60,$D$136,$D$18:$D$60,"Ponta")),(SUMIFS($F$18:$F$60,$B$18:$B$60,$D$136,$D$18:$D$60,"Ponta"))))</f>
        <v>0</v>
      </c>
      <c r="M140" s="272">
        <f>IF(MONTH(DataRevRea)=7,'Rede Básica + Ajuste'!K140,IF(G140&lt;$Q$69,(SUMIFS($E$18:$E$60,$B$18:$B$60,$D$136,$D$18:$D$60,"Fora Ponta")),(SUMIFS($F$18:$F$60,$B$18:$B$60,$D$136,$D$18:$D$60,"Fora Ponta"))))</f>
        <v>0</v>
      </c>
      <c r="N140" s="279">
        <f t="shared" si="28"/>
        <v>0</v>
      </c>
    </row>
    <row r="141" spans="3:14" ht="15.75">
      <c r="C141" s="270"/>
      <c r="D141" s="270"/>
      <c r="E141" s="270"/>
      <c r="F141" s="270"/>
      <c r="G141" s="271">
        <f t="shared" si="25"/>
        <v>44593</v>
      </c>
      <c r="H141" s="272">
        <f>SUMIFS($S$18:$S$60,$B$18:$B$60,$D$136,$D$18:$D$60,"Ponta")</f>
        <v>0</v>
      </c>
      <c r="I141" s="272">
        <f>SUMIFS($S$18:$S$60,$B$18:$B$60,$D$136,$D$18:$D$60,"Fora Ponta")</f>
        <v>0</v>
      </c>
      <c r="J141" s="272">
        <f t="shared" si="26"/>
        <v>0</v>
      </c>
      <c r="K141" s="272">
        <f t="shared" si="27"/>
        <v>0</v>
      </c>
      <c r="L141" s="272">
        <f>IF(MONTH(DataRevRea)=7,'Rede Básica + Ajuste'!J141,IF(G141&lt;$Q$69,(SUMIFS($E$18:$E$60,$B$18:$B$60,$D$136,$D$18:$D$60,"Ponta")),(SUMIFS($F$18:$F$60,$B$18:$B$60,$D$136,$D$18:$D$60,"Ponta"))))</f>
        <v>0</v>
      </c>
      <c r="M141" s="272">
        <f>IF(MONTH(DataRevRea)=7,'Rede Básica + Ajuste'!K141,IF(G141&lt;$Q$69,(SUMIFS($E$18:$E$60,$B$18:$B$60,$D$136,$D$18:$D$60,"Fora Ponta")),(SUMIFS($F$18:$F$60,$B$18:$B$60,$D$136,$D$18:$D$60,"Fora Ponta"))))</f>
        <v>0</v>
      </c>
      <c r="N141" s="279">
        <f t="shared" si="28"/>
        <v>0</v>
      </c>
    </row>
    <row r="142" spans="3:14" ht="15.75">
      <c r="C142" s="282"/>
      <c r="D142" s="282"/>
      <c r="E142" s="282"/>
      <c r="F142" s="270"/>
      <c r="G142" s="271">
        <f t="shared" si="25"/>
        <v>44621</v>
      </c>
      <c r="H142" s="272">
        <f>SUMIFS($T$18:$T$60,$B$18:$B$60,$D$136,$D$18:$D$60,"Ponta")</f>
        <v>0</v>
      </c>
      <c r="I142" s="272">
        <f>SUMIFS($T$18:$T$60,$B$18:$B$60,$D$136,$D$18:$D$60,"Fora Ponta")</f>
        <v>0</v>
      </c>
      <c r="J142" s="272">
        <f t="shared" si="26"/>
        <v>0</v>
      </c>
      <c r="K142" s="272">
        <f t="shared" si="27"/>
        <v>0</v>
      </c>
      <c r="L142" s="272">
        <f>IF(MONTH(DataRevRea)=7,'Rede Básica + Ajuste'!J142,IF(G142&lt;$Q$69,(SUMIFS($E$18:$E$60,$B$18:$B$60,$D$136,$D$18:$D$60,"Ponta")),(SUMIFS($F$18:$F$60,$B$18:$B$60,$D$136,$D$18:$D$60,"Ponta"))))</f>
        <v>0</v>
      </c>
      <c r="M142" s="272">
        <f>IF(MONTH(DataRevRea)=7,'Rede Básica + Ajuste'!K142,IF(G142&lt;$Q$69,(SUMIFS($E$18:$E$60,$B$18:$B$60,$D$136,$D$18:$D$60,"Fora Ponta")),(SUMIFS($F$18:$F$60,$B$18:$B$60,$D$136,$D$18:$D$60,"Fora Ponta"))))</f>
        <v>0</v>
      </c>
      <c r="N142" s="279">
        <f t="shared" si="28"/>
        <v>0</v>
      </c>
    </row>
    <row r="143" spans="3:14" ht="15.75">
      <c r="C143" s="274"/>
      <c r="D143" s="274"/>
      <c r="E143" s="283"/>
      <c r="F143" s="270"/>
      <c r="G143" s="271">
        <f t="shared" si="25"/>
        <v>44652</v>
      </c>
      <c r="H143" s="272">
        <f>SUMIFS($U$18:$U$60,$B$18:$B$60,$D$136,$D$18:$D$60,"Ponta")</f>
        <v>0</v>
      </c>
      <c r="I143" s="272">
        <f>SUMIFS($U$18:$U$60,$B$18:$B$60,$D$136,$D$18:$D$60,"Fora Ponta")</f>
        <v>0</v>
      </c>
      <c r="J143" s="272">
        <f t="shared" si="26"/>
        <v>0</v>
      </c>
      <c r="K143" s="272">
        <f t="shared" si="27"/>
        <v>0</v>
      </c>
      <c r="L143" s="272">
        <f>IF(MONTH(DataRevRea)=7,'Rede Básica + Ajuste'!J143,IF(G143&lt;$Q$69,(SUMIFS($E$18:$E$60,$B$18:$B$60,$D$136,$D$18:$D$60,"Ponta")),(SUMIFS($F$18:$F$60,$B$18:$B$60,$D$136,$D$18:$D$60,"Ponta"))))</f>
        <v>0</v>
      </c>
      <c r="M143" s="272">
        <f>IF(MONTH(DataRevRea)=7,'Rede Básica + Ajuste'!K143,IF(G143&lt;$Q$69,(SUMIFS($E$18:$E$60,$B$18:$B$60,$D$136,$D$18:$D$60,"Fora Ponta")),(SUMIFS($F$18:$F$60,$B$18:$B$60,$D$136,$D$18:$D$60,"Fora Ponta"))))</f>
        <v>0</v>
      </c>
      <c r="N143" s="279">
        <f t="shared" si="28"/>
        <v>0</v>
      </c>
    </row>
    <row r="144" spans="3:14" ht="15.75">
      <c r="C144" s="284"/>
      <c r="D144" s="274"/>
      <c r="E144" s="283"/>
      <c r="F144" s="270"/>
      <c r="G144" s="271">
        <f t="shared" si="25"/>
        <v>44682</v>
      </c>
      <c r="H144" s="272">
        <f>SUMIFS($V$18:$V$60,$B$18:$B$60,$D$136,$D$18:$D$60,"Ponta")</f>
        <v>0</v>
      </c>
      <c r="I144" s="272">
        <f>SUMIFS($V$18:$V$60,$B$18:$B$60,$D$136,$D$18:$D$60,"Fora Ponta")</f>
        <v>0</v>
      </c>
      <c r="J144" s="272">
        <f t="shared" si="26"/>
        <v>0</v>
      </c>
      <c r="K144" s="272">
        <f t="shared" si="27"/>
        <v>0</v>
      </c>
      <c r="L144" s="272">
        <f>IF(MONTH(DataRevRea)=7,'Rede Básica + Ajuste'!J144,IF(G144&lt;$Q$69,(SUMIFS($E$18:$E$60,$B$18:$B$60,$D$136,$D$18:$D$60,"Ponta")),(SUMIFS($F$18:$F$60,$B$18:$B$60,$D$136,$D$18:$D$60,"Ponta"))))</f>
        <v>0</v>
      </c>
      <c r="M144" s="272">
        <f>IF(MONTH(DataRevRea)=7,'Rede Básica + Ajuste'!K144,IF(G144&lt;$Q$69,(SUMIFS($E$18:$E$60,$B$18:$B$60,$D$136,$D$18:$D$60,"Fora Ponta")),(SUMIFS($F$18:$F$60,$B$18:$B$60,$D$136,$D$18:$D$60,"Fora Ponta"))))</f>
        <v>0</v>
      </c>
      <c r="N144" s="279">
        <f t="shared" si="28"/>
        <v>0</v>
      </c>
    </row>
    <row r="145" spans="3:14" ht="15.75">
      <c r="C145" s="270"/>
      <c r="D145" s="270"/>
      <c r="E145" s="270"/>
      <c r="F145" s="270"/>
      <c r="G145" s="271">
        <f t="shared" si="25"/>
        <v>44713</v>
      </c>
      <c r="H145" s="272">
        <f>SUMIFS($W$18:$W$60,$B$18:$B$60,$D$136,$D$18:$D$60,"Ponta")</f>
        <v>0</v>
      </c>
      <c r="I145" s="272">
        <f>SUMIFS($W$18:$W$60,$B$18:$B$60,$D$136,$D$18:$D$60,"Fora Ponta")</f>
        <v>0</v>
      </c>
      <c r="J145" s="272">
        <f t="shared" si="26"/>
        <v>0</v>
      </c>
      <c r="K145" s="272">
        <f t="shared" si="27"/>
        <v>0</v>
      </c>
      <c r="L145" s="272">
        <f>IF(MONTH(DataRevRea)=7,'Rede Básica + Ajuste'!J145,IF(G145&lt;$Q$69,(SUMIFS($E$18:$E$60,$B$18:$B$60,$D$136,$D$18:$D$60,"Ponta")),(SUMIFS($F$18:$F$60,$B$18:$B$60,$D$136,$D$18:$D$60,"Ponta"))))</f>
        <v>0</v>
      </c>
      <c r="M145" s="272">
        <f>IF(MONTH(DataRevRea)=7,'Rede Básica + Ajuste'!K145,IF(G145&lt;$Q$69,(SUMIFS($E$18:$E$60,$B$18:$B$60,$D$136,$D$18:$D$60,"Fora Ponta")),(SUMIFS($F$18:$F$60,$B$18:$B$60,$D$136,$D$18:$D$60,"Fora Ponta"))))</f>
        <v>0</v>
      </c>
      <c r="N145" s="279">
        <f t="shared" si="28"/>
        <v>0</v>
      </c>
    </row>
    <row r="146" spans="3:14" ht="15.75">
      <c r="C146" s="276"/>
      <c r="D146" s="276"/>
      <c r="E146" s="276"/>
      <c r="F146" s="270"/>
      <c r="G146" s="271">
        <f t="shared" si="25"/>
        <v>44743</v>
      </c>
      <c r="H146" s="272">
        <f>SUMIFS($X$18:$X$60,$B$18:$B$60,$D$136,$D$18:$D$60,"Ponta")</f>
        <v>0</v>
      </c>
      <c r="I146" s="272">
        <f>SUMIFS($X$18:$X$60,$B$18:$B$60,$D$136,$D$18:$D$60,"Fora Ponta")</f>
        <v>0</v>
      </c>
      <c r="J146" s="272">
        <f t="shared" si="26"/>
        <v>0</v>
      </c>
      <c r="K146" s="272">
        <f t="shared" si="27"/>
        <v>0</v>
      </c>
      <c r="L146" s="272">
        <f>IF(MONTH(DataRevRea)=7,'Rede Básica + Ajuste'!J146,IF(G146&lt;$Q$69,(SUMIFS($E$18:$E$60,$B$18:$B$60,$D$136,$D$18:$D$60,"Ponta")),(SUMIFS($F$18:$F$60,$B$18:$B$60,$D$136,$D$18:$D$60,"Ponta"))))</f>
        <v>0</v>
      </c>
      <c r="M146" s="272">
        <f>IF(MONTH(DataRevRea)=7,'Rede Básica + Ajuste'!K146,IF(G146&lt;$Q$69,(SUMIFS($E$18:$E$60,$B$18:$B$60,$D$136,$D$18:$D$60,"Fora Ponta")),(SUMIFS($F$18:$F$60,$B$18:$B$60,$D$136,$D$18:$D$60,"Fora Ponta"))))</f>
        <v>0</v>
      </c>
      <c r="N146" s="279">
        <f t="shared" si="28"/>
        <v>0</v>
      </c>
    </row>
    <row r="147" spans="3:14" ht="15.75">
      <c r="C147" s="274"/>
      <c r="D147" s="275"/>
      <c r="E147" s="274"/>
      <c r="F147" s="270"/>
      <c r="G147" s="1257">
        <f t="shared" si="25"/>
        <v>44774</v>
      </c>
      <c r="H147" s="1258">
        <f>SUMIFS($Y$18:$Y$60,$B$18:$B$60,$D$136,$D$18:$D$60,"Ponta")</f>
        <v>0</v>
      </c>
      <c r="I147" s="1258">
        <f>SUMIFS($Y$18:$Y$60,$B$18:$B$60,$D$136,$D$18:$D$60,"Fora Ponta")</f>
        <v>0</v>
      </c>
      <c r="J147" s="1258">
        <f t="shared" si="26"/>
        <v>0</v>
      </c>
      <c r="K147" s="1258">
        <f t="shared" si="27"/>
        <v>0</v>
      </c>
      <c r="L147" s="1258">
        <f>IF(MONTH(DataRevRea)=7,'Rede Básica + Ajuste'!J147,IF(G147&lt;$Q$69,(SUMIFS($E$18:$E$60,$B$18:$B$60,$D$136,$D$18:$D$60,"Ponta")),(SUMIFS($F$18:$F$60,$B$18:$B$60,$D$136,$D$18:$D$60,"Ponta"))))</f>
        <v>0</v>
      </c>
      <c r="M147" s="1258">
        <f>IF(MONTH(DataRevRea)=7,'Rede Básica + Ajuste'!K147,IF(G147&lt;$Q$69,(SUMIFS($E$18:$E$60,$B$18:$B$60,$D$136,$D$18:$D$60,"Fora Ponta")),(SUMIFS($F$18:$F$60,$B$18:$B$60,$D$136,$D$18:$D$60,"Fora Ponta"))))</f>
        <v>0</v>
      </c>
      <c r="N147" s="1259">
        <f t="shared" si="28"/>
        <v>0</v>
      </c>
    </row>
    <row r="148" spans="3:14">
      <c r="G148" s="149"/>
    </row>
    <row r="149" spans="3:14" ht="15.75">
      <c r="C149" s="270"/>
      <c r="D149" s="270"/>
      <c r="E149" s="270"/>
      <c r="F149" s="270"/>
      <c r="G149" s="270"/>
      <c r="H149" s="270"/>
      <c r="I149" s="270"/>
      <c r="J149" s="1804" t="s">
        <v>1170</v>
      </c>
      <c r="K149" s="1805"/>
      <c r="L149" s="1803" t="s">
        <v>1171</v>
      </c>
      <c r="M149" s="1803"/>
      <c r="N149" s="278"/>
    </row>
    <row r="150" spans="3:14" ht="15.75">
      <c r="C150" s="1806" t="s">
        <v>1181</v>
      </c>
      <c r="D150" s="1807"/>
      <c r="F150" s="270"/>
      <c r="G150" s="1246" t="s">
        <v>646</v>
      </c>
      <c r="H150" s="1247" t="s">
        <v>1172</v>
      </c>
      <c r="I150" s="1247" t="s">
        <v>1173</v>
      </c>
      <c r="J150" s="1248" t="s">
        <v>1174</v>
      </c>
      <c r="K150" s="1248" t="s">
        <v>1175</v>
      </c>
      <c r="L150" s="1248" t="s">
        <v>1174</v>
      </c>
      <c r="M150" s="1248" t="s">
        <v>1175</v>
      </c>
      <c r="N150" s="277" t="s">
        <v>1176</v>
      </c>
    </row>
    <row r="151" spans="3:14" ht="15.75">
      <c r="C151" s="1243" t="s">
        <v>1177</v>
      </c>
      <c r="D151" s="1260">
        <f>IF(D20="Ponta",B20,0)</f>
        <v>0</v>
      </c>
      <c r="E151" s="18"/>
      <c r="F151" s="270"/>
      <c r="G151" s="1250">
        <f>G136</f>
        <v>44440</v>
      </c>
      <c r="H151" s="272">
        <f>H136</f>
        <v>0</v>
      </c>
      <c r="I151" s="272">
        <f>I136</f>
        <v>0</v>
      </c>
      <c r="J151" s="272">
        <f>SUMIFS($G$18:$G$60,$B$18:$B$60,$D$151,$D$18:$D$60,"Ponta")</f>
        <v>0</v>
      </c>
      <c r="K151" s="272">
        <f>SUMIFS($G$18:$G$60,$B$18:$B$60,$D$151,$D$18:$D$60,"Fora Ponta")</f>
        <v>0</v>
      </c>
      <c r="L151" s="1251">
        <f>IF(MONTH(DataRevRea)=7,'Rede Básica + Ajuste'!J151,IF(G151&lt;$Q$69,(SUMIFS($G$18:$G$60,$B$18:$B$60,$D$151,$D$18:$D$60,"Ponta")),(SUMIFS($H$18:$H$60,$B$18:$B$60,$D$151,$D$18:$D$60,"Ponta"))))</f>
        <v>0</v>
      </c>
      <c r="M151" s="1251">
        <f>IF(MONTH(DataRevRea)=7,'Rede Básica + Ajuste'!K151,IF(G151&lt;$Q$69,(SUMIFS($G$18:$G$60,$B$18:$B$60,$D$151,$D$18:$D$60,"Fora Ponta")),(SUMIFS($H$18:$H$60,$B$18:$B$60,$D$151,$D$18:$D$60,"Fora Ponta"))))</f>
        <v>0</v>
      </c>
      <c r="N151" s="1252">
        <f>+(H151*(L151-J151))+(I151*(M151-K151))</f>
        <v>0</v>
      </c>
    </row>
    <row r="152" spans="3:14" ht="15.75">
      <c r="C152" s="270"/>
      <c r="D152" s="270"/>
      <c r="E152" s="270"/>
      <c r="F152" s="270"/>
      <c r="G152" s="271">
        <f t="shared" ref="G152:I162" si="29">G137</f>
        <v>44470</v>
      </c>
      <c r="H152" s="272">
        <f t="shared" si="29"/>
        <v>0</v>
      </c>
      <c r="I152" s="272">
        <f t="shared" si="29"/>
        <v>0</v>
      </c>
      <c r="J152" s="272">
        <f t="shared" ref="J152:J162" si="30">SUMIFS($G$18:$G$60,$B$18:$B$60,$D$151,$D$18:$D$60,"Ponta")</f>
        <v>0</v>
      </c>
      <c r="K152" s="272">
        <f t="shared" ref="K152:K162" si="31">SUMIFS($G$18:$G$60,$B$18:$B$60,$D$151,$D$18:$D$60,"Fora Ponta")</f>
        <v>0</v>
      </c>
      <c r="L152" s="272">
        <f>IF(MONTH(DataRevRea)=7,'Rede Básica + Ajuste'!J152,IF(G152&lt;$Q$69,(SUMIFS($G$18:$G$60,$B$18:$B$60,$D$151,$D$18:$D$60,"Ponta")),(SUMIFS($H$18:$H$60,$B$18:$B$60,$D$151,$D$18:$D$60,"Ponta"))))</f>
        <v>0</v>
      </c>
      <c r="M152" s="272">
        <f>IF(MONTH(DataRevRea)=7,'Rede Básica + Ajuste'!K152,IF(G152&lt;$Q$69,(SUMIFS($G$18:$G$60,$B$18:$B$60,$D$151,$D$18:$D$60,"Fora Ponta")),(SUMIFS($H$18:$H$60,$B$18:$B$60,$D$151,$D$18:$D$60,"Fora Ponta"))))</f>
        <v>0</v>
      </c>
      <c r="N152" s="279">
        <f t="shared" ref="N152:N162" si="32">+(H152*(L152-J152))+(I152*(M152-K152))</f>
        <v>0</v>
      </c>
    </row>
    <row r="153" spans="3:14" ht="15.75">
      <c r="C153" s="273"/>
      <c r="D153" s="1253" t="s">
        <v>1178</v>
      </c>
      <c r="E153" s="1254" t="s">
        <v>1179</v>
      </c>
      <c r="F153" s="270"/>
      <c r="G153" s="271">
        <f t="shared" si="29"/>
        <v>44501</v>
      </c>
      <c r="H153" s="272">
        <f t="shared" si="29"/>
        <v>0</v>
      </c>
      <c r="I153" s="272">
        <f t="shared" si="29"/>
        <v>0</v>
      </c>
      <c r="J153" s="272">
        <f t="shared" si="30"/>
        <v>0</v>
      </c>
      <c r="K153" s="272">
        <f t="shared" si="31"/>
        <v>0</v>
      </c>
      <c r="L153" s="272">
        <f>IF(MONTH(DataRevRea)=7,'Rede Básica + Ajuste'!J153,IF(G153&lt;$Q$69,(SUMIFS($G$18:$G$60,$B$18:$B$60,$D$151,$D$18:$D$60,"Ponta")),(SUMIFS($H$18:$H$60,$B$18:$B$60,$D$151,$D$18:$D$60,"Ponta"))))</f>
        <v>0</v>
      </c>
      <c r="M153" s="272">
        <f>IF(MONTH(DataRevRea)=7,'Rede Básica + Ajuste'!K153,IF(G153&lt;$Q$69,(SUMIFS($G$18:$G$60,$B$18:$B$60,$D$151,$D$18:$D$60,"Fora Ponta")),(SUMIFS($H$18:$H$60,$B$18:$B$60,$D$151,$D$18:$D$60,"Fora Ponta"))))</f>
        <v>0</v>
      </c>
      <c r="N153" s="279">
        <f t="shared" si="32"/>
        <v>0</v>
      </c>
    </row>
    <row r="154" spans="3:14" ht="15.75">
      <c r="C154" s="1255" t="str">
        <f>C139</f>
        <v>Cobertura 2021</v>
      </c>
      <c r="D154" s="1256">
        <f>SUMPRODUCT(H151:H162,J151:J162)</f>
        <v>0</v>
      </c>
      <c r="E154" s="1256">
        <f>SUMPRODUCT(I151:I162,K151:K162)</f>
        <v>0</v>
      </c>
      <c r="F154" s="270"/>
      <c r="G154" s="271">
        <f t="shared" si="29"/>
        <v>44531</v>
      </c>
      <c r="H154" s="272">
        <f t="shared" si="29"/>
        <v>0</v>
      </c>
      <c r="I154" s="272">
        <f t="shared" si="29"/>
        <v>0</v>
      </c>
      <c r="J154" s="272">
        <f t="shared" si="30"/>
        <v>0</v>
      </c>
      <c r="K154" s="272">
        <f t="shared" si="31"/>
        <v>0</v>
      </c>
      <c r="L154" s="272">
        <f>IF(MONTH(DataRevRea)=7,'Rede Básica + Ajuste'!J154,IF(G154&lt;$Q$69,(SUMIFS($G$18:$G$60,$B$18:$B$60,$D$151,$D$18:$D$60,"Ponta")),(SUMIFS($H$18:$H$60,$B$18:$B$60,$D$151,$D$18:$D$60,"Ponta"))))</f>
        <v>0</v>
      </c>
      <c r="M154" s="272">
        <f>IF(MONTH(DataRevRea)=7,'Rede Básica + Ajuste'!K154,IF(G154&lt;$Q$69,(SUMIFS($G$18:$G$60,$B$18:$B$60,$D$151,$D$18:$D$60,"Fora Ponta")),(SUMIFS($H$18:$H$60,$B$18:$B$60,$D$151,$D$18:$D$60,"Fora Ponta"))))</f>
        <v>0</v>
      </c>
      <c r="N154" s="279">
        <f t="shared" si="32"/>
        <v>0</v>
      </c>
    </row>
    <row r="155" spans="3:14" ht="15.75">
      <c r="C155" s="1255" t="s">
        <v>1180</v>
      </c>
      <c r="D155" s="1256">
        <f>SUMPRODUCT(H151:H162,L151:L162)</f>
        <v>0</v>
      </c>
      <c r="E155" s="1256">
        <f>SUMPRODUCT(I151:I162,M151:M162)</f>
        <v>0</v>
      </c>
      <c r="F155" s="270"/>
      <c r="G155" s="271">
        <f t="shared" si="29"/>
        <v>44562</v>
      </c>
      <c r="H155" s="272">
        <f t="shared" si="29"/>
        <v>0</v>
      </c>
      <c r="I155" s="272">
        <f t="shared" si="29"/>
        <v>0</v>
      </c>
      <c r="J155" s="272">
        <f t="shared" si="30"/>
        <v>0</v>
      </c>
      <c r="K155" s="272">
        <f t="shared" si="31"/>
        <v>0</v>
      </c>
      <c r="L155" s="272">
        <f>IF(MONTH(DataRevRea)=7,'Rede Básica + Ajuste'!J155,IF(G155&lt;$Q$69,(SUMIFS($G$18:$G$60,$B$18:$B$60,$D$151,$D$18:$D$60,"Ponta")),(SUMIFS($H$18:$H$60,$B$18:$B$60,$D$151,$D$18:$D$60,"Ponta"))))</f>
        <v>0</v>
      </c>
      <c r="M155" s="272">
        <f>IF(MONTH(DataRevRea)=7,'Rede Básica + Ajuste'!K155,IF(G155&lt;$Q$69,(SUMIFS($G$18:$G$60,$B$18:$B$60,$D$151,$D$18:$D$60,"Fora Ponta")),(SUMIFS($H$18:$H$60,$B$18:$B$60,$D$151,$D$18:$D$60,"Fora Ponta"))))</f>
        <v>0</v>
      </c>
      <c r="N155" s="279">
        <f t="shared" si="32"/>
        <v>0</v>
      </c>
    </row>
    <row r="156" spans="3:14" ht="15.75">
      <c r="C156" s="270"/>
      <c r="D156" s="270"/>
      <c r="E156" s="270"/>
      <c r="F156" s="270"/>
      <c r="G156" s="271">
        <f t="shared" si="29"/>
        <v>44593</v>
      </c>
      <c r="H156" s="272">
        <f t="shared" si="29"/>
        <v>0</v>
      </c>
      <c r="I156" s="272">
        <f t="shared" si="29"/>
        <v>0</v>
      </c>
      <c r="J156" s="272">
        <f t="shared" si="30"/>
        <v>0</v>
      </c>
      <c r="K156" s="272">
        <f t="shared" si="31"/>
        <v>0</v>
      </c>
      <c r="L156" s="272">
        <f>IF(MONTH(DataRevRea)=7,'Rede Básica + Ajuste'!J156,IF(G156&lt;$Q$69,(SUMIFS($G$18:$G$60,$B$18:$B$60,$D$151,$D$18:$D$60,"Ponta")),(SUMIFS($H$18:$H$60,$B$18:$B$60,$D$151,$D$18:$D$60,"Ponta"))))</f>
        <v>0</v>
      </c>
      <c r="M156" s="272">
        <f>IF(MONTH(DataRevRea)=7,'Rede Básica + Ajuste'!K156,IF(G156&lt;$Q$69,(SUMIFS($G$18:$G$60,$B$18:$B$60,$D$151,$D$18:$D$60,"Fora Ponta")),(SUMIFS($H$18:$H$60,$B$18:$B$60,$D$151,$D$18:$D$60,"Fora Ponta"))))</f>
        <v>0</v>
      </c>
      <c r="N156" s="279">
        <f t="shared" si="32"/>
        <v>0</v>
      </c>
    </row>
    <row r="157" spans="3:14" ht="15.75">
      <c r="C157" s="282"/>
      <c r="D157" s="282"/>
      <c r="E157" s="282"/>
      <c r="F157" s="270"/>
      <c r="G157" s="271">
        <f t="shared" si="29"/>
        <v>44621</v>
      </c>
      <c r="H157" s="272">
        <f t="shared" si="29"/>
        <v>0</v>
      </c>
      <c r="I157" s="272">
        <f t="shared" si="29"/>
        <v>0</v>
      </c>
      <c r="J157" s="272">
        <f t="shared" si="30"/>
        <v>0</v>
      </c>
      <c r="K157" s="272">
        <f t="shared" si="31"/>
        <v>0</v>
      </c>
      <c r="L157" s="272">
        <f>IF(MONTH(DataRevRea)=7,'Rede Básica + Ajuste'!J157,IF(G157&lt;$Q$69,(SUMIFS($G$18:$G$60,$B$18:$B$60,$D$151,$D$18:$D$60,"Ponta")),(SUMIFS($H$18:$H$60,$B$18:$B$60,$D$151,$D$18:$D$60,"Ponta"))))</f>
        <v>0</v>
      </c>
      <c r="M157" s="272">
        <f>IF(MONTH(DataRevRea)=7,'Rede Básica + Ajuste'!K157,IF(G157&lt;$Q$69,(SUMIFS($G$18:$G$60,$B$18:$B$60,$D$151,$D$18:$D$60,"Fora Ponta")),(SUMIFS($H$18:$H$60,$B$18:$B$60,$D$151,$D$18:$D$60,"Fora Ponta"))))</f>
        <v>0</v>
      </c>
      <c r="N157" s="279">
        <f t="shared" si="32"/>
        <v>0</v>
      </c>
    </row>
    <row r="158" spans="3:14" ht="15.75">
      <c r="C158" s="274"/>
      <c r="D158" s="274"/>
      <c r="E158" s="283"/>
      <c r="F158" s="270"/>
      <c r="G158" s="271">
        <f t="shared" si="29"/>
        <v>44652</v>
      </c>
      <c r="H158" s="272">
        <f t="shared" si="29"/>
        <v>0</v>
      </c>
      <c r="I158" s="272">
        <f t="shared" si="29"/>
        <v>0</v>
      </c>
      <c r="J158" s="272">
        <f t="shared" si="30"/>
        <v>0</v>
      </c>
      <c r="K158" s="272">
        <f t="shared" si="31"/>
        <v>0</v>
      </c>
      <c r="L158" s="272">
        <f>IF(MONTH(DataRevRea)=7,'Rede Básica + Ajuste'!J158,IF(G158&lt;$Q$69,(SUMIFS($G$18:$G$60,$B$18:$B$60,$D$151,$D$18:$D$60,"Ponta")),(SUMIFS($H$18:$H$60,$B$18:$B$60,$D$151,$D$18:$D$60,"Ponta"))))</f>
        <v>0</v>
      </c>
      <c r="M158" s="272">
        <f>IF(MONTH(DataRevRea)=7,'Rede Básica + Ajuste'!K158,IF(G158&lt;$Q$69,(SUMIFS($G$18:$G$60,$B$18:$B$60,$D$151,$D$18:$D$60,"Fora Ponta")),(SUMIFS($H$18:$H$60,$B$18:$B$60,$D$151,$D$18:$D$60,"Fora Ponta"))))</f>
        <v>0</v>
      </c>
      <c r="N158" s="279">
        <f t="shared" si="32"/>
        <v>0</v>
      </c>
    </row>
    <row r="159" spans="3:14" ht="15.75">
      <c r="C159" s="284"/>
      <c r="D159" s="274"/>
      <c r="E159" s="283"/>
      <c r="F159" s="270"/>
      <c r="G159" s="271">
        <f t="shared" si="29"/>
        <v>44682</v>
      </c>
      <c r="H159" s="272">
        <f t="shared" si="29"/>
        <v>0</v>
      </c>
      <c r="I159" s="272">
        <f t="shared" si="29"/>
        <v>0</v>
      </c>
      <c r="J159" s="272">
        <f t="shared" si="30"/>
        <v>0</v>
      </c>
      <c r="K159" s="272">
        <f t="shared" si="31"/>
        <v>0</v>
      </c>
      <c r="L159" s="272">
        <f>IF(MONTH(DataRevRea)=7,'Rede Básica + Ajuste'!J159,IF(G159&lt;$Q$69,(SUMIFS($G$18:$G$60,$B$18:$B$60,$D$151,$D$18:$D$60,"Ponta")),(SUMIFS($H$18:$H$60,$B$18:$B$60,$D$151,$D$18:$D$60,"Ponta"))))</f>
        <v>0</v>
      </c>
      <c r="M159" s="272">
        <f>IF(MONTH(DataRevRea)=7,'Rede Básica + Ajuste'!K159,IF(G159&lt;$Q$69,(SUMIFS($G$18:$G$60,$B$18:$B$60,$D$151,$D$18:$D$60,"Fora Ponta")),(SUMIFS($H$18:$H$60,$B$18:$B$60,$D$151,$D$18:$D$60,"Fora Ponta"))))</f>
        <v>0</v>
      </c>
      <c r="N159" s="279">
        <f t="shared" si="32"/>
        <v>0</v>
      </c>
    </row>
    <row r="160" spans="3:14" ht="15.75">
      <c r="C160" s="270"/>
      <c r="D160" s="270"/>
      <c r="E160" s="270"/>
      <c r="F160" s="270"/>
      <c r="G160" s="271">
        <f t="shared" si="29"/>
        <v>44713</v>
      </c>
      <c r="H160" s="272">
        <f t="shared" si="29"/>
        <v>0</v>
      </c>
      <c r="I160" s="272">
        <f t="shared" si="29"/>
        <v>0</v>
      </c>
      <c r="J160" s="272">
        <f t="shared" si="30"/>
        <v>0</v>
      </c>
      <c r="K160" s="272">
        <f t="shared" si="31"/>
        <v>0</v>
      </c>
      <c r="L160" s="272">
        <f>IF(MONTH(DataRevRea)=7,'Rede Básica + Ajuste'!J160,IF(G160&lt;$Q$69,(SUMIFS($G$18:$G$60,$B$18:$B$60,$D$151,$D$18:$D$60,"Ponta")),(SUMIFS($H$18:$H$60,$B$18:$B$60,$D$151,$D$18:$D$60,"Ponta"))))</f>
        <v>0</v>
      </c>
      <c r="M160" s="272">
        <f>IF(MONTH(DataRevRea)=7,'Rede Básica + Ajuste'!K160,IF(G160&lt;$Q$69,(SUMIFS($G$18:$G$60,$B$18:$B$60,$D$151,$D$18:$D$60,"Fora Ponta")),(SUMIFS($H$18:$H$60,$B$18:$B$60,$D$151,$D$18:$D$60,"Fora Ponta"))))</f>
        <v>0</v>
      </c>
      <c r="N160" s="279">
        <f t="shared" si="32"/>
        <v>0</v>
      </c>
    </row>
    <row r="161" spans="3:14" ht="15.75">
      <c r="C161" s="276"/>
      <c r="D161" s="276"/>
      <c r="E161" s="276"/>
      <c r="F161" s="270"/>
      <c r="G161" s="271">
        <f t="shared" si="29"/>
        <v>44743</v>
      </c>
      <c r="H161" s="272">
        <f t="shared" si="29"/>
        <v>0</v>
      </c>
      <c r="I161" s="272">
        <f>I146</f>
        <v>0</v>
      </c>
      <c r="J161" s="272">
        <f t="shared" si="30"/>
        <v>0</v>
      </c>
      <c r="K161" s="272">
        <f t="shared" si="31"/>
        <v>0</v>
      </c>
      <c r="L161" s="272">
        <f>IF(MONTH(DataRevRea)=7,'Rede Básica + Ajuste'!J161,IF(G161&lt;$Q$69,(SUMIFS($G$18:$G$60,$B$18:$B$60,$D$151,$D$18:$D$60,"Ponta")),(SUMIFS($H$18:$H$60,$B$18:$B$60,$D$151,$D$18:$D$60,"Ponta"))))</f>
        <v>0</v>
      </c>
      <c r="M161" s="272">
        <f>IF(MONTH(DataRevRea)=7,'Rede Básica + Ajuste'!K161,IF(G161&lt;$Q$69,(SUMIFS($G$18:$G$60,$B$18:$B$60,$D$151,$D$18:$D$60,"Fora Ponta")),(SUMIFS($H$18:$H$60,$B$18:$B$60,$D$151,$D$18:$D$60,"Fora Ponta"))))</f>
        <v>0</v>
      </c>
      <c r="N161" s="279">
        <f t="shared" si="32"/>
        <v>0</v>
      </c>
    </row>
    <row r="162" spans="3:14" ht="15.75">
      <c r="C162" s="274"/>
      <c r="D162" s="275"/>
      <c r="E162" s="274"/>
      <c r="F162" s="270"/>
      <c r="G162" s="1257">
        <f t="shared" si="29"/>
        <v>44774</v>
      </c>
      <c r="H162" s="1258">
        <f t="shared" si="29"/>
        <v>0</v>
      </c>
      <c r="I162" s="1258">
        <f t="shared" si="29"/>
        <v>0</v>
      </c>
      <c r="J162" s="1258">
        <f t="shared" si="30"/>
        <v>0</v>
      </c>
      <c r="K162" s="1258">
        <f t="shared" si="31"/>
        <v>0</v>
      </c>
      <c r="L162" s="1258">
        <f>IF(MONTH(DataRevRea)=7,'Rede Básica + Ajuste'!J162,IF(G162&lt;$Q$69,(SUMIFS($G$18:$G$60,$B$18:$B$60,$D$151,$D$18:$D$60,"Ponta")),(SUMIFS($H$18:$H$60,$B$18:$B$60,$D$151,$D$18:$D$60,"Ponta"))))</f>
        <v>0</v>
      </c>
      <c r="M162" s="1258">
        <f>IF(MONTH(DataRevRea)=7,'Rede Básica + Ajuste'!K162,IF(G162&lt;$Q$69,(SUMIFS($G$18:$G$60,$B$18:$B$60,$D$151,$D$18:$D$60,"Fora Ponta")),(SUMIFS($H$18:$H$60,$B$18:$B$60,$D$151,$D$18:$D$60,"Fora Ponta"))))</f>
        <v>0</v>
      </c>
      <c r="N162" s="1259">
        <f t="shared" si="32"/>
        <v>0</v>
      </c>
    </row>
    <row r="164" spans="3:14" ht="15.75">
      <c r="C164" s="270"/>
      <c r="D164" s="270"/>
      <c r="E164" s="270"/>
      <c r="F164" s="270"/>
      <c r="G164" s="270"/>
      <c r="H164" s="270"/>
      <c r="I164" s="270"/>
      <c r="J164" s="1804" t="s">
        <v>1170</v>
      </c>
      <c r="K164" s="1805"/>
      <c r="L164" s="1803" t="s">
        <v>1171</v>
      </c>
      <c r="M164" s="1803"/>
      <c r="N164" s="278"/>
    </row>
    <row r="165" spans="3:14" ht="15.75">
      <c r="C165" s="1806" t="s">
        <v>1153</v>
      </c>
      <c r="D165" s="1807"/>
      <c r="F165" s="270"/>
      <c r="G165" s="1246" t="s">
        <v>646</v>
      </c>
      <c r="H165" s="1247" t="s">
        <v>1172</v>
      </c>
      <c r="I165" s="1247" t="s">
        <v>1173</v>
      </c>
      <c r="J165" s="1248" t="s">
        <v>1174</v>
      </c>
      <c r="K165" s="1248" t="s">
        <v>1175</v>
      </c>
      <c r="L165" s="1248" t="s">
        <v>1174</v>
      </c>
      <c r="M165" s="1248" t="s">
        <v>1175</v>
      </c>
      <c r="N165" s="277" t="s">
        <v>1176</v>
      </c>
    </row>
    <row r="166" spans="3:14" ht="15.75">
      <c r="C166" s="1243" t="s">
        <v>1177</v>
      </c>
      <c r="D166" s="1260">
        <f>IF(D21="Ponta",B21,0)</f>
        <v>0</v>
      </c>
      <c r="E166" s="18"/>
      <c r="F166" s="270"/>
      <c r="G166" s="1250">
        <f>G151</f>
        <v>44440</v>
      </c>
      <c r="H166" s="272">
        <f>SUMIFS($N$18:$N$60,$B$18:$B$60,$D$166,$D$18:$D$60,"Ponta")</f>
        <v>0</v>
      </c>
      <c r="I166" s="272">
        <f>SUMIFS($N$18:$N$60,$B$18:$B$60,$D$166,$D$18:$D$60,"Fora Ponta")</f>
        <v>0</v>
      </c>
      <c r="J166" s="272">
        <f>SUMIFS($E$18:$E$60,$B$18:$B$60,$D$166,$D$18:$D$60,"Ponta")</f>
        <v>0</v>
      </c>
      <c r="K166" s="272">
        <f>SUMIFS($E$18:$E$60,$B$18:$B$60,$D$166,$D$18:$D$60,"Fora Ponta")</f>
        <v>0</v>
      </c>
      <c r="L166" s="1251">
        <f>IF(MONTH(DataRevRea)=7,'Rede Básica + Ajuste'!J166,IF(G166&lt;$Q$69,(SUMIFS($E$18:$E$60,$B$18:$B$60,$D$166,$D$18:$D$60,"Ponta")),(SUMIFS($F$18:$F$60,$B$18:$B$60,$D$166,$D$18:$D$60,"Ponta"))))</f>
        <v>0</v>
      </c>
      <c r="M166" s="1251">
        <f>IF(MONTH(DataRevRea)=7,'Rede Básica + Ajuste'!K166,IF(G166&lt;$Q$69,(SUMIFS($E$18:$E$60,$B$18:$B$60,$D$166,$D$18:$D$60,"Fora Ponta")),(SUMIFS($F$18:$F$60,$B$18:$B$60,$D$166,$D$18:$D$60,"Fora Ponta"))))</f>
        <v>0</v>
      </c>
      <c r="N166" s="1252">
        <f>+(H166*(L166-J166))+(I166*(M166-K166))</f>
        <v>0</v>
      </c>
    </row>
    <row r="167" spans="3:14" ht="15.75">
      <c r="C167" s="270"/>
      <c r="D167" s="270"/>
      <c r="E167" s="270"/>
      <c r="F167" s="270"/>
      <c r="G167" s="271">
        <f t="shared" ref="G167:G177" si="33">G152</f>
        <v>44470</v>
      </c>
      <c r="H167" s="272">
        <f>SUMIFS($O$18:$O$60,$B$18:$B$60,$D$166,$D$18:$D$60,"Ponta")</f>
        <v>0</v>
      </c>
      <c r="I167" s="272">
        <f>SUMIFS($O$18:$O$60,$B$18:$B$60,$D$166,$D$18:$D$60,"Fora Ponta")</f>
        <v>0</v>
      </c>
      <c r="J167" s="272">
        <f t="shared" ref="J167:J177" si="34">SUMIFS($E$18:$E$60,$B$18:$B$60,$D$166,$D$18:$D$60,"Ponta")</f>
        <v>0</v>
      </c>
      <c r="K167" s="272">
        <f t="shared" ref="K167:K177" si="35">SUMIFS($E$18:$E$60,$B$18:$B$60,$D$166,$D$18:$D$60,"Fora Ponta")</f>
        <v>0</v>
      </c>
      <c r="L167" s="272">
        <f>IF(MONTH(DataRevRea)=7,'Rede Básica + Ajuste'!J167,IF(G167&lt;$Q$69,(SUMIFS($E$18:$E$60,$B$18:$B$60,$D$166,$D$18:$D$60,"Ponta")),(SUMIFS($F$18:$F$60,$B$18:$B$60,$D$166,$D$18:$D$60,"Ponta"))))</f>
        <v>0</v>
      </c>
      <c r="M167" s="272">
        <f>IF(MONTH(DataRevRea)=7,'Rede Básica + Ajuste'!K167,IF(G167&lt;$Q$69,(SUMIFS($E$18:$E$60,$B$18:$B$60,$D$166,$D$18:$D$60,"Fora Ponta")),(SUMIFS($F$18:$F$60,$B$18:$B$60,$D$166,$D$18:$D$60,"Fora Ponta"))))</f>
        <v>0</v>
      </c>
      <c r="N167" s="279">
        <f t="shared" ref="N167:N177" si="36">+(H167*(L167-J167))+(I167*(M167-K167))</f>
        <v>0</v>
      </c>
    </row>
    <row r="168" spans="3:14" ht="15.75">
      <c r="C168" s="273"/>
      <c r="D168" s="1253" t="s">
        <v>1178</v>
      </c>
      <c r="E168" s="1254" t="s">
        <v>1179</v>
      </c>
      <c r="F168" s="270"/>
      <c r="G168" s="271">
        <f t="shared" si="33"/>
        <v>44501</v>
      </c>
      <c r="H168" s="272">
        <f>SUMIFS($P$18:$P$60,$B$18:$B$60,$D$166,$D$18:$D$60,"Ponta")</f>
        <v>0</v>
      </c>
      <c r="I168" s="272">
        <f>SUMIFS($P$18:$P$60,$B$18:$B$60,$D$166,$D$18:$D$60,"Fora Ponta")</f>
        <v>0</v>
      </c>
      <c r="J168" s="272">
        <f t="shared" si="34"/>
        <v>0</v>
      </c>
      <c r="K168" s="272">
        <f t="shared" si="35"/>
        <v>0</v>
      </c>
      <c r="L168" s="272">
        <f>IF(MONTH(DataRevRea)=7,'Rede Básica + Ajuste'!J168,IF(G168&lt;$Q$69,(SUMIFS($E$18:$E$60,$B$18:$B$60,$D$166,$D$18:$D$60,"Ponta")),(SUMIFS($F$18:$F$60,$B$18:$B$60,$D$166,$D$18:$D$60,"Ponta"))))</f>
        <v>0</v>
      </c>
      <c r="M168" s="272">
        <f>IF(MONTH(DataRevRea)=7,'Rede Básica + Ajuste'!K168,IF(G168&lt;$Q$69,(SUMIFS($E$18:$E$60,$B$18:$B$60,$D$166,$D$18:$D$60,"Fora Ponta")),(SUMIFS($F$18:$F$60,$B$18:$B$60,$D$166,$D$18:$D$60,"Fora Ponta"))))</f>
        <v>0</v>
      </c>
      <c r="N168" s="279">
        <f t="shared" si="36"/>
        <v>0</v>
      </c>
    </row>
    <row r="169" spans="3:14" ht="15.75">
      <c r="C169" s="1255" t="str">
        <f>C154</f>
        <v>Cobertura 2021</v>
      </c>
      <c r="D169" s="1256">
        <f>SUMPRODUCT(H166:H177,J166:J177)</f>
        <v>0</v>
      </c>
      <c r="E169" s="1256">
        <f>SUMPRODUCT(I166:I177,K166:K177)</f>
        <v>0</v>
      </c>
      <c r="F169" s="270"/>
      <c r="G169" s="271">
        <f t="shared" si="33"/>
        <v>44531</v>
      </c>
      <c r="H169" s="272">
        <f>SUMIFS($Q$18:$Q$60,$B$18:$B$60,$D$166,$D$18:$D$60,"Ponta")</f>
        <v>0</v>
      </c>
      <c r="I169" s="272">
        <f>SUMIFS($Q$18:$Q$60,$B$18:$B$60,$D$166,$D$18:$D$60,"Fora Ponta")</f>
        <v>0</v>
      </c>
      <c r="J169" s="272">
        <f t="shared" si="34"/>
        <v>0</v>
      </c>
      <c r="K169" s="272">
        <f t="shared" si="35"/>
        <v>0</v>
      </c>
      <c r="L169" s="272">
        <f>IF(MONTH(DataRevRea)=7,'Rede Básica + Ajuste'!J169,IF(G169&lt;$Q$69,(SUMIFS($E$18:$E$60,$B$18:$B$60,$D$166,$D$18:$D$60,"Ponta")),(SUMIFS($F$18:$F$60,$B$18:$B$60,$D$166,$D$18:$D$60,"Ponta"))))</f>
        <v>0</v>
      </c>
      <c r="M169" s="272">
        <f>IF(MONTH(DataRevRea)=7,'Rede Básica + Ajuste'!K169,IF(G169&lt;$Q$69,(SUMIFS($E$18:$E$60,$B$18:$B$60,$D$166,$D$18:$D$60,"Fora Ponta")),(SUMIFS($F$18:$F$60,$B$18:$B$60,$D$166,$D$18:$D$60,"Fora Ponta"))))</f>
        <v>0</v>
      </c>
      <c r="N169" s="279">
        <f t="shared" si="36"/>
        <v>0</v>
      </c>
    </row>
    <row r="170" spans="3:14" ht="15.75">
      <c r="C170" s="1255" t="s">
        <v>1180</v>
      </c>
      <c r="D170" s="1256">
        <f>SUMPRODUCT(H166:H177,L166:L177)</f>
        <v>0</v>
      </c>
      <c r="E170" s="1256">
        <f>SUMPRODUCT(I166:I177,M166:M177)</f>
        <v>0</v>
      </c>
      <c r="F170" s="270"/>
      <c r="G170" s="271">
        <f t="shared" si="33"/>
        <v>44562</v>
      </c>
      <c r="H170" s="272">
        <f>SUMIFS($R$18:$R$60,$B$18:$B$60,$D$166,$D$18:$D$60,"Ponta")</f>
        <v>0</v>
      </c>
      <c r="I170" s="272">
        <f>SUMIFS($R$18:$R$60,$B$18:$B$60,$D$166,$D$18:$D$60,"Fora Ponta")</f>
        <v>0</v>
      </c>
      <c r="J170" s="272">
        <f t="shared" si="34"/>
        <v>0</v>
      </c>
      <c r="K170" s="272">
        <f t="shared" si="35"/>
        <v>0</v>
      </c>
      <c r="L170" s="272">
        <f>IF(MONTH(DataRevRea)=7,'Rede Básica + Ajuste'!J170,IF(G170&lt;$Q$69,(SUMIFS($E$18:$E$60,$B$18:$B$60,$D$166,$D$18:$D$60,"Ponta")),(SUMIFS($F$18:$F$60,$B$18:$B$60,$D$166,$D$18:$D$60,"Ponta"))))</f>
        <v>0</v>
      </c>
      <c r="M170" s="272">
        <f>IF(MONTH(DataRevRea)=7,'Rede Básica + Ajuste'!K170,IF(G170&lt;$Q$69,(SUMIFS($E$18:$E$60,$B$18:$B$60,$D$166,$D$18:$D$60,"Fora Ponta")),(SUMIFS($F$18:$F$60,$B$18:$B$60,$D$166,$D$18:$D$60,"Fora Ponta"))))</f>
        <v>0</v>
      </c>
      <c r="N170" s="279">
        <f t="shared" si="36"/>
        <v>0</v>
      </c>
    </row>
    <row r="171" spans="3:14" ht="15.75">
      <c r="C171" s="270"/>
      <c r="D171" s="270"/>
      <c r="E171" s="270"/>
      <c r="F171" s="270"/>
      <c r="G171" s="271">
        <f t="shared" si="33"/>
        <v>44593</v>
      </c>
      <c r="H171" s="272">
        <f>SUMIFS($S$18:$S$60,$B$18:$B$60,$D$166,$D$18:$D$60,"Ponta")</f>
        <v>0</v>
      </c>
      <c r="I171" s="272">
        <f>SUMIFS($S$18:$S$60,$B$18:$B$60,$D$166,$D$18:$D$60,"Fora Ponta")</f>
        <v>0</v>
      </c>
      <c r="J171" s="272">
        <f t="shared" si="34"/>
        <v>0</v>
      </c>
      <c r="K171" s="272">
        <f t="shared" si="35"/>
        <v>0</v>
      </c>
      <c r="L171" s="272">
        <f>IF(MONTH(DataRevRea)=7,'Rede Básica + Ajuste'!J171,IF(G171&lt;$Q$69,(SUMIFS($E$18:$E$60,$B$18:$B$60,$D$166,$D$18:$D$60,"Ponta")),(SUMIFS($F$18:$F$60,$B$18:$B$60,$D$166,$D$18:$D$60,"Ponta"))))</f>
        <v>0</v>
      </c>
      <c r="M171" s="272">
        <f>IF(MONTH(DataRevRea)=7,'Rede Básica + Ajuste'!K171,IF(G171&lt;$Q$69,(SUMIFS($E$18:$E$60,$B$18:$B$60,$D$166,$D$18:$D$60,"Fora Ponta")),(SUMIFS($F$18:$F$60,$B$18:$B$60,$D$166,$D$18:$D$60,"Fora Ponta"))))</f>
        <v>0</v>
      </c>
      <c r="N171" s="279">
        <f t="shared" si="36"/>
        <v>0</v>
      </c>
    </row>
    <row r="172" spans="3:14" ht="15.75">
      <c r="C172" s="282"/>
      <c r="D172" s="282"/>
      <c r="E172" s="282"/>
      <c r="F172" s="270"/>
      <c r="G172" s="271">
        <f t="shared" si="33"/>
        <v>44621</v>
      </c>
      <c r="H172" s="272">
        <f>SUMIFS($T$18:$T$60,$B$18:$B$60,$D$166,$D$18:$D$60,"Ponta")</f>
        <v>0</v>
      </c>
      <c r="I172" s="272">
        <f>SUMIFS($T$18:$T$60,$B$18:$B$60,$D$166,$D$18:$D$60,"Fora Ponta")</f>
        <v>0</v>
      </c>
      <c r="J172" s="272">
        <f t="shared" si="34"/>
        <v>0</v>
      </c>
      <c r="K172" s="272">
        <f t="shared" si="35"/>
        <v>0</v>
      </c>
      <c r="L172" s="272">
        <f>IF(MONTH(DataRevRea)=7,'Rede Básica + Ajuste'!J172,IF(G172&lt;$Q$69,(SUMIFS($E$18:$E$60,$B$18:$B$60,$D$166,$D$18:$D$60,"Ponta")),(SUMIFS($F$18:$F$60,$B$18:$B$60,$D$166,$D$18:$D$60,"Ponta"))))</f>
        <v>0</v>
      </c>
      <c r="M172" s="272">
        <f>IF(MONTH(DataRevRea)=7,'Rede Básica + Ajuste'!K172,IF(G172&lt;$Q$69,(SUMIFS($E$18:$E$60,$B$18:$B$60,$D$166,$D$18:$D$60,"Fora Ponta")),(SUMIFS($F$18:$F$60,$B$18:$B$60,$D$166,$D$18:$D$60,"Fora Ponta"))))</f>
        <v>0</v>
      </c>
      <c r="N172" s="279">
        <f t="shared" si="36"/>
        <v>0</v>
      </c>
    </row>
    <row r="173" spans="3:14" ht="15.75">
      <c r="C173" s="274"/>
      <c r="D173" s="274"/>
      <c r="E173" s="283"/>
      <c r="F173" s="270"/>
      <c r="G173" s="271">
        <f t="shared" si="33"/>
        <v>44652</v>
      </c>
      <c r="H173" s="272">
        <f>SUMIFS($U$18:$U$60,$B$18:$B$60,$D$166,$D$18:$D$60,"Ponta")</f>
        <v>0</v>
      </c>
      <c r="I173" s="272">
        <f>SUMIFS($U$18:$U$60,$B$18:$B$60,$D$166,$D$18:$D$60,"Fora Ponta")</f>
        <v>0</v>
      </c>
      <c r="J173" s="272">
        <f t="shared" si="34"/>
        <v>0</v>
      </c>
      <c r="K173" s="272">
        <f t="shared" si="35"/>
        <v>0</v>
      </c>
      <c r="L173" s="272">
        <f>IF(MONTH(DataRevRea)=7,'Rede Básica + Ajuste'!J173,IF(G173&lt;$Q$69,(SUMIFS($E$18:$E$60,$B$18:$B$60,$D$166,$D$18:$D$60,"Ponta")),(SUMIFS($F$18:$F$60,$B$18:$B$60,$D$166,$D$18:$D$60,"Ponta"))))</f>
        <v>0</v>
      </c>
      <c r="M173" s="272">
        <f>IF(MONTH(DataRevRea)=7,'Rede Básica + Ajuste'!K173,IF(G173&lt;$Q$69,(SUMIFS($E$18:$E$60,$B$18:$B$60,$D$166,$D$18:$D$60,"Fora Ponta")),(SUMIFS($F$18:$F$60,$B$18:$B$60,$D$166,$D$18:$D$60,"Fora Ponta"))))</f>
        <v>0</v>
      </c>
      <c r="N173" s="279">
        <f t="shared" si="36"/>
        <v>0</v>
      </c>
    </row>
    <row r="174" spans="3:14" ht="15.75">
      <c r="C174" s="284"/>
      <c r="D174" s="274"/>
      <c r="E174" s="283"/>
      <c r="F174" s="270"/>
      <c r="G174" s="271">
        <f t="shared" si="33"/>
        <v>44682</v>
      </c>
      <c r="H174" s="272">
        <f>SUMIFS($V$18:$V$60,$B$18:$B$60,$D$166,$D$18:$D$60,"Ponta")</f>
        <v>0</v>
      </c>
      <c r="I174" s="272">
        <f>SUMIFS($V$18:$V$60,$B$18:$B$60,$D$166,$D$18:$D$60,"Fora Ponta")</f>
        <v>0</v>
      </c>
      <c r="J174" s="272">
        <f t="shared" si="34"/>
        <v>0</v>
      </c>
      <c r="K174" s="272">
        <f t="shared" si="35"/>
        <v>0</v>
      </c>
      <c r="L174" s="272">
        <f>IF(MONTH(DataRevRea)=7,'Rede Básica + Ajuste'!J174,IF(G174&lt;$Q$69,(SUMIFS($E$18:$E$60,$B$18:$B$60,$D$166,$D$18:$D$60,"Ponta")),(SUMIFS($F$18:$F$60,$B$18:$B$60,$D$166,$D$18:$D$60,"Ponta"))))</f>
        <v>0</v>
      </c>
      <c r="M174" s="272">
        <f>IF(MONTH(DataRevRea)=7,'Rede Básica + Ajuste'!K174,IF(G174&lt;$Q$69,(SUMIFS($E$18:$E$60,$B$18:$B$60,$D$166,$D$18:$D$60,"Fora Ponta")),(SUMIFS($F$18:$F$60,$B$18:$B$60,$D$166,$D$18:$D$60,"Fora Ponta"))))</f>
        <v>0</v>
      </c>
      <c r="N174" s="279">
        <f t="shared" si="36"/>
        <v>0</v>
      </c>
    </row>
    <row r="175" spans="3:14" ht="15.75">
      <c r="C175" s="270"/>
      <c r="D175" s="270"/>
      <c r="E175" s="270"/>
      <c r="F175" s="270"/>
      <c r="G175" s="271">
        <f t="shared" si="33"/>
        <v>44713</v>
      </c>
      <c r="H175" s="272">
        <f>SUMIFS($W$18:$W$60,$B$18:$B$60,$D$166,$D$18:$D$60,"Ponta")</f>
        <v>0</v>
      </c>
      <c r="I175" s="272">
        <f>SUMIFS($W$18:$W$60,$B$18:$B$60,$D$166,$D$18:$D$60,"Fora Ponta")</f>
        <v>0</v>
      </c>
      <c r="J175" s="272">
        <f t="shared" si="34"/>
        <v>0</v>
      </c>
      <c r="K175" s="272">
        <f t="shared" si="35"/>
        <v>0</v>
      </c>
      <c r="L175" s="272">
        <f>IF(MONTH(DataRevRea)=7,'Rede Básica + Ajuste'!J175,IF(G175&lt;$Q$69,(SUMIFS($E$18:$E$60,$B$18:$B$60,$D$166,$D$18:$D$60,"Ponta")),(SUMIFS($F$18:$F$60,$B$18:$B$60,$D$166,$D$18:$D$60,"Ponta"))))</f>
        <v>0</v>
      </c>
      <c r="M175" s="272">
        <f>IF(MONTH(DataRevRea)=7,'Rede Básica + Ajuste'!K175,IF(G175&lt;$Q$69,(SUMIFS($E$18:$E$60,$B$18:$B$60,$D$166,$D$18:$D$60,"Fora Ponta")),(SUMIFS($F$18:$F$60,$B$18:$B$60,$D$166,$D$18:$D$60,"Fora Ponta"))))</f>
        <v>0</v>
      </c>
      <c r="N175" s="279">
        <f t="shared" si="36"/>
        <v>0</v>
      </c>
    </row>
    <row r="176" spans="3:14" ht="15.75">
      <c r="C176" s="276"/>
      <c r="D176" s="276"/>
      <c r="E176" s="276"/>
      <c r="F176" s="270"/>
      <c r="G176" s="271">
        <f t="shared" si="33"/>
        <v>44743</v>
      </c>
      <c r="H176" s="272">
        <f>SUMIFS($X$18:$X$60,$B$18:$B$60,$D$166,$D$18:$D$60,"Ponta")</f>
        <v>0</v>
      </c>
      <c r="I176" s="272">
        <f>SUMIFS($X$18:$X$60,$B$18:$B$60,$D$166,$D$18:$D$60,"Fora Ponta")</f>
        <v>0</v>
      </c>
      <c r="J176" s="272">
        <f t="shared" si="34"/>
        <v>0</v>
      </c>
      <c r="K176" s="272">
        <f t="shared" si="35"/>
        <v>0</v>
      </c>
      <c r="L176" s="272">
        <f>IF(MONTH(DataRevRea)=7,'Rede Básica + Ajuste'!J176,IF(G176&lt;$Q$69,(SUMIFS($E$18:$E$60,$B$18:$B$60,$D$166,$D$18:$D$60,"Ponta")),(SUMIFS($F$18:$F$60,$B$18:$B$60,$D$166,$D$18:$D$60,"Ponta"))))</f>
        <v>0</v>
      </c>
      <c r="M176" s="272">
        <f>IF(MONTH(DataRevRea)=7,'Rede Básica + Ajuste'!K176,IF(G176&lt;$Q$69,(SUMIFS($E$18:$E$60,$B$18:$B$60,$D$166,$D$18:$D$60,"Fora Ponta")),(SUMIFS($F$18:$F$60,$B$18:$B$60,$D$166,$D$18:$D$60,"Fora Ponta"))))</f>
        <v>0</v>
      </c>
      <c r="N176" s="279">
        <f t="shared" si="36"/>
        <v>0</v>
      </c>
    </row>
    <row r="177" spans="3:14" ht="15.75">
      <c r="C177" s="274"/>
      <c r="D177" s="275"/>
      <c r="E177" s="274"/>
      <c r="F177" s="270"/>
      <c r="G177" s="1257">
        <f t="shared" si="33"/>
        <v>44774</v>
      </c>
      <c r="H177" s="1258">
        <f>SUMIFS($Y$18:$Y$60,$B$18:$B$60,$D$166,$D$18:$D$60,"Ponta")</f>
        <v>0</v>
      </c>
      <c r="I177" s="1258">
        <f>SUMIFS($Y$18:$Y$60,$B$18:$B$60,$D$166,$D$18:$D$60,"Fora Ponta")</f>
        <v>0</v>
      </c>
      <c r="J177" s="1258">
        <f t="shared" si="34"/>
        <v>0</v>
      </c>
      <c r="K177" s="1258">
        <f t="shared" si="35"/>
        <v>0</v>
      </c>
      <c r="L177" s="1258">
        <f>IF(MONTH(DataRevRea)=7,'Rede Básica + Ajuste'!J177,IF(G177&lt;$Q$69,(SUMIFS($E$18:$E$60,$B$18:$B$60,$D$166,$D$18:$D$60,"Ponta")),(SUMIFS($F$18:$F$60,$B$18:$B$60,$D$166,$D$18:$D$60,"Ponta"))))</f>
        <v>0</v>
      </c>
      <c r="M177" s="1258">
        <f>IF(MONTH(DataRevRea)=7,'Rede Básica + Ajuste'!K177,IF(G177&lt;$Q$69,(SUMIFS($E$18:$E$60,$B$18:$B$60,$D$166,$D$18:$D$60,"Fora Ponta")),(SUMIFS($F$18:$F$60,$B$18:$B$60,$D$166,$D$18:$D$60,"Fora Ponta"))))</f>
        <v>0</v>
      </c>
      <c r="N177" s="1259">
        <f t="shared" si="36"/>
        <v>0</v>
      </c>
    </row>
    <row r="178" spans="3:14">
      <c r="G178" s="149"/>
    </row>
    <row r="179" spans="3:14" ht="15.75">
      <c r="C179" s="270"/>
      <c r="D179" s="270"/>
      <c r="E179" s="270"/>
      <c r="F179" s="270"/>
      <c r="G179" s="270"/>
      <c r="H179" s="270"/>
      <c r="I179" s="270"/>
      <c r="J179" s="1804" t="s">
        <v>1170</v>
      </c>
      <c r="K179" s="1805"/>
      <c r="L179" s="1803" t="s">
        <v>1171</v>
      </c>
      <c r="M179" s="1803"/>
      <c r="N179" s="278"/>
    </row>
    <row r="180" spans="3:14" ht="15.75">
      <c r="C180" s="1806" t="s">
        <v>1181</v>
      </c>
      <c r="D180" s="1807"/>
      <c r="F180" s="270"/>
      <c r="G180" s="1246" t="s">
        <v>646</v>
      </c>
      <c r="H180" s="1247" t="s">
        <v>1172</v>
      </c>
      <c r="I180" s="1247" t="s">
        <v>1173</v>
      </c>
      <c r="J180" s="1248" t="s">
        <v>1174</v>
      </c>
      <c r="K180" s="1248" t="s">
        <v>1175</v>
      </c>
      <c r="L180" s="1248" t="s">
        <v>1174</v>
      </c>
      <c r="M180" s="1248" t="s">
        <v>1175</v>
      </c>
      <c r="N180" s="277" t="s">
        <v>1176</v>
      </c>
    </row>
    <row r="181" spans="3:14" ht="15.75">
      <c r="C181" s="1243" t="s">
        <v>1177</v>
      </c>
      <c r="D181" s="1260">
        <f>IF(D21="Ponta",B21,0)</f>
        <v>0</v>
      </c>
      <c r="E181" s="18"/>
      <c r="F181" s="270"/>
      <c r="G181" s="1250">
        <f>G166</f>
        <v>44440</v>
      </c>
      <c r="H181" s="272">
        <f>H166</f>
        <v>0</v>
      </c>
      <c r="I181" s="272">
        <f>I166</f>
        <v>0</v>
      </c>
      <c r="J181" s="1251">
        <f>SUMIFS($G$18:$G$60,$B$18:$B$60,$D$181,$D$18:$D$60,"Ponta")</f>
        <v>0</v>
      </c>
      <c r="K181" s="1251">
        <f>SUMIFS($G$18:$G$60,$B$18:$B$60,$D$181,$D$18:$D$60,"Fora Ponta")</f>
        <v>0</v>
      </c>
      <c r="L181" s="1251">
        <f>IF(MONTH(DataRevRea)=7,'Rede Básica + Ajuste'!J181,IF(G181&lt;$Q$69,(SUMIFS($G$18:$G$60,$B$18:$B$60,$D$181,$D$18:$D$60,"Ponta")),(SUMIFS($H$18:$H$60,$B$18:$B$60,$D$181,$D$18:$D$60,"Ponta"))))</f>
        <v>0</v>
      </c>
      <c r="M181" s="1251">
        <f>IF(MONTH(DataRevRea)=7,'Rede Básica + Ajuste'!K181,IF(G181&lt;$Q$69,(SUMIFS($G$18:$G$60,$B$18:$B$60,$D$181,$D$18:$D$60,"Fora Ponta")),(SUMIFS($H$18:$H$60,$B$18:$B$60,$D$181,$D$18:$D$60,"Fora Ponta"))))</f>
        <v>0</v>
      </c>
      <c r="N181" s="1252">
        <f>+(H181*(L181-J181))+(I181*(M181-K181))</f>
        <v>0</v>
      </c>
    </row>
    <row r="182" spans="3:14" ht="15.75">
      <c r="C182" s="270"/>
      <c r="D182" s="270"/>
      <c r="E182" s="270"/>
      <c r="F182" s="270"/>
      <c r="G182" s="271">
        <f t="shared" ref="G182:I192" si="37">G167</f>
        <v>44470</v>
      </c>
      <c r="H182" s="272">
        <f t="shared" si="37"/>
        <v>0</v>
      </c>
      <c r="I182" s="272">
        <f t="shared" si="37"/>
        <v>0</v>
      </c>
      <c r="J182" s="272">
        <f t="shared" ref="J182:J192" si="38">SUMIFS($G$18:$G$60,$B$18:$B$60,$D$181,$D$18:$D$60,"Ponta")</f>
        <v>0</v>
      </c>
      <c r="K182" s="272">
        <f t="shared" ref="K182:K192" si="39">SUMIFS($G$18:$G$60,$B$18:$B$60,$D$181,$D$18:$D$60,"Fora Ponta")</f>
        <v>0</v>
      </c>
      <c r="L182" s="272">
        <f>IF(MONTH(DataRevRea)=7,'Rede Básica + Ajuste'!J182,IF(G182&lt;$Q$69,(SUMIFS($G$18:$G$60,$B$18:$B$60,$D$181,$D$18:$D$60,"Ponta")),(SUMIFS($H$18:$H$60,$B$18:$B$60,$D$181,$D$18:$D$60,"Ponta"))))</f>
        <v>0</v>
      </c>
      <c r="M182" s="272">
        <f>IF(MONTH(DataRevRea)=7,'Rede Básica + Ajuste'!K182,IF(G182&lt;$Q$69,(SUMIFS($G$18:$G$60,$B$18:$B$60,$D$181,$D$18:$D$60,"Fora Ponta")),(SUMIFS($H$18:$H$60,$B$18:$B$60,$D$181,$D$18:$D$60,"Fora Ponta"))))</f>
        <v>0</v>
      </c>
      <c r="N182" s="279">
        <f t="shared" ref="N182:N192" si="40">+(H182*(L182-J182))+(I182*(M182-K182))</f>
        <v>0</v>
      </c>
    </row>
    <row r="183" spans="3:14" ht="15.75">
      <c r="C183" s="273"/>
      <c r="D183" s="1253" t="s">
        <v>1178</v>
      </c>
      <c r="E183" s="1254" t="s">
        <v>1179</v>
      </c>
      <c r="F183" s="270"/>
      <c r="G183" s="271">
        <f t="shared" si="37"/>
        <v>44501</v>
      </c>
      <c r="H183" s="272">
        <f t="shared" si="37"/>
        <v>0</v>
      </c>
      <c r="I183" s="272">
        <f t="shared" si="37"/>
        <v>0</v>
      </c>
      <c r="J183" s="272">
        <f t="shared" si="38"/>
        <v>0</v>
      </c>
      <c r="K183" s="272">
        <f t="shared" si="39"/>
        <v>0</v>
      </c>
      <c r="L183" s="272">
        <f>IF(MONTH(DataRevRea)=7,'Rede Básica + Ajuste'!J183,IF(G183&lt;$Q$69,(SUMIFS($G$18:$G$60,$B$18:$B$60,$D$181,$D$18:$D$60,"Ponta")),(SUMIFS($H$18:$H$60,$B$18:$B$60,$D$181,$D$18:$D$60,"Ponta"))))</f>
        <v>0</v>
      </c>
      <c r="M183" s="272">
        <f>IF(MONTH(DataRevRea)=7,'Rede Básica + Ajuste'!K183,IF(G183&lt;$Q$69,(SUMIFS($G$18:$G$60,$B$18:$B$60,$D$181,$D$18:$D$60,"Fora Ponta")),(SUMIFS($H$18:$H$60,$B$18:$B$60,$D$181,$D$18:$D$60,"Fora Ponta"))))</f>
        <v>0</v>
      </c>
      <c r="N183" s="279">
        <f t="shared" si="40"/>
        <v>0</v>
      </c>
    </row>
    <row r="184" spans="3:14" ht="15.75">
      <c r="C184" s="1255" t="str">
        <f>C169</f>
        <v>Cobertura 2021</v>
      </c>
      <c r="D184" s="1256">
        <f>SUMPRODUCT(H181:H192,J181:J192)</f>
        <v>0</v>
      </c>
      <c r="E184" s="1256">
        <f>SUMPRODUCT(I181:I192,K181:K192)</f>
        <v>0</v>
      </c>
      <c r="F184" s="270"/>
      <c r="G184" s="271">
        <f t="shared" si="37"/>
        <v>44531</v>
      </c>
      <c r="H184" s="272">
        <f t="shared" si="37"/>
        <v>0</v>
      </c>
      <c r="I184" s="272">
        <f t="shared" si="37"/>
        <v>0</v>
      </c>
      <c r="J184" s="272">
        <f t="shared" si="38"/>
        <v>0</v>
      </c>
      <c r="K184" s="272">
        <f t="shared" si="39"/>
        <v>0</v>
      </c>
      <c r="L184" s="272">
        <f>IF(MONTH(DataRevRea)=7,'Rede Básica + Ajuste'!J184,IF(G184&lt;$Q$69,(SUMIFS($G$18:$G$60,$B$18:$B$60,$D$181,$D$18:$D$60,"Ponta")),(SUMIFS($H$18:$H$60,$B$18:$B$60,$D$181,$D$18:$D$60,"Ponta"))))</f>
        <v>0</v>
      </c>
      <c r="M184" s="272">
        <f>IF(MONTH(DataRevRea)=7,'Rede Básica + Ajuste'!K184,IF(G184&lt;$Q$69,(SUMIFS($G$18:$G$60,$B$18:$B$60,$D$181,$D$18:$D$60,"Fora Ponta")),(SUMIFS($H$18:$H$60,$B$18:$B$60,$D$181,$D$18:$D$60,"Fora Ponta"))))</f>
        <v>0</v>
      </c>
      <c r="N184" s="279">
        <f t="shared" si="40"/>
        <v>0</v>
      </c>
    </row>
    <row r="185" spans="3:14" ht="15.75">
      <c r="C185" s="1255" t="s">
        <v>1180</v>
      </c>
      <c r="D185" s="1256">
        <f>SUMPRODUCT(H181:H192,L181:L192)</f>
        <v>0</v>
      </c>
      <c r="E185" s="1256">
        <f>SUMPRODUCT(I181:I192,M181:M192)</f>
        <v>0</v>
      </c>
      <c r="F185" s="270"/>
      <c r="G185" s="271">
        <f t="shared" si="37"/>
        <v>44562</v>
      </c>
      <c r="H185" s="272">
        <f t="shared" si="37"/>
        <v>0</v>
      </c>
      <c r="I185" s="272">
        <f t="shared" si="37"/>
        <v>0</v>
      </c>
      <c r="J185" s="272">
        <f t="shared" si="38"/>
        <v>0</v>
      </c>
      <c r="K185" s="272">
        <f t="shared" si="39"/>
        <v>0</v>
      </c>
      <c r="L185" s="272">
        <f>IF(MONTH(DataRevRea)=7,'Rede Básica + Ajuste'!J185,IF(G185&lt;$Q$69,(SUMIFS($G$18:$G$60,$B$18:$B$60,$D$181,$D$18:$D$60,"Ponta")),(SUMIFS($H$18:$H$60,$B$18:$B$60,$D$181,$D$18:$D$60,"Ponta"))))</f>
        <v>0</v>
      </c>
      <c r="M185" s="272">
        <f>IF(MONTH(DataRevRea)=7,'Rede Básica + Ajuste'!K185,IF(G185&lt;$Q$69,(SUMIFS($G$18:$G$60,$B$18:$B$60,$D$181,$D$18:$D$60,"Fora Ponta")),(SUMIFS($H$18:$H$60,$B$18:$B$60,$D$181,$D$18:$D$60,"Fora Ponta"))))</f>
        <v>0</v>
      </c>
      <c r="N185" s="279">
        <f t="shared" si="40"/>
        <v>0</v>
      </c>
    </row>
    <row r="186" spans="3:14" ht="15.75">
      <c r="C186" s="270"/>
      <c r="D186" s="270"/>
      <c r="E186" s="270"/>
      <c r="F186" s="270"/>
      <c r="G186" s="271">
        <f t="shared" si="37"/>
        <v>44593</v>
      </c>
      <c r="H186" s="272">
        <f t="shared" si="37"/>
        <v>0</v>
      </c>
      <c r="I186" s="272">
        <f t="shared" si="37"/>
        <v>0</v>
      </c>
      <c r="J186" s="272">
        <f t="shared" si="38"/>
        <v>0</v>
      </c>
      <c r="K186" s="272">
        <f t="shared" si="39"/>
        <v>0</v>
      </c>
      <c r="L186" s="272">
        <f>IF(MONTH(DataRevRea)=7,'Rede Básica + Ajuste'!J186,IF(G186&lt;$Q$69,(SUMIFS($G$18:$G$60,$B$18:$B$60,$D$181,$D$18:$D$60,"Ponta")),(SUMIFS($H$18:$H$60,$B$18:$B$60,$D$181,$D$18:$D$60,"Ponta"))))</f>
        <v>0</v>
      </c>
      <c r="M186" s="272">
        <f>IF(MONTH(DataRevRea)=7,'Rede Básica + Ajuste'!K186,IF(G186&lt;$Q$69,(SUMIFS($G$18:$G$60,$B$18:$B$60,$D$181,$D$18:$D$60,"Fora Ponta")),(SUMIFS($H$18:$H$60,$B$18:$B$60,$D$181,$D$18:$D$60,"Fora Ponta"))))</f>
        <v>0</v>
      </c>
      <c r="N186" s="279">
        <f t="shared" si="40"/>
        <v>0</v>
      </c>
    </row>
    <row r="187" spans="3:14" ht="15.75">
      <c r="C187" s="282"/>
      <c r="D187" s="282"/>
      <c r="E187" s="282"/>
      <c r="F187" s="270"/>
      <c r="G187" s="271">
        <f t="shared" si="37"/>
        <v>44621</v>
      </c>
      <c r="H187" s="272">
        <f t="shared" si="37"/>
        <v>0</v>
      </c>
      <c r="I187" s="272">
        <f t="shared" si="37"/>
        <v>0</v>
      </c>
      <c r="J187" s="272">
        <f t="shared" si="38"/>
        <v>0</v>
      </c>
      <c r="K187" s="272">
        <f t="shared" si="39"/>
        <v>0</v>
      </c>
      <c r="L187" s="272">
        <f>IF(MONTH(DataRevRea)=7,'Rede Básica + Ajuste'!J187,IF(G187&lt;$Q$69,(SUMIFS($G$18:$G$60,$B$18:$B$60,$D$181,$D$18:$D$60,"Ponta")),(SUMIFS($H$18:$H$60,$B$18:$B$60,$D$181,$D$18:$D$60,"Ponta"))))</f>
        <v>0</v>
      </c>
      <c r="M187" s="272">
        <f>IF(MONTH(DataRevRea)=7,'Rede Básica + Ajuste'!K187,IF(G187&lt;$Q$69,(SUMIFS($G$18:$G$60,$B$18:$B$60,$D$181,$D$18:$D$60,"Fora Ponta")),(SUMIFS($H$18:$H$60,$B$18:$B$60,$D$181,$D$18:$D$60,"Fora Ponta"))))</f>
        <v>0</v>
      </c>
      <c r="N187" s="279">
        <f t="shared" si="40"/>
        <v>0</v>
      </c>
    </row>
    <row r="188" spans="3:14" ht="15.75">
      <c r="C188" s="274"/>
      <c r="D188" s="274"/>
      <c r="E188" s="283"/>
      <c r="F188" s="270"/>
      <c r="G188" s="271">
        <f t="shared" si="37"/>
        <v>44652</v>
      </c>
      <c r="H188" s="272">
        <f t="shared" si="37"/>
        <v>0</v>
      </c>
      <c r="I188" s="272">
        <f t="shared" si="37"/>
        <v>0</v>
      </c>
      <c r="J188" s="272">
        <f t="shared" si="38"/>
        <v>0</v>
      </c>
      <c r="K188" s="272">
        <f t="shared" si="39"/>
        <v>0</v>
      </c>
      <c r="L188" s="272">
        <f>IF(MONTH(DataRevRea)=7,'Rede Básica + Ajuste'!J188,IF(G188&lt;$Q$69,(SUMIFS($G$18:$G$60,$B$18:$B$60,$D$181,$D$18:$D$60,"Ponta")),(SUMIFS($H$18:$H$60,$B$18:$B$60,$D$181,$D$18:$D$60,"Ponta"))))</f>
        <v>0</v>
      </c>
      <c r="M188" s="272">
        <f>IF(MONTH(DataRevRea)=7,'Rede Básica + Ajuste'!K188,IF(G188&lt;$Q$69,(SUMIFS($G$18:$G$60,$B$18:$B$60,$D$181,$D$18:$D$60,"Fora Ponta")),(SUMIFS($H$18:$H$60,$B$18:$B$60,$D$181,$D$18:$D$60,"Fora Ponta"))))</f>
        <v>0</v>
      </c>
      <c r="N188" s="279">
        <f t="shared" si="40"/>
        <v>0</v>
      </c>
    </row>
    <row r="189" spans="3:14" ht="15.75">
      <c r="C189" s="284"/>
      <c r="D189" s="274"/>
      <c r="E189" s="283"/>
      <c r="F189" s="270"/>
      <c r="G189" s="271">
        <f t="shared" si="37"/>
        <v>44682</v>
      </c>
      <c r="H189" s="272">
        <f t="shared" si="37"/>
        <v>0</v>
      </c>
      <c r="I189" s="272">
        <f t="shared" si="37"/>
        <v>0</v>
      </c>
      <c r="J189" s="272">
        <f t="shared" si="38"/>
        <v>0</v>
      </c>
      <c r="K189" s="272">
        <f t="shared" si="39"/>
        <v>0</v>
      </c>
      <c r="L189" s="272">
        <f>IF(MONTH(DataRevRea)=7,'Rede Básica + Ajuste'!J189,IF(G189&lt;$Q$69,(SUMIFS($G$18:$G$60,$B$18:$B$60,$D$181,$D$18:$D$60,"Ponta")),(SUMIFS($H$18:$H$60,$B$18:$B$60,$D$181,$D$18:$D$60,"Ponta"))))</f>
        <v>0</v>
      </c>
      <c r="M189" s="272">
        <f>IF(MONTH(DataRevRea)=7,'Rede Básica + Ajuste'!K189,IF(G189&lt;$Q$69,(SUMIFS($G$18:$G$60,$B$18:$B$60,$D$181,$D$18:$D$60,"Fora Ponta")),(SUMIFS($H$18:$H$60,$B$18:$B$60,$D$181,$D$18:$D$60,"Fora Ponta"))))</f>
        <v>0</v>
      </c>
      <c r="N189" s="279">
        <f t="shared" si="40"/>
        <v>0</v>
      </c>
    </row>
    <row r="190" spans="3:14" ht="15.75">
      <c r="C190" s="270"/>
      <c r="D190" s="270"/>
      <c r="E190" s="270"/>
      <c r="F190" s="270"/>
      <c r="G190" s="271">
        <f t="shared" si="37"/>
        <v>44713</v>
      </c>
      <c r="H190" s="272">
        <f t="shared" si="37"/>
        <v>0</v>
      </c>
      <c r="I190" s="272">
        <f t="shared" si="37"/>
        <v>0</v>
      </c>
      <c r="J190" s="272">
        <f t="shared" si="38"/>
        <v>0</v>
      </c>
      <c r="K190" s="272">
        <f t="shared" si="39"/>
        <v>0</v>
      </c>
      <c r="L190" s="272">
        <f>IF(MONTH(DataRevRea)=7,'Rede Básica + Ajuste'!J190,IF(G190&lt;$Q$69,(SUMIFS($G$18:$G$60,$B$18:$B$60,$D$181,$D$18:$D$60,"Ponta")),(SUMIFS($H$18:$H$60,$B$18:$B$60,$D$181,$D$18:$D$60,"Ponta"))))</f>
        <v>0</v>
      </c>
      <c r="M190" s="272">
        <f>IF(MONTH(DataRevRea)=7,'Rede Básica + Ajuste'!K190,IF(G190&lt;$Q$69,(SUMIFS($G$18:$G$60,$B$18:$B$60,$D$181,$D$18:$D$60,"Fora Ponta")),(SUMIFS($H$18:$H$60,$B$18:$B$60,$D$181,$D$18:$D$60,"Fora Ponta"))))</f>
        <v>0</v>
      </c>
      <c r="N190" s="279">
        <f t="shared" si="40"/>
        <v>0</v>
      </c>
    </row>
    <row r="191" spans="3:14" ht="15.75">
      <c r="C191" s="276"/>
      <c r="D191" s="276"/>
      <c r="E191" s="276"/>
      <c r="F191" s="270"/>
      <c r="G191" s="271">
        <f t="shared" si="37"/>
        <v>44743</v>
      </c>
      <c r="H191" s="272">
        <f t="shared" si="37"/>
        <v>0</v>
      </c>
      <c r="I191" s="272">
        <f t="shared" si="37"/>
        <v>0</v>
      </c>
      <c r="J191" s="272">
        <f t="shared" si="38"/>
        <v>0</v>
      </c>
      <c r="K191" s="272">
        <f t="shared" si="39"/>
        <v>0</v>
      </c>
      <c r="L191" s="272">
        <f>IF(MONTH(DataRevRea)=7,'Rede Básica + Ajuste'!J191,IF(G191&lt;$Q$69,(SUMIFS($G$18:$G$60,$B$18:$B$60,$D$181,$D$18:$D$60,"Ponta")),(SUMIFS($H$18:$H$60,$B$18:$B$60,$D$181,$D$18:$D$60,"Ponta"))))</f>
        <v>0</v>
      </c>
      <c r="M191" s="272">
        <f>IF(MONTH(DataRevRea)=7,'Rede Básica + Ajuste'!K191,IF(G191&lt;$Q$69,(SUMIFS($G$18:$G$60,$B$18:$B$60,$D$181,$D$18:$D$60,"Fora Ponta")),(SUMIFS($H$18:$H$60,$B$18:$B$60,$D$181,$D$18:$D$60,"Fora Ponta"))))</f>
        <v>0</v>
      </c>
      <c r="N191" s="279">
        <f t="shared" si="40"/>
        <v>0</v>
      </c>
    </row>
    <row r="192" spans="3:14" ht="15.75">
      <c r="C192" s="274"/>
      <c r="D192" s="275"/>
      <c r="E192" s="274"/>
      <c r="F192" s="270"/>
      <c r="G192" s="1257">
        <f t="shared" si="37"/>
        <v>44774</v>
      </c>
      <c r="H192" s="1258">
        <f t="shared" si="37"/>
        <v>0</v>
      </c>
      <c r="I192" s="1258">
        <f t="shared" si="37"/>
        <v>0</v>
      </c>
      <c r="J192" s="1258">
        <f t="shared" si="38"/>
        <v>0</v>
      </c>
      <c r="K192" s="1258">
        <f t="shared" si="39"/>
        <v>0</v>
      </c>
      <c r="L192" s="1258">
        <f>IF(MONTH(DataRevRea)=7,'Rede Básica + Ajuste'!J192,IF(G192&lt;$Q$69,(SUMIFS($G$18:$G$60,$B$18:$B$60,$D$181,$D$18:$D$60,"Ponta")),(SUMIFS($H$18:$H$60,$B$18:$B$60,$D$181,$D$18:$D$60,"Ponta"))))</f>
        <v>0</v>
      </c>
      <c r="M192" s="1258">
        <f>IF(MONTH(DataRevRea)=7,'Rede Básica + Ajuste'!K192,IF(G192&lt;$Q$69,(SUMIFS($G$18:$G$60,$B$18:$B$60,$D$181,$D$18:$D$60,"Fora Ponta")),(SUMIFS($H$18:$H$60,$B$18:$B$60,$D$181,$D$18:$D$60,"Fora Ponta"))))</f>
        <v>0</v>
      </c>
      <c r="N192" s="1259">
        <f t="shared" si="40"/>
        <v>0</v>
      </c>
    </row>
    <row r="194" spans="3:14" ht="15.75">
      <c r="C194" s="270"/>
      <c r="D194" s="270"/>
      <c r="E194" s="270"/>
      <c r="F194" s="270"/>
      <c r="G194" s="270"/>
      <c r="H194" s="270"/>
      <c r="I194" s="270"/>
      <c r="J194" s="1804" t="s">
        <v>1170</v>
      </c>
      <c r="K194" s="1805"/>
      <c r="L194" s="1803" t="s">
        <v>1171</v>
      </c>
      <c r="M194" s="1803"/>
      <c r="N194" s="278"/>
    </row>
    <row r="195" spans="3:14" ht="15.75">
      <c r="C195" s="1806" t="s">
        <v>1153</v>
      </c>
      <c r="D195" s="1807"/>
      <c r="F195" s="270"/>
      <c r="G195" s="1246" t="s">
        <v>646</v>
      </c>
      <c r="H195" s="1247" t="s">
        <v>1172</v>
      </c>
      <c r="I195" s="1247" t="s">
        <v>1173</v>
      </c>
      <c r="J195" s="1248" t="s">
        <v>1174</v>
      </c>
      <c r="K195" s="1248" t="s">
        <v>1175</v>
      </c>
      <c r="L195" s="1248" t="s">
        <v>1174</v>
      </c>
      <c r="M195" s="1248" t="s">
        <v>1175</v>
      </c>
      <c r="N195" s="277" t="s">
        <v>1176</v>
      </c>
    </row>
    <row r="196" spans="3:14" ht="15.75">
      <c r="C196" s="1243" t="s">
        <v>1177</v>
      </c>
      <c r="D196" s="1260">
        <f>IF(D22="Ponta",B22,0)</f>
        <v>0</v>
      </c>
      <c r="E196" s="18"/>
      <c r="F196" s="270"/>
      <c r="G196" s="1250">
        <f>G181</f>
        <v>44440</v>
      </c>
      <c r="H196" s="272">
        <f>SUMIFS($N$18:$N$60,$B$18:$B$60,$D$196,$D$18:$D$60,"Ponta")</f>
        <v>0</v>
      </c>
      <c r="I196" s="272">
        <f>SUMIFS($N$18:$N$60,$B$18:$B$60,$D$196,$D$18:$D$60,"Fora Ponta")</f>
        <v>0</v>
      </c>
      <c r="J196" s="1251">
        <f>SUMIFS($E$18:$E$60,$B$18:$B$60,$D$196,$D$18:$D$60,"Ponta")</f>
        <v>0</v>
      </c>
      <c r="K196" s="1251">
        <f>SUMIFS($E$18:$E$60,$B$18:$B$60,$D$196,$D$18:$D$60,"Fora Ponta")</f>
        <v>0</v>
      </c>
      <c r="L196" s="1251">
        <f>IF(MONTH(DataRevRea)=7,'Rede Básica + Ajuste'!J196,IF(G196&lt;$Q$69,(SUMIFS($E$18:$E$60,$B$18:$B$60,$D$196,$D$18:$D$60,"Ponta")),(SUMIFS($F$18:$F$60,$B$18:$B$60,$D$196,$D$18:$D$60,"Ponta"))))</f>
        <v>0</v>
      </c>
      <c r="M196" s="1251">
        <f>IF(MONTH(DataRevRea)=7,'Rede Básica + Ajuste'!K196,IF(G196&lt;$Q$69,(SUMIFS($E$18:$E$60,$B$18:$B$60,$D$196,$D$18:$D$60,"Fora Ponta")),(SUMIFS($F$18:$F$60,$B$18:$B$60,$D$196,$D$18:$D$60,"Fora Ponta"))))</f>
        <v>0</v>
      </c>
      <c r="N196" s="1252">
        <f>+(H196*(L196-J196))+(I196*(M196-K196))</f>
        <v>0</v>
      </c>
    </row>
    <row r="197" spans="3:14" ht="15.75">
      <c r="C197" s="270"/>
      <c r="D197" s="270"/>
      <c r="E197" s="270"/>
      <c r="F197" s="270"/>
      <c r="G197" s="271">
        <f t="shared" ref="G197:G207" si="41">G182</f>
        <v>44470</v>
      </c>
      <c r="H197" s="272">
        <f>SUMIFS($O$18:$O$60,$B$18:$B$60,$D$196,$D$18:$D$60,"Ponta")</f>
        <v>0</v>
      </c>
      <c r="I197" s="272">
        <f>SUMIFS($O$18:$O$60,$B$18:$B$60,$D$196,$D$18:$D$60,"Fora Ponta")</f>
        <v>0</v>
      </c>
      <c r="J197" s="272">
        <f t="shared" ref="J197:J207" si="42">SUMIFS($E$18:$E$60,$B$18:$B$60,$D$196,$D$18:$D$60,"Ponta")</f>
        <v>0</v>
      </c>
      <c r="K197" s="272">
        <f t="shared" ref="K197:K207" si="43">SUMIFS($E$18:$E$60,$B$18:$B$60,$D$196,$D$18:$D$60,"Fora Ponta")</f>
        <v>0</v>
      </c>
      <c r="L197" s="272">
        <f>IF(MONTH(DataRevRea)=7,'Rede Básica + Ajuste'!J197,IF(G197&lt;$Q$69,(SUMIFS($E$18:$E$60,$B$18:$B$60,$D$196,$D$18:$D$60,"Ponta")),(SUMIFS($F$18:$F$60,$B$18:$B$60,$D$196,$D$18:$D$60,"Ponta"))))</f>
        <v>0</v>
      </c>
      <c r="M197" s="272">
        <f>IF(MONTH(DataRevRea)=7,'Rede Básica + Ajuste'!K197,IF(G197&lt;$Q$69,(SUMIFS($E$18:$E$60,$B$18:$B$60,$D$196,$D$18:$D$60,"Fora Ponta")),(SUMIFS($F$18:$F$60,$B$18:$B$60,$D$196,$D$18:$D$60,"Fora Ponta"))))</f>
        <v>0</v>
      </c>
      <c r="N197" s="279">
        <f t="shared" ref="N197:N207" si="44">+(H197*(L197-J197))+(I197*(M197-K197))</f>
        <v>0</v>
      </c>
    </row>
    <row r="198" spans="3:14" ht="15.75">
      <c r="C198" s="273"/>
      <c r="D198" s="1253" t="s">
        <v>1178</v>
      </c>
      <c r="E198" s="1254" t="s">
        <v>1179</v>
      </c>
      <c r="F198" s="270"/>
      <c r="G198" s="271">
        <f t="shared" si="41"/>
        <v>44501</v>
      </c>
      <c r="H198" s="272">
        <f>SUMIFS($P$18:$P$60,$B$18:$B$60,$D$196,$D$18:$D$60,"Ponta")</f>
        <v>0</v>
      </c>
      <c r="I198" s="272">
        <f>SUMIFS($P$18:$P$60,$B$18:$B$60,$D$196,$D$18:$D$60,"Fora Ponta")</f>
        <v>0</v>
      </c>
      <c r="J198" s="272">
        <f t="shared" si="42"/>
        <v>0</v>
      </c>
      <c r="K198" s="272">
        <f t="shared" si="43"/>
        <v>0</v>
      </c>
      <c r="L198" s="272">
        <f>IF(MONTH(DataRevRea)=7,'Rede Básica + Ajuste'!J198,IF(G198&lt;$Q$69,(SUMIFS($E$18:$E$60,$B$18:$B$60,$D$196,$D$18:$D$60,"Ponta")),(SUMIFS($F$18:$F$60,$B$18:$B$60,$D$196,$D$18:$D$60,"Ponta"))))</f>
        <v>0</v>
      </c>
      <c r="M198" s="272">
        <f>IF(MONTH(DataRevRea)=7,'Rede Básica + Ajuste'!K198,IF(G198&lt;$Q$69,(SUMIFS($E$18:$E$60,$B$18:$B$60,$D$196,$D$18:$D$60,"Fora Ponta")),(SUMIFS($F$18:$F$60,$B$18:$B$60,$D$196,$D$18:$D$60,"Fora Ponta"))))</f>
        <v>0</v>
      </c>
      <c r="N198" s="279">
        <f t="shared" si="44"/>
        <v>0</v>
      </c>
    </row>
    <row r="199" spans="3:14" ht="15.75">
      <c r="C199" s="1255" t="str">
        <f>C184</f>
        <v>Cobertura 2021</v>
      </c>
      <c r="D199" s="1256">
        <f>SUMPRODUCT(H196:H207,J196:J207)</f>
        <v>0</v>
      </c>
      <c r="E199" s="1256">
        <f>SUMPRODUCT(I196:I207,K196:K207)</f>
        <v>0</v>
      </c>
      <c r="F199" s="270"/>
      <c r="G199" s="271">
        <f t="shared" si="41"/>
        <v>44531</v>
      </c>
      <c r="H199" s="272">
        <f>SUMIFS($Q$18:$Q$60,$B$18:$B$60,$D$196,$D$18:$D$60,"Ponta")</f>
        <v>0</v>
      </c>
      <c r="I199" s="272">
        <f>SUMIFS($Q$18:$Q$60,$B$18:$B$60,$D$196,$D$18:$D$60,"Fora Ponta")</f>
        <v>0</v>
      </c>
      <c r="J199" s="272">
        <f t="shared" si="42"/>
        <v>0</v>
      </c>
      <c r="K199" s="272">
        <f t="shared" si="43"/>
        <v>0</v>
      </c>
      <c r="L199" s="272">
        <f>IF(MONTH(DataRevRea)=7,'Rede Básica + Ajuste'!J199,IF(G199&lt;$Q$69,(SUMIFS($E$18:$E$60,$B$18:$B$60,$D$196,$D$18:$D$60,"Ponta")),(SUMIFS($F$18:$F$60,$B$18:$B$60,$D$196,$D$18:$D$60,"Ponta"))))</f>
        <v>0</v>
      </c>
      <c r="M199" s="272">
        <f>IF(MONTH(DataRevRea)=7,'Rede Básica + Ajuste'!K199,IF(G199&lt;$Q$69,(SUMIFS($E$18:$E$60,$B$18:$B$60,$D$196,$D$18:$D$60,"Fora Ponta")),(SUMIFS($F$18:$F$60,$B$18:$B$60,$D$196,$D$18:$D$60,"Fora Ponta"))))</f>
        <v>0</v>
      </c>
      <c r="N199" s="279">
        <f t="shared" si="44"/>
        <v>0</v>
      </c>
    </row>
    <row r="200" spans="3:14" ht="15.75">
      <c r="C200" s="1255" t="s">
        <v>1180</v>
      </c>
      <c r="D200" s="1256">
        <f>SUMPRODUCT(H196:H207,L196:L207)</f>
        <v>0</v>
      </c>
      <c r="E200" s="1256">
        <f>SUMPRODUCT(I196:I207,M196:M207)</f>
        <v>0</v>
      </c>
      <c r="F200" s="270"/>
      <c r="G200" s="271">
        <f t="shared" si="41"/>
        <v>44562</v>
      </c>
      <c r="H200" s="272">
        <f>SUMIFS($R$18:$R$60,$B$18:$B$60,$D$196,$D$18:$D$60,"Ponta")</f>
        <v>0</v>
      </c>
      <c r="I200" s="272">
        <f>SUMIFS($R$18:$R$60,$B$18:$B$60,$D$196,$D$18:$D$60,"Fora Ponta")</f>
        <v>0</v>
      </c>
      <c r="J200" s="272">
        <f t="shared" si="42"/>
        <v>0</v>
      </c>
      <c r="K200" s="272">
        <f t="shared" si="43"/>
        <v>0</v>
      </c>
      <c r="L200" s="272">
        <f>IF(MONTH(DataRevRea)=7,'Rede Básica + Ajuste'!J200,IF(G200&lt;$Q$69,(SUMIFS($E$18:$E$60,$B$18:$B$60,$D$196,$D$18:$D$60,"Ponta")),(SUMIFS($F$18:$F$60,$B$18:$B$60,$D$196,$D$18:$D$60,"Ponta"))))</f>
        <v>0</v>
      </c>
      <c r="M200" s="272">
        <f>IF(MONTH(DataRevRea)=7,'Rede Básica + Ajuste'!K200,IF(G200&lt;$Q$69,(SUMIFS($E$18:$E$60,$B$18:$B$60,$D$196,$D$18:$D$60,"Fora Ponta")),(SUMIFS($F$18:$F$60,$B$18:$B$60,$D$196,$D$18:$D$60,"Fora Ponta"))))</f>
        <v>0</v>
      </c>
      <c r="N200" s="279">
        <f t="shared" si="44"/>
        <v>0</v>
      </c>
    </row>
    <row r="201" spans="3:14" ht="15.75">
      <c r="C201" s="270"/>
      <c r="D201" s="270"/>
      <c r="E201" s="270"/>
      <c r="F201" s="270"/>
      <c r="G201" s="271">
        <f t="shared" si="41"/>
        <v>44593</v>
      </c>
      <c r="H201" s="272">
        <f>SUMIFS($S$18:$S$60,$B$18:$B$60,$D$196,$D$18:$D$60,"Ponta")</f>
        <v>0</v>
      </c>
      <c r="I201" s="272">
        <f>SUMIFS($S$18:$S$60,$B$18:$B$60,$D$196,$D$18:$D$60,"Fora Ponta")</f>
        <v>0</v>
      </c>
      <c r="J201" s="272">
        <f t="shared" si="42"/>
        <v>0</v>
      </c>
      <c r="K201" s="272">
        <f t="shared" si="43"/>
        <v>0</v>
      </c>
      <c r="L201" s="272">
        <f>IF(MONTH(DataRevRea)=7,'Rede Básica + Ajuste'!J201,IF(G201&lt;$Q$69,(SUMIFS($E$18:$E$60,$B$18:$B$60,$D$196,$D$18:$D$60,"Ponta")),(SUMIFS($F$18:$F$60,$B$18:$B$60,$D$196,$D$18:$D$60,"Ponta"))))</f>
        <v>0</v>
      </c>
      <c r="M201" s="272">
        <f>IF(MONTH(DataRevRea)=7,'Rede Básica + Ajuste'!K201,IF(G201&lt;$Q$69,(SUMIFS($E$18:$E$60,$B$18:$B$60,$D$196,$D$18:$D$60,"Fora Ponta")),(SUMIFS($F$18:$F$60,$B$18:$B$60,$D$196,$D$18:$D$60,"Fora Ponta"))))</f>
        <v>0</v>
      </c>
      <c r="N201" s="279">
        <f t="shared" si="44"/>
        <v>0</v>
      </c>
    </row>
    <row r="202" spans="3:14" ht="15.75">
      <c r="C202" s="282"/>
      <c r="D202" s="282"/>
      <c r="E202" s="282"/>
      <c r="F202" s="270"/>
      <c r="G202" s="271">
        <f t="shared" si="41"/>
        <v>44621</v>
      </c>
      <c r="H202" s="272">
        <f>SUMIFS($T$18:$T$60,$B$18:$B$60,$D$196,$D$18:$D$60,"Ponta")</f>
        <v>0</v>
      </c>
      <c r="I202" s="272">
        <f>SUMIFS($T$18:$T$60,$B$18:$B$60,$D$196,$D$18:$D$60,"Fora Ponta")</f>
        <v>0</v>
      </c>
      <c r="J202" s="272">
        <f t="shared" si="42"/>
        <v>0</v>
      </c>
      <c r="K202" s="272">
        <f t="shared" si="43"/>
        <v>0</v>
      </c>
      <c r="L202" s="272">
        <f>IF(MONTH(DataRevRea)=7,'Rede Básica + Ajuste'!J202,IF(G202&lt;$Q$69,(SUMIFS($E$18:$E$60,$B$18:$B$60,$D$196,$D$18:$D$60,"Ponta")),(SUMIFS($F$18:$F$60,$B$18:$B$60,$D$196,$D$18:$D$60,"Ponta"))))</f>
        <v>0</v>
      </c>
      <c r="M202" s="272">
        <f>IF(MONTH(DataRevRea)=7,'Rede Básica + Ajuste'!K202,IF(G202&lt;$Q$69,(SUMIFS($E$18:$E$60,$B$18:$B$60,$D$196,$D$18:$D$60,"Fora Ponta")),(SUMIFS($F$18:$F$60,$B$18:$B$60,$D$196,$D$18:$D$60,"Fora Ponta"))))</f>
        <v>0</v>
      </c>
      <c r="N202" s="279">
        <f t="shared" si="44"/>
        <v>0</v>
      </c>
    </row>
    <row r="203" spans="3:14" ht="15.75">
      <c r="C203" s="274"/>
      <c r="D203" s="274"/>
      <c r="E203" s="283"/>
      <c r="F203" s="270"/>
      <c r="G203" s="271">
        <f t="shared" si="41"/>
        <v>44652</v>
      </c>
      <c r="H203" s="272">
        <f>SUMIFS($U$18:$U$60,$B$18:$B$60,$D$196,$D$18:$D$60,"Ponta")</f>
        <v>0</v>
      </c>
      <c r="I203" s="272">
        <f>SUMIFS($U$18:$U$60,$B$18:$B$60,$D$196,$D$18:$D$60,"Fora Ponta")</f>
        <v>0</v>
      </c>
      <c r="J203" s="272">
        <f t="shared" si="42"/>
        <v>0</v>
      </c>
      <c r="K203" s="272">
        <f t="shared" si="43"/>
        <v>0</v>
      </c>
      <c r="L203" s="272">
        <f>IF(MONTH(DataRevRea)=7,'Rede Básica + Ajuste'!J203,IF(G203&lt;$Q$69,(SUMIFS($E$18:$E$60,$B$18:$B$60,$D$196,$D$18:$D$60,"Ponta")),(SUMIFS($F$18:$F$60,$B$18:$B$60,$D$196,$D$18:$D$60,"Ponta"))))</f>
        <v>0</v>
      </c>
      <c r="M203" s="272">
        <f>IF(MONTH(DataRevRea)=7,'Rede Básica + Ajuste'!K203,IF(G203&lt;$Q$69,(SUMIFS($E$18:$E$60,$B$18:$B$60,$D$196,$D$18:$D$60,"Fora Ponta")),(SUMIFS($F$18:$F$60,$B$18:$B$60,$D$196,$D$18:$D$60,"Fora Ponta"))))</f>
        <v>0</v>
      </c>
      <c r="N203" s="279">
        <f t="shared" si="44"/>
        <v>0</v>
      </c>
    </row>
    <row r="204" spans="3:14" ht="15.75">
      <c r="C204" s="284"/>
      <c r="D204" s="274"/>
      <c r="E204" s="283"/>
      <c r="F204" s="270"/>
      <c r="G204" s="271">
        <f t="shared" si="41"/>
        <v>44682</v>
      </c>
      <c r="H204" s="272">
        <f>SUMIFS($V$18:$V$60,$B$18:$B$60,$D$196,$D$18:$D$60,"Ponta")</f>
        <v>0</v>
      </c>
      <c r="I204" s="272">
        <f>SUMIFS($V$18:$V$60,$B$18:$B$60,$D$196,$D$18:$D$60,"Fora Ponta")</f>
        <v>0</v>
      </c>
      <c r="J204" s="272">
        <f t="shared" si="42"/>
        <v>0</v>
      </c>
      <c r="K204" s="272">
        <f t="shared" si="43"/>
        <v>0</v>
      </c>
      <c r="L204" s="272">
        <f>IF(MONTH(DataRevRea)=7,'Rede Básica + Ajuste'!J204,IF(G204&lt;$Q$69,(SUMIFS($E$18:$E$60,$B$18:$B$60,$D$196,$D$18:$D$60,"Ponta")),(SUMIFS($F$18:$F$60,$B$18:$B$60,$D$196,$D$18:$D$60,"Ponta"))))</f>
        <v>0</v>
      </c>
      <c r="M204" s="272">
        <f>IF(MONTH(DataRevRea)=7,'Rede Básica + Ajuste'!K204,IF(G204&lt;$Q$69,(SUMIFS($E$18:$E$60,$B$18:$B$60,$D$196,$D$18:$D$60,"Fora Ponta")),(SUMIFS($F$18:$F$60,$B$18:$B$60,$D$196,$D$18:$D$60,"Fora Ponta"))))</f>
        <v>0</v>
      </c>
      <c r="N204" s="279">
        <f t="shared" si="44"/>
        <v>0</v>
      </c>
    </row>
    <row r="205" spans="3:14" ht="15.75">
      <c r="C205" s="270"/>
      <c r="D205" s="270"/>
      <c r="E205" s="270"/>
      <c r="F205" s="270"/>
      <c r="G205" s="271">
        <f t="shared" si="41"/>
        <v>44713</v>
      </c>
      <c r="H205" s="272">
        <f>SUMIFS($W$18:$W$60,$B$18:$B$60,$D$196,$D$18:$D$60,"Ponta")</f>
        <v>0</v>
      </c>
      <c r="I205" s="272">
        <f>SUMIFS($W$18:$W$60,$B$18:$B$60,$D$196,$D$18:$D$60,"Fora Ponta")</f>
        <v>0</v>
      </c>
      <c r="J205" s="272">
        <f t="shared" si="42"/>
        <v>0</v>
      </c>
      <c r="K205" s="272">
        <f t="shared" si="43"/>
        <v>0</v>
      </c>
      <c r="L205" s="272">
        <f>IF(MONTH(DataRevRea)=7,'Rede Básica + Ajuste'!J205,IF(G205&lt;$Q$69,(SUMIFS($E$18:$E$60,$B$18:$B$60,$D$196,$D$18:$D$60,"Ponta")),(SUMIFS($F$18:$F$60,$B$18:$B$60,$D$196,$D$18:$D$60,"Ponta"))))</f>
        <v>0</v>
      </c>
      <c r="M205" s="272">
        <f>IF(MONTH(DataRevRea)=7,'Rede Básica + Ajuste'!K205,IF(G205&lt;$Q$69,(SUMIFS($E$18:$E$60,$B$18:$B$60,$D$196,$D$18:$D$60,"Fora Ponta")),(SUMIFS($F$18:$F$60,$B$18:$B$60,$D$196,$D$18:$D$60,"Fora Ponta"))))</f>
        <v>0</v>
      </c>
      <c r="N205" s="279">
        <f t="shared" si="44"/>
        <v>0</v>
      </c>
    </row>
    <row r="206" spans="3:14" ht="15.75">
      <c r="C206" s="276"/>
      <c r="D206" s="276"/>
      <c r="E206" s="276"/>
      <c r="F206" s="270"/>
      <c r="G206" s="271">
        <f t="shared" si="41"/>
        <v>44743</v>
      </c>
      <c r="H206" s="272">
        <f>SUMIFS($X$18:$X$60,$B$18:$B$60,$D$1696,$D$18:$D$60,"Ponta")</f>
        <v>0</v>
      </c>
      <c r="I206" s="272">
        <f>SUMIFS($X$18:$X$60,$B$18:$B$60,$D$196,$D$18:$D$60,"Fora Ponta")</f>
        <v>0</v>
      </c>
      <c r="J206" s="272">
        <f t="shared" si="42"/>
        <v>0</v>
      </c>
      <c r="K206" s="272">
        <f t="shared" si="43"/>
        <v>0</v>
      </c>
      <c r="L206" s="272">
        <f>IF(MONTH(DataRevRea)=7,'Rede Básica + Ajuste'!J206,IF(G206&lt;$Q$69,(SUMIFS($E$18:$E$60,$B$18:$B$60,$D$196,$D$18:$D$60,"Ponta")),(SUMIFS($F$18:$F$60,$B$18:$B$60,$D$196,$D$18:$D$60,"Ponta"))))</f>
        <v>0</v>
      </c>
      <c r="M206" s="272">
        <f>IF(MONTH(DataRevRea)=7,'Rede Básica + Ajuste'!K206,IF(G206&lt;$Q$69,(SUMIFS($E$18:$E$60,$B$18:$B$60,$D$196,$D$18:$D$60,"Fora Ponta")),(SUMIFS($F$18:$F$60,$B$18:$B$60,$D$196,$D$18:$D$60,"Fora Ponta"))))</f>
        <v>0</v>
      </c>
      <c r="N206" s="279">
        <f t="shared" si="44"/>
        <v>0</v>
      </c>
    </row>
    <row r="207" spans="3:14" ht="15.75">
      <c r="C207" s="274"/>
      <c r="D207" s="275"/>
      <c r="E207" s="274"/>
      <c r="F207" s="270"/>
      <c r="G207" s="1257">
        <f t="shared" si="41"/>
        <v>44774</v>
      </c>
      <c r="H207" s="1258">
        <f>SUMIFS($Y$18:$Y$60,$B$18:$B$60,$D$196,$D$18:$D$60,"Ponta")</f>
        <v>0</v>
      </c>
      <c r="I207" s="1258">
        <f>SUMIFS($Y$18:$Y$60,$B$18:$B$60,$D$196,$D$18:$D$60,"Fora Ponta")</f>
        <v>0</v>
      </c>
      <c r="J207" s="1258">
        <f t="shared" si="42"/>
        <v>0</v>
      </c>
      <c r="K207" s="1258">
        <f t="shared" si="43"/>
        <v>0</v>
      </c>
      <c r="L207" s="1258">
        <f>IF(MONTH(DataRevRea)=7,'Rede Básica + Ajuste'!J207,IF(G207&lt;$Q$69,(SUMIFS($E$18:$E$60,$B$18:$B$60,$D$196,$D$18:$D$60,"Ponta")),(SUMIFS($F$18:$F$60,$B$18:$B$60,$D$196,$D$18:$D$60,"Ponta"))))</f>
        <v>0</v>
      </c>
      <c r="M207" s="1258">
        <f>IF(MONTH(DataRevRea)=7,'Rede Básica + Ajuste'!K207,IF(G207&lt;$Q$69,(SUMIFS($E$18:$E$60,$B$18:$B$60,$D$196,$D$18:$D$60,"Fora Ponta")),(SUMIFS($F$18:$F$60,$B$18:$B$60,$D$196,$D$18:$D$60,"Fora Ponta"))))</f>
        <v>0</v>
      </c>
      <c r="N207" s="1259">
        <f t="shared" si="44"/>
        <v>0</v>
      </c>
    </row>
    <row r="208" spans="3:14">
      <c r="G208" s="149"/>
    </row>
    <row r="209" spans="3:14" ht="15.75">
      <c r="C209" s="270"/>
      <c r="D209" s="270"/>
      <c r="E209" s="270"/>
      <c r="F209" s="270"/>
      <c r="G209" s="270"/>
      <c r="H209" s="270"/>
      <c r="I209" s="270"/>
      <c r="J209" s="1804" t="s">
        <v>1170</v>
      </c>
      <c r="K209" s="1805"/>
      <c r="L209" s="1803" t="s">
        <v>1171</v>
      </c>
      <c r="M209" s="1803"/>
      <c r="N209" s="278"/>
    </row>
    <row r="210" spans="3:14" ht="15.75">
      <c r="C210" s="1806" t="s">
        <v>1181</v>
      </c>
      <c r="D210" s="1807"/>
      <c r="F210" s="270"/>
      <c r="G210" s="1246" t="s">
        <v>646</v>
      </c>
      <c r="H210" s="1247" t="s">
        <v>1172</v>
      </c>
      <c r="I210" s="1247" t="s">
        <v>1173</v>
      </c>
      <c r="J210" s="1248" t="s">
        <v>1174</v>
      </c>
      <c r="K210" s="1248" t="s">
        <v>1175</v>
      </c>
      <c r="L210" s="1248" t="s">
        <v>1174</v>
      </c>
      <c r="M210" s="1248" t="s">
        <v>1175</v>
      </c>
      <c r="N210" s="277" t="s">
        <v>1176</v>
      </c>
    </row>
    <row r="211" spans="3:14" ht="15.75">
      <c r="C211" s="1243" t="s">
        <v>1177</v>
      </c>
      <c r="D211" s="1260">
        <f>IF(D22="Ponta",B22,0)</f>
        <v>0</v>
      </c>
      <c r="E211" s="18"/>
      <c r="F211" s="270"/>
      <c r="G211" s="1250">
        <f>G196</f>
        <v>44440</v>
      </c>
      <c r="H211" s="272">
        <f>H196</f>
        <v>0</v>
      </c>
      <c r="I211" s="272">
        <f>I196</f>
        <v>0</v>
      </c>
      <c r="J211" s="1251">
        <f>SUMIFS($G$18:$G$60,$B$18:$B$60,$D$211,$D$18:$D$60,"Ponta")</f>
        <v>0</v>
      </c>
      <c r="K211" s="1251">
        <f>SUMIFS($G$18:$G$60,$B$18:$B$60,$D$211,$D$18:$D$60,"Fora Ponta")</f>
        <v>0</v>
      </c>
      <c r="L211" s="1251">
        <f>IF(MONTH(DataRevRea)=7,'Rede Básica + Ajuste'!J211,IF(G211&lt;$Q$69,(SUMIFS($G$18:$G$60,$B$18:$B$60,$D$211,$D$18:$D$60,"Ponta")),(SUMIFS($H$18:$H$60,$B$18:$B$60,$D$211,$D$18:$D$60,"Ponta"))))</f>
        <v>0</v>
      </c>
      <c r="M211" s="1251">
        <f>IF(MONTH(DataRevRea)=7,'Rede Básica + Ajuste'!K211,IF(G211&lt;$Q$69,(SUMIFS($G$18:$G$60,$B$18:$B$60,$D$211,$D$18:$D$60,"Fora Ponta")),(SUMIFS($H$18:$H$60,$B$18:$B$60,$D$211,$D$18:$D$60,"Fora Ponta"))))</f>
        <v>0</v>
      </c>
      <c r="N211" s="1252">
        <f>+(H211*(L211-J211))+(I211*(M211-K211))</f>
        <v>0</v>
      </c>
    </row>
    <row r="212" spans="3:14" ht="15.75">
      <c r="C212" s="270"/>
      <c r="D212" s="270"/>
      <c r="E212" s="270"/>
      <c r="F212" s="270"/>
      <c r="G212" s="271">
        <f t="shared" ref="G212:I222" si="45">G197</f>
        <v>44470</v>
      </c>
      <c r="H212" s="272">
        <f t="shared" si="45"/>
        <v>0</v>
      </c>
      <c r="I212" s="272">
        <f t="shared" si="45"/>
        <v>0</v>
      </c>
      <c r="J212" s="272">
        <f t="shared" ref="J212:J222" si="46">SUMIFS($G$18:$G$60,$B$18:$B$60,$D$211,$D$18:$D$60,"Ponta")</f>
        <v>0</v>
      </c>
      <c r="K212" s="272">
        <f t="shared" ref="K212:K222" si="47">SUMIFS($G$18:$G$60,$B$18:$B$60,$D$211,$D$18:$D$60,"Fora Ponta")</f>
        <v>0</v>
      </c>
      <c r="L212" s="272">
        <f>IF(MONTH(DataRevRea)=7,'Rede Básica + Ajuste'!J212,IF(G212&lt;$Q$69,(SUMIFS($G$18:$G$60,$B$18:$B$60,$D$211,$D$18:$D$60,"Ponta")),(SUMIFS($H$18:$H$60,$B$18:$B$60,$D$211,$D$18:$D$60,"Ponta"))))</f>
        <v>0</v>
      </c>
      <c r="M212" s="272">
        <f>IF(MONTH(DataRevRea)=7,'Rede Básica + Ajuste'!K212,IF(G212&lt;$Q$69,(SUMIFS($G$18:$G$60,$B$18:$B$60,$D$211,$D$18:$D$60,"Fora Ponta")),(SUMIFS($H$18:$H$60,$B$18:$B$60,$D$211,$D$18:$D$60,"Fora Ponta"))))</f>
        <v>0</v>
      </c>
      <c r="N212" s="279">
        <f t="shared" ref="N212:N222" si="48">+(H212*(L212-J212))+(I212*(M212-K212))</f>
        <v>0</v>
      </c>
    </row>
    <row r="213" spans="3:14" ht="15.75">
      <c r="C213" s="273"/>
      <c r="D213" s="1253" t="s">
        <v>1178</v>
      </c>
      <c r="E213" s="1254" t="s">
        <v>1179</v>
      </c>
      <c r="F213" s="270"/>
      <c r="G213" s="271">
        <f t="shared" si="45"/>
        <v>44501</v>
      </c>
      <c r="H213" s="272">
        <f t="shared" si="45"/>
        <v>0</v>
      </c>
      <c r="I213" s="272">
        <f t="shared" si="45"/>
        <v>0</v>
      </c>
      <c r="J213" s="272">
        <f t="shared" si="46"/>
        <v>0</v>
      </c>
      <c r="K213" s="272">
        <f t="shared" si="47"/>
        <v>0</v>
      </c>
      <c r="L213" s="272">
        <f>IF(MONTH(DataRevRea)=7,'Rede Básica + Ajuste'!J213,IF(G213&lt;$Q$69,(SUMIFS($G$18:$G$60,$B$18:$B$60,$D$211,$D$18:$D$60,"Ponta")),(SUMIFS($H$18:$H$60,$B$18:$B$60,$D$211,$D$18:$D$60,"Ponta"))))</f>
        <v>0</v>
      </c>
      <c r="M213" s="272">
        <f>IF(MONTH(DataRevRea)=7,'Rede Básica + Ajuste'!K213,IF(G213&lt;$Q$69,(SUMIFS($G$18:$G$60,$B$18:$B$60,$D$211,$D$18:$D$60,"Fora Ponta")),(SUMIFS($H$18:$H$60,$B$18:$B$60,$D$211,$D$18:$D$60,"Fora Ponta"))))</f>
        <v>0</v>
      </c>
      <c r="N213" s="279">
        <f t="shared" si="48"/>
        <v>0</v>
      </c>
    </row>
    <row r="214" spans="3:14" ht="15.75">
      <c r="C214" s="1255" t="str">
        <f>C199</f>
        <v>Cobertura 2021</v>
      </c>
      <c r="D214" s="1256">
        <f>SUMPRODUCT(H211:H222,J211:J222)</f>
        <v>0</v>
      </c>
      <c r="E214" s="1256">
        <f>SUMPRODUCT(I211:I222,K211:K222)</f>
        <v>0</v>
      </c>
      <c r="F214" s="270"/>
      <c r="G214" s="271">
        <f t="shared" si="45"/>
        <v>44531</v>
      </c>
      <c r="H214" s="272">
        <f t="shared" si="45"/>
        <v>0</v>
      </c>
      <c r="I214" s="272">
        <f t="shared" si="45"/>
        <v>0</v>
      </c>
      <c r="J214" s="272">
        <f t="shared" si="46"/>
        <v>0</v>
      </c>
      <c r="K214" s="272">
        <f t="shared" si="47"/>
        <v>0</v>
      </c>
      <c r="L214" s="272">
        <f>IF(MONTH(DataRevRea)=7,'Rede Básica + Ajuste'!J214,IF(G214&lt;$Q$69,(SUMIFS($G$18:$G$60,$B$18:$B$60,$D$211,$D$18:$D$60,"Ponta")),(SUMIFS($H$18:$H$60,$B$18:$B$60,$D$211,$D$18:$D$60,"Ponta"))))</f>
        <v>0</v>
      </c>
      <c r="M214" s="272">
        <f>IF(MONTH(DataRevRea)=7,'Rede Básica + Ajuste'!K214,IF(G214&lt;$Q$69,(SUMIFS($G$18:$G$60,$B$18:$B$60,$D$211,$D$18:$D$60,"Fora Ponta")),(SUMIFS($H$18:$H$60,$B$18:$B$60,$D$211,$D$18:$D$60,"Fora Ponta"))))</f>
        <v>0</v>
      </c>
      <c r="N214" s="279">
        <f t="shared" si="48"/>
        <v>0</v>
      </c>
    </row>
    <row r="215" spans="3:14" ht="15.75">
      <c r="C215" s="1255" t="s">
        <v>1180</v>
      </c>
      <c r="D215" s="1256">
        <f>SUMPRODUCT(H211:H222,L211:L222)</f>
        <v>0</v>
      </c>
      <c r="E215" s="1256">
        <f>SUMPRODUCT(I211:I222,M211:M222)</f>
        <v>0</v>
      </c>
      <c r="F215" s="270"/>
      <c r="G215" s="271">
        <f t="shared" si="45"/>
        <v>44562</v>
      </c>
      <c r="H215" s="272">
        <f t="shared" si="45"/>
        <v>0</v>
      </c>
      <c r="I215" s="272">
        <f t="shared" si="45"/>
        <v>0</v>
      </c>
      <c r="J215" s="272">
        <f t="shared" si="46"/>
        <v>0</v>
      </c>
      <c r="K215" s="272">
        <f t="shared" si="47"/>
        <v>0</v>
      </c>
      <c r="L215" s="272">
        <f>IF(MONTH(DataRevRea)=7,'Rede Básica + Ajuste'!J215,IF(G215&lt;$Q$69,(SUMIFS($G$18:$G$60,$B$18:$B$60,$D$211,$D$18:$D$60,"Ponta")),(SUMIFS($H$18:$H$60,$B$18:$B$60,$D$211,$D$18:$D$60,"Ponta"))))</f>
        <v>0</v>
      </c>
      <c r="M215" s="272">
        <f>IF(MONTH(DataRevRea)=7,'Rede Básica + Ajuste'!K215,IF(G215&lt;$Q$69,(SUMIFS($G$18:$G$60,$B$18:$B$60,$D$211,$D$18:$D$60,"Fora Ponta")),(SUMIFS($H$18:$H$60,$B$18:$B$60,$D$211,$D$18:$D$60,"Fora Ponta"))))</f>
        <v>0</v>
      </c>
      <c r="N215" s="279">
        <f t="shared" si="48"/>
        <v>0</v>
      </c>
    </row>
    <row r="216" spans="3:14" ht="15.75">
      <c r="C216" s="270"/>
      <c r="D216" s="270"/>
      <c r="E216" s="270"/>
      <c r="F216" s="270"/>
      <c r="G216" s="271">
        <f t="shared" si="45"/>
        <v>44593</v>
      </c>
      <c r="H216" s="272">
        <f t="shared" si="45"/>
        <v>0</v>
      </c>
      <c r="I216" s="272">
        <f t="shared" si="45"/>
        <v>0</v>
      </c>
      <c r="J216" s="272">
        <f t="shared" si="46"/>
        <v>0</v>
      </c>
      <c r="K216" s="272">
        <f t="shared" si="47"/>
        <v>0</v>
      </c>
      <c r="L216" s="272">
        <f>IF(MONTH(DataRevRea)=7,'Rede Básica + Ajuste'!J216,IF(G216&lt;$Q$69,(SUMIFS($G$18:$G$60,$B$18:$B$60,$D$211,$D$18:$D$60,"Ponta")),(SUMIFS($H$18:$H$60,$B$18:$B$60,$D$211,$D$18:$D$60,"Ponta"))))</f>
        <v>0</v>
      </c>
      <c r="M216" s="272">
        <f>IF(MONTH(DataRevRea)=7,'Rede Básica + Ajuste'!K216,IF(G216&lt;$Q$69,(SUMIFS($G$18:$G$60,$B$18:$B$60,$D$211,$D$18:$D$60,"Fora Ponta")),(SUMIFS($H$18:$H$60,$B$18:$B$60,$D$211,$D$18:$D$60,"Fora Ponta"))))</f>
        <v>0</v>
      </c>
      <c r="N216" s="279">
        <f t="shared" si="48"/>
        <v>0</v>
      </c>
    </row>
    <row r="217" spans="3:14" ht="15.75">
      <c r="C217" s="282"/>
      <c r="D217" s="282"/>
      <c r="E217" s="282"/>
      <c r="F217" s="270"/>
      <c r="G217" s="271">
        <f t="shared" si="45"/>
        <v>44621</v>
      </c>
      <c r="H217" s="272">
        <f t="shared" si="45"/>
        <v>0</v>
      </c>
      <c r="I217" s="272">
        <f t="shared" si="45"/>
        <v>0</v>
      </c>
      <c r="J217" s="272">
        <f t="shared" si="46"/>
        <v>0</v>
      </c>
      <c r="K217" s="272">
        <f t="shared" si="47"/>
        <v>0</v>
      </c>
      <c r="L217" s="272">
        <f>IF(MONTH(DataRevRea)=7,'Rede Básica + Ajuste'!J217,IF(G217&lt;$Q$69,(SUMIFS($G$18:$G$60,$B$18:$B$60,$D$211,$D$18:$D$60,"Ponta")),(SUMIFS($H$18:$H$60,$B$18:$B$60,$D$211,$D$18:$D$60,"Ponta"))))</f>
        <v>0</v>
      </c>
      <c r="M217" s="272">
        <f>IF(MONTH(DataRevRea)=7,'Rede Básica + Ajuste'!K217,IF(G217&lt;$Q$69,(SUMIFS($G$18:$G$60,$B$18:$B$60,$D$211,$D$18:$D$60,"Fora Ponta")),(SUMIFS($H$18:$H$60,$B$18:$B$60,$D$211,$D$18:$D$60,"Fora Ponta"))))</f>
        <v>0</v>
      </c>
      <c r="N217" s="279">
        <f t="shared" si="48"/>
        <v>0</v>
      </c>
    </row>
    <row r="218" spans="3:14" ht="15.75">
      <c r="C218" s="274"/>
      <c r="D218" s="274"/>
      <c r="E218" s="283"/>
      <c r="F218" s="270"/>
      <c r="G218" s="271">
        <f t="shared" si="45"/>
        <v>44652</v>
      </c>
      <c r="H218" s="272">
        <f t="shared" si="45"/>
        <v>0</v>
      </c>
      <c r="I218" s="272">
        <f t="shared" si="45"/>
        <v>0</v>
      </c>
      <c r="J218" s="272">
        <f t="shared" si="46"/>
        <v>0</v>
      </c>
      <c r="K218" s="272">
        <f t="shared" si="47"/>
        <v>0</v>
      </c>
      <c r="L218" s="272">
        <f>IF(MONTH(DataRevRea)=7,'Rede Básica + Ajuste'!J218,IF(G218&lt;$Q$69,(SUMIFS($G$18:$G$60,$B$18:$B$60,$D$211,$D$18:$D$60,"Ponta")),(SUMIFS($H$18:$H$60,$B$18:$B$60,$D$211,$D$18:$D$60,"Ponta"))))</f>
        <v>0</v>
      </c>
      <c r="M218" s="272">
        <f>IF(MONTH(DataRevRea)=7,'Rede Básica + Ajuste'!K218,IF(G218&lt;$Q$69,(SUMIFS($G$18:$G$60,$B$18:$B$60,$D$211,$D$18:$D$60,"Fora Ponta")),(SUMIFS($H$18:$H$60,$B$18:$B$60,$D$211,$D$18:$D$60,"Fora Ponta"))))</f>
        <v>0</v>
      </c>
      <c r="N218" s="279">
        <f t="shared" si="48"/>
        <v>0</v>
      </c>
    </row>
    <row r="219" spans="3:14" ht="15.75">
      <c r="C219" s="284"/>
      <c r="D219" s="274"/>
      <c r="E219" s="283"/>
      <c r="F219" s="270"/>
      <c r="G219" s="271">
        <f t="shared" si="45"/>
        <v>44682</v>
      </c>
      <c r="H219" s="272">
        <f t="shared" si="45"/>
        <v>0</v>
      </c>
      <c r="I219" s="272">
        <f t="shared" si="45"/>
        <v>0</v>
      </c>
      <c r="J219" s="272">
        <f t="shared" si="46"/>
        <v>0</v>
      </c>
      <c r="K219" s="272">
        <f t="shared" si="47"/>
        <v>0</v>
      </c>
      <c r="L219" s="272">
        <f>IF(MONTH(DataRevRea)=7,'Rede Básica + Ajuste'!J219,IF(G219&lt;$Q$69,(SUMIFS($G$18:$G$60,$B$18:$B$60,$D$211,$D$18:$D$60,"Ponta")),(SUMIFS($H$18:$H$60,$B$18:$B$60,$D$211,$D$18:$D$60,"Ponta"))))</f>
        <v>0</v>
      </c>
      <c r="M219" s="272">
        <f>IF(MONTH(DataRevRea)=7,'Rede Básica + Ajuste'!K219,IF(G219&lt;$Q$69,(SUMIFS($G$18:$G$60,$B$18:$B$60,$D$211,$D$18:$D$60,"Fora Ponta")),(SUMIFS($H$18:$H$60,$B$18:$B$60,$D$211,$D$18:$D$60,"Fora Ponta"))))</f>
        <v>0</v>
      </c>
      <c r="N219" s="279">
        <f t="shared" si="48"/>
        <v>0</v>
      </c>
    </row>
    <row r="220" spans="3:14" ht="15.75">
      <c r="C220" s="270"/>
      <c r="D220" s="270"/>
      <c r="E220" s="270"/>
      <c r="F220" s="270"/>
      <c r="G220" s="271">
        <f t="shared" si="45"/>
        <v>44713</v>
      </c>
      <c r="H220" s="272">
        <f t="shared" si="45"/>
        <v>0</v>
      </c>
      <c r="I220" s="272">
        <f t="shared" si="45"/>
        <v>0</v>
      </c>
      <c r="J220" s="272">
        <f t="shared" si="46"/>
        <v>0</v>
      </c>
      <c r="K220" s="272">
        <f t="shared" si="47"/>
        <v>0</v>
      </c>
      <c r="L220" s="272">
        <f>IF(MONTH(DataRevRea)=7,'Rede Básica + Ajuste'!J220,IF(G220&lt;$Q$69,(SUMIFS($G$18:$G$60,$B$18:$B$60,$D$211,$D$18:$D$60,"Ponta")),(SUMIFS($H$18:$H$60,$B$18:$B$60,$D$211,$D$18:$D$60,"Ponta"))))</f>
        <v>0</v>
      </c>
      <c r="M220" s="272">
        <f>IF(MONTH(DataRevRea)=7,'Rede Básica + Ajuste'!K220,IF(G220&lt;$Q$69,(SUMIFS($G$18:$G$60,$B$18:$B$60,$D$211,$D$18:$D$60,"Fora Ponta")),(SUMIFS($H$18:$H$60,$B$18:$B$60,$D$211,$D$18:$D$60,"Fora Ponta"))))</f>
        <v>0</v>
      </c>
      <c r="N220" s="279">
        <f t="shared" si="48"/>
        <v>0</v>
      </c>
    </row>
    <row r="221" spans="3:14" ht="15.75">
      <c r="C221" s="276"/>
      <c r="D221" s="276"/>
      <c r="E221" s="276"/>
      <c r="F221" s="270"/>
      <c r="G221" s="271">
        <f t="shared" si="45"/>
        <v>44743</v>
      </c>
      <c r="H221" s="272">
        <f t="shared" si="45"/>
        <v>0</v>
      </c>
      <c r="I221" s="272">
        <f t="shared" si="45"/>
        <v>0</v>
      </c>
      <c r="J221" s="272">
        <f t="shared" si="46"/>
        <v>0</v>
      </c>
      <c r="K221" s="272">
        <f t="shared" si="47"/>
        <v>0</v>
      </c>
      <c r="L221" s="272">
        <f>IF(MONTH(DataRevRea)=7,'Rede Básica + Ajuste'!J221,IF(G221&lt;$Q$69,(SUMIFS($G$18:$G$60,$B$18:$B$60,$D$211,$D$18:$D$60,"Ponta")),(SUMIFS($H$18:$H$60,$B$18:$B$60,$D$211,$D$18:$D$60,"Ponta"))))</f>
        <v>0</v>
      </c>
      <c r="M221" s="272">
        <f>IF(MONTH(DataRevRea)=7,'Rede Básica + Ajuste'!K221,IF(G221&lt;$Q$69,(SUMIFS($G$18:$G$60,$B$18:$B$60,$D$211,$D$18:$D$60,"Fora Ponta")),(SUMIFS($H$18:$H$60,$B$18:$B$60,$D$211,$D$18:$D$60,"Fora Ponta"))))</f>
        <v>0</v>
      </c>
      <c r="N221" s="279">
        <f t="shared" si="48"/>
        <v>0</v>
      </c>
    </row>
    <row r="222" spans="3:14" ht="15.75">
      <c r="C222" s="274"/>
      <c r="D222" s="275"/>
      <c r="E222" s="274"/>
      <c r="F222" s="270"/>
      <c r="G222" s="1257">
        <f t="shared" si="45"/>
        <v>44774</v>
      </c>
      <c r="H222" s="1258">
        <f t="shared" si="45"/>
        <v>0</v>
      </c>
      <c r="I222" s="1258">
        <f t="shared" si="45"/>
        <v>0</v>
      </c>
      <c r="J222" s="1258">
        <f t="shared" si="46"/>
        <v>0</v>
      </c>
      <c r="K222" s="1258">
        <f t="shared" si="47"/>
        <v>0</v>
      </c>
      <c r="L222" s="1258">
        <f>IF(MONTH(DataRevRea)=7,'Rede Básica + Ajuste'!J222,IF(G222&lt;$Q$69,(SUMIFS($G$18:$G$60,$B$18:$B$60,$D$211,$D$18:$D$60,"Ponta")),(SUMIFS($H$18:$H$60,$B$18:$B$60,$D$211,$D$18:$D$60,"Ponta"))))</f>
        <v>0</v>
      </c>
      <c r="M222" s="1258">
        <f>IF(MONTH(DataRevRea)=7,'Rede Básica + Ajuste'!K222,IF(G222&lt;$Q$69,(SUMIFS($G$18:$G$60,$B$18:$B$60,$D$211,$D$18:$D$60,"Fora Ponta")),(SUMIFS($H$18:$H$60,$B$18:$B$60,$D$211,$D$18:$D$60,"Fora Ponta"))))</f>
        <v>0</v>
      </c>
      <c r="N222" s="1259">
        <f t="shared" si="48"/>
        <v>0</v>
      </c>
    </row>
  </sheetData>
  <mergeCells count="40">
    <mergeCell ref="M15:Y16"/>
    <mergeCell ref="E16:F16"/>
    <mergeCell ref="G16:H16"/>
    <mergeCell ref="I16:J16"/>
    <mergeCell ref="K16:L16"/>
    <mergeCell ref="B15:B17"/>
    <mergeCell ref="C15:C17"/>
    <mergeCell ref="D15:D17"/>
    <mergeCell ref="E15:H15"/>
    <mergeCell ref="I15:L15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C120:D120"/>
    <mergeCell ref="C135:D135"/>
    <mergeCell ref="C150:D150"/>
    <mergeCell ref="J164:K164"/>
    <mergeCell ref="L164:M164"/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</mergeCells>
  <conditionalFormatting sqref="B17">
    <cfRule type="cellIs" dxfId="114" priority="7" stopIfTrue="1" operator="equal">
      <formula>"d"</formula>
    </cfRule>
  </conditionalFormatting>
  <conditionalFormatting sqref="B16">
    <cfRule type="cellIs" dxfId="113" priority="6" stopIfTrue="1" operator="equal">
      <formula>"d"</formula>
    </cfRule>
  </conditionalFormatting>
  <conditionalFormatting sqref="B18:Y60">
    <cfRule type="cellIs" dxfId="112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D41" sqref="D41"/>
    </sheetView>
  </sheetViews>
  <sheetFormatPr defaultColWidth="9.140625" defaultRowHeight="14.25"/>
  <cols>
    <col min="1" max="1" width="3.28515625" style="149" customWidth="1"/>
    <col min="2" max="2" width="35.85546875" style="149" customWidth="1"/>
    <col min="3" max="3" width="16.5703125" style="149" customWidth="1"/>
    <col min="4" max="4" width="17.5703125" style="149" customWidth="1"/>
    <col min="5" max="5" width="18.28515625" style="152" customWidth="1"/>
    <col min="6" max="6" width="12.7109375" style="152" customWidth="1"/>
    <col min="7" max="7" width="15.85546875" style="149" customWidth="1"/>
    <col min="8" max="8" width="12.5703125" style="149" customWidth="1"/>
    <col min="9" max="9" width="11.140625" style="149" customWidth="1"/>
    <col min="10" max="10" width="6" style="149" hidden="1" customWidth="1"/>
    <col min="11" max="11" width="2.28515625" style="149" hidden="1" customWidth="1"/>
    <col min="12" max="12" width="11.140625" style="149" hidden="1" customWidth="1"/>
    <col min="13" max="18" width="11.140625" style="149" customWidth="1"/>
    <col min="19" max="19" width="15.85546875" style="149" customWidth="1"/>
    <col min="20" max="20" width="5.42578125" style="149" customWidth="1"/>
    <col min="21" max="22" width="5.28515625" style="149" customWidth="1"/>
    <col min="23" max="23" width="11" style="149" customWidth="1"/>
    <col min="24" max="24" width="9.140625" style="149" customWidth="1"/>
    <col min="25" max="25" width="5.7109375" style="149" customWidth="1"/>
    <col min="26" max="26" width="2.28515625" style="149" bestFit="1" customWidth="1"/>
    <col min="27" max="16384" width="9.140625" style="149"/>
  </cols>
  <sheetData>
    <row r="1" spans="2:39" ht="24" customHeight="1">
      <c r="B1" s="930" t="s">
        <v>638</v>
      </c>
      <c r="C1" s="1019"/>
      <c r="D1" s="931"/>
      <c r="E1" s="1227"/>
      <c r="F1" s="1227"/>
      <c r="G1" s="1129" t="s">
        <v>873</v>
      </c>
      <c r="H1" s="1130">
        <f ca="1">LnkTXTIRTEco</f>
        <v>6.4000000000000001E-2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2" t="s">
        <v>1182</v>
      </c>
      <c r="AL1" s="183">
        <v>7947</v>
      </c>
      <c r="AM1" s="182" t="s">
        <v>1183</v>
      </c>
    </row>
    <row r="2" spans="2:39" ht="15" thickBot="1">
      <c r="B2" s="136" t="str">
        <f>CAPA!C9</f>
        <v>Cedri</v>
      </c>
      <c r="C2" s="70"/>
      <c r="D2" s="70"/>
      <c r="G2" s="120" t="s">
        <v>877</v>
      </c>
      <c r="H2" s="121">
        <f ca="1">LnkTXTIRTTotal</f>
        <v>-0.14050000000000001</v>
      </c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68"/>
      <c r="U2" s="68"/>
      <c r="V2" s="68"/>
      <c r="W2" s="68"/>
      <c r="X2" s="68"/>
      <c r="AK2" s="184" t="s">
        <v>1184</v>
      </c>
      <c r="AL2" s="185">
        <v>7959</v>
      </c>
      <c r="AM2" s="186" t="s">
        <v>1185</v>
      </c>
    </row>
    <row r="3" spans="2:39" ht="15" thickBot="1">
      <c r="B3" s="154"/>
      <c r="C3" s="154"/>
      <c r="D3" s="154"/>
      <c r="E3" s="154"/>
      <c r="F3" s="154"/>
      <c r="G3" s="154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68"/>
      <c r="U3" s="68"/>
      <c r="V3" s="68"/>
      <c r="W3" s="68"/>
      <c r="X3" s="68"/>
      <c r="AK3" s="168"/>
      <c r="AL3" s="169"/>
      <c r="AM3" s="170"/>
    </row>
    <row r="4" spans="2:39" ht="15" thickBot="1">
      <c r="S4" s="68"/>
      <c r="T4" s="68"/>
      <c r="U4" s="68"/>
      <c r="V4" s="68"/>
      <c r="W4" s="68"/>
      <c r="X4" s="68"/>
      <c r="AK4" s="168" t="s">
        <v>1186</v>
      </c>
      <c r="AL4" s="169">
        <v>7972</v>
      </c>
      <c r="AM4" s="170" t="s">
        <v>1187</v>
      </c>
    </row>
    <row r="5" spans="2:39" ht="29.25" thickBot="1">
      <c r="B5" s="1231" t="s">
        <v>1188</v>
      </c>
      <c r="C5" s="1231" t="s">
        <v>1189</v>
      </c>
      <c r="D5" s="1231" t="s">
        <v>1190</v>
      </c>
      <c r="E5" s="1231" t="s">
        <v>1191</v>
      </c>
      <c r="F5" s="1231" t="s">
        <v>1192</v>
      </c>
      <c r="G5" s="1231" t="s">
        <v>1193</v>
      </c>
      <c r="J5" s="156" t="s">
        <v>1194</v>
      </c>
      <c r="K5" s="167">
        <v>2</v>
      </c>
      <c r="M5" s="94"/>
      <c r="S5" s="68"/>
      <c r="T5" s="68"/>
      <c r="U5" s="68"/>
      <c r="V5" s="68"/>
      <c r="W5" s="68"/>
      <c r="X5" s="68"/>
      <c r="AK5" s="168" t="s">
        <v>1195</v>
      </c>
      <c r="AL5" s="169">
        <v>7973</v>
      </c>
      <c r="AM5" s="170" t="s">
        <v>1196</v>
      </c>
    </row>
    <row r="6" spans="2:39" ht="15" thickBot="1">
      <c r="B6" s="389">
        <f>RBBD!B304</f>
        <v>0</v>
      </c>
      <c r="C6" s="390">
        <f>SUM(RBBD!D304:E304)</f>
        <v>0</v>
      </c>
      <c r="D6" s="391">
        <f>SUM(RBBD!F304:G304)</f>
        <v>0</v>
      </c>
      <c r="E6" s="391">
        <f>SUM(RBBD!H304:I304)</f>
        <v>0</v>
      </c>
      <c r="F6" s="390">
        <f>RBBD!C304</f>
        <v>0</v>
      </c>
      <c r="G6" s="390">
        <f>SUM(C6:E6)</f>
        <v>0</v>
      </c>
      <c r="J6" s="156" t="s">
        <v>772</v>
      </c>
      <c r="K6" s="167">
        <v>3</v>
      </c>
      <c r="AK6" s="168" t="s">
        <v>1197</v>
      </c>
      <c r="AL6" s="169">
        <v>7974</v>
      </c>
      <c r="AM6" s="170" t="s">
        <v>1198</v>
      </c>
    </row>
    <row r="7" spans="2:39" ht="15" thickBot="1">
      <c r="B7" s="389">
        <f>RBBD!B305</f>
        <v>0</v>
      </c>
      <c r="C7" s="390">
        <f>SUM(RBBD!D305:E305)</f>
        <v>0</v>
      </c>
      <c r="D7" s="391">
        <f>SUM(RBBD!F305:G305)</f>
        <v>0</v>
      </c>
      <c r="E7" s="391">
        <f>SUM(RBBD!H305:I305)</f>
        <v>0</v>
      </c>
      <c r="F7" s="390">
        <f>RBBD!C305</f>
        <v>0</v>
      </c>
      <c r="G7" s="390">
        <f>SUM(C7:E7)</f>
        <v>0</v>
      </c>
      <c r="J7" s="156"/>
      <c r="K7" s="156"/>
      <c r="AK7" s="168" t="s">
        <v>1199</v>
      </c>
      <c r="AL7" s="169">
        <v>7977</v>
      </c>
      <c r="AM7" s="170" t="s">
        <v>1200</v>
      </c>
    </row>
    <row r="8" spans="2:39" ht="15" thickBot="1">
      <c r="B8" s="389">
        <f>RBBD!B306</f>
        <v>0</v>
      </c>
      <c r="C8" s="390">
        <f>SUM(RBBD!D306:E306)</f>
        <v>0</v>
      </c>
      <c r="D8" s="391">
        <f>SUM(RBBD!F306:G306)</f>
        <v>0</v>
      </c>
      <c r="E8" s="391">
        <f>SUM(RBBD!H306:I306)</f>
        <v>0</v>
      </c>
      <c r="F8" s="390">
        <f>RBBD!C306</f>
        <v>0</v>
      </c>
      <c r="G8" s="390">
        <f>SUM(C8:E8)</f>
        <v>0</v>
      </c>
      <c r="AK8" s="168" t="s">
        <v>1201</v>
      </c>
      <c r="AL8" s="169">
        <v>7978</v>
      </c>
      <c r="AM8" s="170" t="s">
        <v>1202</v>
      </c>
    </row>
    <row r="9" spans="2:39" ht="15" thickBot="1">
      <c r="B9" s="389">
        <f>RBBD!B307</f>
        <v>0</v>
      </c>
      <c r="C9" s="390">
        <f>SUM(RBBD!D307:E307)</f>
        <v>0</v>
      </c>
      <c r="D9" s="391">
        <f>SUM(RBBD!F307:G307)</f>
        <v>0</v>
      </c>
      <c r="E9" s="391">
        <f>SUM(RBBD!H307:I307)</f>
        <v>0</v>
      </c>
      <c r="F9" s="390">
        <f>RBBD!C307</f>
        <v>0</v>
      </c>
      <c r="G9" s="390">
        <f>SUM(C9:E9)</f>
        <v>0</v>
      </c>
      <c r="AK9" s="168" t="s">
        <v>1203</v>
      </c>
      <c r="AL9" s="169">
        <v>7979</v>
      </c>
      <c r="AM9" s="170" t="s">
        <v>1204</v>
      </c>
    </row>
    <row r="10" spans="2:39" ht="15" thickBot="1">
      <c r="B10" s="389">
        <f>RBBD!B308</f>
        <v>0</v>
      </c>
      <c r="C10" s="390">
        <f>SUM(RBBD!D308:E308)</f>
        <v>0</v>
      </c>
      <c r="D10" s="391">
        <f>SUM(RBBD!F308:G308)</f>
        <v>0</v>
      </c>
      <c r="E10" s="391">
        <f>SUM(RBBD!H308:I308)</f>
        <v>0</v>
      </c>
      <c r="F10" s="390">
        <f>RBBD!C308</f>
        <v>0</v>
      </c>
      <c r="G10" s="390">
        <f>SUM(C10:E10)</f>
        <v>0</v>
      </c>
      <c r="AK10" s="168" t="s">
        <v>1205</v>
      </c>
      <c r="AL10" s="169">
        <v>8047</v>
      </c>
      <c r="AM10" s="170" t="s">
        <v>1206</v>
      </c>
    </row>
    <row r="11" spans="2:39" ht="15" thickBot="1">
      <c r="B11" s="1261" t="s">
        <v>760</v>
      </c>
      <c r="C11" s="1262">
        <f>SUM(C6:C10)</f>
        <v>0</v>
      </c>
      <c r="D11" s="1262">
        <f>SUM(D6:D10)</f>
        <v>0</v>
      </c>
      <c r="E11" s="1263">
        <f>SUM(E6:E10)</f>
        <v>0</v>
      </c>
      <c r="F11" s="1264"/>
      <c r="G11" s="1265">
        <f>SUM(G6:G10)</f>
        <v>0</v>
      </c>
      <c r="AK11" s="168" t="s">
        <v>1207</v>
      </c>
      <c r="AL11" s="169">
        <v>8049</v>
      </c>
      <c r="AM11" s="170" t="s">
        <v>1208</v>
      </c>
    </row>
    <row r="12" spans="2:39" ht="15" thickBot="1">
      <c r="B12" s="164"/>
      <c r="C12" s="163"/>
      <c r="D12" s="1266" t="s">
        <v>1209</v>
      </c>
      <c r="E12" s="1266"/>
      <c r="F12" s="1267">
        <f>IF(MONTH(CAPA!C15)&gt;6,DATE(YEAR(CAPA!C15),6,1),DATE(YEAR(CAPA!C15)-1,6,1))</f>
        <v>44713</v>
      </c>
      <c r="G12" s="187"/>
      <c r="AK12" s="168" t="s">
        <v>1210</v>
      </c>
      <c r="AL12" s="169">
        <v>8050</v>
      </c>
      <c r="AM12" s="170" t="s">
        <v>1211</v>
      </c>
    </row>
    <row r="13" spans="2:39" ht="15" thickBot="1">
      <c r="B13" s="180"/>
      <c r="C13" s="180"/>
      <c r="D13" s="180"/>
      <c r="F13" s="181" t="s">
        <v>1212</v>
      </c>
      <c r="AK13" s="168"/>
      <c r="AL13" s="169"/>
      <c r="AM13" s="170"/>
    </row>
    <row r="14" spans="2:39" ht="15" thickBot="1">
      <c r="B14" s="180"/>
      <c r="C14" s="180"/>
      <c r="AK14" s="168" t="s">
        <v>1213</v>
      </c>
      <c r="AL14" s="169">
        <v>8051</v>
      </c>
      <c r="AM14" s="170" t="s">
        <v>1214</v>
      </c>
    </row>
    <row r="15" spans="2:39" ht="29.25" thickBot="1">
      <c r="B15" s="1231" t="s">
        <v>1188</v>
      </c>
      <c r="C15" s="1231" t="s">
        <v>1189</v>
      </c>
      <c r="D15" s="1231" t="s">
        <v>1215</v>
      </c>
      <c r="E15" s="1231" t="s">
        <v>1216</v>
      </c>
      <c r="F15" s="149"/>
      <c r="AK15" s="168" t="s">
        <v>1217</v>
      </c>
      <c r="AL15" s="169">
        <v>8057</v>
      </c>
      <c r="AM15" s="170" t="s">
        <v>1218</v>
      </c>
    </row>
    <row r="16" spans="2:39" ht="15" thickBot="1">
      <c r="B16" s="188">
        <f>B6</f>
        <v>0</v>
      </c>
      <c r="C16" s="189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0"/>
      <c r="E16" s="189">
        <f>SUM(C16:D16)</f>
        <v>0</v>
      </c>
      <c r="F16" s="149"/>
      <c r="AK16" s="168" t="s">
        <v>1219</v>
      </c>
      <c r="AL16" s="169">
        <v>8058</v>
      </c>
      <c r="AM16" s="170" t="s">
        <v>1220</v>
      </c>
    </row>
    <row r="17" spans="2:39" ht="15" thickBot="1">
      <c r="B17" s="188">
        <f>B7</f>
        <v>0</v>
      </c>
      <c r="C17" s="189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0"/>
      <c r="E17" s="189">
        <f>SUM(C17:D17)</f>
        <v>0</v>
      </c>
      <c r="F17" s="149"/>
      <c r="AK17" s="168" t="s">
        <v>1221</v>
      </c>
      <c r="AL17" s="169">
        <v>8220</v>
      </c>
      <c r="AM17" s="170" t="s">
        <v>1222</v>
      </c>
    </row>
    <row r="18" spans="2:39" ht="15" thickBot="1">
      <c r="B18" s="188">
        <f>B8</f>
        <v>0</v>
      </c>
      <c r="C18" s="189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0"/>
      <c r="E18" s="189">
        <f>SUM(C18:D18)</f>
        <v>0</v>
      </c>
      <c r="F18" s="149"/>
      <c r="AK18" s="168" t="s">
        <v>1223</v>
      </c>
      <c r="AL18" s="169">
        <v>8221</v>
      </c>
      <c r="AM18" s="170" t="s">
        <v>1224</v>
      </c>
    </row>
    <row r="19" spans="2:39" ht="15" thickBot="1">
      <c r="B19" s="188">
        <f>B9</f>
        <v>0</v>
      </c>
      <c r="C19" s="189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0"/>
      <c r="E19" s="189">
        <f>SUM(C19:D19)</f>
        <v>0</v>
      </c>
      <c r="F19" s="149"/>
      <c r="AK19" s="168" t="s">
        <v>1225</v>
      </c>
      <c r="AL19" s="169">
        <v>8231</v>
      </c>
      <c r="AM19" s="170" t="s">
        <v>1226</v>
      </c>
    </row>
    <row r="20" spans="2:39" ht="15" thickBot="1">
      <c r="B20" s="188">
        <f>B10</f>
        <v>0</v>
      </c>
      <c r="C20" s="189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0"/>
      <c r="E20" s="189">
        <f>SUM(C20:D20)</f>
        <v>0</v>
      </c>
      <c r="F20" s="149"/>
      <c r="AK20" s="168" t="s">
        <v>1227</v>
      </c>
      <c r="AL20" s="169">
        <v>8261</v>
      </c>
      <c r="AM20" s="170" t="s">
        <v>1228</v>
      </c>
    </row>
    <row r="21" spans="2:39">
      <c r="B21" s="1261" t="s">
        <v>760</v>
      </c>
      <c r="C21" s="1268">
        <f>SUM(C16:C20)</f>
        <v>0</v>
      </c>
      <c r="D21" s="1268">
        <f>SUM(D16:D20)</f>
        <v>0</v>
      </c>
      <c r="E21" s="1268">
        <f>SUM(E16:E20)</f>
        <v>0</v>
      </c>
      <c r="F21" s="149"/>
      <c r="AK21" s="171" t="s">
        <v>1229</v>
      </c>
      <c r="AL21" s="172">
        <v>8263</v>
      </c>
      <c r="AM21" s="173" t="s">
        <v>1230</v>
      </c>
    </row>
    <row r="24" spans="2:39">
      <c r="B24" s="174"/>
      <c r="C24" s="165"/>
      <c r="D24" s="165"/>
      <c r="E24" s="166"/>
      <c r="F24" s="166"/>
      <c r="G24" s="165"/>
      <c r="H24" s="165"/>
      <c r="I24" s="165"/>
    </row>
    <row r="25" spans="2:39">
      <c r="B25" s="72"/>
      <c r="C25" s="72"/>
      <c r="D25" s="72"/>
      <c r="E25" s="72"/>
      <c r="F25" s="72"/>
      <c r="G25" s="72"/>
      <c r="H25" s="72"/>
      <c r="I25" s="165"/>
    </row>
    <row r="26" spans="2:39">
      <c r="B26" s="72"/>
      <c r="C26" s="72"/>
      <c r="D26" s="72"/>
      <c r="E26" s="72"/>
      <c r="F26" s="175"/>
      <c r="G26" s="176"/>
      <c r="H26" s="115"/>
      <c r="I26" s="165"/>
    </row>
    <row r="27" spans="2:39">
      <c r="B27" s="96"/>
      <c r="C27" s="96"/>
      <c r="D27" s="96"/>
      <c r="E27" s="96"/>
      <c r="F27" s="96"/>
      <c r="G27" s="96"/>
      <c r="H27" s="96"/>
      <c r="I27" s="165"/>
    </row>
    <row r="28" spans="2:39">
      <c r="B28" s="174"/>
      <c r="C28" s="96"/>
      <c r="D28" s="96"/>
      <c r="E28" s="96"/>
      <c r="F28" s="96"/>
      <c r="G28" s="96"/>
      <c r="H28" s="96"/>
      <c r="I28" s="165"/>
    </row>
    <row r="29" spans="2:39">
      <c r="B29" s="177"/>
      <c r="C29" s="72"/>
      <c r="D29" s="72"/>
      <c r="E29" s="72"/>
      <c r="F29" s="72"/>
      <c r="G29" s="72"/>
      <c r="H29" s="88"/>
      <c r="I29" s="165"/>
    </row>
    <row r="30" spans="2:39">
      <c r="B30" s="177"/>
      <c r="C30" s="72"/>
      <c r="D30" s="72"/>
      <c r="E30" s="72"/>
      <c r="F30" s="72"/>
      <c r="G30" s="72"/>
      <c r="H30" s="88"/>
      <c r="I30" s="165"/>
    </row>
    <row r="31" spans="2:39">
      <c r="B31" s="177"/>
      <c r="C31" s="177"/>
      <c r="D31" s="177"/>
      <c r="E31" s="177"/>
      <c r="F31" s="177"/>
      <c r="G31" s="177"/>
      <c r="H31" s="178"/>
      <c r="I31" s="165"/>
    </row>
    <row r="32" spans="2:39">
      <c r="B32" s="165"/>
      <c r="C32" s="165"/>
      <c r="D32" s="165"/>
      <c r="E32" s="166"/>
      <c r="F32" s="166"/>
      <c r="G32" s="165"/>
      <c r="H32" s="165"/>
      <c r="I32" s="165"/>
    </row>
    <row r="33" spans="2:9">
      <c r="B33" s="165"/>
      <c r="C33" s="165"/>
      <c r="D33" s="165"/>
      <c r="E33" s="166"/>
      <c r="F33" s="166"/>
      <c r="G33" s="165"/>
      <c r="H33" s="165"/>
      <c r="I33" s="165"/>
    </row>
    <row r="76" spans="2:21" s="167" customFormat="1">
      <c r="B76" s="149"/>
      <c r="C76" s="149"/>
      <c r="D76" s="149"/>
      <c r="E76" s="152"/>
      <c r="F76" s="152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</row>
    <row r="77" spans="2:21" s="167" customFormat="1">
      <c r="B77" s="149"/>
      <c r="C77" s="149"/>
      <c r="D77" s="149"/>
      <c r="E77" s="152"/>
      <c r="F77" s="152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</row>
    <row r="78" spans="2:21" s="167" customFormat="1">
      <c r="B78" s="149"/>
      <c r="C78" s="149"/>
      <c r="D78" s="149"/>
      <c r="E78" s="152"/>
      <c r="F78" s="152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</row>
    <row r="79" spans="2:21" s="167" customFormat="1">
      <c r="B79" s="149"/>
      <c r="C79" s="149"/>
      <c r="D79" s="149"/>
      <c r="E79" s="152"/>
      <c r="F79" s="152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</row>
    <row r="80" spans="2:21" s="167" customFormat="1">
      <c r="B80" s="149"/>
      <c r="C80" s="149"/>
      <c r="D80" s="149"/>
      <c r="E80" s="152"/>
      <c r="F80" s="152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</row>
    <row r="81" spans="2:21" s="167" customFormat="1">
      <c r="B81" s="149"/>
      <c r="C81" s="149"/>
      <c r="D81" s="149"/>
      <c r="E81" s="152"/>
      <c r="F81" s="152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</row>
    <row r="82" spans="2:21" s="167" customFormat="1">
      <c r="B82" s="149"/>
      <c r="C82" s="149"/>
      <c r="D82" s="149"/>
      <c r="E82" s="152"/>
      <c r="F82" s="152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topLeftCell="H11" zoomScale="115" zoomScaleNormal="115" workbookViewId="0">
      <selection activeCell="L33" sqref="L33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5" customFormat="1" ht="29.25" customHeight="1">
      <c r="A1" s="137"/>
      <c r="B1" s="930" t="s">
        <v>743</v>
      </c>
      <c r="C1" s="1226"/>
      <c r="D1" s="1226"/>
      <c r="E1" s="1226"/>
      <c r="F1" s="931"/>
      <c r="G1" s="931"/>
      <c r="H1" s="1129" t="s">
        <v>873</v>
      </c>
      <c r="I1" s="1130">
        <f ca="1">LnkTXTIRTEco</f>
        <v>6.4000000000000001E-2</v>
      </c>
      <c r="J1" s="193"/>
      <c r="K1" s="194"/>
    </row>
    <row r="2" spans="1:15" s="195" customFormat="1" ht="27" customHeight="1">
      <c r="B2" s="136" t="str">
        <f>CAPA!C9</f>
        <v>Cedri</v>
      </c>
      <c r="C2" s="70"/>
      <c r="D2" s="70"/>
      <c r="E2" s="70"/>
      <c r="F2" s="70"/>
      <c r="G2" s="70"/>
      <c r="H2" s="120" t="s">
        <v>877</v>
      </c>
      <c r="I2" s="121">
        <f ca="1">LnkTXTIRTTotal</f>
        <v>-0.14050000000000001</v>
      </c>
    </row>
    <row r="3" spans="1:15">
      <c r="B3" s="934" t="s">
        <v>1240</v>
      </c>
      <c r="C3" s="784"/>
      <c r="E3" s="784" t="str">
        <f>"Encargos "&amp;YEAR(CAPA!C14)</f>
        <v>Encargos 2021</v>
      </c>
      <c r="F3" s="784"/>
      <c r="H3" s="784"/>
      <c r="I3" s="784"/>
      <c r="J3" s="784"/>
      <c r="K3" s="784"/>
      <c r="L3" s="784"/>
      <c r="M3" s="784"/>
      <c r="N3" s="784"/>
      <c r="O3" s="784"/>
    </row>
    <row r="4" spans="1:15">
      <c r="E4" s="1231" t="s">
        <v>72</v>
      </c>
      <c r="F4" s="1231" t="s">
        <v>1241</v>
      </c>
      <c r="H4" s="72"/>
      <c r="I4" s="72"/>
    </row>
    <row r="5" spans="1:15">
      <c r="B5" s="1231" t="s">
        <v>72</v>
      </c>
      <c r="C5" s="1231" t="s">
        <v>37</v>
      </c>
      <c r="E5" s="68" t="s">
        <v>40</v>
      </c>
      <c r="F5" s="115">
        <f>CAPA!D42</f>
        <v>32244.015181585899</v>
      </c>
      <c r="H5" s="1826" t="s">
        <v>1242</v>
      </c>
      <c r="I5" s="1826"/>
      <c r="K5" s="1826" t="s">
        <v>1243</v>
      </c>
      <c r="L5" s="1826"/>
      <c r="N5" s="1826" t="s">
        <v>1244</v>
      </c>
      <c r="O5" s="1826"/>
    </row>
    <row r="6" spans="1:15">
      <c r="B6" s="68" t="s">
        <v>40</v>
      </c>
      <c r="C6" s="80">
        <f ca="1">L14</f>
        <v>32726.000289716503</v>
      </c>
      <c r="E6" s="68" t="s">
        <v>41</v>
      </c>
      <c r="F6" s="115">
        <f>CAPA!D43</f>
        <v>1191087.61023</v>
      </c>
      <c r="H6" s="199" t="s">
        <v>1245</v>
      </c>
      <c r="I6" s="200">
        <f ca="1">FornecimentoE+LivreE-Calc_Mercado!C16</f>
        <v>21739.338</v>
      </c>
      <c r="K6" s="505" t="s">
        <v>745</v>
      </c>
      <c r="L6" s="411">
        <f ca="1">LnkTXTER</f>
        <v>12598.010667271907</v>
      </c>
      <c r="N6" s="201" t="s">
        <v>1246</v>
      </c>
      <c r="O6" s="395">
        <v>1E-14</v>
      </c>
    </row>
    <row r="7" spans="1:15" ht="13.5" customHeight="1">
      <c r="B7" s="68" t="s">
        <v>41</v>
      </c>
      <c r="C7" s="80">
        <f ca="1">I22</f>
        <v>2305705.8123503467</v>
      </c>
      <c r="D7" s="196"/>
      <c r="E7" s="68" t="s">
        <v>112</v>
      </c>
      <c r="F7" s="115">
        <f>CAPA!D44</f>
        <v>0</v>
      </c>
      <c r="H7" s="1276" t="s">
        <v>1247</v>
      </c>
      <c r="I7" s="1277">
        <v>14.13</v>
      </c>
      <c r="K7" s="505" t="s">
        <v>1088</v>
      </c>
      <c r="L7" s="411">
        <f ca="1">Energia!M7</f>
        <v>10902.100999999999</v>
      </c>
      <c r="N7" s="201" t="s">
        <v>1248</v>
      </c>
      <c r="O7" s="202">
        <f ca="1">SUM(C12+C6+C9+C10+C8)</f>
        <v>339902.84622971655</v>
      </c>
    </row>
    <row r="8" spans="1:15">
      <c r="B8" s="68" t="s">
        <v>112</v>
      </c>
      <c r="C8" s="80">
        <v>0</v>
      </c>
      <c r="D8" s="196"/>
      <c r="E8" s="68" t="s">
        <v>768</v>
      </c>
      <c r="F8" s="115">
        <f>CAPA!D45</f>
        <v>0</v>
      </c>
      <c r="K8" s="505" t="s">
        <v>1091</v>
      </c>
      <c r="L8" s="411">
        <f ca="1">LnkTXTPerdas</f>
        <v>1496.6436672719026</v>
      </c>
      <c r="N8" s="201" t="s">
        <v>717</v>
      </c>
      <c r="O8" s="264">
        <f>Resultado!D24</f>
        <v>2472691.1461900002</v>
      </c>
    </row>
    <row r="9" spans="1:15">
      <c r="B9" s="68" t="s">
        <v>1249</v>
      </c>
      <c r="C9" s="808">
        <f>IFERROR(VLOOKUP("ESS/EER",TabEncargosBancoConsolidados[],2,FALSE),0)</f>
        <v>0</v>
      </c>
      <c r="D9" s="69"/>
      <c r="E9" s="68" t="s">
        <v>47</v>
      </c>
      <c r="F9" s="115">
        <f>CAPA!D46</f>
        <v>200783.56998</v>
      </c>
      <c r="H9" s="1826" t="s">
        <v>1250</v>
      </c>
      <c r="I9" s="1826"/>
      <c r="K9" s="505" t="s">
        <v>1251</v>
      </c>
      <c r="L9" s="411">
        <f ca="1">SUM(L6:L7,-L8)</f>
        <v>22003.468000000004</v>
      </c>
      <c r="N9" s="201" t="s">
        <v>108</v>
      </c>
      <c r="O9" s="263">
        <f ca="1">Resultado!D33</f>
        <v>3386788.7396409675</v>
      </c>
    </row>
    <row r="10" spans="1:15">
      <c r="B10" s="68" t="s">
        <v>47</v>
      </c>
      <c r="C10" s="80">
        <f ca="1">IFERROR(Encargos!I7*I6,0)</f>
        <v>307176.84594000003</v>
      </c>
      <c r="D10" s="196"/>
      <c r="E10" s="68" t="s">
        <v>49</v>
      </c>
      <c r="F10" s="115">
        <f>CAPA!D48</f>
        <v>0</v>
      </c>
      <c r="H10" s="1278" t="s">
        <v>1252</v>
      </c>
      <c r="I10" s="1279">
        <f ca="1">FornecimentoE_A1+Calc_Mercado!C10+Calc_Mercado!C11+Calc_Mercado!C114+Calc_Mercado!C115</f>
        <v>0</v>
      </c>
      <c r="K10" s="505" t="s">
        <v>1253</v>
      </c>
      <c r="L10" s="411">
        <f ca="1">SUM(L6:L7)</f>
        <v>23500.111667271907</v>
      </c>
      <c r="N10" s="201" t="s">
        <v>1254</v>
      </c>
      <c r="O10" s="202">
        <f>Resultado!D39</f>
        <v>7218569.4400000004</v>
      </c>
    </row>
    <row r="11" spans="1:15">
      <c r="B11" s="68" t="s">
        <v>1255</v>
      </c>
      <c r="C11" s="80">
        <v>1E-4</v>
      </c>
      <c r="D11" s="196"/>
      <c r="E11" s="784" t="s">
        <v>2037</v>
      </c>
      <c r="F11" s="1151">
        <f>CAPA!D47</f>
        <v>561638.56127034605</v>
      </c>
      <c r="H11" s="199" t="s">
        <v>1256</v>
      </c>
      <c r="I11" s="139">
        <f ca="1">Calc_Mercado!C12+Calc_Mercado!C13+Calc_Mercado!C14+Calc_Mercado!C116+Calc_Mercado!C117</f>
        <v>13879.817999999999</v>
      </c>
      <c r="K11" s="505" t="s">
        <v>1257</v>
      </c>
      <c r="L11" s="411">
        <f>BD!C32</f>
        <v>0.82611291188169422</v>
      </c>
      <c r="N11" s="201" t="s">
        <v>1258</v>
      </c>
      <c r="O11" s="203">
        <f ca="1">IF(O6=0,0,O6*(SUM(O7:O10)-Q7))</f>
        <v>1.3417952172060683E-7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784" t="str">
        <f>"Encargos "&amp;YEAR(CAPA!C14)-1</f>
        <v>Encargos 2020</v>
      </c>
      <c r="F12" s="784"/>
      <c r="H12" s="199" t="s">
        <v>1259</v>
      </c>
      <c r="I12" s="139">
        <f ca="1">FornecimentoE_BT-Calc_Mercado!C16+Calc_Mercado!C119+Calc_Mercado!C118</f>
        <v>7859.5200000000041</v>
      </c>
      <c r="K12" s="505" t="s">
        <v>1260</v>
      </c>
      <c r="L12" s="45">
        <v>4.0000000000000001E-3</v>
      </c>
      <c r="N12" s="201" t="s">
        <v>1261</v>
      </c>
      <c r="O12" s="203">
        <f ca="1">Financeiros!D7</f>
        <v>-3022668.8973847665</v>
      </c>
    </row>
    <row r="13" spans="1:15">
      <c r="B13" s="1280" t="s">
        <v>769</v>
      </c>
      <c r="C13" s="1281">
        <f ca="1">SUM(C6:C12)</f>
        <v>2645608.6586800627</v>
      </c>
      <c r="D13" s="196"/>
      <c r="E13" s="1231" t="s">
        <v>72</v>
      </c>
      <c r="F13" s="1231" t="s">
        <v>1241</v>
      </c>
      <c r="H13" s="1282" t="s">
        <v>1262</v>
      </c>
      <c r="I13" s="1283">
        <v>23.38</v>
      </c>
      <c r="K13" s="1284" t="s">
        <v>1263</v>
      </c>
      <c r="L13" s="1285">
        <f ca="1">LnkTXTIParcelaBcomSub+Energia!F19</f>
        <v>7218569.4400000004</v>
      </c>
      <c r="N13" s="1286" t="s">
        <v>1264</v>
      </c>
      <c r="O13" s="1287">
        <f ca="1">O12*O6+O11</f>
        <v>1.0395283274675917E-7</v>
      </c>
    </row>
    <row r="14" spans="1:15">
      <c r="E14" s="68" t="s">
        <v>40</v>
      </c>
      <c r="F14" s="1288">
        <f>BD!C37</f>
        <v>34564.193644674975</v>
      </c>
      <c r="H14" s="257" t="s">
        <v>1265</v>
      </c>
      <c r="I14" s="815">
        <v>31.67</v>
      </c>
      <c r="K14" s="1289" t="s">
        <v>40</v>
      </c>
      <c r="L14" s="1290">
        <f ca="1">L12*1/L11*L9/L10*L13</f>
        <v>32726.000289716503</v>
      </c>
    </row>
    <row r="15" spans="1:15">
      <c r="E15" s="68" t="s">
        <v>41</v>
      </c>
      <c r="F15" s="80">
        <f>BD!C35</f>
        <v>1065501.9402000005</v>
      </c>
      <c r="H15" s="1291" t="s">
        <v>1266</v>
      </c>
      <c r="I15" s="1292">
        <v>37.700000000000003</v>
      </c>
    </row>
    <row r="16" spans="1:15">
      <c r="E16" s="68" t="s">
        <v>112</v>
      </c>
      <c r="F16" s="80">
        <v>0</v>
      </c>
      <c r="H16" s="1185" t="s">
        <v>1267</v>
      </c>
      <c r="I16" s="1283">
        <v>55.4</v>
      </c>
      <c r="K16" s="1826" t="s">
        <v>768</v>
      </c>
      <c r="L16" s="1826"/>
    </row>
    <row r="17" spans="2:14">
      <c r="E17" s="68" t="s">
        <v>768</v>
      </c>
      <c r="F17" s="80">
        <v>0</v>
      </c>
      <c r="H17" s="68" t="s">
        <v>1268</v>
      </c>
      <c r="I17" s="815">
        <v>75.06</v>
      </c>
      <c r="K17" s="1278" t="s">
        <v>2055</v>
      </c>
      <c r="L17" s="1279">
        <f>IFERROR(VLOOKUP("EER",TabEncargosBancoConsolidados[],2,FALSE),0)</f>
        <v>0</v>
      </c>
    </row>
    <row r="18" spans="2:14">
      <c r="C18" s="107"/>
      <c r="D18" s="107"/>
      <c r="E18" s="68" t="s">
        <v>47</v>
      </c>
      <c r="F18" s="80">
        <f>BD!C36</f>
        <v>148586.44025000007</v>
      </c>
      <c r="G18" s="107"/>
      <c r="H18" s="784" t="s">
        <v>1269</v>
      </c>
      <c r="I18" s="1292">
        <v>89.35</v>
      </c>
      <c r="K18" s="199" t="s">
        <v>2058</v>
      </c>
      <c r="L18" s="139">
        <f>C9-L17</f>
        <v>0</v>
      </c>
    </row>
    <row r="19" spans="2:14">
      <c r="C19" s="107"/>
      <c r="D19" s="107"/>
      <c r="E19" s="784" t="s">
        <v>49</v>
      </c>
      <c r="F19" s="1293">
        <v>0</v>
      </c>
      <c r="G19" s="107"/>
      <c r="H19" s="68" t="s">
        <v>1270</v>
      </c>
      <c r="I19" s="69">
        <f ca="1">IF(CAPA!C10="S/SE/CO",Encargos!I10*Encargos!I16+Encargos!I11*Encargos!I17+Encargos!I12*Encargos!I18,Encargos!I10*Encargos!I13+Encargos!I11*Encargos!I14+Encargos!I12*Encargos!I15)</f>
        <v>1744067.2510800003</v>
      </c>
      <c r="K19" s="1231" t="s">
        <v>769</v>
      </c>
      <c r="L19" s="1456">
        <f>SUM(L17:L18)</f>
        <v>0</v>
      </c>
    </row>
    <row r="20" spans="2:14">
      <c r="C20" s="107"/>
      <c r="D20" s="107"/>
      <c r="F20" s="80"/>
      <c r="G20" s="107"/>
      <c r="H20" s="1294" t="s">
        <v>1271</v>
      </c>
      <c r="I20" s="1295">
        <f>IFERROR(VLOOKUP("CDE Covid",TabEncargosBancoConsolidados[],2,FALSE),0)</f>
        <v>561638.5612703464</v>
      </c>
    </row>
    <row r="21" spans="2:14">
      <c r="C21" s="107"/>
      <c r="D21" s="107"/>
      <c r="F21" s="80"/>
      <c r="G21" s="107"/>
      <c r="H21" s="68" t="s">
        <v>2056</v>
      </c>
      <c r="I21" s="69">
        <f>IFERROR(VLOOKUP("CDE Eletrobras",TabEncargosBancoConsolidados[],2,FALSE),0)</f>
        <v>0</v>
      </c>
    </row>
    <row r="22" spans="2:14">
      <c r="C22" s="107"/>
      <c r="D22" s="107"/>
      <c r="F22" s="80"/>
      <c r="G22" s="107"/>
      <c r="H22" s="1231" t="s">
        <v>2059</v>
      </c>
      <c r="I22" s="1456">
        <f ca="1">I19+I20+I21</f>
        <v>2305705.8123503467</v>
      </c>
    </row>
    <row r="23" spans="2:14">
      <c r="C23" s="107"/>
      <c r="D23" s="107"/>
      <c r="F23" s="80"/>
      <c r="G23" s="107"/>
    </row>
    <row r="24" spans="2:14">
      <c r="C24" s="107"/>
      <c r="D24" s="107"/>
      <c r="F24" s="80"/>
      <c r="G24" s="107"/>
      <c r="I24" s="69"/>
    </row>
    <row r="25" spans="2:14">
      <c r="C25" s="107"/>
      <c r="D25" s="107"/>
      <c r="F25" s="80"/>
      <c r="G25" s="107"/>
      <c r="I25" s="69"/>
    </row>
    <row r="26" spans="2:14">
      <c r="C26" s="107"/>
      <c r="D26" s="107"/>
      <c r="F26" s="80"/>
      <c r="G26" s="107"/>
    </row>
    <row r="27" spans="2:14" ht="15" customHeight="1">
      <c r="B27" s="934" t="s">
        <v>1272</v>
      </c>
      <c r="C27" s="784"/>
      <c r="D27" s="784"/>
      <c r="E27" s="784"/>
      <c r="F27" s="784"/>
      <c r="G27" s="784"/>
      <c r="J27" s="784"/>
      <c r="K27" s="784"/>
      <c r="L27" s="784"/>
      <c r="M27" s="191"/>
    </row>
    <row r="28" spans="2:14">
      <c r="B28" s="266"/>
      <c r="C28" s="265"/>
      <c r="D28" s="265"/>
      <c r="E28" s="262"/>
    </row>
    <row r="29" spans="2:14">
      <c r="C29" s="196" t="s">
        <v>107</v>
      </c>
      <c r="D29" s="196" t="s">
        <v>1273</v>
      </c>
      <c r="E29" s="196"/>
      <c r="F29" s="196"/>
      <c r="G29" s="196"/>
      <c r="L29" s="191"/>
      <c r="M29" s="192"/>
    </row>
    <row r="30" spans="2:14" ht="16.5" customHeight="1">
      <c r="C30" s="1231" t="s">
        <v>2083</v>
      </c>
      <c r="D30" s="1231" t="s">
        <v>46</v>
      </c>
      <c r="E30" s="1231" t="s">
        <v>40</v>
      </c>
      <c r="F30" s="1231" t="s">
        <v>41</v>
      </c>
      <c r="G30" s="1231" t="s">
        <v>47</v>
      </c>
      <c r="H30" s="1462" t="s">
        <v>2084</v>
      </c>
      <c r="I30" s="1462" t="s">
        <v>2092</v>
      </c>
      <c r="J30" s="1231" t="s">
        <v>1274</v>
      </c>
      <c r="L30" s="1825" t="s">
        <v>1275</v>
      </c>
      <c r="M30" s="1825"/>
      <c r="N30" s="268"/>
    </row>
    <row r="31" spans="2:14">
      <c r="B31" s="267">
        <f>Indexador!B68</f>
        <v>44440</v>
      </c>
      <c r="C31" s="1142">
        <f ca="1">IFERROR(IF(CAPA!$C$113="Não",C47-C62,IF(Indexador!$B68&lt;CAPA!$C$114,0,C47-C62)),0)</f>
        <v>1029.4613874749193</v>
      </c>
      <c r="D31" s="1142">
        <f ca="1">IF(CAPA!$C$113="Não",D47-D62,IF(Indexador!$B68&lt;CAPA!$C$114,0,D47-D62))</f>
        <v>0</v>
      </c>
      <c r="E31" s="1142">
        <f ca="1">IF(CAPA!$C$113="Não",E47-E62,IF(Indexador!$B68&lt;CAPA!$C$114,0,E47-E62))</f>
        <v>62.120593422094771</v>
      </c>
      <c r="F31" s="1142">
        <f ca="1">IF(CAPA!$C$113="Não",F47-F62,IF(Indexador!$B68&lt;CAPA!$C$114,0,F47-F62))</f>
        <v>2183.2167311626981</v>
      </c>
      <c r="G31" s="1142">
        <f ca="1">IF(CAPA!$C$113="Não",G47-G62,IF(Indexador!$B68&lt;CAPA!$C$114,0,G47-G62))</f>
        <v>342.01689498263295</v>
      </c>
      <c r="H31" s="1142">
        <f ca="1">IF(CAPA!$C$113="Não",H47-H62,IF(Indexador!$B68&lt;CAPA!$C$114,0,H47-H62))</f>
        <v>0</v>
      </c>
      <c r="I31" s="1142">
        <f ca="1">IF(CAPA!$C$113="Não",I47-I62,IF(Indexador!$B68&lt;CAPA!$C$114,0,I47-I62))</f>
        <v>0</v>
      </c>
      <c r="J31" s="1142">
        <f ca="1">IF(CAPA!$C$113="Não",J47-J62,IF(Indexador!$B68&lt;CAPA!$C$114,0,J47-J62))</f>
        <v>3616.8156070423138</v>
      </c>
      <c r="L31" s="68" t="s">
        <v>40</v>
      </c>
      <c r="M31" s="115">
        <f ca="1">Indexador!H80</f>
        <v>-230.23633007930752</v>
      </c>
      <c r="N31" s="80"/>
    </row>
    <row r="32" spans="2:14">
      <c r="B32" s="267">
        <f>Indexador!B69</f>
        <v>44470</v>
      </c>
      <c r="C32" s="115">
        <f ca="1">IFERROR(IF(CAPA!$C$113="Não",C48-C63,IF(Indexador!$B69&lt;CAPA!$C$114,0,C48-C63)),0)</f>
        <v>2552.2340589611704</v>
      </c>
      <c r="D32" s="115">
        <f ca="1">IF(CAPA!$C$113="Não",D48-D63,IF(Indexador!$B69&lt;CAPA!$C$114,0,D48-D63))</f>
        <v>0</v>
      </c>
      <c r="E32" s="115">
        <f ca="1">IF(CAPA!$C$113="Não",E48-E63,IF(Indexador!$B69&lt;CAPA!$C$114,0,E48-E63))</f>
        <v>150.61312613879863</v>
      </c>
      <c r="F32" s="115">
        <f ca="1">IF(CAPA!$C$113="Não",F48-F63,IF(Indexador!$B69&lt;CAPA!$C$114,0,F48-F63))</f>
        <v>5412.6168957483751</v>
      </c>
      <c r="G32" s="115">
        <f ca="1">IF(CAPA!$C$113="Não",G48-G63,IF(Indexador!$B69&lt;CAPA!$C$114,0,G48-G63))</f>
        <v>892.33570536021944</v>
      </c>
      <c r="H32" s="115">
        <f ca="1">IF(CAPA!$C$113="Não",H48-H63,IF(Indexador!$B69&lt;CAPA!$C$114,0,H48-H63))</f>
        <v>0</v>
      </c>
      <c r="I32" s="115">
        <f ca="1">IF(CAPA!$C$113="Não",I48-I63,IF(Indexador!$B69&lt;CAPA!$C$114,0,I48-I63))</f>
        <v>0</v>
      </c>
      <c r="J32" s="115">
        <f ca="1">IF(CAPA!$C$113="Não",J48-J63,IF(Indexador!$B69&lt;CAPA!$C$114,0,J48-J63))</f>
        <v>9007.7997862085467</v>
      </c>
      <c r="L32" s="68" t="s">
        <v>41</v>
      </c>
      <c r="M32" s="115">
        <f ca="1">Indexador!J80+Indexador!L80</f>
        <v>-7368.2249409820133</v>
      </c>
      <c r="N32" s="80"/>
    </row>
    <row r="33" spans="2:14">
      <c r="B33" s="267">
        <f>Indexador!B70</f>
        <v>44501</v>
      </c>
      <c r="C33" s="115">
        <f ca="1">IFERROR(IF(CAPA!$C$113="Não",C49-C64,IF(Indexador!$B70&lt;CAPA!$C$114,0,C49-C64)),0)</f>
        <v>1270.5116130845272</v>
      </c>
      <c r="D33" s="115">
        <f ca="1">IF(CAPA!$C$113="Não",D49-D64,IF(Indexador!$B70&lt;CAPA!$C$114,0,D49-D64))</f>
        <v>0</v>
      </c>
      <c r="E33" s="115">
        <f ca="1">IF(CAPA!$C$113="Não",E49-E64,IF(Indexador!$B70&lt;CAPA!$C$114,0,E49-E64))</f>
        <v>76.456210541831297</v>
      </c>
      <c r="F33" s="115">
        <f ca="1">IF(CAPA!$C$113="Não",F49-F64,IF(Indexador!$B70&lt;CAPA!$C$114,0,F49-F64))</f>
        <v>2694.4208345941588</v>
      </c>
      <c r="G33" s="115">
        <f ca="1">IF(CAPA!$C$113="Não",G49-G64,IF(Indexador!$B70&lt;CAPA!$C$114,0,G49-G64))</f>
        <v>444.25279409331051</v>
      </c>
      <c r="H33" s="115">
        <f ca="1">IF(CAPA!$C$113="Não",H49-H64,IF(Indexador!$B70&lt;CAPA!$C$114,0,H49-H64))</f>
        <v>0</v>
      </c>
      <c r="I33" s="115">
        <f ca="1">IF(CAPA!$C$113="Não",I49-I64,IF(Indexador!$B70&lt;CAPA!$C$114,0,I49-I64))</f>
        <v>0</v>
      </c>
      <c r="J33" s="115">
        <f ca="1">IF(CAPA!$C$113="Não",J49-J64,IF(Indexador!$B70&lt;CAPA!$C$114,0,J49-J64))</f>
        <v>4485.6414523138083</v>
      </c>
      <c r="L33" s="68" t="s">
        <v>112</v>
      </c>
      <c r="M33" s="115">
        <f>0</f>
        <v>0</v>
      </c>
      <c r="N33" s="80"/>
    </row>
    <row r="34" spans="2:14">
      <c r="B34" s="267">
        <f>Indexador!B71</f>
        <v>44531</v>
      </c>
      <c r="C34" s="115">
        <f ca="1">IFERROR(IF(CAPA!$C$113="Não",C50-C65,IF(Indexador!$B71&lt;CAPA!$C$114,0,C50-C65)),0)</f>
        <v>-2090.390278705112</v>
      </c>
      <c r="D34" s="115">
        <f ca="1">IF(CAPA!$C$113="Não",D50-D65,IF(Indexador!$B71&lt;CAPA!$C$114,0,D50-D65))</f>
        <v>0</v>
      </c>
      <c r="E34" s="115">
        <f ca="1">IF(CAPA!$C$113="Não",E50-E65,IF(Indexador!$B71&lt;CAPA!$C$114,0,E50-E65))</f>
        <v>-114.63049164960239</v>
      </c>
      <c r="F34" s="115">
        <f ca="1">IF(CAPA!$C$113="Não",F50-F65,IF(Indexador!$B71&lt;CAPA!$C$114,0,F50-F65))</f>
        <v>-4433.1677580670803</v>
      </c>
      <c r="G34" s="115">
        <f ca="1">IF(CAPA!$C$113="Não",G50-G65,IF(Indexador!$B71&lt;CAPA!$C$114,0,G50-G65))</f>
        <v>-789.6192437063728</v>
      </c>
      <c r="H34" s="115">
        <f ca="1">IF(CAPA!$C$113="Não",H50-H65,IF(Indexador!$B71&lt;CAPA!$C$114,0,H50-H65))</f>
        <v>0</v>
      </c>
      <c r="I34" s="115">
        <f ca="1">IF(CAPA!$C$113="Não",I50-I65,IF(Indexador!$B71&lt;CAPA!$C$114,0,I50-I65))</f>
        <v>0</v>
      </c>
      <c r="J34" s="115">
        <f ca="1">IF(CAPA!$C$113="Não",J50-J65,IF(Indexador!$B71&lt;CAPA!$C$114,0,J50-J65))</f>
        <v>-7427.8077721281734</v>
      </c>
      <c r="L34" s="68" t="s">
        <v>46</v>
      </c>
      <c r="M34" s="115">
        <f ca="1">Indexador!F80</f>
        <v>0</v>
      </c>
      <c r="N34" s="80"/>
    </row>
    <row r="35" spans="2:14">
      <c r="B35" s="267">
        <f>Indexador!B72</f>
        <v>44562</v>
      </c>
      <c r="C35" s="115">
        <f ca="1">IFERROR(IF(CAPA!$C$113="Não",C51-C66,IF(Indexador!$B72&lt;CAPA!$C$114,0,C51-C66)),0)</f>
        <v>-5104.8508447186396</v>
      </c>
      <c r="D35" s="115">
        <f ca="1">IF(CAPA!$C$113="Não",D51-D66,IF(Indexador!$B72&lt;CAPA!$C$114,0,D51-D66))</f>
        <v>0</v>
      </c>
      <c r="E35" s="115">
        <f ca="1">IF(CAPA!$C$113="Não",E51-E66,IF(Indexador!$B72&lt;CAPA!$C$114,0,E51-E66))</f>
        <v>-300.3043414639892</v>
      </c>
      <c r="F35" s="115">
        <f ca="1">IF(CAPA!$C$113="Não",F51-F66,IF(Indexador!$B72&lt;CAPA!$C$114,0,F51-F66))</f>
        <v>-10826.045454328661</v>
      </c>
      <c r="G35" s="115">
        <f ca="1">IF(CAPA!$C$113="Não",G51-G66,IF(Indexador!$B72&lt;CAPA!$C$114,0,G51-G66))</f>
        <v>-1741.0060997048276</v>
      </c>
      <c r="H35" s="115">
        <f ca="1">IF(CAPA!$C$113="Não",H51-H66,IF(Indexador!$B72&lt;CAPA!$C$114,0,H51-H66))</f>
        <v>0</v>
      </c>
      <c r="I35" s="115">
        <f ca="1">IF(CAPA!$C$113="Não",I51-I66,IF(Indexador!$B72&lt;CAPA!$C$114,0,I51-I66))</f>
        <v>0</v>
      </c>
      <c r="J35" s="115">
        <f ca="1">IF(CAPA!$C$113="Não",J51-J66,IF(Indexador!$B72&lt;CAPA!$C$114,0,J51-J66))</f>
        <v>-17972.206740216119</v>
      </c>
      <c r="L35" s="68" t="s">
        <v>47</v>
      </c>
      <c r="M35" s="115">
        <f ca="1">Indexador!N80</f>
        <v>-1404.9905913531622</v>
      </c>
      <c r="N35" s="80"/>
    </row>
    <row r="36" spans="2:14">
      <c r="B36" s="267">
        <f>Indexador!B73</f>
        <v>44593</v>
      </c>
      <c r="C36" s="115">
        <f ca="1">IFERROR(IF(CAPA!$C$113="Não",C52-C67,IF(Indexador!$B73&lt;CAPA!$C$114,0,C52-C67)),0)</f>
        <v>-802.28190224673017</v>
      </c>
      <c r="D36" s="115">
        <f ca="1">IF(CAPA!$C$113="Não",D52-D67,IF(Indexador!$B73&lt;CAPA!$C$114,0,D52-D67))</f>
        <v>0</v>
      </c>
      <c r="E36" s="115">
        <f ca="1">IF(CAPA!$C$113="Não",E52-E67,IF(Indexador!$B73&lt;CAPA!$C$114,0,E52-E67))</f>
        <v>-51.068141650054713</v>
      </c>
      <c r="F36" s="115">
        <f ca="1">IF(CAPA!$C$113="Não",F52-F67,IF(Indexador!$B73&lt;CAPA!$C$114,0,F52-F67))</f>
        <v>-1701.4288184137986</v>
      </c>
      <c r="G36" s="115">
        <f ca="1">IF(CAPA!$C$113="Não",G52-G67,IF(Indexador!$B73&lt;CAPA!$C$114,0,G52-G67))</f>
        <v>-254.12975785489834</v>
      </c>
      <c r="H36" s="115">
        <f ca="1">IF(CAPA!$C$113="Não",H52-H67,IF(Indexador!$B73&lt;CAPA!$C$114,0,H52-H67))</f>
        <v>0</v>
      </c>
      <c r="I36" s="115">
        <f ca="1">IF(CAPA!$C$113="Não",I52-I67,IF(Indexador!$B73&lt;CAPA!$C$114,0,I52-I67))</f>
        <v>0</v>
      </c>
      <c r="J36" s="115">
        <f ca="1">IF(CAPA!$C$113="Não",J52-J67,IF(Indexador!$B73&lt;CAPA!$C$114,0,J52-J67))</f>
        <v>-2808.9086201654864</v>
      </c>
      <c r="L36" s="68" t="s">
        <v>2083</v>
      </c>
      <c r="M36" s="115">
        <f ca="1">Indexador!D80</f>
        <v>-3474.370163392417</v>
      </c>
      <c r="N36" s="80"/>
    </row>
    <row r="37" spans="2:14">
      <c r="B37" s="267">
        <f>Indexador!B74</f>
        <v>44621</v>
      </c>
      <c r="C37" s="115">
        <f ca="1">IFERROR(IF(CAPA!$C$113="Não",C53-C68,IF(Indexador!$B74&lt;CAPA!$C$114,0,C53-C68)),0)</f>
        <v>-2450.9336286972684</v>
      </c>
      <c r="D37" s="115">
        <f ca="1">IF(CAPA!$C$113="Não",D53-D68,IF(Indexador!$B74&lt;CAPA!$C$114,0,D53-D68))</f>
        <v>0</v>
      </c>
      <c r="E37" s="115">
        <f ca="1">IF(CAPA!$C$113="Não",E53-E68,IF(Indexador!$B74&lt;CAPA!$C$114,0,E53-E68))</f>
        <v>-148.63076736397352</v>
      </c>
      <c r="F37" s="115">
        <f ca="1">IF(CAPA!$C$113="Não",F53-F68,IF(Indexador!$B74&lt;CAPA!$C$114,0,F53-F68))</f>
        <v>-5197.7853373073012</v>
      </c>
      <c r="G37" s="115">
        <f ca="1">IF(CAPA!$C$113="Não",G53-G68,IF(Indexador!$B74&lt;CAPA!$C$114,0,G53-G68))</f>
        <v>-822.43639026961318</v>
      </c>
      <c r="H37" s="115">
        <f ca="1">IF(CAPA!$C$113="Não",H53-H68,IF(Indexador!$B74&lt;CAPA!$C$114,0,H53-H68))</f>
        <v>0</v>
      </c>
      <c r="I37" s="115">
        <f ca="1">IF(CAPA!$C$113="Não",I53-I68,IF(Indexador!$B74&lt;CAPA!$C$114,0,I53-I68))</f>
        <v>0</v>
      </c>
      <c r="J37" s="115">
        <f ca="1">IF(CAPA!$C$113="Não",J53-J68,IF(Indexador!$B74&lt;CAPA!$C$114,0,J53-J68))</f>
        <v>-8619.7861236381577</v>
      </c>
      <c r="L37" s="784" t="s">
        <v>48</v>
      </c>
      <c r="M37" s="1182">
        <f ca="1">Indexador!L80</f>
        <v>0</v>
      </c>
      <c r="N37" s="80"/>
    </row>
    <row r="38" spans="2:14">
      <c r="B38" s="267">
        <f>Indexador!B75</f>
        <v>44652</v>
      </c>
      <c r="C38" s="115">
        <f ca="1">IFERROR(IF(CAPA!$C$113="Não",C54-C69,IF(Indexador!$B75&lt;CAPA!$C$114,0,C54-C69)),0)</f>
        <v>51.898875205704826</v>
      </c>
      <c r="D38" s="115">
        <f ca="1">IF(CAPA!$C$113="Não",D54-D69,IF(Indexador!$B75&lt;CAPA!$C$114,0,D54-D69))</f>
        <v>0</v>
      </c>
      <c r="E38" s="115">
        <f ca="1">IF(CAPA!$C$113="Não",E54-E69,IF(Indexador!$B75&lt;CAPA!$C$114,0,E54-E69))</f>
        <v>-5.9242266918349742</v>
      </c>
      <c r="F38" s="115">
        <f ca="1">IF(CAPA!$C$113="Não",F54-F69,IF(Indexador!$B75&lt;CAPA!$C$114,0,F54-F69))</f>
        <v>110.0638586897694</v>
      </c>
      <c r="G38" s="115">
        <f ca="1">IF(CAPA!$C$113="Não",G54-G69,IF(Indexador!$B75&lt;CAPA!$C$114,0,G54-G69))</f>
        <v>64.712006523255695</v>
      </c>
      <c r="H38" s="115">
        <f ca="1">IF(CAPA!$C$113="Não",H54-H69,IF(Indexador!$B75&lt;CAPA!$C$114,0,H54-H69))</f>
        <v>0</v>
      </c>
      <c r="I38" s="115">
        <f ca="1">IF(CAPA!$C$113="Não",I54-I69,IF(Indexador!$B75&lt;CAPA!$C$114,0,I54-I69))</f>
        <v>0</v>
      </c>
      <c r="J38" s="115">
        <f ca="1">IF(CAPA!$C$113="Não",J54-J69,IF(Indexador!$B75&lt;CAPA!$C$114,0,J54-J69))</f>
        <v>220.75051372690359</v>
      </c>
      <c r="L38" s="71" t="s">
        <v>760</v>
      </c>
      <c r="M38" s="269">
        <f ca="1">SUM(M31:M36)</f>
        <v>-12477.822025806901</v>
      </c>
      <c r="N38" s="80"/>
    </row>
    <row r="39" spans="2:14">
      <c r="B39" s="267">
        <f>Indexador!B76</f>
        <v>44682</v>
      </c>
      <c r="C39" s="115">
        <f ca="1">IFERROR(IF(CAPA!$C$113="Não",C55-C70,IF(Indexador!$B76&lt;CAPA!$C$114,0,C55-C70)),0)</f>
        <v>-60.64095454874041</v>
      </c>
      <c r="D39" s="115">
        <f ca="1">IF(CAPA!$C$113="Não",D55-D70,IF(Indexador!$B76&lt;CAPA!$C$114,0,D55-D70))</f>
        <v>0</v>
      </c>
      <c r="E39" s="115">
        <f ca="1">IF(CAPA!$C$113="Não",E55-E70,IF(Indexador!$B76&lt;CAPA!$C$114,0,E55-E70))</f>
        <v>-1.8223807223716904</v>
      </c>
      <c r="F39" s="115">
        <f ca="1">IF(CAPA!$C$113="Não",F55-F70,IF(Indexador!$B76&lt;CAPA!$C$114,0,F55-F70))</f>
        <v>-128.60350876218581</v>
      </c>
      <c r="G39" s="115">
        <f ca="1">IF(CAPA!$C$113="Não",G55-G70,IF(Indexador!$B76&lt;CAPA!$C$114,0,G55-G70))</f>
        <v>-43.957990926945058</v>
      </c>
      <c r="H39" s="115">
        <f ca="1">IF(CAPA!$C$113="Não",H55-H70,IF(Indexador!$B76&lt;CAPA!$C$114,0,H55-H70))</f>
        <v>0</v>
      </c>
      <c r="I39" s="115">
        <f ca="1">IF(CAPA!$C$113="Não",I55-I70,IF(Indexador!$B76&lt;CAPA!$C$114,0,I55-I70))</f>
        <v>0</v>
      </c>
      <c r="J39" s="115">
        <f ca="1">IF(CAPA!$C$113="Não",J55-J70,IF(Indexador!$B76&lt;CAPA!$C$114,0,J55-J70))</f>
        <v>-235.02483496023342</v>
      </c>
      <c r="N39" s="80"/>
    </row>
    <row r="40" spans="2:14">
      <c r="B40" s="267">
        <f>Indexador!B77</f>
        <v>44713</v>
      </c>
      <c r="C40" s="115">
        <f ca="1">IFERROR(IF(CAPA!$C$113="Não",C56-C71,IF(Indexador!$B77&lt;CAPA!$C$114,0,C56-C71)),0)</f>
        <v>3644.1300404840076</v>
      </c>
      <c r="D40" s="115">
        <f ca="1">IF(CAPA!$C$113="Não",D56-D71,IF(Indexador!$B77&lt;CAPA!$C$114,0,D56-D71))</f>
        <v>0</v>
      </c>
      <c r="E40" s="115">
        <f ca="1">IF(CAPA!$C$113="Não",E56-E71,IF(Indexador!$B77&lt;CAPA!$C$114,0,E56-E71))</f>
        <v>193.71473090232803</v>
      </c>
      <c r="F40" s="115">
        <f ca="1">IF(CAPA!$C$113="Não",F56-F71,IF(Indexador!$B77&lt;CAPA!$C$114,0,F56-F71))</f>
        <v>7728.2409731089574</v>
      </c>
      <c r="G40" s="115">
        <f ca="1">IF(CAPA!$C$113="Não",G56-G71,IF(Indexador!$B77&lt;CAPA!$C$114,0,G56-G71))</f>
        <v>1233.8395482915803</v>
      </c>
      <c r="H40" s="115">
        <f ca="1">IF(CAPA!$C$113="Não",H56-H71,IF(Indexador!$B77&lt;CAPA!$C$114,0,H56-H71))</f>
        <v>0</v>
      </c>
      <c r="I40" s="115">
        <f ca="1">IF(CAPA!$C$113="Não",I56-I71,IF(Indexador!$B77&lt;CAPA!$C$114,0,I56-I71))</f>
        <v>0</v>
      </c>
      <c r="J40" s="115">
        <f ca="1">IF(CAPA!$C$113="Não",J56-J71,IF(Indexador!$B77&lt;CAPA!$C$114,0,J56-J71))</f>
        <v>12799.925292786851</v>
      </c>
      <c r="L40" s="1825" t="s">
        <v>2091</v>
      </c>
      <c r="M40" s="1825"/>
      <c r="N40" s="80"/>
    </row>
    <row r="41" spans="2:14">
      <c r="B41" s="267">
        <f>Indexador!B78</f>
        <v>44743</v>
      </c>
      <c r="C41" s="115">
        <f ca="1">IFERROR(IF(CAPA!$C$113="Não",C57-C72,IF(Indexador!$B78&lt;CAPA!$C$114,0,C57-C72)),0)</f>
        <v>-718.52754710447334</v>
      </c>
      <c r="D41" s="115">
        <f ca="1">IF(CAPA!$C$113="Não",D57-D72,IF(Indexador!$B78&lt;CAPA!$C$114,0,D57-D72))</f>
        <v>0</v>
      </c>
      <c r="E41" s="115">
        <f ca="1">IF(CAPA!$C$113="Não",E57-E72,IF(Indexador!$B78&lt;CAPA!$C$114,0,E57-E72))</f>
        <v>-46.155696405450271</v>
      </c>
      <c r="F41" s="115">
        <f ca="1">IF(CAPA!$C$113="Não",F57-F72,IF(Indexador!$B78&lt;CAPA!$C$114,0,F57-F72))</f>
        <v>-1523.8078685860091</v>
      </c>
      <c r="G41" s="115">
        <f ca="1">IF(CAPA!$C$113="Não",G57-G72,IF(Indexador!$B78&lt;CAPA!$C$114,0,G57-G72))</f>
        <v>-363.59831527735878</v>
      </c>
      <c r="H41" s="115">
        <f ca="1">IF(CAPA!$C$113="Não",H57-H72,IF(Indexador!$B78&lt;CAPA!$C$114,0,H57-H72))</f>
        <v>0</v>
      </c>
      <c r="I41" s="115">
        <f ca="1">IF(CAPA!$C$113="Não",I57-I72,IF(Indexador!$B78&lt;CAPA!$C$114,0,I57-I72))</f>
        <v>0</v>
      </c>
      <c r="J41" s="115">
        <f ca="1">IF(CAPA!$C$113="Não",J57-J72,IF(Indexador!$B78&lt;CAPA!$C$114,0,J57-J72))</f>
        <v>-2652.0894273732847</v>
      </c>
      <c r="L41" s="68" t="str">
        <f>H30</f>
        <v>Financeiro Covid</v>
      </c>
      <c r="M41" s="69">
        <f ca="1">Indexador!P80</f>
        <v>0</v>
      </c>
      <c r="N41" s="80"/>
    </row>
    <row r="42" spans="2:14">
      <c r="B42" s="267">
        <f>Indexador!B79</f>
        <v>44774</v>
      </c>
      <c r="C42" s="1151">
        <f ca="1">IFERROR(IF(CAPA!$C$113="Não",C58-C73,IF(Indexador!$B79&lt;CAPA!$C$114,0,C58-C73)),0)</f>
        <v>-719.67260656074359</v>
      </c>
      <c r="D42" s="1151">
        <f ca="1">IF(CAPA!$C$113="Não",D58-D73,IF(Indexador!$B79&lt;CAPA!$C$114,0,D58-D73))</f>
        <v>0</v>
      </c>
      <c r="E42" s="1151">
        <f ca="1">IF(CAPA!$C$113="Não",E58-E73,IF(Indexador!$B79&lt;CAPA!$C$114,0,E58-E73))</f>
        <v>-40.618574110847476</v>
      </c>
      <c r="F42" s="1151">
        <f ca="1">IF(CAPA!$C$113="Não",F58-F73,IF(Indexador!$B79&lt;CAPA!$C$114,0,F58-F73))</f>
        <v>-1526.2362384049484</v>
      </c>
      <c r="G42" s="1151">
        <f ca="1">IF(CAPA!$C$113="Não",G58-G73,IF(Indexador!$B79&lt;CAPA!$C$114,0,G58-G73))</f>
        <v>-342.53852990759697</v>
      </c>
      <c r="H42" s="1151">
        <f ca="1">IF(CAPA!$C$113="Não",H58-H73,IF(Indexador!$B79&lt;CAPA!$C$114,0,H58-H73))</f>
        <v>0</v>
      </c>
      <c r="I42" s="1151">
        <f ca="1">IF(CAPA!$C$113="Não",I58-I73,IF(Indexador!$B79&lt;CAPA!$C$114,0,I58-I73))</f>
        <v>0</v>
      </c>
      <c r="J42" s="1151">
        <f ca="1">IF(CAPA!$C$113="Não",J58-J73,IF(Indexador!$B79&lt;CAPA!$C$114,0,J58-J73))</f>
        <v>-2629.0659489841491</v>
      </c>
      <c r="L42" s="784" t="str">
        <f>I30</f>
        <v>Crédito Pis Cofins</v>
      </c>
      <c r="M42" s="1182">
        <f ca="1">Indexador!R80</f>
        <v>0</v>
      </c>
      <c r="N42" s="80"/>
    </row>
    <row r="43" spans="2:14">
      <c r="L43" s="71" t="s">
        <v>769</v>
      </c>
      <c r="M43" s="269">
        <f ca="1">SUM(M41:M42)</f>
        <v>0</v>
      </c>
    </row>
    <row r="44" spans="2:14">
      <c r="K44" s="140"/>
    </row>
    <row r="45" spans="2:14">
      <c r="C45" s="196" t="s">
        <v>1241</v>
      </c>
      <c r="D45" s="196"/>
      <c r="E45" s="196"/>
      <c r="F45" s="196"/>
      <c r="K45" s="140"/>
    </row>
    <row r="46" spans="2:14" ht="28.5">
      <c r="C46" s="1231" t="s">
        <v>2083</v>
      </c>
      <c r="D46" s="1231" t="s">
        <v>46</v>
      </c>
      <c r="E46" s="1231" t="s">
        <v>40</v>
      </c>
      <c r="F46" s="1231" t="s">
        <v>41</v>
      </c>
      <c r="G46" s="1231" t="s">
        <v>47</v>
      </c>
      <c r="H46" s="1462" t="s">
        <v>2084</v>
      </c>
      <c r="I46" s="1462" t="s">
        <v>2088</v>
      </c>
      <c r="J46" s="1231" t="s">
        <v>1276</v>
      </c>
      <c r="K46" s="140"/>
    </row>
    <row r="47" spans="2:14">
      <c r="B47" s="267">
        <f>Indexador!B37</f>
        <v>44440</v>
      </c>
      <c r="C47" s="1449">
        <f>$F$11/12</f>
        <v>46803.213439195504</v>
      </c>
      <c r="D47" s="1296">
        <f>$F$8/12</f>
        <v>0</v>
      </c>
      <c r="E47" s="1142">
        <f t="shared" ref="E47:E58" si="0">$F$5/12</f>
        <v>2687.0012651321581</v>
      </c>
      <c r="F47" s="115">
        <f t="shared" ref="F47:F58" si="1">$F$6/12</f>
        <v>99257.300852500004</v>
      </c>
      <c r="G47" s="115">
        <f t="shared" ref="G47:G58" si="2">$F$9/12</f>
        <v>16731.964165000001</v>
      </c>
      <c r="H47" s="115">
        <f>IFERROR((VLOOKUP("Parcela B",TabFinanCovid[],4,FALSE)/12),0)</f>
        <v>0</v>
      </c>
      <c r="I47" s="115">
        <f>IFERROR(VLOOKUP("Créditos de Pis/Cofins",TabFinanNeutralidade[[#All],[Detalhe_Grupo_TARIFA]:[valor]],2,FALSE)/12,0)</f>
        <v>0</v>
      </c>
      <c r="J47" s="1297">
        <f>SUM(C47:G47)</f>
        <v>165479.47972182767</v>
      </c>
      <c r="K47" s="140"/>
    </row>
    <row r="48" spans="2:14">
      <c r="B48" s="267">
        <f>Indexador!B38</f>
        <v>44470</v>
      </c>
      <c r="C48" s="115">
        <f t="shared" ref="C48:C58" si="3">$F$11/12</f>
        <v>46803.213439195504</v>
      </c>
      <c r="D48" s="140">
        <f t="shared" ref="D48:D58" si="4">$F$8/12</f>
        <v>0</v>
      </c>
      <c r="E48" s="115">
        <f t="shared" si="0"/>
        <v>2687.0012651321581</v>
      </c>
      <c r="F48" s="115">
        <f t="shared" si="1"/>
        <v>99257.300852500004</v>
      </c>
      <c r="G48" s="115">
        <f t="shared" si="2"/>
        <v>16731.964165000001</v>
      </c>
      <c r="H48" s="115">
        <f>IFERROR((VLOOKUP("Parcela B",TabFinanCovid[],4,FALSE)/12),0)</f>
        <v>0</v>
      </c>
      <c r="I48" s="115">
        <f>IFERROR(VLOOKUP("Créditos de Pis/Cofins",TabFinanNeutralidade[[#All],[Detalhe_Grupo_TARIFA]:[valor]],2,FALSE)/12,0)</f>
        <v>0</v>
      </c>
      <c r="J48" s="142">
        <f t="shared" ref="J48:J58" si="5">SUM(C48:G48)</f>
        <v>165479.47972182767</v>
      </c>
      <c r="K48" s="140"/>
    </row>
    <row r="49" spans="2:12">
      <c r="B49" s="267">
        <f>Indexador!B39</f>
        <v>44501</v>
      </c>
      <c r="C49" s="115">
        <f t="shared" si="3"/>
        <v>46803.213439195504</v>
      </c>
      <c r="D49" s="140">
        <f t="shared" si="4"/>
        <v>0</v>
      </c>
      <c r="E49" s="115">
        <f t="shared" si="0"/>
        <v>2687.0012651321581</v>
      </c>
      <c r="F49" s="115">
        <f t="shared" si="1"/>
        <v>99257.300852500004</v>
      </c>
      <c r="G49" s="115">
        <f t="shared" si="2"/>
        <v>16731.964165000001</v>
      </c>
      <c r="H49" s="115">
        <f>IFERROR((VLOOKUP("Parcela B",TabFinanCovid[],4,FALSE)/12),0)</f>
        <v>0</v>
      </c>
      <c r="I49" s="115">
        <f>IFERROR(VLOOKUP("Créditos de Pis/Cofins",TabFinanNeutralidade[[#All],[Detalhe_Grupo_TARIFA]:[valor]],2,FALSE)/12,0)</f>
        <v>0</v>
      </c>
      <c r="J49" s="142">
        <f t="shared" si="5"/>
        <v>165479.47972182767</v>
      </c>
      <c r="K49" s="140"/>
    </row>
    <row r="50" spans="2:12">
      <c r="B50" s="267">
        <f>Indexador!B40</f>
        <v>44531</v>
      </c>
      <c r="C50" s="115">
        <f t="shared" si="3"/>
        <v>46803.213439195504</v>
      </c>
      <c r="D50" s="140">
        <f t="shared" si="4"/>
        <v>0</v>
      </c>
      <c r="E50" s="115">
        <f t="shared" si="0"/>
        <v>2687.0012651321581</v>
      </c>
      <c r="F50" s="115">
        <f t="shared" si="1"/>
        <v>99257.300852500004</v>
      </c>
      <c r="G50" s="115">
        <f t="shared" si="2"/>
        <v>16731.964165000001</v>
      </c>
      <c r="H50" s="115">
        <f>IFERROR((VLOOKUP("Parcela B",TabFinanCovid[],4,FALSE)/12),0)</f>
        <v>0</v>
      </c>
      <c r="I50" s="115">
        <f>IFERROR(VLOOKUP("Créditos de Pis/Cofins",TabFinanNeutralidade[[#All],[Detalhe_Grupo_TARIFA]:[valor]],2,FALSE)/12,0)</f>
        <v>0</v>
      </c>
      <c r="J50" s="142">
        <f t="shared" si="5"/>
        <v>165479.47972182767</v>
      </c>
      <c r="K50" s="140"/>
    </row>
    <row r="51" spans="2:12">
      <c r="B51" s="267">
        <f>Indexador!B41</f>
        <v>44562</v>
      </c>
      <c r="C51" s="115">
        <f t="shared" si="3"/>
        <v>46803.213439195504</v>
      </c>
      <c r="D51" s="140">
        <f t="shared" si="4"/>
        <v>0</v>
      </c>
      <c r="E51" s="115">
        <f t="shared" si="0"/>
        <v>2687.0012651321581</v>
      </c>
      <c r="F51" s="115">
        <f t="shared" si="1"/>
        <v>99257.300852500004</v>
      </c>
      <c r="G51" s="115">
        <f t="shared" si="2"/>
        <v>16731.964165000001</v>
      </c>
      <c r="H51" s="115">
        <f>IFERROR((VLOOKUP("Parcela B",TabFinanCovid[],4,FALSE)/12),0)</f>
        <v>0</v>
      </c>
      <c r="I51" s="115">
        <f>IFERROR(VLOOKUP("Créditos de Pis/Cofins",TabFinanNeutralidade[[#All],[Detalhe_Grupo_TARIFA]:[valor]],2,FALSE)/12,0)</f>
        <v>0</v>
      </c>
      <c r="J51" s="142">
        <f t="shared" si="5"/>
        <v>165479.47972182767</v>
      </c>
    </row>
    <row r="52" spans="2:12">
      <c r="B52" s="267">
        <f>Indexador!B42</f>
        <v>44593</v>
      </c>
      <c r="C52" s="115">
        <f t="shared" si="3"/>
        <v>46803.213439195504</v>
      </c>
      <c r="D52" s="140">
        <f t="shared" si="4"/>
        <v>0</v>
      </c>
      <c r="E52" s="115">
        <f t="shared" si="0"/>
        <v>2687.0012651321581</v>
      </c>
      <c r="F52" s="115">
        <f t="shared" si="1"/>
        <v>99257.300852500004</v>
      </c>
      <c r="G52" s="115">
        <f t="shared" si="2"/>
        <v>16731.964165000001</v>
      </c>
      <c r="H52" s="115">
        <f>IFERROR((VLOOKUP("Parcela B",TabFinanCovid[],4,FALSE)/12),0)</f>
        <v>0</v>
      </c>
      <c r="I52" s="115">
        <f>IFERROR(VLOOKUP("Créditos de Pis/Cofins",TabFinanNeutralidade[[#All],[Detalhe_Grupo_TARIFA]:[valor]],2,FALSE)/12,0)</f>
        <v>0</v>
      </c>
      <c r="J52" s="142">
        <f t="shared" si="5"/>
        <v>165479.47972182767</v>
      </c>
    </row>
    <row r="53" spans="2:12">
      <c r="B53" s="267">
        <f>Indexador!B43</f>
        <v>44621</v>
      </c>
      <c r="C53" s="115">
        <f t="shared" si="3"/>
        <v>46803.213439195504</v>
      </c>
      <c r="D53" s="140">
        <f t="shared" si="4"/>
        <v>0</v>
      </c>
      <c r="E53" s="115">
        <f t="shared" si="0"/>
        <v>2687.0012651321581</v>
      </c>
      <c r="F53" s="115">
        <f t="shared" si="1"/>
        <v>99257.300852500004</v>
      </c>
      <c r="G53" s="115">
        <f t="shared" si="2"/>
        <v>16731.964165000001</v>
      </c>
      <c r="H53" s="115">
        <f>IFERROR((VLOOKUP("Parcela B",TabFinanCovid[],4,FALSE)/12),0)</f>
        <v>0</v>
      </c>
      <c r="I53" s="115">
        <f>IFERROR(VLOOKUP("Créditos de Pis/Cofins",TabFinanNeutralidade[[#All],[Detalhe_Grupo_TARIFA]:[valor]],2,FALSE)/12,0)</f>
        <v>0</v>
      </c>
      <c r="J53" s="142">
        <f t="shared" si="5"/>
        <v>165479.47972182767</v>
      </c>
    </row>
    <row r="54" spans="2:12">
      <c r="B54" s="267">
        <f>Indexador!B44</f>
        <v>44652</v>
      </c>
      <c r="C54" s="115">
        <f t="shared" si="3"/>
        <v>46803.213439195504</v>
      </c>
      <c r="D54" s="140">
        <f t="shared" si="4"/>
        <v>0</v>
      </c>
      <c r="E54" s="115">
        <f t="shared" si="0"/>
        <v>2687.0012651321581</v>
      </c>
      <c r="F54" s="115">
        <f t="shared" si="1"/>
        <v>99257.300852500004</v>
      </c>
      <c r="G54" s="115">
        <f t="shared" si="2"/>
        <v>16731.964165000001</v>
      </c>
      <c r="H54" s="115">
        <f>IFERROR((VLOOKUP("Parcela B",TabFinanCovid[],4,FALSE)/12),0)</f>
        <v>0</v>
      </c>
      <c r="I54" s="115">
        <f>IFERROR(VLOOKUP("Créditos de Pis/Cofins",TabFinanNeutralidade[[#All],[Detalhe_Grupo_TARIFA]:[valor]],2,FALSE)/12,0)</f>
        <v>0</v>
      </c>
      <c r="J54" s="142">
        <f t="shared" si="5"/>
        <v>165479.47972182767</v>
      </c>
    </row>
    <row r="55" spans="2:12">
      <c r="B55" s="267">
        <f>Indexador!B45</f>
        <v>44682</v>
      </c>
      <c r="C55" s="115">
        <f t="shared" si="3"/>
        <v>46803.213439195504</v>
      </c>
      <c r="D55" s="140">
        <f t="shared" si="4"/>
        <v>0</v>
      </c>
      <c r="E55" s="115">
        <f t="shared" si="0"/>
        <v>2687.0012651321581</v>
      </c>
      <c r="F55" s="115">
        <f t="shared" si="1"/>
        <v>99257.300852500004</v>
      </c>
      <c r="G55" s="115">
        <f t="shared" si="2"/>
        <v>16731.964165000001</v>
      </c>
      <c r="H55" s="115">
        <f>IFERROR((VLOOKUP("Parcela B",TabFinanCovid[],4,FALSE)/12),0)</f>
        <v>0</v>
      </c>
      <c r="I55" s="115">
        <f>IFERROR(VLOOKUP("Créditos de Pis/Cofins",TabFinanNeutralidade[[#All],[Detalhe_Grupo_TARIFA]:[valor]],2,FALSE)/12,0)</f>
        <v>0</v>
      </c>
      <c r="J55" s="142">
        <f t="shared" si="5"/>
        <v>165479.47972182767</v>
      </c>
    </row>
    <row r="56" spans="2:12">
      <c r="B56" s="267">
        <f>Indexador!B46</f>
        <v>44713</v>
      </c>
      <c r="C56" s="115">
        <f t="shared" si="3"/>
        <v>46803.213439195504</v>
      </c>
      <c r="D56" s="140">
        <f t="shared" si="4"/>
        <v>0</v>
      </c>
      <c r="E56" s="115">
        <f t="shared" si="0"/>
        <v>2687.0012651321581</v>
      </c>
      <c r="F56" s="115">
        <f t="shared" si="1"/>
        <v>99257.300852500004</v>
      </c>
      <c r="G56" s="115">
        <f t="shared" si="2"/>
        <v>16731.964165000001</v>
      </c>
      <c r="H56" s="115">
        <f>IFERROR((VLOOKUP("Parcela B",TabFinanCovid[],4,FALSE)/12),0)</f>
        <v>0</v>
      </c>
      <c r="I56" s="115">
        <f>IFERROR(VLOOKUP("Créditos de Pis/Cofins",TabFinanNeutralidade[[#All],[Detalhe_Grupo_TARIFA]:[valor]],2,FALSE)/12,0)</f>
        <v>0</v>
      </c>
      <c r="J56" s="142">
        <f t="shared" si="5"/>
        <v>165479.47972182767</v>
      </c>
    </row>
    <row r="57" spans="2:12">
      <c r="B57" s="267">
        <f>Indexador!B47</f>
        <v>44743</v>
      </c>
      <c r="C57" s="115">
        <f t="shared" si="3"/>
        <v>46803.213439195504</v>
      </c>
      <c r="D57" s="140">
        <f t="shared" si="4"/>
        <v>0</v>
      </c>
      <c r="E57" s="115">
        <f t="shared" si="0"/>
        <v>2687.0012651321581</v>
      </c>
      <c r="F57" s="115">
        <f t="shared" si="1"/>
        <v>99257.300852500004</v>
      </c>
      <c r="G57" s="115">
        <f t="shared" si="2"/>
        <v>16731.964165000001</v>
      </c>
      <c r="H57" s="115">
        <f>IFERROR((VLOOKUP("Parcela B",TabFinanCovid[],4,FALSE)/12),0)</f>
        <v>0</v>
      </c>
      <c r="I57" s="115">
        <f>IFERROR(VLOOKUP("Créditos de Pis/Cofins",TabFinanNeutralidade[[#All],[Detalhe_Grupo_TARIFA]:[valor]],2,FALSE)/12,0)</f>
        <v>0</v>
      </c>
      <c r="J57" s="142">
        <f t="shared" si="5"/>
        <v>165479.47972182767</v>
      </c>
    </row>
    <row r="58" spans="2:12">
      <c r="B58" s="267">
        <f>Indexador!B48</f>
        <v>44774</v>
      </c>
      <c r="C58" s="1151">
        <f t="shared" si="3"/>
        <v>46803.213439195504</v>
      </c>
      <c r="D58" s="1298">
        <f t="shared" si="4"/>
        <v>0</v>
      </c>
      <c r="E58" s="1151">
        <f t="shared" si="0"/>
        <v>2687.0012651321581</v>
      </c>
      <c r="F58" s="1151">
        <f t="shared" si="1"/>
        <v>99257.300852500004</v>
      </c>
      <c r="G58" s="1151">
        <f t="shared" si="2"/>
        <v>16731.964165000001</v>
      </c>
      <c r="H58" s="1151">
        <f>IFERROR((VLOOKUP("Parcela B",TabFinanCovid[],4,FALSE)/12),0)</f>
        <v>0</v>
      </c>
      <c r="I58" s="1151">
        <f>IFERROR(VLOOKUP("Créditos de Pis/Cofins",TabFinanNeutralidade[[#All],[Detalhe_Grupo_TARIFA]:[valor]],2,FALSE)/12,0)</f>
        <v>0</v>
      </c>
      <c r="J58" s="1299">
        <f t="shared" si="5"/>
        <v>165479.47972182767</v>
      </c>
    </row>
    <row r="60" spans="2:12">
      <c r="C60" s="68" t="s">
        <v>1277</v>
      </c>
      <c r="L60" s="196">
        <v>42491</v>
      </c>
    </row>
    <row r="61" spans="2:12" ht="28.5">
      <c r="C61" s="1450" t="s">
        <v>2083</v>
      </c>
      <c r="D61" s="1231" t="s">
        <v>46</v>
      </c>
      <c r="E61" s="1231" t="s">
        <v>40</v>
      </c>
      <c r="F61" s="1231" t="s">
        <v>41</v>
      </c>
      <c r="G61" s="1231" t="s">
        <v>47</v>
      </c>
      <c r="H61" s="1462" t="s">
        <v>2084</v>
      </c>
      <c r="I61" s="1462" t="s">
        <v>2086</v>
      </c>
      <c r="J61" s="1231" t="s">
        <v>1276</v>
      </c>
      <c r="L61" s="1231" t="s">
        <v>48</v>
      </c>
    </row>
    <row r="62" spans="2:12">
      <c r="B62" s="267">
        <f t="shared" ref="B62:B73" si="6">B47</f>
        <v>44440</v>
      </c>
      <c r="C62" s="1300">
        <f ca="1">Calc_Mercado!S63</f>
        <v>45773.752051720585</v>
      </c>
      <c r="D62" s="1300">
        <f ca="1">Calc_Mercado!F63</f>
        <v>0</v>
      </c>
      <c r="E62" s="1142">
        <f ca="1">Calc_Mercado!I63</f>
        <v>2624.8806717100633</v>
      </c>
      <c r="F62" s="1288">
        <f ca="1">Calc_Mercado!H63</f>
        <v>97074.084121337306</v>
      </c>
      <c r="G62" s="1288">
        <f ca="1">Calc_Mercado!G63</f>
        <v>16389.947270017368</v>
      </c>
      <c r="H62" s="1463">
        <f ca="1">IFERROR((VLOOKUP("Parcela B",TabFinanCovid[],4,FALSE)/VLOOKUP("Parcela B",TabFinanNeutralidade[],3,FALSE))*Calc_Mercado!T63,0)</f>
        <v>0</v>
      </c>
      <c r="I62" s="1463">
        <f ca="1">Calc_Mercado!U63</f>
        <v>0</v>
      </c>
      <c r="J62" s="1297">
        <f t="shared" ref="J62:J73" ca="1" si="7">SUM(C62:G62)</f>
        <v>161862.66411478535</v>
      </c>
      <c r="L62" s="1300">
        <f ca="1">IF(B62&lt;$L$60,0,Calc_Mercado!D63)</f>
        <v>0</v>
      </c>
    </row>
    <row r="63" spans="2:12">
      <c r="B63" s="267">
        <f t="shared" si="6"/>
        <v>44470</v>
      </c>
      <c r="C63" s="141">
        <f ca="1">Calc_Mercado!S64</f>
        <v>44250.979380234334</v>
      </c>
      <c r="D63" s="141">
        <f ca="1">Calc_Mercado!F64</f>
        <v>0</v>
      </c>
      <c r="E63" s="115">
        <f ca="1">Calc_Mercado!I64</f>
        <v>2536.3881389933595</v>
      </c>
      <c r="F63" s="80">
        <f ca="1">Calc_Mercado!H64</f>
        <v>93844.683956751629</v>
      </c>
      <c r="G63" s="80">
        <f ca="1">Calc_Mercado!G64</f>
        <v>15839.628459639782</v>
      </c>
      <c r="H63" s="80">
        <f ca="1">IFERROR((VLOOKUP("Parcela B",TabFinanCovid[],4,FALSE)/VLOOKUP("Parcela B",TabFinanNeutralidade[],3,FALSE))*Calc_Mercado!T64,0)</f>
        <v>0</v>
      </c>
      <c r="I63" s="80">
        <f ca="1">Calc_Mercado!U64</f>
        <v>0</v>
      </c>
      <c r="J63" s="142">
        <f t="shared" ca="1" si="7"/>
        <v>156471.67993561912</v>
      </c>
      <c r="L63" s="141">
        <f ca="1">IF(B63&lt;$L$60,0,Calc_Mercado!D64)</f>
        <v>0</v>
      </c>
    </row>
    <row r="64" spans="2:12">
      <c r="B64" s="267">
        <f t="shared" si="6"/>
        <v>44501</v>
      </c>
      <c r="C64" s="141">
        <f ca="1">Calc_Mercado!S65</f>
        <v>45532.701826110977</v>
      </c>
      <c r="D64" s="141">
        <f ca="1">Calc_Mercado!F65</f>
        <v>0</v>
      </c>
      <c r="E64" s="115">
        <f ca="1">Calc_Mercado!I65</f>
        <v>2610.5450545903268</v>
      </c>
      <c r="F64" s="80">
        <f ca="1">Calc_Mercado!H65</f>
        <v>96562.880017905845</v>
      </c>
      <c r="G64" s="80">
        <f ca="1">Calc_Mercado!G65</f>
        <v>16287.711370906691</v>
      </c>
      <c r="H64" s="80">
        <f ca="1">IFERROR((VLOOKUP("Parcela B",TabFinanCovid[],4,FALSE)/VLOOKUP("Parcela B",TabFinanNeutralidade[],3,FALSE))*Calc_Mercado!T65,0)</f>
        <v>0</v>
      </c>
      <c r="I64" s="80">
        <f ca="1">Calc_Mercado!U65</f>
        <v>0</v>
      </c>
      <c r="J64" s="142">
        <f t="shared" ca="1" si="7"/>
        <v>160993.83826951386</v>
      </c>
      <c r="L64" s="141">
        <f ca="1">IF(B64&lt;$L$60,0,Calc_Mercado!D65)</f>
        <v>0</v>
      </c>
    </row>
    <row r="65" spans="2:12">
      <c r="B65" s="267">
        <f t="shared" si="6"/>
        <v>44531</v>
      </c>
      <c r="C65" s="141">
        <f ca="1">Calc_Mercado!S66</f>
        <v>48893.603717900616</v>
      </c>
      <c r="D65" s="141">
        <f ca="1">Calc_Mercado!F66</f>
        <v>0</v>
      </c>
      <c r="E65" s="115">
        <f ca="1">Calc_Mercado!I66</f>
        <v>2801.6317567817605</v>
      </c>
      <c r="F65" s="80">
        <f ca="1">Calc_Mercado!H66</f>
        <v>103690.46861056708</v>
      </c>
      <c r="G65" s="80">
        <f ca="1">Calc_Mercado!G66</f>
        <v>17521.583408706374</v>
      </c>
      <c r="H65" s="80">
        <f ca="1">IFERROR((VLOOKUP("Parcela B",TabFinanCovid[],4,FALSE)/VLOOKUP("Parcela B",TabFinanNeutralidade[],3,FALSE))*Calc_Mercado!T66,0)</f>
        <v>0</v>
      </c>
      <c r="I65" s="80">
        <f ca="1">Calc_Mercado!U66</f>
        <v>0</v>
      </c>
      <c r="J65" s="142">
        <f t="shared" ca="1" si="7"/>
        <v>172907.28749395584</v>
      </c>
      <c r="L65" s="141">
        <f ca="1">IF(B65&lt;$L$60,0,Calc_Mercado!D66)</f>
        <v>0</v>
      </c>
    </row>
    <row r="66" spans="2:12">
      <c r="B66" s="267">
        <f t="shared" si="6"/>
        <v>44562</v>
      </c>
      <c r="C66" s="141">
        <f ca="1">Calc_Mercado!S67</f>
        <v>51908.064283914144</v>
      </c>
      <c r="D66" s="141">
        <f ca="1">Calc_Mercado!F67</f>
        <v>0</v>
      </c>
      <c r="E66" s="115">
        <f ca="1">Calc_Mercado!I67</f>
        <v>2987.3056065961473</v>
      </c>
      <c r="F66" s="80">
        <f ca="1">Calc_Mercado!H67</f>
        <v>110083.34630682867</v>
      </c>
      <c r="G66" s="80">
        <f ca="1">Calc_Mercado!G67</f>
        <v>18472.970264704829</v>
      </c>
      <c r="H66" s="80">
        <f ca="1">IFERROR((VLOOKUP("Parcela B",TabFinanCovid[],4,FALSE)/VLOOKUP("Parcela B",TabFinanNeutralidade[],3,FALSE))*Calc_Mercado!T67,0)</f>
        <v>0</v>
      </c>
      <c r="I66" s="80">
        <f ca="1">Calc_Mercado!U67</f>
        <v>0</v>
      </c>
      <c r="J66" s="142">
        <f t="shared" ca="1" si="7"/>
        <v>183451.68646204378</v>
      </c>
      <c r="L66" s="141">
        <f ca="1">IF(B66&lt;$L$60,0,Calc_Mercado!D67)</f>
        <v>0</v>
      </c>
    </row>
    <row r="67" spans="2:12">
      <c r="B67" s="267">
        <f t="shared" si="6"/>
        <v>44593</v>
      </c>
      <c r="C67" s="141">
        <f ca="1">Calc_Mercado!S68</f>
        <v>47605.495341442234</v>
      </c>
      <c r="D67" s="141">
        <f ca="1">Calc_Mercado!F68</f>
        <v>0</v>
      </c>
      <c r="E67" s="115">
        <f ca="1">Calc_Mercado!I68</f>
        <v>2738.0694067822128</v>
      </c>
      <c r="F67" s="80">
        <f ca="1">Calc_Mercado!H68</f>
        <v>100958.7296709138</v>
      </c>
      <c r="G67" s="80">
        <f ca="1">Calc_Mercado!G68</f>
        <v>16986.0939228549</v>
      </c>
      <c r="H67" s="80">
        <f ca="1">IFERROR((VLOOKUP("Parcela B",TabFinanCovid[],4,FALSE)/VLOOKUP("Parcela B",TabFinanNeutralidade[],3,FALSE))*Calc_Mercado!T68,0)</f>
        <v>0</v>
      </c>
      <c r="I67" s="80">
        <f ca="1">Calc_Mercado!U68</f>
        <v>0</v>
      </c>
      <c r="J67" s="142">
        <f t="shared" ca="1" si="7"/>
        <v>168288.38834199315</v>
      </c>
      <c r="L67" s="141">
        <f ca="1">IF(B67&lt;$L$60,0,Calc_Mercado!D68)</f>
        <v>0</v>
      </c>
    </row>
    <row r="68" spans="2:12">
      <c r="B68" s="267">
        <f t="shared" si="6"/>
        <v>44621</v>
      </c>
      <c r="C68" s="141">
        <f ca="1">Calc_Mercado!S69</f>
        <v>49254.147067892773</v>
      </c>
      <c r="D68" s="141">
        <f ca="1">Calc_Mercado!F69</f>
        <v>0</v>
      </c>
      <c r="E68" s="115">
        <f ca="1">Calc_Mercado!I69</f>
        <v>2835.6320324961316</v>
      </c>
      <c r="F68" s="80">
        <f ca="1">Calc_Mercado!H69</f>
        <v>104455.08618980731</v>
      </c>
      <c r="G68" s="80">
        <f ca="1">Calc_Mercado!G69</f>
        <v>17554.400555269614</v>
      </c>
      <c r="H68" s="80">
        <f ca="1">IFERROR((VLOOKUP("Parcela B",TabFinanCovid[],4,FALSE)/VLOOKUP("Parcela B",TabFinanNeutralidade[],3,FALSE))*Calc_Mercado!T69,0)</f>
        <v>0</v>
      </c>
      <c r="I68" s="80">
        <f ca="1">Calc_Mercado!U69</f>
        <v>0</v>
      </c>
      <c r="J68" s="142">
        <f t="shared" ca="1" si="7"/>
        <v>174099.26584546582</v>
      </c>
      <c r="L68" s="141">
        <f ca="1">IF(B68&lt;$L$60,0,Calc_Mercado!D69)</f>
        <v>0</v>
      </c>
    </row>
    <row r="69" spans="2:12">
      <c r="B69" s="267">
        <f t="shared" si="6"/>
        <v>44652</v>
      </c>
      <c r="C69" s="141">
        <f ca="1">Calc_Mercado!S70</f>
        <v>46751.314563989799</v>
      </c>
      <c r="D69" s="141">
        <f ca="1">Calc_Mercado!F70</f>
        <v>0</v>
      </c>
      <c r="E69" s="115">
        <f ca="1">Calc_Mercado!I70</f>
        <v>2692.9254918239931</v>
      </c>
      <c r="F69" s="80">
        <f ca="1">Calc_Mercado!H70</f>
        <v>99147.236993810235</v>
      </c>
      <c r="G69" s="80">
        <f ca="1">Calc_Mercado!G70</f>
        <v>16667.252158476746</v>
      </c>
      <c r="H69" s="80">
        <f ca="1">IFERROR((VLOOKUP("Parcela B",TabFinanCovid[],4,FALSE)/VLOOKUP("Parcela B",TabFinanNeutralidade[],3,FALSE))*Calc_Mercado!T70,0)</f>
        <v>0</v>
      </c>
      <c r="I69" s="80">
        <f ca="1">Calc_Mercado!U70</f>
        <v>0</v>
      </c>
      <c r="J69" s="142">
        <f t="shared" ca="1" si="7"/>
        <v>165258.72920810076</v>
      </c>
      <c r="L69" s="141">
        <f ca="1">IF(B69&lt;$L$60,0,Calc_Mercado!D70)</f>
        <v>0</v>
      </c>
    </row>
    <row r="70" spans="2:12">
      <c r="B70" s="267">
        <f t="shared" si="6"/>
        <v>44682</v>
      </c>
      <c r="C70" s="141">
        <f ca="1">Calc_Mercado!S71</f>
        <v>46863.854393744245</v>
      </c>
      <c r="D70" s="141">
        <f ca="1">Calc_Mercado!F71</f>
        <v>0</v>
      </c>
      <c r="E70" s="115">
        <f ca="1">Calc_Mercado!I71</f>
        <v>2688.8236458545298</v>
      </c>
      <c r="F70" s="80">
        <f ca="1">Calc_Mercado!H71</f>
        <v>99385.90436126219</v>
      </c>
      <c r="G70" s="80">
        <f ca="1">Calc_Mercado!G71</f>
        <v>16775.922155926946</v>
      </c>
      <c r="H70" s="80">
        <f ca="1">IFERROR((VLOOKUP("Parcela B",TabFinanCovid[],4,FALSE)/VLOOKUP("Parcela B",TabFinanNeutralidade[],3,FALSE))*Calc_Mercado!T71,0)</f>
        <v>0</v>
      </c>
      <c r="I70" s="80">
        <f ca="1">Calc_Mercado!U71</f>
        <v>0</v>
      </c>
      <c r="J70" s="142">
        <f t="shared" ca="1" si="7"/>
        <v>165714.5045567879</v>
      </c>
      <c r="L70" s="141">
        <f ca="1">IF(B70&lt;$L$60,0,Calc_Mercado!D71)</f>
        <v>0</v>
      </c>
    </row>
    <row r="71" spans="2:12">
      <c r="B71" s="267">
        <f t="shared" si="6"/>
        <v>44713</v>
      </c>
      <c r="C71" s="141">
        <f ca="1">Calc_Mercado!S72</f>
        <v>43159.083398711497</v>
      </c>
      <c r="D71" s="141">
        <f ca="1">Calc_Mercado!F72</f>
        <v>0</v>
      </c>
      <c r="E71" s="115">
        <f ca="1">Calc_Mercado!I72</f>
        <v>2493.2865342298301</v>
      </c>
      <c r="F71" s="80">
        <f ca="1">Calc_Mercado!H72</f>
        <v>91529.059879391047</v>
      </c>
      <c r="G71" s="80">
        <f ca="1">Calc_Mercado!G72</f>
        <v>15498.124616708421</v>
      </c>
      <c r="H71" s="80">
        <f ca="1">IFERROR((VLOOKUP("Parcela B",TabFinanCovid[],4,FALSE)/VLOOKUP("Parcela B",TabFinanNeutralidade[],3,FALSE))*Calc_Mercado!T72,0)</f>
        <v>0</v>
      </c>
      <c r="I71" s="80">
        <f ca="1">Calc_Mercado!U72</f>
        <v>0</v>
      </c>
      <c r="J71" s="142">
        <f t="shared" ca="1" si="7"/>
        <v>152679.55442904081</v>
      </c>
      <c r="L71" s="141">
        <f ca="1">IF(B71&lt;$L$60,0,Calc_Mercado!D72)</f>
        <v>0</v>
      </c>
    </row>
    <row r="72" spans="2:12">
      <c r="B72" s="267">
        <f t="shared" si="6"/>
        <v>44743</v>
      </c>
      <c r="C72" s="141">
        <f ca="1">Calc_Mercado!S73</f>
        <v>47521.740986299978</v>
      </c>
      <c r="D72" s="141">
        <f ca="1">Calc_Mercado!F73</f>
        <v>0</v>
      </c>
      <c r="E72" s="115">
        <f ca="1">Calc_Mercado!I73</f>
        <v>2733.1569615376084</v>
      </c>
      <c r="F72" s="80">
        <f ca="1">Calc_Mercado!H73</f>
        <v>100781.10872108601</v>
      </c>
      <c r="G72" s="80">
        <f ca="1">Calc_Mercado!G73</f>
        <v>17095.56248027736</v>
      </c>
      <c r="H72" s="80">
        <f ca="1">IFERROR((VLOOKUP("Parcela B",TabFinanCovid[],4,FALSE)/VLOOKUP("Parcela B",TabFinanNeutralidade[],3,FALSE))*Calc_Mercado!T73,0)</f>
        <v>0</v>
      </c>
      <c r="I72" s="80">
        <f ca="1">Calc_Mercado!U73</f>
        <v>0</v>
      </c>
      <c r="J72" s="142">
        <f t="shared" ca="1" si="7"/>
        <v>168131.56914920095</v>
      </c>
      <c r="L72" s="141">
        <f ca="1">IF(B72&lt;$L$60,0,Calc_Mercado!D73)</f>
        <v>0</v>
      </c>
    </row>
    <row r="73" spans="2:12">
      <c r="B73" s="267">
        <f t="shared" si="6"/>
        <v>44774</v>
      </c>
      <c r="C73" s="1301">
        <f ca="1">Calc_Mercado!S74</f>
        <v>47522.886045756248</v>
      </c>
      <c r="D73" s="1301">
        <f ca="1">Calc_Mercado!F74</f>
        <v>0</v>
      </c>
      <c r="E73" s="1151">
        <f ca="1">Calc_Mercado!I74</f>
        <v>2727.6198392430056</v>
      </c>
      <c r="F73" s="1293">
        <f ca="1">Calc_Mercado!H74</f>
        <v>100783.53709090495</v>
      </c>
      <c r="G73" s="1293">
        <f ca="1">Calc_Mercado!G74</f>
        <v>17074.502694907598</v>
      </c>
      <c r="H73" s="1293">
        <f ca="1">IFERROR((VLOOKUP("Parcela B",TabFinanCovid[],4,FALSE)/VLOOKUP("Parcela B",TabFinanNeutralidade[],3,FALSE))*Calc_Mercado!T74,0)</f>
        <v>0</v>
      </c>
      <c r="I73" s="1293">
        <f ca="1">Calc_Mercado!U74</f>
        <v>0</v>
      </c>
      <c r="J73" s="1299">
        <f t="shared" ca="1" si="7"/>
        <v>168108.54567081181</v>
      </c>
      <c r="L73" s="1301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415"/>
  <sheetViews>
    <sheetView showGridLines="0" topLeftCell="E1" zoomScale="88" zoomScaleNormal="88" workbookViewId="0">
      <selection activeCell="L13" sqref="L13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0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298" t="s">
        <v>729</v>
      </c>
      <c r="E2" s="298" t="s">
        <v>730</v>
      </c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4" spans="2:49" ht="15" customHeight="1">
      <c r="B4" s="299" t="s">
        <v>731</v>
      </c>
    </row>
    <row r="5" spans="2:49" ht="15" customHeight="1">
      <c r="B5" s="299" t="s">
        <v>732</v>
      </c>
      <c r="AC5" s="23" t="str">
        <f ca="1">IF(AW288&gt;AW285,"um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superior</v>
      </c>
    </row>
    <row r="6" spans="2:49" ht="15" customHeight="1">
      <c r="B6" s="299" t="s">
        <v>733</v>
      </c>
      <c r="K6" s="353" t="s">
        <v>734</v>
      </c>
      <c r="L6" s="303"/>
      <c r="S6" s="353" t="s">
        <v>734</v>
      </c>
      <c r="T6" s="353"/>
      <c r="U6" s="353"/>
      <c r="V6" s="353"/>
      <c r="AC6" s="23" t="str">
        <f>IF(LnkTXTSuprid2="!vazio!","","s")</f>
        <v/>
      </c>
      <c r="AD6" s="23">
        <f>SMALL(N41:N42,1)</f>
        <v>457.05780490881529</v>
      </c>
      <c r="AE6" s="23">
        <f>SMALL(Q41:Q42,1)</f>
        <v>558.91809275486787</v>
      </c>
    </row>
    <row r="7" spans="2:49" ht="18.75" customHeight="1">
      <c r="B7" s="299" t="s">
        <v>735</v>
      </c>
      <c r="K7" s="1050" t="s">
        <v>736</v>
      </c>
      <c r="L7" s="1050" t="s">
        <v>737</v>
      </c>
      <c r="S7" s="1827" t="s">
        <v>738</v>
      </c>
      <c r="T7" s="1827"/>
      <c r="U7" s="1827"/>
      <c r="V7" s="296" t="s">
        <v>739</v>
      </c>
      <c r="W7" s="296" t="s">
        <v>740</v>
      </c>
      <c r="X7" s="60" t="s">
        <v>741</v>
      </c>
    </row>
    <row r="8" spans="2:49" ht="15" customHeight="1">
      <c r="B8" s="301" t="s">
        <v>742</v>
      </c>
      <c r="K8" s="353" t="s">
        <v>743</v>
      </c>
      <c r="L8" s="20">
        <f ca="1">Resultado!E14</f>
        <v>4.382389418413267E-2</v>
      </c>
      <c r="S8" s="47" t="s">
        <v>744</v>
      </c>
      <c r="T8" s="364">
        <f ca="1">U8/$U$15</f>
        <v>0.35690748298100322</v>
      </c>
      <c r="U8" s="56">
        <f>AU239</f>
        <v>7218569.4400000004</v>
      </c>
      <c r="V8" s="61" t="s">
        <v>192</v>
      </c>
      <c r="W8" s="62">
        <f ca="1">T12</f>
        <v>0.20355729250022073</v>
      </c>
      <c r="X8" s="62">
        <f ca="1">W8/(1-$W$10)</f>
        <v>0.26183552032853158</v>
      </c>
    </row>
    <row r="9" spans="2:49" ht="15" customHeight="1">
      <c r="B9" s="301" t="s">
        <v>745</v>
      </c>
      <c r="K9" s="360" t="s">
        <v>717</v>
      </c>
      <c r="L9" s="361">
        <f ca="1">Resultado!E24</f>
        <v>2.8988750092050576E-2</v>
      </c>
      <c r="S9" s="47" t="s">
        <v>746</v>
      </c>
      <c r="T9" s="364">
        <f ca="1">U9/$U$15</f>
        <v>0.16745288031109692</v>
      </c>
      <c r="U9" s="56">
        <f ca="1">AU230</f>
        <v>3386788.7396409675</v>
      </c>
      <c r="V9" s="47" t="s">
        <v>747</v>
      </c>
      <c r="W9" s="57">
        <f ca="1">T13</f>
        <v>1.9018421273020236E-2</v>
      </c>
      <c r="X9" s="62">
        <f ca="1">W9/(1-$W$10)</f>
        <v>2.4463374260310852E-2</v>
      </c>
      <c r="AD9" s="413"/>
      <c r="AE9" s="413"/>
    </row>
    <row r="10" spans="2:49" ht="27.75" customHeight="1">
      <c r="B10" s="301" t="s">
        <v>748</v>
      </c>
      <c r="K10" s="353" t="s">
        <v>749</v>
      </c>
      <c r="L10" s="25">
        <f ca="1">Resultado!E33</f>
        <v>-1.0157883947431879E-2</v>
      </c>
      <c r="S10" s="47" t="s">
        <v>750</v>
      </c>
      <c r="T10" s="364">
        <f ca="1">U10/$U$15</f>
        <v>0.12225718412928156</v>
      </c>
      <c r="U10" s="56">
        <f>AU232</f>
        <v>2472691.1461900002</v>
      </c>
      <c r="V10" s="1051" t="s">
        <v>751</v>
      </c>
      <c r="W10" s="1052">
        <f ca="1">SUM(W8:W9)</f>
        <v>0.22257571377324095</v>
      </c>
      <c r="X10" s="1052">
        <f ca="1">SUM(X8:X9)</f>
        <v>0.28629889458884245</v>
      </c>
      <c r="AE10" s="413"/>
    </row>
    <row r="11" spans="2:49" ht="15" customHeight="1">
      <c r="B11" s="299" t="s">
        <v>746</v>
      </c>
      <c r="K11" s="353" t="s">
        <v>752</v>
      </c>
      <c r="L11" s="25">
        <f ca="1">Resultado!E39</f>
        <v>1.3173818078231817E-3</v>
      </c>
      <c r="S11" s="1053" t="s">
        <v>743</v>
      </c>
      <c r="T11" s="1054">
        <f ca="1">U11/$U$15</f>
        <v>0.1308067388053773</v>
      </c>
      <c r="U11" s="1055">
        <f ca="1">AU219</f>
        <v>2645608.6585800634</v>
      </c>
      <c r="V11" s="56"/>
      <c r="AE11" s="413"/>
      <c r="AK11" s="353"/>
      <c r="AL11" s="353"/>
      <c r="AP11" s="353"/>
      <c r="AQ11" s="353"/>
      <c r="AR11" s="353"/>
      <c r="AS11" s="353"/>
      <c r="AT11" s="353"/>
      <c r="AU11" s="353"/>
      <c r="AV11" s="353"/>
      <c r="AW11" s="353"/>
    </row>
    <row r="12" spans="2:49" ht="15" customHeight="1">
      <c r="B12" s="301" t="s">
        <v>753</v>
      </c>
      <c r="K12" s="23" t="s">
        <v>724</v>
      </c>
      <c r="L12" s="19">
        <f ca="1">lnktxttotalfin</f>
        <v>-0.20453481657439732</v>
      </c>
      <c r="S12" s="47" t="s">
        <v>192</v>
      </c>
      <c r="T12" s="57">
        <f ca="1">Calc_Mercado!J8</f>
        <v>0.20355729250022073</v>
      </c>
      <c r="U12" s="56">
        <f ca="1">T12*U15</f>
        <v>4117012.1698161326</v>
      </c>
      <c r="V12" s="56"/>
      <c r="AD12" s="413"/>
      <c r="AE12" s="413"/>
      <c r="AM12" s="353"/>
      <c r="AP12" s="353"/>
      <c r="AQ12" s="353"/>
      <c r="AR12" s="353"/>
      <c r="AS12" s="353"/>
      <c r="AT12" s="353"/>
      <c r="AU12" s="353"/>
      <c r="AV12" s="353"/>
      <c r="AW12" s="353"/>
    </row>
    <row r="13" spans="2:49" ht="15" customHeight="1">
      <c r="B13" s="301" t="s">
        <v>724</v>
      </c>
      <c r="K13" s="23" t="s">
        <v>754</v>
      </c>
      <c r="L13" s="19">
        <f ca="1">LnkTXTERFIN</f>
        <v>0.28010000000000002</v>
      </c>
      <c r="S13" s="47" t="s">
        <v>755</v>
      </c>
      <c r="T13" s="58">
        <f ca="1">Calc_Mercado!J9</f>
        <v>1.9018421273020236E-2</v>
      </c>
      <c r="U13" s="56">
        <f ca="1">T13*U15</f>
        <v>384653.73001377209</v>
      </c>
      <c r="V13" s="56"/>
      <c r="AM13" s="353"/>
      <c r="AP13" s="353"/>
      <c r="AQ13" s="353"/>
      <c r="AR13" s="353"/>
      <c r="AS13" s="353"/>
      <c r="AT13" s="353"/>
      <c r="AU13" s="353"/>
      <c r="AV13" s="353"/>
      <c r="AW13" s="353"/>
    </row>
    <row r="14" spans="2:49" ht="15" customHeight="1">
      <c r="B14" s="301" t="s">
        <v>756</v>
      </c>
      <c r="K14" s="353" t="s">
        <v>757</v>
      </c>
      <c r="L14" s="361">
        <f>LnkTXTEfeito</f>
        <v>0.13960279381483365</v>
      </c>
      <c r="S14" s="47" t="s">
        <v>758</v>
      </c>
      <c r="T14" s="364">
        <f ca="1">SUM(T12:T13)</f>
        <v>0.22257571377324095</v>
      </c>
      <c r="U14" s="56">
        <f ca="1">SUM(U12:U13)</f>
        <v>4501665.8998299045</v>
      </c>
      <c r="V14" s="56"/>
      <c r="AD14" s="23" t="s">
        <v>104</v>
      </c>
      <c r="AE14" s="23" t="s">
        <v>108</v>
      </c>
      <c r="AF14" s="23" t="s">
        <v>717</v>
      </c>
      <c r="AG14" s="23" t="s">
        <v>706</v>
      </c>
      <c r="AM14" s="353"/>
      <c r="AP14" s="353"/>
      <c r="AQ14" s="353"/>
      <c r="AR14" s="353"/>
      <c r="AS14" s="353"/>
      <c r="AT14" s="353"/>
      <c r="AU14" s="353"/>
      <c r="AV14" s="353"/>
      <c r="AW14" s="353"/>
    </row>
    <row r="15" spans="2:49" ht="15" customHeight="1">
      <c r="B15" s="63" t="s">
        <v>759</v>
      </c>
      <c r="S15" s="1051" t="s">
        <v>760</v>
      </c>
      <c r="T15" s="1056">
        <f ca="1">SUM(T8:T11)+T14</f>
        <v>0.99999999999999989</v>
      </c>
      <c r="U15" s="1057">
        <f ca="1">SUM(U8:U11)/(1-T14)</f>
        <v>20225323.884240936</v>
      </c>
      <c r="V15" s="635"/>
      <c r="AC15" s="23" t="s">
        <v>761</v>
      </c>
      <c r="AD15" s="413">
        <f ca="1">Resultado!C39</f>
        <v>7199100.8278430123</v>
      </c>
      <c r="AE15" s="413">
        <f ca="1">Resultado!C33</f>
        <v>3536904.5995487506</v>
      </c>
      <c r="AF15" s="413">
        <f ca="1">Resultado!C24</f>
        <v>2044287.8320509181</v>
      </c>
      <c r="AG15" s="413">
        <f ca="1">Resultado!C14</f>
        <v>1997967.7134773193</v>
      </c>
      <c r="AM15" s="353"/>
      <c r="AP15" s="353"/>
      <c r="AQ15" s="353"/>
      <c r="AR15" s="353"/>
      <c r="AS15" s="353"/>
      <c r="AT15" s="353"/>
    </row>
    <row r="16" spans="2:49" ht="15" customHeight="1">
      <c r="B16" s="301" t="s">
        <v>762</v>
      </c>
      <c r="AC16" s="23" t="s">
        <v>763</v>
      </c>
      <c r="AD16" s="413">
        <f>Resultado!D39</f>
        <v>7218569.4400000004</v>
      </c>
      <c r="AE16" s="413">
        <f ca="1">Resultado!D33</f>
        <v>3386788.7396409675</v>
      </c>
      <c r="AF16" s="413">
        <f>Resultado!D24</f>
        <v>2472691.1461900002</v>
      </c>
      <c r="AG16" s="413">
        <f ca="1">Resultado!D14</f>
        <v>2645608.6585800629</v>
      </c>
      <c r="AM16" s="353"/>
      <c r="AP16" s="353"/>
      <c r="AQ16" s="353"/>
      <c r="AR16" s="353"/>
      <c r="AS16" s="353"/>
      <c r="AT16" s="353"/>
    </row>
    <row r="17" spans="2:46" ht="15" customHeight="1">
      <c r="B17" s="301" t="s">
        <v>635</v>
      </c>
      <c r="AM17" s="353"/>
      <c r="AP17" s="353"/>
      <c r="AQ17" s="353"/>
      <c r="AR17" s="353"/>
      <c r="AS17" s="353"/>
      <c r="AT17" s="353"/>
    </row>
    <row r="18" spans="2:46" ht="15" customHeight="1">
      <c r="B18" s="301" t="s">
        <v>75</v>
      </c>
      <c r="AM18" s="353"/>
      <c r="AP18" s="353"/>
      <c r="AQ18" s="353"/>
      <c r="AR18" s="353"/>
      <c r="AS18" s="353"/>
      <c r="AT18" s="353"/>
    </row>
    <row r="19" spans="2:46" ht="15" customHeight="1">
      <c r="B19" s="301" t="s">
        <v>764</v>
      </c>
      <c r="S19" s="353" t="s">
        <v>734</v>
      </c>
      <c r="T19" s="353"/>
      <c r="AM19" s="353"/>
      <c r="AP19" s="353"/>
      <c r="AQ19" s="353"/>
      <c r="AR19" s="353"/>
      <c r="AS19" s="353"/>
      <c r="AT19" s="353"/>
    </row>
    <row r="20" spans="2:46" ht="15" customHeight="1">
      <c r="B20" s="301" t="s">
        <v>633</v>
      </c>
      <c r="S20" s="1831" t="s">
        <v>765</v>
      </c>
      <c r="T20" s="1831"/>
      <c r="AM20" s="353"/>
      <c r="AP20" s="353"/>
      <c r="AQ20" s="353"/>
      <c r="AR20" s="353"/>
      <c r="AS20" s="353"/>
      <c r="AT20" s="353"/>
    </row>
    <row r="21" spans="2:46" ht="15" customHeight="1">
      <c r="S21" s="47" t="s">
        <v>744</v>
      </c>
      <c r="T21" s="55">
        <f ca="1">AX239</f>
        <v>0.45908970082895056</v>
      </c>
      <c r="AL21" s="353"/>
      <c r="AO21" s="353"/>
      <c r="AP21" s="353"/>
      <c r="AQ21" s="353"/>
      <c r="AR21" s="353"/>
      <c r="AS21" s="353"/>
    </row>
    <row r="22" spans="2:46" ht="15" customHeight="1">
      <c r="S22" s="47" t="s">
        <v>746</v>
      </c>
      <c r="T22" s="55">
        <f ca="1">AX230</f>
        <v>0.21539445483988173</v>
      </c>
      <c r="AL22" s="353"/>
      <c r="AO22" s="353"/>
      <c r="AP22" s="353"/>
      <c r="AQ22" s="353"/>
      <c r="AR22" s="353"/>
      <c r="AS22" s="353"/>
    </row>
    <row r="23" spans="2:46" ht="15" customHeight="1">
      <c r="S23" s="47" t="s">
        <v>750</v>
      </c>
      <c r="T23" s="55">
        <f ca="1">AX232</f>
        <v>0.15725928080103946</v>
      </c>
      <c r="Z23" s="30" t="s">
        <v>766</v>
      </c>
      <c r="AL23" s="353"/>
      <c r="AO23" s="353"/>
      <c r="AP23" s="353"/>
      <c r="AQ23" s="353"/>
      <c r="AR23" s="353"/>
      <c r="AS23" s="353"/>
    </row>
    <row r="24" spans="2:46" ht="15" customHeight="1">
      <c r="C24" s="23" t="s">
        <v>767</v>
      </c>
      <c r="S24" s="47" t="s">
        <v>38</v>
      </c>
      <c r="T24" s="55">
        <f ca="1">AX220</f>
        <v>0</v>
      </c>
      <c r="AL24" s="353"/>
      <c r="AO24" s="353"/>
      <c r="AP24" s="353"/>
      <c r="AQ24" s="353"/>
      <c r="AR24" s="353"/>
      <c r="AS24" s="353"/>
    </row>
    <row r="25" spans="2:46" ht="15" customHeight="1">
      <c r="S25" s="47" t="s">
        <v>39</v>
      </c>
      <c r="T25" s="55">
        <f ca="1">AX221</f>
        <v>0</v>
      </c>
      <c r="AJ25" s="353"/>
      <c r="AK25" s="353"/>
      <c r="AL25" s="353"/>
      <c r="AO25" s="353"/>
      <c r="AP25" s="353"/>
      <c r="AQ25" s="353"/>
      <c r="AR25" s="353"/>
      <c r="AS25" s="353"/>
    </row>
    <row r="26" spans="2:46" ht="15" customHeight="1">
      <c r="S26" s="47" t="s">
        <v>47</v>
      </c>
      <c r="T26" s="55">
        <f ca="1">AX227</f>
        <v>1.9535965883037243E-2</v>
      </c>
      <c r="AL26" s="353"/>
    </row>
    <row r="27" spans="2:46" ht="15" customHeight="1">
      <c r="S27" s="47" t="s">
        <v>41</v>
      </c>
      <c r="T27" s="55">
        <f ca="1">AX223</f>
        <v>0.11091994323516371</v>
      </c>
      <c r="AD27" s="47"/>
      <c r="AE27" s="392"/>
      <c r="AF27" s="56"/>
      <c r="AL27" s="353"/>
    </row>
    <row r="28" spans="2:46" ht="15" customHeight="1">
      <c r="S28" s="47" t="s">
        <v>40</v>
      </c>
      <c r="T28" s="55">
        <f ca="1">AX222+AX229+AX224</f>
        <v>3.7800654411927315E-2</v>
      </c>
      <c r="AD28" s="47"/>
      <c r="AE28" s="392"/>
      <c r="AF28" s="56"/>
      <c r="AL28" s="353"/>
    </row>
    <row r="29" spans="2:46" ht="15" customHeight="1">
      <c r="S29" s="47" t="s">
        <v>768</v>
      </c>
      <c r="T29" s="55">
        <f ca="1">AX226</f>
        <v>0</v>
      </c>
      <c r="AD29" s="47"/>
      <c r="AE29" s="392"/>
      <c r="AF29" s="56"/>
      <c r="AL29" s="353"/>
    </row>
    <row r="30" spans="2:46" ht="15" customHeight="1">
      <c r="S30" s="47" t="s">
        <v>48</v>
      </c>
      <c r="T30" s="55">
        <f ca="1">AX228</f>
        <v>0</v>
      </c>
      <c r="AL30" s="353"/>
    </row>
    <row r="31" spans="2:46" ht="15" customHeight="1">
      <c r="S31" s="1058" t="s">
        <v>769</v>
      </c>
      <c r="T31" s="1059">
        <f ca="1">SUM(T21:T30)</f>
        <v>1.0000000000000002</v>
      </c>
    </row>
    <row r="36" spans="1:36" ht="15" customHeight="1">
      <c r="N36" s="634" t="s">
        <v>770</v>
      </c>
      <c r="O36" s="634"/>
      <c r="P36" s="1060" t="e">
        <f>VLOOKUP(LnkTXTSigla,Informacoes[],35,FALSE)</f>
        <v>#REF!</v>
      </c>
      <c r="Q36" s="1061">
        <f>DATE(2013,MONTH(DataRevRea),1)</f>
        <v>41518</v>
      </c>
    </row>
    <row r="37" spans="1:36" ht="15" customHeight="1">
      <c r="L37" s="353" t="s">
        <v>734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062"/>
      <c r="M38" s="1063">
        <f t="shared" ref="M38:V38" si="0">DATE(M37,MONTH(DataRevRea),1)</f>
        <v>41518</v>
      </c>
      <c r="N38" s="1063">
        <f t="shared" si="0"/>
        <v>41883</v>
      </c>
      <c r="O38" s="1063">
        <f t="shared" si="0"/>
        <v>42248</v>
      </c>
      <c r="P38" s="1063">
        <f t="shared" si="0"/>
        <v>42614</v>
      </c>
      <c r="Q38" s="1063">
        <f t="shared" si="0"/>
        <v>42979</v>
      </c>
      <c r="R38" s="1063">
        <f t="shared" si="0"/>
        <v>43344</v>
      </c>
      <c r="S38" s="1063">
        <f t="shared" si="0"/>
        <v>43709</v>
      </c>
      <c r="T38" s="1063">
        <f t="shared" si="0"/>
        <v>44075</v>
      </c>
      <c r="U38" s="1063">
        <f t="shared" si="0"/>
        <v>44440</v>
      </c>
      <c r="V38" s="1063">
        <f t="shared" si="0"/>
        <v>44805</v>
      </c>
      <c r="W38" s="1063" t="s">
        <v>704</v>
      </c>
    </row>
    <row r="39" spans="1:36" ht="15" customHeight="1">
      <c r="L39" s="65" t="str">
        <f>CAPA!C9</f>
        <v>Cedri</v>
      </c>
      <c r="M39" s="401">
        <f>SUMIF(TAbtarifasb1[[#All],[Sigla]],LnkTXTSigla,TAbtarifasb1[[#All],[2013]])</f>
        <v>429.11</v>
      </c>
      <c r="N39" s="401">
        <f>SUMIF(TAbtarifasb1[[#All],[Sigla]],LnkTXTSigla,TAbtarifasb1[[#All],[2014]])</f>
        <v>488.63</v>
      </c>
      <c r="O39" s="401">
        <f>SUMIF(TAbtarifasb1[[#All],[Sigla]],LnkTXTSigla,TAbtarifasb1[[#All],[2015]])</f>
        <v>603.84</v>
      </c>
      <c r="P39" s="411">
        <f>SUMIF(TAbtarifasb1[[#All],[Sigla]],LnkTXTSigla,TAbtarifasb1[[#All],[2016]])</f>
        <v>662.82</v>
      </c>
      <c r="Q39" s="411">
        <f>SUMIF(TAbtarifasb1[[#All],[Sigla]],LnkTXTSigla,TAbtarifasb1[[#All],[2017]])</f>
        <v>695.1</v>
      </c>
      <c r="R39" s="754">
        <f>SUMIF(TAbtarifasb1[[#All],[Sigla]],LnkTXTSigla,TAbtarifasb1[[#All],[2018]])</f>
        <v>784.40000000000009</v>
      </c>
      <c r="S39" s="754">
        <f>SUMIF(TAbtarifasb1[[#All],[Sigla]],LnkTXTSigla,TAbtarifasb1[[#All],[2019]])</f>
        <v>750.67</v>
      </c>
      <c r="T39" s="413">
        <f>SUMIF(TAbtarifasb1[[#All],[Sigla]],LnkTXTSigla,TAbtarifasb1[[#All],[2020]])</f>
        <v>694.52</v>
      </c>
      <c r="U39" s="413">
        <f>SUMIF(TAbtarifasb1[[#All],[Sigla]],LnkTXTSigla,TAbtarifasb1[[#All],[2021]])</f>
        <v>683.87</v>
      </c>
      <c r="V39" s="413">
        <f>Resultado!L6</f>
        <v>754.5</v>
      </c>
      <c r="W39" s="742">
        <f>V39/M39-1</f>
        <v>0.75829041504509331</v>
      </c>
    </row>
    <row r="40" spans="1:36" ht="15" customHeight="1">
      <c r="L40" s="65" t="str">
        <f>LnkTXTSuprid1</f>
        <v>Elektro</v>
      </c>
      <c r="M40" s="401">
        <f>SUMIF(TAbtarifasb1[[#All],[Sigla]],LnkTXTSuprid1,TAbtarifasb1[[#All],[2013]])</f>
        <v>311.88</v>
      </c>
      <c r="N40" s="401">
        <f>SUMIF(TAbtarifasb1[[#All],[Sigla]],LnkTXTSuprid1,TAbtarifasb1[[#All],[2014]])</f>
        <v>423.27</v>
      </c>
      <c r="O40" s="401">
        <f>SUMIF(TAbtarifasb1[[#All],[Sigla]],LnkTXTSuprid1,TAbtarifasb1[[#All],[2015]])</f>
        <v>510.40999999999997</v>
      </c>
      <c r="P40" s="401">
        <f>SUMIF(TAbtarifasb1[[#All],[Sigla]],LnkTXTSuprid1,TAbtarifasb1[[#All],[2016]])</f>
        <v>464.88</v>
      </c>
      <c r="Q40" s="401">
        <f>SUMIF(TAbtarifasb1[[#All],[Sigla]],LnkTXTSuprid1,TAbtarifasb1[[#All],[2017]])</f>
        <v>479.14</v>
      </c>
      <c r="R40" s="401">
        <f>SUMIF(TAbtarifasb1[[#All],[Sigla]],LnkTXTSuprid1,TAbtarifasb1[[#All],[2018]])</f>
        <v>601.79</v>
      </c>
      <c r="S40" s="401">
        <f>SUMIF(TAbtarifasb1[[#All],[Sigla]],LnkTXTSuprid1,TAbtarifasb1[[#All],[2019]])</f>
        <v>531.87</v>
      </c>
      <c r="T40" s="401">
        <f>SUMIF(TAbtarifasb1[[#All],[Sigla]],LnkTXTSuprid1,TAbtarifasb1[[#All],[2020]])</f>
        <v>555.04999999999995</v>
      </c>
      <c r="U40" s="401">
        <f>SUMIF(TAbtarifasb1[[#All],[Sigla]],LnkTXTSuprid1,TAbtarifasb1[[#All],[2021]])</f>
        <v>622.58000000000004</v>
      </c>
      <c r="V40" s="401">
        <f>SUMIF(TAbtarifasb1[[#All],[Sigla]],LnkTXTSuprid1,TAbtarifasb1[[#All],[2022]])</f>
        <v>0</v>
      </c>
      <c r="W40" s="742">
        <f>V40/M40-1</f>
        <v>-1</v>
      </c>
    </row>
    <row r="41" spans="1:36" ht="15" customHeight="1">
      <c r="L41" s="65" t="s">
        <v>771</v>
      </c>
      <c r="M41" s="402">
        <f>M39</f>
        <v>429.11</v>
      </c>
      <c r="N41" s="402">
        <f>VLOOKUP(DATE(YEAR(O38),MONTH(O38)-1,1),Índices!$B:$F,2,FALSE)/VLOOKUP(DATE(YEAR(Q36),MONTH(Q36)-1,1),Índices!$B:$F,2,FALSE)*M41</f>
        <v>484.07677905883713</v>
      </c>
      <c r="O41" s="402">
        <f>VLOOKUP(DATE(YEAR(O38),MONTH(O38)-1,1),Índices!$B:$F,2,FALSE)/VLOOKUP(DATE(YEAR(N38),MONTH(N38)-1,1),Índices!$B:$F,2,FALSE)*N41</f>
        <v>520.64029357619495</v>
      </c>
      <c r="P41" s="402">
        <f>VLOOKUP(DATE(YEAR(P38),MONTH(P38)-1,1),Índices!$B:$F,2,FALSE)/VLOOKUP(DATE(YEAR(O38),MONTH(O38)-1,1),Índices!$B:$F,2,FALSE)*O41</f>
        <v>580.45652818870167</v>
      </c>
      <c r="Q41" s="402">
        <f>VLOOKUP(DATE(YEAR(Q38),MONTH(Q38)-1,1),Índices!$B:$F,2,FALSE)/VLOOKUP(DATE(YEAR(P38),MONTH(P38)-1,1),Índices!$B:$F,2,FALSE)*P41</f>
        <v>570.52345631010917</v>
      </c>
      <c r="R41" s="363">
        <f>IF(R37=YEAR(CAPA!$C$114),'Tabelas e Gráficos'!R39,(VLOOKUP(DATE(YEAR(R38),MONTH(R38)-1,1),Índices!$B:$F,2,FALSE)/VLOOKUP(DATE(YEAR(Q38),MONTH(Q38)-1,1),Índices!$B:$F,2,FALSE)*Q41))</f>
        <v>621.25038564535134</v>
      </c>
      <c r="S41" s="363">
        <f>IF(S37=YEAR(CAPA!$C$114),'Tabelas e Gráficos'!S39,(VLOOKUP(DATE(YEAR(S38),MONTH(S38)-1,1),Índices!$B:$F,2,FALSE)/VLOOKUP(DATE(YEAR(R38),MONTH(R38)-1,1),Índices!$B:$F,2,FALSE)*R41))</f>
        <v>651.99518651745461</v>
      </c>
      <c r="T41" s="363">
        <f>IF(T37=YEAR(CAPA!$C$114),'Tabelas e Gráficos'!T39,(VLOOKUP(DATE(YEAR(T38),MONTH(T38)-1,1),Índices!$B:$F,2,FALSE)/VLOOKUP(DATE(YEAR(S38),MONTH(S38)-1,1),Índices!$B:$F,2,FALSE)*S41))</f>
        <v>736.91281348489304</v>
      </c>
      <c r="U41" s="402">
        <f>VLOOKUP(DATE(YEAR(U38),MONTH(U38)-1,1),Índices!$B:$F,2,FALSE)/VLOOKUP(DATE(YEAR(T38),MONTH(T38)-1,1),Índices!$B:$F,2,FALSE)*T41</f>
        <v>966.20572336119812</v>
      </c>
      <c r="V41" s="402">
        <f>VLOOKUP(DATE(YEAR(V38),MONTH(V38)-1,1),Índices!$B:$F,2,FALSE)/VLOOKUP(DATE(YEAR(U38),MONTH(U38)-1,1),Índices!$B:$F,2,FALSE)*U41</f>
        <v>1049.1781717104648</v>
      </c>
      <c r="W41" s="742">
        <f>V41/M41-1</f>
        <v>1.4450098382942946</v>
      </c>
    </row>
    <row r="42" spans="1:36" ht="15" customHeight="1">
      <c r="L42" s="1064" t="s">
        <v>772</v>
      </c>
      <c r="M42" s="1066">
        <f>M39</f>
        <v>429.11</v>
      </c>
      <c r="N42" s="1066">
        <f>VLOOKUP(DATE(YEAR(N38),MONTH(N38)-1,1),Índices!$B:$F,3,FALSE)/VLOOKUP(DATE(YEAR(Q36),MONTH(Q36)-1,1),Índices!$B:$F,3,FALSE)*M42</f>
        <v>457.05780490881529</v>
      </c>
      <c r="O42" s="1066">
        <f>VLOOKUP(DATE(YEAR(O38),MONTH(O38)-1,1),Índices!$B:$F,3,FALSE)/VLOOKUP(DATE(YEAR(N38),MONTH(N38)-1,1),Índices!$B:$F,3,FALSE)*N42</f>
        <v>500.59474268307417</v>
      </c>
      <c r="P42" s="1066">
        <f>VLOOKUP(DATE(YEAR(P38),MONTH(P38)-1,1),Índices!$B:$F,3,FALSE)/VLOOKUP(DATE(YEAR(O38),MONTH(O38)-1,1),Índices!$B:$F,3,FALSE)*O42</f>
        <v>545.52060585890854</v>
      </c>
      <c r="Q42" s="1066">
        <f>VLOOKUP(DATE(YEAR(Q38),MONTH(Q38)-1,1),Índices!$B:$F,3,FALSE)/VLOOKUP(DATE(YEAR(P38),MONTH(P38)-1,1),Índices!$B:$F,3,FALSE)*P42</f>
        <v>558.91809275486787</v>
      </c>
      <c r="R42" s="1065">
        <f>IF(R37=YEAR(CAPA!$C$114),'Tabelas e Gráficos'!R39,(VLOOKUP(DATE(YEAR(R38),MONTH(R38)-1,1),Índices!$B:$F,3,FALSE)/VLOOKUP(DATE(YEAR(Q38),MONTH(Q38)-1,1),Índices!$B:$F,3,FALSE)*'Tabelas e Gráficos'!Q42))</f>
        <v>582.35361762771925</v>
      </c>
      <c r="S42" s="1065">
        <f>IF(S37=YEAR(CAPA!$C$114),'Tabelas e Gráficos'!S39,(VLOOKUP(DATE(YEAR(S38),MONTH(S38)-1,1),Índices!$B:$F,3,FALSE)/VLOOKUP(DATE(YEAR(R38),MONTH(R38)-1,1),Índices!$B:$F,3,FALSE)*'Tabelas e Gráficos'!R42))</f>
        <v>602.32028403494417</v>
      </c>
      <c r="T42" s="1065">
        <f>IF(T37=YEAR(CAPA!$C$114),'Tabelas e Gráficos'!T39,(VLOOKUP(DATE(YEAR(T38),MONTH(T38)-1,1),Índices!$B:$F,3,FALSE)/VLOOKUP(DATE(YEAR(S38),MONTH(S38)-1,1),Índices!$B:$F,3,FALSE)*'Tabelas e Gráficos'!S42))</f>
        <v>617.00765190085758</v>
      </c>
      <c r="U42" s="1066">
        <f>VLOOKUP(DATE(YEAR(U38),MONTH(U38)-1,1),Índices!$B:$F,3,FALSE)/VLOOKUP(DATE(YEAR(T38),MONTH(T38)-1,1),Índices!$B:$F,3,FALSE)*T42</f>
        <v>676.73259584803895</v>
      </c>
      <c r="V42" s="1066">
        <f>VLOOKUP(DATE(YEAR(V38),MONTH(V38)-1,1),Índices!$B:$F,3,FALSE)/VLOOKUP(DATE(YEAR(U38),MONTH(U38)-1,1),Índices!$B:$F,3,FALSE)*U42</f>
        <v>735.7930207598065</v>
      </c>
      <c r="W42" s="742">
        <f>V42/M42-1</f>
        <v>0.71469558099276753</v>
      </c>
    </row>
    <row r="43" spans="1:36" ht="15" customHeight="1">
      <c r="X43" s="23">
        <v>938.62</v>
      </c>
    </row>
    <row r="44" spans="1:36" ht="15" customHeight="1">
      <c r="X44" s="835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298" t="s">
        <v>729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45"/>
      <c r="B49" s="645"/>
      <c r="C49" s="645"/>
      <c r="D49" s="645"/>
      <c r="E49" s="645"/>
      <c r="F49" s="645"/>
      <c r="G49" s="645"/>
      <c r="H49" s="646"/>
      <c r="I49" s="645"/>
      <c r="J49" s="645"/>
      <c r="K49" s="647"/>
      <c r="L49" s="647"/>
      <c r="M49" s="647"/>
      <c r="N49" s="647"/>
      <c r="O49" s="647"/>
      <c r="P49" s="647"/>
      <c r="Q49" s="645"/>
      <c r="R49" s="645"/>
      <c r="S49" s="648"/>
      <c r="T49" s="645"/>
      <c r="U49" s="645"/>
      <c r="V49" s="645"/>
      <c r="W49" s="645"/>
      <c r="X49" s="645"/>
      <c r="Y49" s="645"/>
      <c r="Z49" s="645"/>
      <c r="AA49" s="645"/>
      <c r="AB49" s="645"/>
      <c r="AC49" s="645"/>
      <c r="AD49" s="645"/>
    </row>
    <row r="50" spans="1:47" ht="15" customHeight="1">
      <c r="B50" s="302" t="s">
        <v>731</v>
      </c>
      <c r="C50" s="303" t="s">
        <v>773</v>
      </c>
      <c r="H50" s="23"/>
      <c r="K50" s="49"/>
      <c r="L50" s="353"/>
      <c r="M50" s="353"/>
      <c r="N50" s="353"/>
      <c r="O50" s="49"/>
      <c r="P50" s="49"/>
      <c r="S50" s="310"/>
    </row>
    <row r="51" spans="1:47" ht="15" customHeight="1">
      <c r="B51" s="304" t="s">
        <v>774</v>
      </c>
      <c r="C51" s="304" t="s">
        <v>775</v>
      </c>
      <c r="H51" s="23"/>
      <c r="K51" s="49"/>
      <c r="L51" s="1832"/>
      <c r="M51" s="1832"/>
      <c r="N51" s="1832"/>
      <c r="O51" s="49"/>
      <c r="P51" s="49"/>
    </row>
    <row r="52" spans="1:47" ht="15" customHeight="1">
      <c r="B52" s="305" t="s">
        <v>776</v>
      </c>
      <c r="C52" s="306">
        <f ca="1">Resultado!C5</f>
        <v>15723657.984411031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05" t="s">
        <v>777</v>
      </c>
      <c r="C53" s="306">
        <f ca="1">Resultado!C6</f>
        <v>14778260.972920001</v>
      </c>
      <c r="D53" s="307"/>
      <c r="E53" s="308" t="s">
        <v>114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05" t="str">
        <f>Resultado!B7</f>
        <v>Variação econômica</v>
      </c>
      <c r="C54" s="309">
        <f ca="1">C52/C53-1</f>
        <v>6.3972142136574428E-2</v>
      </c>
      <c r="D54" s="307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05" t="s">
        <v>724</v>
      </c>
      <c r="C55" s="309">
        <f ca="1">Resultado!C8</f>
        <v>-0.20449999999999999</v>
      </c>
      <c r="D55" s="307"/>
      <c r="E55" s="28"/>
      <c r="H55" s="23"/>
      <c r="K55" s="49"/>
      <c r="L55" s="644"/>
      <c r="M55" s="641"/>
      <c r="N55" s="642"/>
      <c r="O55" s="49"/>
      <c r="P55" s="49"/>
    </row>
    <row r="56" spans="1:47" ht="15" customHeight="1">
      <c r="B56" s="1067" t="str">
        <f>Resultado!B9</f>
        <v>Variação econômica e financeira</v>
      </c>
      <c r="C56" s="1068">
        <f ca="1">C54+C55</f>
        <v>-0.14052785786342556</v>
      </c>
      <c r="D56" s="307"/>
      <c r="E56" s="28"/>
      <c r="H56" s="23"/>
    </row>
    <row r="57" spans="1:47" ht="15" customHeight="1">
      <c r="B57" s="307"/>
      <c r="C57" s="307"/>
      <c r="D57" s="307"/>
      <c r="H57" s="23"/>
      <c r="L57" s="517"/>
      <c r="M57" s="517"/>
      <c r="N57" s="517"/>
      <c r="O57" s="517"/>
      <c r="P57" s="517"/>
      <c r="Q57" s="517"/>
      <c r="R57" s="517"/>
      <c r="S57" s="49"/>
    </row>
    <row r="58" spans="1:47" ht="15" customHeight="1">
      <c r="C58" s="310"/>
      <c r="D58" s="307"/>
      <c r="E58" s="302" t="s">
        <v>732</v>
      </c>
      <c r="F58" s="311"/>
      <c r="G58" s="303" t="s">
        <v>773</v>
      </c>
      <c r="H58" s="23"/>
      <c r="L58" s="518"/>
      <c r="M58" s="519"/>
      <c r="N58" s="520"/>
      <c r="O58" s="514"/>
      <c r="P58" s="514"/>
      <c r="Q58" s="515"/>
      <c r="R58" s="516"/>
      <c r="S58" s="49"/>
      <c r="AT58" s="19"/>
      <c r="AU58" s="400"/>
    </row>
    <row r="59" spans="1:47" ht="15" customHeight="1">
      <c r="C59" s="310"/>
      <c r="D59" s="307"/>
      <c r="E59" s="304" t="s">
        <v>778</v>
      </c>
      <c r="F59" s="304" t="s">
        <v>779</v>
      </c>
      <c r="G59" s="304" t="s">
        <v>780</v>
      </c>
      <c r="H59" s="23"/>
      <c r="AT59" s="19"/>
      <c r="AU59" s="400"/>
    </row>
    <row r="60" spans="1:47" ht="15" customHeight="1">
      <c r="B60" s="30"/>
      <c r="C60" s="312"/>
      <c r="D60" s="312"/>
      <c r="E60" s="305" t="s">
        <v>781</v>
      </c>
      <c r="F60" s="306">
        <f ca="1">Calc_Mercado!C8</f>
        <v>11101.367000000004</v>
      </c>
      <c r="G60" s="306">
        <f ca="1">Calc_Mercado!D8</f>
        <v>9413497.5780200008</v>
      </c>
      <c r="H60" s="313" t="s">
        <v>782</v>
      </c>
    </row>
    <row r="61" spans="1:47" ht="15" hidden="1" customHeight="1">
      <c r="E61" s="305" t="s">
        <v>783</v>
      </c>
      <c r="F61" s="306">
        <f ca="1">Calc_Mercado!C9</f>
        <v>0</v>
      </c>
      <c r="G61" s="306">
        <f ca="1">Calc_Mercado!D9</f>
        <v>0</v>
      </c>
      <c r="H61" s="313">
        <f t="shared" ref="H61:H69" ca="1" si="1">IF(G61=0,0,1)</f>
        <v>0</v>
      </c>
    </row>
    <row r="62" spans="1:47" ht="15" hidden="1" customHeight="1">
      <c r="B62" s="30"/>
      <c r="E62" s="305" t="s">
        <v>784</v>
      </c>
      <c r="F62" s="306">
        <f ca="1">Calc_Mercado!C10</f>
        <v>0</v>
      </c>
      <c r="G62" s="306">
        <f ca="1">Calc_Mercado!D10</f>
        <v>0</v>
      </c>
      <c r="H62" s="313">
        <f t="shared" ca="1" si="1"/>
        <v>0</v>
      </c>
    </row>
    <row r="63" spans="1:47" ht="15" hidden="1" customHeight="1">
      <c r="B63" s="29"/>
      <c r="C63" s="29"/>
      <c r="D63" s="29"/>
      <c r="E63" s="305" t="s">
        <v>785</v>
      </c>
      <c r="F63" s="306">
        <f ca="1">Calc_Mercado!C11</f>
        <v>0</v>
      </c>
      <c r="G63" s="306">
        <f ca="1">Calc_Mercado!D11</f>
        <v>0</v>
      </c>
      <c r="H63" s="313">
        <f t="shared" ca="1" si="1"/>
        <v>0</v>
      </c>
    </row>
    <row r="64" spans="1:47" ht="15" hidden="1" customHeight="1">
      <c r="C64" s="310"/>
      <c r="D64" s="307"/>
      <c r="E64" s="305" t="s">
        <v>786</v>
      </c>
      <c r="F64" s="306">
        <f ca="1">Calc_Mercado!C12</f>
        <v>0</v>
      </c>
      <c r="G64" s="306">
        <f ca="1">Calc_Mercado!D12</f>
        <v>0</v>
      </c>
      <c r="H64" s="313">
        <f t="shared" ca="1" si="1"/>
        <v>0</v>
      </c>
    </row>
    <row r="65" spans="2:43" ht="15" customHeight="1">
      <c r="C65" s="310"/>
      <c r="D65" s="307"/>
      <c r="E65" s="305" t="s">
        <v>787</v>
      </c>
      <c r="F65" s="306">
        <f ca="1">Calc_Mercado!C13</f>
        <v>2977.7169999999996</v>
      </c>
      <c r="G65" s="306">
        <f ca="1">Calc_Mercado!D13</f>
        <v>2385419.9872299996</v>
      </c>
      <c r="H65" s="313">
        <f t="shared" ca="1" si="1"/>
        <v>1</v>
      </c>
    </row>
    <row r="66" spans="2:43" ht="15" hidden="1" customHeight="1">
      <c r="C66" s="310"/>
      <c r="D66" s="307"/>
      <c r="E66" s="305" t="s">
        <v>788</v>
      </c>
      <c r="F66" s="306">
        <f ca="1">Calc_Mercado!C14</f>
        <v>0</v>
      </c>
      <c r="G66" s="306">
        <f ca="1">Calc_Mercado!D14</f>
        <v>0</v>
      </c>
      <c r="H66" s="313">
        <f t="shared" ca="1" si="1"/>
        <v>0</v>
      </c>
    </row>
    <row r="67" spans="2:43" ht="15" customHeight="1">
      <c r="C67" s="310"/>
      <c r="D67" s="307"/>
      <c r="E67" s="305" t="s">
        <v>789</v>
      </c>
      <c r="F67" s="306">
        <f ca="1">Calc_Mercado!C15</f>
        <v>8123.6500000000042</v>
      </c>
      <c r="G67" s="306">
        <f ca="1">Calc_Mercado!D15</f>
        <v>7028077.5907900007</v>
      </c>
      <c r="H67" s="313">
        <f t="shared" ca="1" si="1"/>
        <v>1</v>
      </c>
    </row>
    <row r="68" spans="2:43" ht="15" hidden="1" customHeight="1">
      <c r="C68" s="310"/>
      <c r="D68" s="307"/>
      <c r="E68" s="305" t="s">
        <v>790</v>
      </c>
      <c r="F68" s="306">
        <f ca="1">Calc_Mercado!C17</f>
        <v>0</v>
      </c>
      <c r="G68" s="306">
        <f ca="1">Calc_Mercado!D17</f>
        <v>0</v>
      </c>
      <c r="H68" s="313">
        <f t="shared" ca="1" si="1"/>
        <v>0</v>
      </c>
    </row>
    <row r="69" spans="2:43" ht="15" customHeight="1">
      <c r="C69" s="310"/>
      <c r="D69" s="307"/>
      <c r="E69" s="305" t="s">
        <v>791</v>
      </c>
      <c r="F69" s="306">
        <f ca="1">Calc_Mercado!C18</f>
        <v>10902.100999999999</v>
      </c>
      <c r="G69" s="306">
        <f ca="1">Calc_Mercado!D18</f>
        <v>5364763.3949000007</v>
      </c>
      <c r="H69" s="313">
        <f t="shared" ca="1" si="1"/>
        <v>1</v>
      </c>
    </row>
    <row r="70" spans="2:43" ht="15" customHeight="1">
      <c r="C70" s="310"/>
      <c r="D70" s="307"/>
      <c r="E70" s="1067" t="s">
        <v>769</v>
      </c>
      <c r="F70" s="1069">
        <f ca="1">Calc_Mercado!C25</f>
        <v>22003.468000000001</v>
      </c>
      <c r="G70" s="1069">
        <f ca="1">Calc_Mercado!D25</f>
        <v>14778260.972920001</v>
      </c>
      <c r="AG70" s="49"/>
    </row>
    <row r="71" spans="2:43" ht="15" customHeight="1">
      <c r="B71" s="30"/>
      <c r="C71" s="312"/>
      <c r="D71" s="312"/>
      <c r="E71" s="28"/>
      <c r="I71" s="31"/>
      <c r="J71" s="31"/>
      <c r="K71" s="31"/>
      <c r="AG71" s="49"/>
    </row>
    <row r="72" spans="2:43" ht="15" customHeight="1">
      <c r="I72" s="314" t="s">
        <v>733</v>
      </c>
      <c r="J72" s="311"/>
      <c r="K72" s="303" t="s">
        <v>773</v>
      </c>
      <c r="L72" s="295"/>
      <c r="N72" s="295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296" t="s">
        <v>792</v>
      </c>
      <c r="J73" s="296" t="s">
        <v>793</v>
      </c>
      <c r="K73" s="296" t="s">
        <v>794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829"/>
      <c r="D74" s="1829"/>
      <c r="E74" s="1829"/>
      <c r="I74" s="1070" t="s">
        <v>743</v>
      </c>
      <c r="J74" s="1071">
        <f ca="1">SUM(J75:J84)</f>
        <v>1997967.7134773193</v>
      </c>
      <c r="K74" s="1072">
        <f ca="1">SUM(K75:K84)</f>
        <v>0.13519640214355655</v>
      </c>
      <c r="L74" s="313" t="s">
        <v>782</v>
      </c>
      <c r="N74" s="34"/>
      <c r="AG74" s="49"/>
      <c r="AH74" s="1836"/>
      <c r="AI74" s="1836"/>
      <c r="AJ74" s="1836"/>
      <c r="AK74" s="637"/>
      <c r="AL74" s="49"/>
      <c r="AM74" s="49"/>
      <c r="AN74" s="49"/>
      <c r="AO74" s="49"/>
    </row>
    <row r="75" spans="2:43" ht="15" hidden="1" customHeight="1">
      <c r="B75" s="30"/>
      <c r="C75" s="1828"/>
      <c r="D75" s="1828"/>
      <c r="E75" s="1828"/>
      <c r="I75" s="35" t="str">
        <f>Resultado!B15</f>
        <v>Reserva Global de Reversão – RGR</v>
      </c>
      <c r="J75" s="315">
        <f>0</f>
        <v>0</v>
      </c>
      <c r="K75" s="36">
        <f ca="1">J75/$J$98</f>
        <v>0</v>
      </c>
      <c r="L75" s="313">
        <f>IF(J75=0,0,1)</f>
        <v>0</v>
      </c>
      <c r="N75" s="36"/>
      <c r="AG75" s="49"/>
      <c r="AH75" s="1837"/>
      <c r="AI75" s="1837"/>
      <c r="AJ75" s="1837"/>
      <c r="AK75" s="638"/>
      <c r="AL75" s="417"/>
      <c r="AM75" s="49"/>
      <c r="AN75" s="49"/>
      <c r="AO75" s="49"/>
    </row>
    <row r="76" spans="2:43" ht="15" hidden="1" customHeight="1">
      <c r="B76" s="30"/>
      <c r="C76" s="1828"/>
      <c r="D76" s="1828"/>
      <c r="E76" s="1828"/>
      <c r="I76" s="35" t="str">
        <f>Resultado!B16</f>
        <v>Conta de Consumo de Combustíveis – CCC</v>
      </c>
      <c r="J76" s="315">
        <v>0</v>
      </c>
      <c r="K76" s="36">
        <f ca="1">J76/$J$98</f>
        <v>0</v>
      </c>
      <c r="L76" s="313">
        <f>IF(J76=0,0,1)</f>
        <v>0</v>
      </c>
      <c r="N76" s="36"/>
      <c r="AG76" s="49"/>
      <c r="AH76" s="49"/>
      <c r="AI76" s="49"/>
      <c r="AJ76" s="49"/>
      <c r="AK76" s="639"/>
      <c r="AL76" s="49"/>
      <c r="AM76" s="49"/>
      <c r="AN76" s="49"/>
      <c r="AO76" s="49"/>
    </row>
    <row r="77" spans="2:43" ht="15" customHeight="1">
      <c r="B77" s="30"/>
      <c r="C77" s="1828"/>
      <c r="D77" s="1828"/>
      <c r="E77" s="1828"/>
      <c r="I77" s="35" t="str">
        <f>Resultado!B17</f>
        <v>Taxa de Fisc. de Serviços de E.E. – TFSEE</v>
      </c>
      <c r="J77" s="315">
        <f ca="1">Mercado_Faturado_Encargo_TFSEE_BRUTO</f>
        <v>32470.265140638967</v>
      </c>
      <c r="K77" s="36">
        <f ca="1">J77/$J$98</f>
        <v>2.197164145371243E-3</v>
      </c>
      <c r="L77" s="313">
        <f ca="1">IF(J77=0,0,1)</f>
        <v>1</v>
      </c>
      <c r="N77" s="36"/>
      <c r="AG77" s="49"/>
      <c r="AH77" s="49"/>
      <c r="AI77" s="49"/>
      <c r="AJ77" s="49"/>
      <c r="AK77" s="639"/>
      <c r="AL77" s="49"/>
      <c r="AM77" s="49"/>
      <c r="AN77" s="49"/>
      <c r="AO77" s="49"/>
    </row>
    <row r="78" spans="2:43" ht="15" customHeight="1">
      <c r="B78" s="30"/>
      <c r="C78" s="1828"/>
      <c r="D78" s="1828"/>
      <c r="E78" s="1828"/>
      <c r="I78" s="35" t="str">
        <f>Resultado!B18</f>
        <v>Conta de Desenvolvimento Energético – CDE</v>
      </c>
      <c r="J78" s="315">
        <f ca="1">Mercado_Faturado_Encargo_CDE_BRUTO</f>
        <v>1198296.1259205663</v>
      </c>
      <c r="K78" s="36">
        <f ca="1">J78/$J$98</f>
        <v>8.1085056497266467E-2</v>
      </c>
      <c r="L78" s="313">
        <f t="shared" ref="L78:L95" ca="1" si="2">IF(J78=0,0,1)</f>
        <v>1</v>
      </c>
      <c r="N78" s="36"/>
      <c r="AG78" s="49"/>
      <c r="AH78" s="1837"/>
      <c r="AI78" s="1837"/>
      <c r="AJ78" s="1837"/>
      <c r="AK78" s="638"/>
      <c r="AL78" s="417"/>
      <c r="AM78" s="49"/>
      <c r="AN78" s="49"/>
      <c r="AO78" s="49"/>
    </row>
    <row r="79" spans="2:43" ht="15" customHeight="1">
      <c r="B79" s="30"/>
      <c r="C79" s="1828"/>
      <c r="D79" s="1828"/>
      <c r="E79" s="1828"/>
      <c r="I79" s="35" t="str">
        <f>M105</f>
        <v xml:space="preserve">CDE Conta-COVID </v>
      </c>
      <c r="J79" s="315">
        <f ca="1">Calc_Mercado!S75</f>
        <v>565037.62305771746</v>
      </c>
      <c r="K79" s="36">
        <f ca="1">J79/$J$98</f>
        <v>3.8234378462601547E-2</v>
      </c>
      <c r="L79" s="313">
        <f t="shared" ca="1" si="2"/>
        <v>1</v>
      </c>
      <c r="N79" s="36"/>
      <c r="AG79" s="49"/>
      <c r="AH79" s="49"/>
      <c r="AI79" s="49"/>
      <c r="AJ79" s="49"/>
      <c r="AK79" s="639"/>
      <c r="AL79" s="49"/>
      <c r="AM79" s="49"/>
      <c r="AN79" s="414"/>
      <c r="AO79" s="414"/>
      <c r="AP79" s="414"/>
      <c r="AQ79" s="414"/>
    </row>
    <row r="80" spans="2:43" ht="15" hidden="1" customHeight="1">
      <c r="B80" s="30"/>
      <c r="C80" s="1711"/>
      <c r="D80" s="1711"/>
      <c r="E80" s="1711"/>
      <c r="I80" s="35" t="s">
        <v>2304</v>
      </c>
      <c r="J80" s="315">
        <v>0</v>
      </c>
      <c r="K80" s="36"/>
      <c r="L80" s="313">
        <f>IF(J80=0,0,1)</f>
        <v>0</v>
      </c>
      <c r="N80" s="36"/>
      <c r="AG80" s="49"/>
      <c r="AH80" s="49"/>
      <c r="AI80" s="49"/>
      <c r="AJ80" s="49"/>
      <c r="AK80" s="639"/>
      <c r="AL80" s="49"/>
      <c r="AM80" s="49"/>
      <c r="AN80" s="414"/>
      <c r="AO80" s="414"/>
      <c r="AP80" s="414"/>
      <c r="AQ80" s="414"/>
    </row>
    <row r="81" spans="2:41" ht="15" hidden="1" customHeight="1">
      <c r="B81" s="30"/>
      <c r="C81" s="1828"/>
      <c r="D81" s="1828"/>
      <c r="E81" s="1828"/>
      <c r="I81" s="35" t="str">
        <f>Resultado!B20</f>
        <v>Encargos Serv. Sist. - ESS e Energ. Reserv. – EER</v>
      </c>
      <c r="J81" s="315">
        <f ca="1">Mercado_Faturado_Encargo_ESSERR_BRUTO</f>
        <v>0</v>
      </c>
      <c r="K81" s="36">
        <f ca="1">J81/$J$98</f>
        <v>0</v>
      </c>
      <c r="L81" s="313">
        <v>0</v>
      </c>
      <c r="N81" s="36"/>
      <c r="AG81" s="49"/>
      <c r="AH81" s="49"/>
      <c r="AI81" s="49"/>
      <c r="AJ81" s="49"/>
      <c r="AK81" s="639"/>
      <c r="AL81" s="49"/>
      <c r="AM81" s="49"/>
      <c r="AN81" s="49"/>
      <c r="AO81" s="49"/>
    </row>
    <row r="82" spans="2:41" ht="15" customHeight="1">
      <c r="B82" s="30"/>
      <c r="C82" s="1828"/>
      <c r="D82" s="1828"/>
      <c r="E82" s="1828"/>
      <c r="I82" s="35" t="str">
        <f>Resultado!B21</f>
        <v>PROINFA</v>
      </c>
      <c r="J82" s="315">
        <f ca="1">Mercado_Faturado_Encargo_PROINFA_BRUTO</f>
        <v>202163.69935839661</v>
      </c>
      <c r="K82" s="36">
        <f ca="1">J82/$J$98</f>
        <v>1.3679803038317274E-2</v>
      </c>
      <c r="L82" s="313">
        <f t="shared" ca="1" si="2"/>
        <v>1</v>
      </c>
      <c r="N82" s="34"/>
      <c r="AG82" s="49"/>
      <c r="AH82" s="49"/>
      <c r="AI82" s="49"/>
      <c r="AJ82" s="49"/>
      <c r="AK82" s="639"/>
      <c r="AL82" s="49"/>
      <c r="AM82" s="49"/>
      <c r="AN82" s="49"/>
      <c r="AO82" s="49"/>
    </row>
    <row r="83" spans="2:41" ht="15" hidden="1" customHeight="1">
      <c r="I83" s="35" t="str">
        <f>Resultado!B22</f>
        <v>P&amp;D e Eficiência Energética</v>
      </c>
      <c r="J83" s="315">
        <f ca="1">Mercado_Faturado_Encargo_PeD_BRUTO</f>
        <v>0</v>
      </c>
      <c r="K83" s="36">
        <f ca="1">J83/$J$98</f>
        <v>0</v>
      </c>
      <c r="L83" s="313">
        <v>0</v>
      </c>
      <c r="N83" s="34"/>
      <c r="AG83" s="49"/>
      <c r="AH83" s="1837"/>
      <c r="AI83" s="1837"/>
      <c r="AJ83" s="1837"/>
      <c r="AK83" s="638"/>
      <c r="AL83" s="417"/>
      <c r="AM83" s="49"/>
      <c r="AN83" s="49"/>
      <c r="AO83" s="49"/>
    </row>
    <row r="84" spans="2:41" ht="15" hidden="1" customHeight="1">
      <c r="I84" s="35" t="str">
        <f>Resultado!B23</f>
        <v>ONS</v>
      </c>
      <c r="J84" s="315">
        <f ca="1">Mercado_Faturado_Encargo_ONS_BRUTO</f>
        <v>0</v>
      </c>
      <c r="K84" s="36">
        <f ca="1">J84/$J$98</f>
        <v>0</v>
      </c>
      <c r="L84" s="313">
        <v>0</v>
      </c>
      <c r="N84" s="36"/>
      <c r="AG84" s="49"/>
      <c r="AH84" s="49"/>
      <c r="AI84" s="49"/>
      <c r="AJ84" s="49"/>
      <c r="AK84" s="639"/>
      <c r="AL84" s="49"/>
      <c r="AM84" s="49"/>
      <c r="AN84" s="49"/>
      <c r="AO84" s="49"/>
    </row>
    <row r="85" spans="2:41" ht="15" customHeight="1">
      <c r="I85" s="1070" t="s">
        <v>795</v>
      </c>
      <c r="J85" s="1071">
        <f ca="1">SUM(Calc_Mercado!C79:C85)</f>
        <v>3536904.5995487506</v>
      </c>
      <c r="K85" s="1072">
        <f ca="1">SUM(K86)</f>
        <v>0.23933158346776048</v>
      </c>
      <c r="L85" s="313">
        <f t="shared" ca="1" si="2"/>
        <v>1</v>
      </c>
      <c r="N85" s="36"/>
      <c r="AG85" s="49"/>
      <c r="AH85" s="49"/>
      <c r="AI85" s="49"/>
      <c r="AJ85" s="49"/>
      <c r="AK85" s="639"/>
      <c r="AL85" s="49"/>
      <c r="AM85" s="49"/>
      <c r="AN85" s="49"/>
      <c r="AO85" s="49"/>
    </row>
    <row r="86" spans="2:41" ht="15" customHeight="1">
      <c r="B86" s="30"/>
      <c r="I86" s="37" t="s">
        <v>796</v>
      </c>
      <c r="J86" s="315">
        <f ca="1">J85</f>
        <v>3536904.5995487506</v>
      </c>
      <c r="K86" s="36">
        <f t="shared" ref="K86:K97" ca="1" si="3">J86/$J$98</f>
        <v>0.23933158346776048</v>
      </c>
      <c r="L86" s="313">
        <f t="shared" ca="1" si="2"/>
        <v>1</v>
      </c>
      <c r="M86" s="38"/>
      <c r="N86" s="38"/>
      <c r="AG86" s="49"/>
      <c r="AH86" s="49"/>
      <c r="AI86" s="49"/>
      <c r="AJ86" s="49"/>
      <c r="AK86" s="550"/>
      <c r="AL86" s="49"/>
      <c r="AM86" s="49"/>
      <c r="AN86" s="49"/>
      <c r="AO86" s="49"/>
    </row>
    <row r="87" spans="2:41" ht="15" customHeight="1">
      <c r="B87" s="1835"/>
      <c r="C87" s="1835"/>
      <c r="D87" s="1835"/>
      <c r="E87" s="1835"/>
      <c r="F87" s="1835"/>
      <c r="G87" s="39"/>
      <c r="I87" s="1070" t="s">
        <v>797</v>
      </c>
      <c r="J87" s="1071">
        <f ca="1">Resultado!C24</f>
        <v>2044287.8320509181</v>
      </c>
      <c r="K87" s="1072">
        <f t="shared" ca="1" si="3"/>
        <v>0.13833074377268845</v>
      </c>
      <c r="L87" s="313">
        <f t="shared" ca="1" si="2"/>
        <v>1</v>
      </c>
      <c r="M87" s="40"/>
      <c r="N87" s="41"/>
      <c r="AG87" s="49"/>
      <c r="AH87" s="49"/>
      <c r="AI87" s="49"/>
      <c r="AJ87" s="49"/>
      <c r="AK87" s="550"/>
      <c r="AL87" s="49"/>
      <c r="AM87" s="49"/>
      <c r="AN87" s="49"/>
      <c r="AO87" s="49"/>
    </row>
    <row r="88" spans="2:41" ht="15" hidden="1" customHeight="1">
      <c r="B88" s="1834"/>
      <c r="C88" s="1834"/>
      <c r="D88" s="1834"/>
      <c r="E88" s="1834"/>
      <c r="F88" s="1834"/>
      <c r="G88" s="42"/>
      <c r="I88" s="37" t="s">
        <v>635</v>
      </c>
      <c r="J88" s="315">
        <f ca="1">Resultado!C25</f>
        <v>0</v>
      </c>
      <c r="K88" s="36">
        <f t="shared" ca="1" si="3"/>
        <v>0</v>
      </c>
      <c r="L88" s="313">
        <f t="shared" ca="1" si="2"/>
        <v>0</v>
      </c>
      <c r="M88" s="316"/>
      <c r="N88" s="41"/>
      <c r="AG88" s="49"/>
      <c r="AH88" s="640"/>
      <c r="AI88" s="641"/>
      <c r="AJ88" s="642"/>
      <c r="AK88" s="643"/>
      <c r="AL88" s="417"/>
      <c r="AM88" s="49"/>
      <c r="AN88" s="49"/>
      <c r="AO88" s="49"/>
    </row>
    <row r="89" spans="2:41" ht="15" hidden="1" customHeight="1">
      <c r="B89" s="297"/>
      <c r="C89" s="297"/>
      <c r="D89" s="297"/>
      <c r="E89" s="297"/>
      <c r="F89" s="297"/>
      <c r="G89" s="42"/>
      <c r="I89" s="37" t="s">
        <v>637</v>
      </c>
      <c r="J89" s="315">
        <f ca="1">Resultado!C26</f>
        <v>0</v>
      </c>
      <c r="K89" s="36">
        <f t="shared" ca="1" si="3"/>
        <v>0</v>
      </c>
      <c r="L89" s="313">
        <f t="shared" ca="1" si="2"/>
        <v>0</v>
      </c>
      <c r="M89" s="316"/>
      <c r="N89" s="41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4.25" hidden="1" customHeight="1">
      <c r="B90" s="1834"/>
      <c r="C90" s="1834"/>
      <c r="D90" s="1834"/>
      <c r="E90" s="1834"/>
      <c r="F90" s="1834"/>
      <c r="G90" s="42"/>
      <c r="I90" s="37" t="s">
        <v>718</v>
      </c>
      <c r="J90" s="315">
        <f ca="1">Resultado!C31</f>
        <v>0</v>
      </c>
      <c r="K90" s="36">
        <f t="shared" ca="1" si="3"/>
        <v>0</v>
      </c>
      <c r="L90" s="313">
        <f t="shared" ca="1" si="2"/>
        <v>0</v>
      </c>
      <c r="M90" s="317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.75" hidden="1">
      <c r="B91" s="297"/>
      <c r="C91" s="297"/>
      <c r="D91" s="297"/>
      <c r="E91" s="297"/>
      <c r="F91" s="297"/>
      <c r="G91" s="42"/>
      <c r="I91" s="37" t="s">
        <v>719</v>
      </c>
      <c r="J91" s="315">
        <f>Resultado!C28</f>
        <v>0</v>
      </c>
      <c r="K91" s="36">
        <f t="shared" ca="1" si="3"/>
        <v>0</v>
      </c>
      <c r="L91" s="313">
        <f t="shared" si="2"/>
        <v>0</v>
      </c>
      <c r="M91" s="317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297"/>
      <c r="C92" s="297"/>
      <c r="D92" s="297"/>
      <c r="E92" s="297"/>
      <c r="F92" s="297"/>
      <c r="G92" s="42"/>
      <c r="I92" s="37" t="s">
        <v>720</v>
      </c>
      <c r="J92" s="315">
        <f>Resultado!C29</f>
        <v>0</v>
      </c>
      <c r="K92" s="36">
        <f t="shared" ca="1" si="3"/>
        <v>0</v>
      </c>
      <c r="L92" s="313">
        <f t="shared" si="2"/>
        <v>0</v>
      </c>
      <c r="M92" s="317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297"/>
      <c r="C93" s="297"/>
      <c r="D93" s="297"/>
      <c r="E93" s="297"/>
      <c r="F93" s="297"/>
      <c r="G93" s="28"/>
      <c r="I93" s="37" t="s">
        <v>721</v>
      </c>
      <c r="J93" s="315">
        <f>Resultado!C30</f>
        <v>0</v>
      </c>
      <c r="K93" s="36">
        <f t="shared" ca="1" si="3"/>
        <v>0</v>
      </c>
      <c r="L93" s="313">
        <f t="shared" si="2"/>
        <v>0</v>
      </c>
      <c r="M93" s="317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hidden="1" customHeight="1">
      <c r="B94" s="297"/>
      <c r="C94" s="297"/>
      <c r="D94" s="297"/>
      <c r="E94" s="297"/>
      <c r="F94" s="297"/>
      <c r="G94" s="42"/>
      <c r="I94" s="37" t="s">
        <v>638</v>
      </c>
      <c r="J94" s="315">
        <f ca="1">Resultado!C31</f>
        <v>0</v>
      </c>
      <c r="K94" s="36">
        <f t="shared" ca="1" si="3"/>
        <v>0</v>
      </c>
      <c r="L94" s="313">
        <f t="shared" ca="1" si="2"/>
        <v>0</v>
      </c>
      <c r="M94" s="317"/>
      <c r="N94" s="43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835"/>
      <c r="C95" s="1835"/>
      <c r="D95" s="1835"/>
      <c r="E95" s="1835"/>
      <c r="F95" s="1835"/>
      <c r="G95" s="42"/>
      <c r="I95" s="37" t="s">
        <v>639</v>
      </c>
      <c r="J95" s="315">
        <f ca="1">Resultado!C32</f>
        <v>2044287.8320509181</v>
      </c>
      <c r="K95" s="36">
        <f t="shared" ca="1" si="3"/>
        <v>0.13833074377268845</v>
      </c>
      <c r="L95" s="313">
        <f t="shared" ca="1" si="2"/>
        <v>1</v>
      </c>
      <c r="M95" s="307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834"/>
      <c r="C96" s="1834"/>
      <c r="D96" s="1834"/>
      <c r="E96" s="1834"/>
      <c r="F96" s="1834"/>
      <c r="I96" s="1070" t="s">
        <v>798</v>
      </c>
      <c r="J96" s="1071">
        <f ca="1">J87+J85+J74</f>
        <v>7579160.1450769883</v>
      </c>
      <c r="K96" s="1072">
        <f t="shared" ca="1" si="3"/>
        <v>0.51285872938400545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834"/>
      <c r="C97" s="1834"/>
      <c r="D97" s="1834"/>
      <c r="E97" s="1834"/>
      <c r="F97" s="1834"/>
      <c r="I97" s="1070" t="s">
        <v>799</v>
      </c>
      <c r="J97" s="1071">
        <f ca="1">J98-J96</f>
        <v>7199100.8278430123</v>
      </c>
      <c r="K97" s="1072">
        <f t="shared" ca="1" si="3"/>
        <v>0.48714127061599449</v>
      </c>
      <c r="L97" s="31"/>
      <c r="AG97" s="49"/>
      <c r="AH97" s="49"/>
      <c r="AI97" s="49"/>
      <c r="AJ97" s="49"/>
      <c r="AK97" s="49"/>
      <c r="AL97" s="49"/>
      <c r="AM97" s="49"/>
      <c r="AN97" s="49"/>
      <c r="AO97" s="49"/>
    </row>
    <row r="98" spans="2:41" ht="15" customHeight="1">
      <c r="B98" s="1835"/>
      <c r="C98" s="1835"/>
      <c r="D98" s="1835"/>
      <c r="E98" s="1835"/>
      <c r="F98" s="1835"/>
      <c r="G98" s="28"/>
      <c r="I98" s="1067" t="s">
        <v>800</v>
      </c>
      <c r="J98" s="1069">
        <f ca="1">Mercado_RA0_Reais</f>
        <v>14778260.972920001</v>
      </c>
      <c r="K98" s="1073">
        <f ca="1">K96+K97</f>
        <v>1</v>
      </c>
      <c r="L98" s="31"/>
      <c r="AG98" s="49"/>
      <c r="AH98" s="636"/>
      <c r="AI98" s="636"/>
      <c r="AJ98" s="636"/>
      <c r="AK98" s="49"/>
      <c r="AL98" s="49"/>
      <c r="AM98" s="49"/>
      <c r="AN98" s="49"/>
      <c r="AO98" s="49"/>
    </row>
    <row r="99" spans="2:41" ht="15" customHeight="1">
      <c r="B99" s="1834"/>
      <c r="C99" s="1834"/>
      <c r="D99" s="1834"/>
      <c r="E99" s="1834"/>
      <c r="F99" s="1834"/>
      <c r="G99" s="42"/>
      <c r="M99" s="302" t="s">
        <v>735</v>
      </c>
      <c r="N99" s="303" t="s">
        <v>773</v>
      </c>
      <c r="AH99" s="418"/>
      <c r="AI99" s="419"/>
      <c r="AJ99" s="419"/>
      <c r="AL99" s="49"/>
      <c r="AM99" s="49"/>
      <c r="AN99" s="49"/>
    </row>
    <row r="100" spans="2:41" ht="15" customHeight="1">
      <c r="B100" s="1834"/>
      <c r="C100" s="1834"/>
      <c r="D100" s="1834"/>
      <c r="E100" s="1834"/>
      <c r="F100" s="1834"/>
      <c r="G100" s="42"/>
      <c r="M100" s="296" t="s">
        <v>743</v>
      </c>
      <c r="N100" s="296" t="s">
        <v>775</v>
      </c>
      <c r="O100" s="318" t="s">
        <v>782</v>
      </c>
      <c r="AH100" s="418"/>
      <c r="AI100" s="419"/>
      <c r="AJ100" s="419"/>
      <c r="AL100" s="49"/>
    </row>
    <row r="101" spans="2:41" ht="15" hidden="1" customHeight="1">
      <c r="B101" s="297"/>
      <c r="C101" s="297"/>
      <c r="D101" s="297"/>
      <c r="E101" s="297"/>
      <c r="F101" s="297"/>
      <c r="G101" s="42"/>
      <c r="M101" s="44" t="str">
        <f>Resultado!B15</f>
        <v>Reserva Global de Reversão – RGR</v>
      </c>
      <c r="N101" s="307">
        <f>Resultado!D15</f>
        <v>0</v>
      </c>
      <c r="O101" s="319">
        <f t="shared" ref="O101:O110" si="4">IF(N101=0,0,1)</f>
        <v>0</v>
      </c>
    </row>
    <row r="102" spans="2:41" ht="15" hidden="1" customHeight="1">
      <c r="B102" s="297"/>
      <c r="C102" s="297"/>
      <c r="D102" s="297"/>
      <c r="E102" s="297"/>
      <c r="F102" s="297"/>
      <c r="G102" s="42"/>
      <c r="M102" s="44" t="str">
        <f>Resultado!B16</f>
        <v>Conta de Consumo de Combustíveis – CCC</v>
      </c>
      <c r="N102" s="307">
        <f>Resultado!D16</f>
        <v>0</v>
      </c>
      <c r="O102" s="319">
        <f t="shared" si="4"/>
        <v>0</v>
      </c>
    </row>
    <row r="103" spans="2:41" ht="15" customHeight="1">
      <c r="B103" s="297"/>
      <c r="C103" s="297"/>
      <c r="D103" s="297"/>
      <c r="E103" s="297"/>
      <c r="F103" s="297"/>
      <c r="G103" s="42"/>
      <c r="M103" s="35" t="str">
        <f>Resultado!B17</f>
        <v>Taxa de Fisc. de Serviços de E.E. – TFSEE</v>
      </c>
      <c r="N103" s="315">
        <f ca="1">Resultado!D17</f>
        <v>32726.000289716503</v>
      </c>
      <c r="O103" s="319">
        <f t="shared" ca="1" si="4"/>
        <v>1</v>
      </c>
    </row>
    <row r="104" spans="2:41" ht="15" customHeight="1">
      <c r="B104" s="297"/>
      <c r="C104" s="297"/>
      <c r="D104" s="297"/>
      <c r="E104" s="297"/>
      <c r="F104" s="297"/>
      <c r="G104" s="42"/>
      <c r="M104" s="35" t="str">
        <f>Resultado!B18</f>
        <v>Conta de Desenvolvimento Energético – CDE</v>
      </c>
      <c r="N104" s="315">
        <f ca="1">Encargos!I19</f>
        <v>1744067.2510800003</v>
      </c>
      <c r="O104" s="319">
        <f t="shared" ca="1" si="4"/>
        <v>1</v>
      </c>
    </row>
    <row r="105" spans="2:41" ht="15" customHeight="1">
      <c r="B105" s="1834"/>
      <c r="C105" s="1834"/>
      <c r="D105" s="1834"/>
      <c r="E105" s="1834"/>
      <c r="F105" s="1834"/>
      <c r="G105" s="45"/>
      <c r="M105" s="35" t="s">
        <v>801</v>
      </c>
      <c r="N105" s="315">
        <f>Encargos!I20</f>
        <v>561638.5612703464</v>
      </c>
      <c r="O105" s="319">
        <f t="shared" si="4"/>
        <v>1</v>
      </c>
    </row>
    <row r="106" spans="2:41" ht="15" hidden="1" customHeight="1">
      <c r="B106" s="297"/>
      <c r="C106" s="297"/>
      <c r="D106" s="297"/>
      <c r="E106" s="297"/>
      <c r="F106" s="297"/>
      <c r="G106" s="45"/>
      <c r="M106" s="35" t="s">
        <v>2056</v>
      </c>
      <c r="N106" s="315">
        <f>Encargos!I21</f>
        <v>0</v>
      </c>
      <c r="O106" s="1555">
        <f>IF(N106=0,0,1)</f>
        <v>0</v>
      </c>
    </row>
    <row r="107" spans="2:41" ht="15" hidden="1" customHeight="1">
      <c r="B107" s="1834"/>
      <c r="C107" s="1834"/>
      <c r="D107" s="1834"/>
      <c r="E107" s="1834"/>
      <c r="F107" s="1834"/>
      <c r="G107" s="45"/>
      <c r="M107" s="35" t="str">
        <f>Resultado!B20</f>
        <v>Encargos Serv. Sist. - ESS e Energ. Reserv. – EER</v>
      </c>
      <c r="N107" s="315">
        <f>Resultado!D20</f>
        <v>0</v>
      </c>
      <c r="O107" s="319">
        <f t="shared" si="4"/>
        <v>0</v>
      </c>
    </row>
    <row r="108" spans="2:41" ht="15" customHeight="1">
      <c r="B108" s="1835"/>
      <c r="C108" s="1835"/>
      <c r="D108" s="1835"/>
      <c r="E108" s="1835"/>
      <c r="F108" s="1835"/>
      <c r="G108" s="39"/>
      <c r="M108" s="35" t="str">
        <f>Resultado!B21</f>
        <v>PROINFA</v>
      </c>
      <c r="N108" s="315">
        <f ca="1">Resultado!D21</f>
        <v>307176.84594000003</v>
      </c>
      <c r="O108" s="319">
        <f t="shared" ca="1" si="4"/>
        <v>1</v>
      </c>
    </row>
    <row r="109" spans="2:41" ht="15" hidden="1" customHeight="1">
      <c r="M109" s="35" t="str">
        <f>Resultado!B22</f>
        <v>P&amp;D e Eficiência Energética</v>
      </c>
      <c r="N109" s="315">
        <f>Resultado!D22</f>
        <v>0</v>
      </c>
      <c r="O109" s="319">
        <f t="shared" si="4"/>
        <v>0</v>
      </c>
    </row>
    <row r="110" spans="2:41" ht="15" hidden="1" customHeight="1">
      <c r="M110" s="44" t="str">
        <f>Resultado!B23</f>
        <v>ONS</v>
      </c>
      <c r="N110" s="307">
        <f>Resultado!D23</f>
        <v>0</v>
      </c>
      <c r="O110" s="320">
        <f t="shared" si="4"/>
        <v>0</v>
      </c>
    </row>
    <row r="111" spans="2:41" ht="15" customHeight="1">
      <c r="B111" s="30"/>
      <c r="M111" s="1067" t="s">
        <v>769</v>
      </c>
      <c r="N111" s="1069">
        <f ca="1">SUM(N101:N110)</f>
        <v>2645608.6585800634</v>
      </c>
    </row>
    <row r="112" spans="2:41" ht="15" customHeight="1">
      <c r="B112" s="29"/>
      <c r="C112" s="29"/>
      <c r="D112" s="29"/>
      <c r="P112" s="321" t="s">
        <v>742</v>
      </c>
      <c r="Q112" s="303" t="s">
        <v>773</v>
      </c>
    </row>
    <row r="113" spans="2:44" ht="15" customHeight="1">
      <c r="B113" s="46"/>
      <c r="C113" s="307"/>
      <c r="D113" s="307"/>
      <c r="P113" s="296" t="s">
        <v>778</v>
      </c>
      <c r="Q113" s="296" t="s">
        <v>802</v>
      </c>
    </row>
    <row r="114" spans="2:44" ht="15" customHeight="1">
      <c r="B114" s="46"/>
      <c r="C114" s="307"/>
      <c r="D114" s="307"/>
      <c r="P114" s="35" t="s">
        <v>803</v>
      </c>
      <c r="Q114" s="48">
        <f ca="1">Energia!N15</f>
        <v>0</v>
      </c>
    </row>
    <row r="115" spans="2:44" ht="15" customHeight="1">
      <c r="B115" s="46"/>
      <c r="C115" s="307"/>
      <c r="D115" s="307"/>
      <c r="P115" s="35" t="s">
        <v>668</v>
      </c>
      <c r="Q115" s="1074">
        <f ca="1">Energia!N14</f>
        <v>0.1188</v>
      </c>
    </row>
    <row r="116" spans="2:44" ht="15" customHeight="1">
      <c r="B116" s="46"/>
      <c r="C116" s="307"/>
      <c r="D116" s="307"/>
      <c r="P116" s="1067" t="s">
        <v>769</v>
      </c>
      <c r="Q116" s="1073">
        <f ca="1">SUM(Q114:Q115)</f>
        <v>0.1188</v>
      </c>
    </row>
    <row r="117" spans="2:44" ht="15" customHeight="1">
      <c r="B117" s="46"/>
      <c r="C117" s="307"/>
      <c r="D117" s="307"/>
      <c r="P117" s="44"/>
      <c r="Q117" s="307"/>
    </row>
    <row r="118" spans="2:44" ht="15" customHeight="1">
      <c r="B118" s="46"/>
      <c r="C118" s="307"/>
      <c r="D118" s="307"/>
      <c r="P118" s="44"/>
      <c r="Q118" s="307"/>
    </row>
    <row r="119" spans="2:44" ht="15" customHeight="1">
      <c r="B119" s="46"/>
      <c r="C119" s="307"/>
      <c r="D119" s="307"/>
      <c r="P119" s="44"/>
      <c r="Q119" s="307"/>
      <c r="S119" s="302" t="s">
        <v>804</v>
      </c>
      <c r="T119" s="303" t="s">
        <v>773</v>
      </c>
    </row>
    <row r="120" spans="2:44" ht="15" customHeight="1">
      <c r="B120" s="46"/>
      <c r="C120" s="307"/>
      <c r="D120" s="307"/>
      <c r="P120" s="44"/>
      <c r="Q120" s="307"/>
      <c r="S120" s="296" t="s">
        <v>778</v>
      </c>
      <c r="T120" s="296" t="s">
        <v>779</v>
      </c>
    </row>
    <row r="121" spans="2:44" ht="15" customHeight="1">
      <c r="B121" s="46"/>
      <c r="C121" s="307"/>
      <c r="D121" s="307"/>
      <c r="P121" s="44"/>
      <c r="Q121" s="307"/>
      <c r="S121" s="1075" t="s">
        <v>805</v>
      </c>
      <c r="T121" s="1076">
        <f ca="1">SUM(T122:T123)</f>
        <v>11101.367000000004</v>
      </c>
      <c r="U121" s="318" t="s">
        <v>782</v>
      </c>
    </row>
    <row r="122" spans="2:44" ht="15" customHeight="1">
      <c r="B122" s="46"/>
      <c r="C122" s="307"/>
      <c r="D122" s="307"/>
      <c r="P122" s="44"/>
      <c r="Q122" s="307"/>
      <c r="S122" s="47" t="s">
        <v>806</v>
      </c>
      <c r="T122" s="322">
        <f ca="1">Energia!D7</f>
        <v>11101.367000000004</v>
      </c>
      <c r="U122" s="318">
        <f ca="1">IF(T122=0,0,1)</f>
        <v>1</v>
      </c>
    </row>
    <row r="123" spans="2:44" ht="15" hidden="1" customHeight="1">
      <c r="B123" s="46"/>
      <c r="C123" s="307"/>
      <c r="D123" s="307"/>
      <c r="P123" s="44"/>
      <c r="Q123" s="307"/>
      <c r="S123" s="47" t="s">
        <v>807</v>
      </c>
      <c r="T123" s="322">
        <f ca="1">Energia!D8</f>
        <v>0</v>
      </c>
      <c r="U123" s="318">
        <f ca="1">IF(T123=0,0,1)</f>
        <v>0</v>
      </c>
    </row>
    <row r="124" spans="2:44" ht="15" customHeight="1">
      <c r="B124" s="46"/>
      <c r="C124" s="307"/>
      <c r="D124" s="307"/>
      <c r="P124" s="44"/>
      <c r="Q124" s="307"/>
      <c r="S124" s="1075" t="s">
        <v>808</v>
      </c>
      <c r="T124" s="1077">
        <f ca="1">SUM(T125:T126)</f>
        <v>0</v>
      </c>
      <c r="U124" s="318">
        <v>1</v>
      </c>
    </row>
    <row r="125" spans="2:44" ht="15" hidden="1" customHeight="1">
      <c r="B125" s="46"/>
      <c r="C125" s="307"/>
      <c r="D125" s="307"/>
      <c r="P125" s="44"/>
      <c r="Q125" s="307"/>
      <c r="S125" s="47" t="s">
        <v>809</v>
      </c>
      <c r="T125" s="322">
        <f ca="1">SUM(Energia!D12:D13)</f>
        <v>0</v>
      </c>
      <c r="U125" s="318">
        <f ca="1">IF(T125=0,0,1)</f>
        <v>0</v>
      </c>
    </row>
    <row r="126" spans="2:44" ht="15" hidden="1" customHeight="1">
      <c r="B126" s="46"/>
      <c r="C126" s="307"/>
      <c r="D126" s="307"/>
      <c r="P126" s="44"/>
      <c r="Q126" s="307"/>
      <c r="S126" s="47" t="s">
        <v>810</v>
      </c>
      <c r="T126" s="322">
        <f ca="1">SUM(Energia!D10:D10)</f>
        <v>0</v>
      </c>
      <c r="U126" s="318">
        <f ca="1">IF(T126=0,0,1)</f>
        <v>0</v>
      </c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07"/>
      <c r="D127" s="307"/>
      <c r="P127" s="44"/>
      <c r="Q127" s="307"/>
      <c r="S127" s="1067" t="s">
        <v>804</v>
      </c>
      <c r="T127" s="1078">
        <f ca="1">T121+T124</f>
        <v>11101.367000000004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07"/>
      <c r="D128" s="307"/>
      <c r="P128" s="44"/>
      <c r="Q128" s="307"/>
      <c r="S128" s="37"/>
      <c r="T128" s="323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07"/>
      <c r="D129" s="307"/>
      <c r="P129" s="44"/>
      <c r="Q129" s="307"/>
      <c r="S129" s="37"/>
      <c r="T129" s="323"/>
      <c r="V129" s="1079" t="s">
        <v>811</v>
      </c>
      <c r="W129" s="1079"/>
      <c r="X129" s="303" t="s">
        <v>773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07"/>
      <c r="D130" s="307"/>
      <c r="P130" s="44"/>
      <c r="Q130" s="307"/>
      <c r="S130" s="37"/>
      <c r="T130" s="323"/>
      <c r="V130" s="1062" t="s">
        <v>27</v>
      </c>
      <c r="W130" s="1080" t="s">
        <v>77</v>
      </c>
      <c r="X130" s="1062" t="s">
        <v>812</v>
      </c>
      <c r="Y130" s="318" t="s">
        <v>782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customHeight="1">
      <c r="B131" s="46"/>
      <c r="C131" s="307"/>
      <c r="D131" s="307"/>
      <c r="P131" s="44"/>
      <c r="Q131" s="307"/>
      <c r="S131" s="37"/>
      <c r="T131" s="323"/>
      <c r="V131" s="324" t="str">
        <f>Energia!B28</f>
        <v>ELEKTRO REDES S.A.</v>
      </c>
      <c r="W131" s="324" t="str">
        <f>Energia!C28</f>
        <v>A4 (2,3 a 25 kV)</v>
      </c>
      <c r="X131" s="325">
        <f>Energia!H28</f>
        <v>277.02999999999997</v>
      </c>
      <c r="Y131" s="318">
        <f>IF(W131=0,0,1)</f>
        <v>1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07"/>
      <c r="D132" s="307"/>
      <c r="P132" s="44"/>
      <c r="Q132" s="307"/>
      <c r="S132" s="37"/>
      <c r="T132" s="323"/>
      <c r="V132" s="324">
        <f>Energia!B29</f>
        <v>0</v>
      </c>
      <c r="W132" s="324">
        <f>Energia!C29</f>
        <v>0</v>
      </c>
      <c r="X132" s="325" t="str">
        <f>Energia!H29</f>
        <v/>
      </c>
      <c r="Y132" s="318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07"/>
      <c r="D133" s="307"/>
      <c r="P133" s="44"/>
      <c r="Q133" s="307"/>
      <c r="S133" s="37"/>
      <c r="T133" s="323"/>
      <c r="V133" s="324">
        <f>Energia!B30</f>
        <v>0</v>
      </c>
      <c r="W133" s="324">
        <f>Energia!C30</f>
        <v>0</v>
      </c>
      <c r="X133" s="325" t="str">
        <f>Energia!H30</f>
        <v/>
      </c>
      <c r="Y133" s="318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hidden="1" customHeight="1">
      <c r="B134" s="46"/>
      <c r="C134" s="307"/>
      <c r="D134" s="307"/>
      <c r="P134" s="44"/>
      <c r="Q134" s="307"/>
      <c r="S134" s="37"/>
      <c r="T134" s="323"/>
      <c r="V134" s="324">
        <f>Energia!B31</f>
        <v>0</v>
      </c>
      <c r="W134" s="324">
        <f>Energia!C31</f>
        <v>0</v>
      </c>
      <c r="X134" s="325" t="str">
        <f>Energia!H31</f>
        <v/>
      </c>
      <c r="Y134" s="318">
        <f>IF(W134=0,0,1)</f>
        <v>0</v>
      </c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hidden="1" customHeight="1">
      <c r="B135" s="46"/>
      <c r="C135" s="307"/>
      <c r="D135" s="307"/>
      <c r="P135" s="44"/>
      <c r="Q135" s="307"/>
      <c r="V135" s="1081">
        <f>Energia!B32</f>
        <v>0</v>
      </c>
      <c r="W135" s="1081">
        <f>Energia!C32</f>
        <v>0</v>
      </c>
      <c r="X135" s="325" t="str">
        <f>Energia!H32</f>
        <v/>
      </c>
      <c r="Y135" s="318">
        <f>IF(W135=0,0,1)</f>
        <v>0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07"/>
      <c r="D136" s="307"/>
      <c r="P136" s="44"/>
      <c r="Q136" s="307"/>
      <c r="V136" s="1082"/>
      <c r="W136" s="1083"/>
      <c r="X136" s="1084"/>
      <c r="Y136" s="326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</row>
    <row r="137" spans="2:44" ht="15" customHeight="1">
      <c r="B137" s="46"/>
      <c r="C137" s="307"/>
      <c r="D137" s="307"/>
      <c r="P137" s="44"/>
      <c r="Q137" s="307"/>
      <c r="V137" s="327"/>
      <c r="W137" s="328"/>
      <c r="X137" s="325"/>
      <c r="Y137" s="326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</row>
    <row r="138" spans="2:44" ht="15" customHeight="1">
      <c r="B138" s="46"/>
      <c r="C138" s="307"/>
      <c r="D138" s="307"/>
      <c r="P138" s="44"/>
      <c r="Q138" s="307"/>
      <c r="Z138" s="1079" t="s">
        <v>813</v>
      </c>
      <c r="AA138" s="1079"/>
      <c r="AB138" s="1079"/>
      <c r="AC138" s="303" t="s">
        <v>773</v>
      </c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</row>
    <row r="139" spans="2:44" ht="15" customHeight="1">
      <c r="B139" s="46"/>
      <c r="C139" s="307"/>
      <c r="D139" s="307"/>
      <c r="P139" s="44"/>
      <c r="Q139" s="307"/>
      <c r="Z139" s="296" t="s">
        <v>778</v>
      </c>
      <c r="AA139" s="296" t="s">
        <v>779</v>
      </c>
      <c r="AB139" s="296" t="s">
        <v>812</v>
      </c>
      <c r="AC139" s="296" t="s">
        <v>814</v>
      </c>
      <c r="AD139" s="329" t="s">
        <v>782</v>
      </c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</row>
    <row r="140" spans="2:44" ht="15" customHeight="1">
      <c r="B140" s="46"/>
      <c r="C140" s="307"/>
      <c r="D140" s="307"/>
      <c r="P140" s="44"/>
      <c r="Q140" s="307"/>
      <c r="Z140" s="328" t="str">
        <f>Energia!B28</f>
        <v>ELEKTRO REDES S.A.</v>
      </c>
      <c r="AA140" s="330">
        <f>Energia!E35</f>
        <v>13938.374</v>
      </c>
      <c r="AB140" s="331">
        <f>Energia!G35</f>
        <v>277.02999999999997</v>
      </c>
      <c r="AC140" s="332">
        <f>AA140*AB140</f>
        <v>3861347.7492199996</v>
      </c>
      <c r="AD140" s="333">
        <f>IF(AA140=0,0,1)</f>
        <v>1</v>
      </c>
      <c r="AE140" s="334"/>
      <c r="AF140" s="334"/>
      <c r="AG140" s="334"/>
      <c r="AH140" s="334"/>
      <c r="AI140" s="334"/>
      <c r="AJ140" s="334"/>
      <c r="AK140" s="334"/>
      <c r="AL140" s="334"/>
      <c r="AM140" s="334"/>
      <c r="AN140" s="334"/>
      <c r="AO140" s="334"/>
      <c r="AP140" s="334"/>
      <c r="AQ140" s="334"/>
      <c r="AR140" s="334"/>
    </row>
    <row r="141" spans="2:44" ht="15" customHeight="1">
      <c r="B141" s="46"/>
      <c r="C141" s="307"/>
      <c r="D141" s="307"/>
      <c r="P141" s="44"/>
      <c r="Q141" s="307"/>
      <c r="Z141" s="328" t="str">
        <f>Energia!B19</f>
        <v>Geração Própria</v>
      </c>
      <c r="AA141" s="330">
        <f ca="1">LnkTXTGPM</f>
        <v>0</v>
      </c>
      <c r="AB141" s="331">
        <f>Energia!E19</f>
        <v>0</v>
      </c>
      <c r="AC141" s="332">
        <f ca="1">AA141*AB141</f>
        <v>0</v>
      </c>
      <c r="AD141" s="335">
        <f ca="1">IF(AA141=0,0,1)</f>
        <v>0</v>
      </c>
      <c r="AE141" s="336"/>
      <c r="AF141" s="336"/>
      <c r="AG141" s="336"/>
      <c r="AH141" s="336"/>
      <c r="AI141" s="336"/>
      <c r="AJ141" s="336"/>
      <c r="AK141" s="336"/>
      <c r="AL141" s="336"/>
      <c r="AM141" s="336"/>
      <c r="AN141" s="336"/>
      <c r="AO141" s="336"/>
      <c r="AP141" s="336"/>
      <c r="AQ141" s="336"/>
      <c r="AR141" s="336"/>
    </row>
    <row r="142" spans="2:44" ht="15" customHeight="1">
      <c r="B142" s="46"/>
      <c r="C142" s="307"/>
      <c r="D142" s="307"/>
      <c r="P142" s="44"/>
      <c r="Q142" s="307"/>
      <c r="Z142" s="52" t="str">
        <f>Energia!B20</f>
        <v>PROINFA</v>
      </c>
      <c r="AA142" s="1085">
        <f>Energia!C20</f>
        <v>372.66056208124905</v>
      </c>
      <c r="AB142" s="1086">
        <f>Energia!D20</f>
        <v>0</v>
      </c>
      <c r="AC142" s="1087">
        <f>AA142*AB142</f>
        <v>0</v>
      </c>
      <c r="AD142" s="333">
        <f>IF(AA142=0,0,1)</f>
        <v>1</v>
      </c>
      <c r="AE142" s="334"/>
      <c r="AF142" s="334"/>
      <c r="AG142" s="334"/>
      <c r="AH142" s="334"/>
      <c r="AI142" s="334"/>
      <c r="AJ142" s="334"/>
      <c r="AK142" s="334"/>
      <c r="AL142" s="334"/>
      <c r="AM142" s="334"/>
      <c r="AN142" s="334"/>
      <c r="AO142" s="334"/>
      <c r="AP142" s="334"/>
      <c r="AQ142" s="334"/>
      <c r="AR142" s="334"/>
    </row>
    <row r="143" spans="2:44" ht="15" customHeight="1">
      <c r="B143" s="46"/>
      <c r="C143" s="307"/>
      <c r="D143" s="307"/>
      <c r="P143" s="44"/>
      <c r="Q143" s="307"/>
      <c r="Z143" s="1075" t="s">
        <v>815</v>
      </c>
      <c r="AA143" s="1088">
        <f ca="1">Energia!M30-Energia!L30</f>
        <v>-1713.0238948093429</v>
      </c>
      <c r="AB143" s="1089">
        <f>Energia!M34</f>
        <v>0</v>
      </c>
      <c r="AC143" s="1089">
        <f ca="1">AA143*AB143</f>
        <v>0</v>
      </c>
      <c r="AD143" s="335">
        <f ca="1">IF(AA143=0,0,1)</f>
        <v>1</v>
      </c>
      <c r="AE143" s="337"/>
      <c r="AF143" s="337"/>
      <c r="AG143" s="337"/>
      <c r="AH143" s="337"/>
      <c r="AI143" s="337"/>
      <c r="AJ143" s="337"/>
      <c r="AK143" s="337"/>
      <c r="AL143" s="337"/>
      <c r="AM143" s="337"/>
      <c r="AN143" s="337"/>
      <c r="AO143" s="337"/>
      <c r="AP143" s="337"/>
      <c r="AQ143" s="337"/>
      <c r="AR143" s="337"/>
    </row>
    <row r="144" spans="2:44" ht="15" customHeight="1">
      <c r="B144" s="46"/>
      <c r="C144" s="307"/>
      <c r="D144" s="307"/>
      <c r="P144" s="44"/>
      <c r="Q144" s="307"/>
      <c r="Z144" s="1067" t="s">
        <v>769</v>
      </c>
      <c r="AA144" s="1090">
        <f ca="1">SUM(AA140:AA143)</f>
        <v>12598.010667271907</v>
      </c>
      <c r="AB144" s="1091">
        <f ca="1">AC144/AA144</f>
        <v>306.50456260140419</v>
      </c>
      <c r="AC144" s="1091">
        <f ca="1">SUM(AC140:AC143)</f>
        <v>3861347.7492199996</v>
      </c>
      <c r="AD144" s="338"/>
      <c r="AE144" s="338"/>
      <c r="AF144" s="338"/>
      <c r="AG144" s="338"/>
      <c r="AH144" s="338"/>
      <c r="AI144" s="338"/>
      <c r="AJ144" s="338"/>
      <c r="AK144" s="338"/>
      <c r="AL144" s="338"/>
      <c r="AM144" s="338"/>
      <c r="AN144" s="338"/>
      <c r="AO144" s="338"/>
      <c r="AP144" s="338"/>
      <c r="AQ144" s="338"/>
      <c r="AR144" s="338"/>
    </row>
    <row r="145" spans="2:44" ht="15" customHeight="1">
      <c r="B145" s="46"/>
      <c r="C145" s="307"/>
      <c r="D145" s="307"/>
      <c r="P145" s="44"/>
      <c r="Q145" s="307"/>
      <c r="AD145" s="49"/>
      <c r="AE145" s="338"/>
      <c r="AF145" s="338"/>
      <c r="AG145" s="338"/>
      <c r="AH145" s="338"/>
      <c r="AI145" s="338"/>
      <c r="AJ145" s="338"/>
      <c r="AK145" s="338"/>
      <c r="AL145" s="338"/>
      <c r="AM145" s="338"/>
      <c r="AN145" s="338"/>
      <c r="AO145" s="338"/>
      <c r="AP145" s="49"/>
      <c r="AQ145" s="49"/>
      <c r="AR145" s="49"/>
    </row>
    <row r="146" spans="2:44" ht="15" customHeight="1">
      <c r="B146" s="46"/>
      <c r="C146" s="307"/>
      <c r="D146" s="307"/>
      <c r="P146" s="44"/>
      <c r="Q146" s="307"/>
      <c r="AC146" s="307"/>
      <c r="AD146" s="49"/>
      <c r="AE146" s="1092" t="s">
        <v>753</v>
      </c>
      <c r="AF146" s="1092"/>
      <c r="AG146" s="1092"/>
      <c r="AH146" s="1092"/>
      <c r="AI146" s="1092"/>
      <c r="AJ146" s="1092"/>
      <c r="AK146" s="303" t="s">
        <v>773</v>
      </c>
      <c r="AL146" s="49"/>
      <c r="AM146" s="49"/>
      <c r="AN146" s="49"/>
      <c r="AO146" s="49"/>
      <c r="AP146" s="49"/>
      <c r="AQ146" s="49"/>
      <c r="AR146" s="49"/>
    </row>
    <row r="147" spans="2:44" ht="30" customHeight="1">
      <c r="B147" s="46"/>
      <c r="C147" s="307"/>
      <c r="D147" s="307"/>
      <c r="P147" s="44"/>
      <c r="Q147" s="307"/>
      <c r="AE147" s="1062" t="s">
        <v>27</v>
      </c>
      <c r="AF147" s="1062" t="s">
        <v>77</v>
      </c>
      <c r="AG147" s="1062" t="s">
        <v>816</v>
      </c>
      <c r="AH147" s="1062" t="s">
        <v>817</v>
      </c>
      <c r="AI147" s="1062" t="s">
        <v>60</v>
      </c>
      <c r="AJ147" s="1062" t="s">
        <v>818</v>
      </c>
      <c r="AK147" s="1062" t="s">
        <v>814</v>
      </c>
      <c r="AL147" s="318" t="s">
        <v>782</v>
      </c>
    </row>
    <row r="148" spans="2:44" ht="15" customHeight="1">
      <c r="B148" s="46"/>
      <c r="C148" s="307"/>
      <c r="D148" s="307"/>
      <c r="P148" s="44"/>
      <c r="Q148" s="307"/>
      <c r="AC148" s="49"/>
      <c r="AD148" s="49"/>
      <c r="AE148" s="418" t="str">
        <f>CUSD!B6</f>
        <v>ELEKTRO REDES S.A.</v>
      </c>
      <c r="AF148" s="382" t="str">
        <f>CUSD!C6</f>
        <v>A4 (2,3 a 25 kV)</v>
      </c>
      <c r="AG148" s="334" t="str">
        <f>CUSD!F6</f>
        <v>Potência</v>
      </c>
      <c r="AH148" s="334" t="str">
        <f>CUSD!F6</f>
        <v>Potência</v>
      </c>
      <c r="AI148" s="396">
        <f>CUSD!H6</f>
        <v>55914.990000000005</v>
      </c>
      <c r="AJ148" s="397">
        <f>CUSD!J6</f>
        <v>16.440000000000001</v>
      </c>
      <c r="AK148" s="334">
        <f>IFERROR(AI148*AJ148,0)</f>
        <v>919242.4356000002</v>
      </c>
      <c r="AL148" s="398">
        <f t="shared" ref="AL148:AL162" si="5">IF(AE148=0,0,1)</f>
        <v>1</v>
      </c>
      <c r="AM148" s="49"/>
    </row>
    <row r="149" spans="2:44" ht="15" customHeight="1">
      <c r="B149" s="46"/>
      <c r="C149" s="307"/>
      <c r="D149" s="307"/>
      <c r="P149" s="44"/>
      <c r="Q149" s="307"/>
      <c r="AC149" s="49"/>
      <c r="AD149" s="49"/>
      <c r="AE149" s="418" t="str">
        <f>CUSD!B7</f>
        <v>ELEKTRO REDES S.A.</v>
      </c>
      <c r="AF149" s="382" t="str">
        <f>CUSD!C7</f>
        <v>A4 (2,3 a 25 kV)</v>
      </c>
      <c r="AG149" s="334" t="str">
        <f>CUSD!F7</f>
        <v>Potência</v>
      </c>
      <c r="AH149" s="334" t="str">
        <f>CUSD!F7</f>
        <v>Potência</v>
      </c>
      <c r="AI149" s="396">
        <f>CUSD!H7</f>
        <v>50845.810000000012</v>
      </c>
      <c r="AJ149" s="397">
        <f>CUSD!J7</f>
        <v>24.54</v>
      </c>
      <c r="AK149" s="334">
        <f t="shared" ref="AK149:AK155" si="6">IFERROR(AI149*AJ149,0)</f>
        <v>1247756.1774000002</v>
      </c>
      <c r="AL149" s="398">
        <f t="shared" si="5"/>
        <v>1</v>
      </c>
      <c r="AM149" s="49"/>
    </row>
    <row r="150" spans="2:44" ht="15" customHeight="1">
      <c r="B150" s="46"/>
      <c r="C150" s="307"/>
      <c r="D150" s="307"/>
      <c r="P150" s="44"/>
      <c r="Q150" s="307"/>
      <c r="AC150" s="49"/>
      <c r="AD150" s="49"/>
      <c r="AE150" s="418" t="str">
        <f>CUSD!B8</f>
        <v>ELEKTRO REDES S.A.</v>
      </c>
      <c r="AF150" s="382" t="str">
        <f>CUSD!C8</f>
        <v>A4 (2,3 a 25 kV)</v>
      </c>
      <c r="AG150" s="334" t="str">
        <f>CUSD!F8</f>
        <v>Energia</v>
      </c>
      <c r="AH150" s="334" t="str">
        <f>CUSD!F8</f>
        <v>Energia</v>
      </c>
      <c r="AI150" s="396">
        <f>CUSD!H8</f>
        <v>22704.861000000001</v>
      </c>
      <c r="AJ150" s="397">
        <f>CUSD!J8</f>
        <v>12.13</v>
      </c>
      <c r="AK150" s="334">
        <f t="shared" si="6"/>
        <v>275409.96393000003</v>
      </c>
      <c r="AL150" s="398">
        <f>IF(AE150=0,0,1)</f>
        <v>1</v>
      </c>
      <c r="AM150" s="397"/>
    </row>
    <row r="151" spans="2:44" ht="15" customHeight="1">
      <c r="B151" s="46"/>
      <c r="C151" s="307"/>
      <c r="D151" s="307"/>
      <c r="P151" s="44"/>
      <c r="Q151" s="307"/>
      <c r="AC151" s="49"/>
      <c r="AD151" s="49"/>
      <c r="AE151" s="418" t="str">
        <f>CUSD!B9</f>
        <v>ELEKTRO REDES S.A.</v>
      </c>
      <c r="AF151" s="382" t="str">
        <f>CUSD!C9</f>
        <v>A4 (2,3 a 25 kV)</v>
      </c>
      <c r="AG151" s="334" t="str">
        <f>CUSD!F9</f>
        <v>Energia</v>
      </c>
      <c r="AH151" s="334" t="str">
        <f>CUSD!F9</f>
        <v>Energia</v>
      </c>
      <c r="AI151" s="396">
        <f>CUSD!H9</f>
        <v>2496.502</v>
      </c>
      <c r="AJ151" s="397">
        <f>CUSD!J9</f>
        <v>12.13</v>
      </c>
      <c r="AK151" s="334">
        <f t="shared" si="6"/>
        <v>30282.56926</v>
      </c>
      <c r="AL151" s="398">
        <f t="shared" si="5"/>
        <v>1</v>
      </c>
      <c r="AM151" s="397"/>
    </row>
    <row r="152" spans="2:44" ht="15" hidden="1" customHeight="1">
      <c r="B152" s="46"/>
      <c r="C152" s="307"/>
      <c r="D152" s="307"/>
      <c r="P152" s="44"/>
      <c r="Q152" s="307"/>
      <c r="AC152" s="49"/>
      <c r="AD152" s="49"/>
      <c r="AE152" s="382">
        <f>CUSD!B10</f>
        <v>0</v>
      </c>
      <c r="AF152" s="382">
        <f>CUSD!C10</f>
        <v>0</v>
      </c>
      <c r="AG152" s="334" t="str">
        <f>CUSD!F10</f>
        <v/>
      </c>
      <c r="AH152" s="334" t="str">
        <f>CUSD!F10</f>
        <v/>
      </c>
      <c r="AI152" s="396" t="str">
        <f>CUSD!H10</f>
        <v/>
      </c>
      <c r="AJ152" s="397" t="str">
        <f>CUSD!J10</f>
        <v/>
      </c>
      <c r="AK152" s="334">
        <f t="shared" si="6"/>
        <v>0</v>
      </c>
      <c r="AL152" s="398">
        <v>0</v>
      </c>
      <c r="AM152" s="397"/>
    </row>
    <row r="153" spans="2:44" ht="15" hidden="1" customHeight="1">
      <c r="B153" s="46"/>
      <c r="C153" s="307"/>
      <c r="D153" s="307"/>
      <c r="P153" s="44"/>
      <c r="Q153" s="307"/>
      <c r="AC153" s="49"/>
      <c r="AD153" s="49"/>
      <c r="AE153" s="382">
        <f>CUSD!B11</f>
        <v>0</v>
      </c>
      <c r="AF153" s="382">
        <f>CUSD!C11</f>
        <v>0</v>
      </c>
      <c r="AG153" s="334" t="str">
        <f>CUSD!F11</f>
        <v/>
      </c>
      <c r="AH153" s="334" t="str">
        <f>CUSD!F11</f>
        <v/>
      </c>
      <c r="AI153" s="396" t="str">
        <f>CUSD!H11</f>
        <v/>
      </c>
      <c r="AJ153" s="397" t="str">
        <f>CUSD!J11</f>
        <v/>
      </c>
      <c r="AK153" s="334">
        <f t="shared" si="6"/>
        <v>0</v>
      </c>
      <c r="AL153" s="398">
        <v>0</v>
      </c>
      <c r="AM153" s="397"/>
    </row>
    <row r="154" spans="2:44" ht="15" hidden="1" customHeight="1">
      <c r="B154" s="46"/>
      <c r="C154" s="307"/>
      <c r="D154" s="307"/>
      <c r="P154" s="44"/>
      <c r="Q154" s="307"/>
      <c r="AC154" s="49"/>
      <c r="AD154" s="49"/>
      <c r="AE154" s="382">
        <f>CUSD!B12</f>
        <v>0</v>
      </c>
      <c r="AF154" s="382">
        <f>CUSD!C12</f>
        <v>0</v>
      </c>
      <c r="AG154" s="334" t="str">
        <f>CUSD!F12</f>
        <v/>
      </c>
      <c r="AH154" s="334" t="str">
        <f>CUSD!F12</f>
        <v/>
      </c>
      <c r="AI154" s="396" t="str">
        <f>CUSD!H12</f>
        <v/>
      </c>
      <c r="AJ154" s="397" t="str">
        <f>CUSD!J12</f>
        <v/>
      </c>
      <c r="AK154" s="334">
        <f t="shared" si="6"/>
        <v>0</v>
      </c>
      <c r="AL154" s="398">
        <f t="shared" si="5"/>
        <v>0</v>
      </c>
      <c r="AM154" s="397"/>
    </row>
    <row r="155" spans="2:44" ht="15" hidden="1" customHeight="1">
      <c r="B155" s="46"/>
      <c r="C155" s="307"/>
      <c r="D155" s="307"/>
      <c r="P155" s="44"/>
      <c r="Q155" s="307"/>
      <c r="AC155" s="49"/>
      <c r="AD155" s="49"/>
      <c r="AE155" s="382">
        <f>CUSD!B13</f>
        <v>0</v>
      </c>
      <c r="AF155" s="382">
        <f>CUSD!C13</f>
        <v>0</v>
      </c>
      <c r="AG155" s="334" t="str">
        <f>CUSD!F13</f>
        <v/>
      </c>
      <c r="AH155" s="334" t="str">
        <f>CUSD!F13</f>
        <v/>
      </c>
      <c r="AI155" s="396" t="str">
        <f>CUSD!H13</f>
        <v/>
      </c>
      <c r="AJ155" s="397" t="str">
        <f>CUSD!J13</f>
        <v/>
      </c>
      <c r="AK155" s="334">
        <f t="shared" si="6"/>
        <v>0</v>
      </c>
      <c r="AL155" s="398">
        <f t="shared" si="5"/>
        <v>0</v>
      </c>
      <c r="AM155" s="397"/>
    </row>
    <row r="156" spans="2:44" ht="15" hidden="1" customHeight="1">
      <c r="B156" s="46"/>
      <c r="C156" s="307"/>
      <c r="D156" s="307"/>
      <c r="P156" s="44"/>
      <c r="Q156" s="307"/>
      <c r="AC156" s="49"/>
      <c r="AD156" s="49"/>
      <c r="AE156" s="382">
        <f>CUSD!B14</f>
        <v>0</v>
      </c>
      <c r="AF156" s="382">
        <f>CUSD!C14</f>
        <v>0</v>
      </c>
      <c r="AG156" s="334" t="str">
        <f>CUSD!F14</f>
        <v/>
      </c>
      <c r="AH156" s="334" t="str">
        <f>CUSD!F14</f>
        <v/>
      </c>
      <c r="AI156" s="396" t="str">
        <f>CUSD!H14</f>
        <v/>
      </c>
      <c r="AJ156" s="397" t="str">
        <f>CUSD!J14</f>
        <v/>
      </c>
      <c r="AK156" s="334">
        <f t="shared" ref="AK156:AK162" si="7">IFERROR(AI156*AJ156,0)</f>
        <v>0</v>
      </c>
      <c r="AL156" s="398">
        <f t="shared" si="5"/>
        <v>0</v>
      </c>
      <c r="AM156" s="397"/>
    </row>
    <row r="157" spans="2:44" ht="15" hidden="1" customHeight="1">
      <c r="B157" s="46"/>
      <c r="C157" s="307"/>
      <c r="D157" s="307"/>
      <c r="P157" s="44"/>
      <c r="Q157" s="307"/>
      <c r="AC157" s="49"/>
      <c r="AD157" s="49"/>
      <c r="AE157" s="382">
        <f>CUSD!B15</f>
        <v>0</v>
      </c>
      <c r="AF157" s="382">
        <f>CUSD!C15</f>
        <v>0</v>
      </c>
      <c r="AG157" s="334" t="str">
        <f>CUSD!F15</f>
        <v/>
      </c>
      <c r="AH157" s="334" t="str">
        <f>CUSD!F15</f>
        <v/>
      </c>
      <c r="AI157" s="396" t="str">
        <f>CUSD!H15</f>
        <v/>
      </c>
      <c r="AJ157" s="397" t="str">
        <f>CUSD!J15</f>
        <v/>
      </c>
      <c r="AK157" s="334">
        <f t="shared" si="7"/>
        <v>0</v>
      </c>
      <c r="AL157" s="398">
        <f t="shared" si="5"/>
        <v>0</v>
      </c>
      <c r="AM157" s="397"/>
    </row>
    <row r="158" spans="2:44" ht="15" hidden="1" customHeight="1">
      <c r="B158" s="46"/>
      <c r="C158" s="307"/>
      <c r="D158" s="307"/>
      <c r="P158" s="44"/>
      <c r="Q158" s="307"/>
      <c r="AC158" s="49"/>
      <c r="AD158" s="49"/>
      <c r="AE158" s="382">
        <f>CUSD!B16</f>
        <v>0</v>
      </c>
      <c r="AF158" s="382">
        <f>CUSD!C16</f>
        <v>0</v>
      </c>
      <c r="AG158" s="334" t="str">
        <f>CUSD!F16</f>
        <v/>
      </c>
      <c r="AH158" s="334" t="str">
        <f>CUSD!F16</f>
        <v/>
      </c>
      <c r="AI158" s="396" t="str">
        <f>CUSD!H16</f>
        <v/>
      </c>
      <c r="AJ158" s="397" t="str">
        <f>CUSD!J16</f>
        <v/>
      </c>
      <c r="AK158" s="334">
        <f t="shared" si="7"/>
        <v>0</v>
      </c>
      <c r="AL158" s="398">
        <f t="shared" si="5"/>
        <v>0</v>
      </c>
      <c r="AM158" s="397"/>
    </row>
    <row r="159" spans="2:44" ht="15" hidden="1" customHeight="1">
      <c r="B159" s="46"/>
      <c r="C159" s="307"/>
      <c r="D159" s="307"/>
      <c r="P159" s="44"/>
      <c r="Q159" s="307"/>
      <c r="AC159" s="49"/>
      <c r="AD159" s="49"/>
      <c r="AE159" s="382">
        <f>CUSD!B17</f>
        <v>0</v>
      </c>
      <c r="AF159" s="382">
        <f>CUSD!C17</f>
        <v>0</v>
      </c>
      <c r="AG159" s="334" t="str">
        <f>CUSD!F17</f>
        <v/>
      </c>
      <c r="AH159" s="334" t="str">
        <f>CUSD!F17</f>
        <v/>
      </c>
      <c r="AI159" s="396" t="str">
        <f>CUSD!H17</f>
        <v/>
      </c>
      <c r="AJ159" s="397" t="str">
        <f>CUSD!J17</f>
        <v/>
      </c>
      <c r="AK159" s="334">
        <f t="shared" si="7"/>
        <v>0</v>
      </c>
      <c r="AL159" s="398">
        <v>0</v>
      </c>
      <c r="AM159" s="397"/>
    </row>
    <row r="160" spans="2:44" ht="15" hidden="1" customHeight="1">
      <c r="B160" s="46"/>
      <c r="C160" s="307"/>
      <c r="D160" s="307"/>
      <c r="P160" s="44"/>
      <c r="Q160" s="307"/>
      <c r="AC160" s="49"/>
      <c r="AD160" s="49"/>
      <c r="AE160" s="382">
        <f>CUSD!B18</f>
        <v>0</v>
      </c>
      <c r="AF160" s="382">
        <f>CUSD!C18</f>
        <v>0</v>
      </c>
      <c r="AG160" s="334" t="str">
        <f>CUSD!F18</f>
        <v/>
      </c>
      <c r="AH160" s="334" t="str">
        <f>CUSD!F18</f>
        <v/>
      </c>
      <c r="AI160" s="396" t="str">
        <f>CUSD!H18</f>
        <v/>
      </c>
      <c r="AJ160" s="397" t="str">
        <f>CUSD!J18</f>
        <v/>
      </c>
      <c r="AK160" s="334">
        <f t="shared" si="7"/>
        <v>0</v>
      </c>
      <c r="AL160" s="398">
        <f t="shared" si="5"/>
        <v>0</v>
      </c>
      <c r="AM160" s="397"/>
    </row>
    <row r="161" spans="2:42" ht="15" hidden="1" customHeight="1">
      <c r="B161" s="46"/>
      <c r="C161" s="307"/>
      <c r="D161" s="307"/>
      <c r="P161" s="44"/>
      <c r="Q161" s="307"/>
      <c r="AC161" s="49"/>
      <c r="AD161" s="49"/>
      <c r="AE161" s="382">
        <f>CUSD!B19</f>
        <v>0</v>
      </c>
      <c r="AF161" s="382">
        <f>CUSD!C19</f>
        <v>0</v>
      </c>
      <c r="AG161" s="334" t="str">
        <f>CUSD!F19</f>
        <v/>
      </c>
      <c r="AH161" s="334" t="str">
        <f>CUSD!F19</f>
        <v/>
      </c>
      <c r="AI161" s="396" t="str">
        <f>CUSD!H19</f>
        <v/>
      </c>
      <c r="AJ161" s="397" t="str">
        <f>CUSD!J19</f>
        <v/>
      </c>
      <c r="AK161" s="334">
        <f t="shared" si="7"/>
        <v>0</v>
      </c>
      <c r="AL161" s="398">
        <f t="shared" si="5"/>
        <v>0</v>
      </c>
      <c r="AM161" s="397"/>
    </row>
    <row r="162" spans="2:42" ht="15" hidden="1" customHeight="1">
      <c r="B162" s="46"/>
      <c r="C162" s="307"/>
      <c r="D162" s="307"/>
      <c r="P162" s="44"/>
      <c r="Q162" s="307"/>
      <c r="AC162" s="49"/>
      <c r="AD162" s="49"/>
      <c r="AE162" s="382">
        <f>CUSD!B20</f>
        <v>0</v>
      </c>
      <c r="AF162" s="382">
        <f>CUSD!C20</f>
        <v>0</v>
      </c>
      <c r="AG162" s="334" t="str">
        <f>CUSD!F20</f>
        <v/>
      </c>
      <c r="AH162" s="334" t="str">
        <f>CUSD!F20</f>
        <v/>
      </c>
      <c r="AI162" s="396" t="str">
        <f>CUSD!H20</f>
        <v/>
      </c>
      <c r="AJ162" s="397" t="str">
        <f>CUSD!J20</f>
        <v/>
      </c>
      <c r="AK162" s="334">
        <f t="shared" si="7"/>
        <v>0</v>
      </c>
      <c r="AL162" s="398">
        <f t="shared" si="5"/>
        <v>0</v>
      </c>
      <c r="AM162" s="49"/>
    </row>
    <row r="163" spans="2:42" ht="15" customHeight="1">
      <c r="B163" s="46"/>
      <c r="C163" s="307"/>
      <c r="D163" s="307"/>
      <c r="P163" s="44"/>
      <c r="Q163" s="307"/>
      <c r="AE163" s="1067" t="s">
        <v>819</v>
      </c>
      <c r="AF163" s="1067"/>
      <c r="AG163" s="1067"/>
      <c r="AH163" s="1067"/>
      <c r="AI163" s="1093">
        <f>SUM(AI148:AI162)</f>
        <v>131962.16300000003</v>
      </c>
      <c r="AJ163" s="1069"/>
      <c r="AK163" s="1069">
        <f>SUM(AK148:AK162)</f>
        <v>2472691.1461900002</v>
      </c>
    </row>
    <row r="164" spans="2:42" ht="15" customHeight="1">
      <c r="B164" s="46"/>
      <c r="C164" s="307"/>
      <c r="D164" s="307"/>
      <c r="P164" s="44"/>
      <c r="Q164" s="307"/>
    </row>
    <row r="165" spans="2:42" ht="15" customHeight="1">
      <c r="B165" s="46"/>
      <c r="C165" s="307"/>
      <c r="D165" s="307"/>
      <c r="P165" s="44"/>
      <c r="Q165" s="307"/>
      <c r="AM165" s="1746" t="s">
        <v>820</v>
      </c>
      <c r="AN165" s="1747" t="s">
        <v>773</v>
      </c>
    </row>
    <row r="166" spans="2:42" ht="15" customHeight="1">
      <c r="B166" s="46"/>
      <c r="C166" s="307"/>
      <c r="D166" s="307"/>
      <c r="P166" s="44"/>
      <c r="Q166" s="307"/>
      <c r="AM166" s="1748" t="s">
        <v>724</v>
      </c>
      <c r="AN166" s="1712" t="s">
        <v>775</v>
      </c>
      <c r="AO166" s="23" t="s">
        <v>782</v>
      </c>
      <c r="AP166" s="651" t="s">
        <v>821</v>
      </c>
    </row>
    <row r="167" spans="2:42" ht="15" customHeight="1">
      <c r="B167" s="46"/>
      <c r="C167" s="307"/>
      <c r="D167" s="307"/>
      <c r="P167" s="44"/>
      <c r="Q167" s="307"/>
      <c r="AM167" s="922" t="s">
        <v>2305</v>
      </c>
      <c r="AN167" s="1749">
        <f ca="1">SUM(Financeiros!D9:D14)</f>
        <v>275245.34535703011</v>
      </c>
      <c r="AO167" s="23">
        <f t="shared" ref="AO167:AO207" ca="1" si="8">IF(AN167=0,0,1)</f>
        <v>1</v>
      </c>
      <c r="AP167" s="651"/>
    </row>
    <row r="168" spans="2:42" ht="15" customHeight="1">
      <c r="B168" s="46"/>
      <c r="C168" s="307"/>
      <c r="D168" s="307"/>
      <c r="P168" s="44"/>
      <c r="Q168" s="307"/>
      <c r="AM168" s="922" t="s">
        <v>728</v>
      </c>
      <c r="AN168" s="1749">
        <f ca="1">SUM(Financeiros!D15:D19,D21)</f>
        <v>-9003.4518624144839</v>
      </c>
      <c r="AO168" s="23">
        <f t="shared" ca="1" si="8"/>
        <v>1</v>
      </c>
      <c r="AP168" s="651"/>
    </row>
    <row r="169" spans="2:42" ht="15" customHeight="1">
      <c r="B169" s="46"/>
      <c r="C169" s="307"/>
      <c r="D169" s="307"/>
      <c r="P169" s="44"/>
      <c r="Q169" s="307"/>
      <c r="AM169" s="925" t="s">
        <v>2104</v>
      </c>
      <c r="AN169" s="926">
        <f ca="1">Financeiros!D20+Financeiros!D22</f>
        <v>-3474.370163392417</v>
      </c>
      <c r="AO169" s="23">
        <f t="shared" ca="1" si="8"/>
        <v>1</v>
      </c>
      <c r="AP169" s="651"/>
    </row>
    <row r="170" spans="2:42" ht="15" customHeight="1">
      <c r="B170" s="46"/>
      <c r="C170" s="307"/>
      <c r="D170" s="307"/>
      <c r="P170" s="44"/>
      <c r="Q170" s="307"/>
      <c r="AM170" s="925" t="s">
        <v>2161</v>
      </c>
      <c r="AN170" s="926">
        <f ca="1">Financeiros!D23</f>
        <v>0</v>
      </c>
      <c r="AO170" s="651">
        <f ca="1">IF(AN170=0,0,1)</f>
        <v>0</v>
      </c>
      <c r="AP170" s="651"/>
    </row>
    <row r="171" spans="2:42" ht="15" customHeight="1">
      <c r="B171" s="46"/>
      <c r="C171" s="307"/>
      <c r="D171" s="307"/>
      <c r="P171" s="44"/>
      <c r="Q171" s="307"/>
      <c r="AM171" s="922" t="s">
        <v>2306</v>
      </c>
      <c r="AN171" s="1749">
        <f>SUM(Financeiros!D24:D25)</f>
        <v>0</v>
      </c>
      <c r="AO171" s="23">
        <f t="shared" si="8"/>
        <v>0</v>
      </c>
      <c r="AP171" s="651"/>
    </row>
    <row r="172" spans="2:42" ht="15" customHeight="1">
      <c r="B172" s="46"/>
      <c r="C172" s="307"/>
      <c r="D172" s="307"/>
      <c r="P172" s="44"/>
      <c r="Q172" s="307"/>
      <c r="AM172" s="922"/>
      <c r="AN172" s="1749"/>
      <c r="AO172" s="23">
        <f t="shared" si="8"/>
        <v>0</v>
      </c>
      <c r="AP172" s="651"/>
    </row>
    <row r="173" spans="2:42" ht="15" customHeight="1">
      <c r="B173" s="46"/>
      <c r="C173" s="307"/>
      <c r="D173" s="307"/>
      <c r="P173" s="44"/>
      <c r="Q173" s="307"/>
      <c r="AM173" s="922"/>
      <c r="AN173" s="1749"/>
      <c r="AO173" s="23">
        <f t="shared" si="8"/>
        <v>0</v>
      </c>
      <c r="AP173" s="651"/>
    </row>
    <row r="174" spans="2:42" ht="15" customHeight="1">
      <c r="B174" s="46"/>
      <c r="C174" s="307"/>
      <c r="D174" s="307"/>
      <c r="P174" s="44"/>
      <c r="Q174" s="307"/>
      <c r="AM174" s="922" t="str">
        <f>Financeiros!C26</f>
        <v>Manual de Contabilidade do Setor Elétrico</v>
      </c>
      <c r="AN174" s="1749">
        <f>LnkTxTSubvencaoCDE</f>
        <v>0</v>
      </c>
      <c r="AO174" s="23">
        <f t="shared" si="8"/>
        <v>0</v>
      </c>
      <c r="AP174" s="651"/>
    </row>
    <row r="175" spans="2:42" ht="15" customHeight="1">
      <c r="B175" s="46"/>
      <c r="C175" s="307"/>
      <c r="D175" s="307"/>
      <c r="P175" s="44"/>
      <c r="Q175" s="307"/>
      <c r="AM175" s="922" t="str">
        <f>Financeiros!C27</f>
        <v>Financeiro CDE Eletrobras</v>
      </c>
      <c r="AN175" s="1749">
        <f>LnkTXTBandeira</f>
        <v>0</v>
      </c>
      <c r="AO175" s="23">
        <f t="shared" si="8"/>
        <v>0</v>
      </c>
      <c r="AP175" s="651"/>
    </row>
    <row r="176" spans="2:42" ht="15" customHeight="1">
      <c r="B176" s="46"/>
      <c r="C176" s="307"/>
      <c r="D176" s="307"/>
      <c r="P176" s="44"/>
      <c r="Q176" s="307"/>
      <c r="AM176" s="922" t="s">
        <v>2308</v>
      </c>
      <c r="AN176" s="1749">
        <f>Financeiros!D28</f>
        <v>0</v>
      </c>
      <c r="AO176" s="23">
        <f t="shared" si="8"/>
        <v>0</v>
      </c>
      <c r="AP176" s="651"/>
    </row>
    <row r="177" spans="2:42" ht="15" customHeight="1">
      <c r="B177" s="46"/>
      <c r="C177" s="307"/>
      <c r="D177" s="307"/>
      <c r="P177" s="44"/>
      <c r="Q177" s="307"/>
      <c r="AM177" s="922" t="str">
        <f>Financeiros!C29</f>
        <v>Compensação DIC FIC</v>
      </c>
      <c r="AN177" s="1749">
        <f>Financeiros!D29</f>
        <v>-9792.7939776082167</v>
      </c>
      <c r="AO177" s="651">
        <f>IF(AN177=0,0,1)</f>
        <v>1</v>
      </c>
      <c r="AP177" s="651"/>
    </row>
    <row r="178" spans="2:42" ht="15" customHeight="1">
      <c r="B178" s="46"/>
      <c r="C178" s="307"/>
      <c r="D178" s="307"/>
      <c r="P178" s="44"/>
      <c r="Q178" s="307"/>
      <c r="AM178" s="922" t="str">
        <f>Financeiros!C30</f>
        <v>Subvenção CDE</v>
      </c>
      <c r="AN178" s="1749">
        <f ca="1">Financeiros!D30</f>
        <v>-2975069.7960253092</v>
      </c>
      <c r="AO178" s="23">
        <f t="shared" ca="1" si="8"/>
        <v>1</v>
      </c>
      <c r="AP178" s="651"/>
    </row>
    <row r="179" spans="2:42" ht="15" customHeight="1">
      <c r="B179" s="46"/>
      <c r="C179" s="307"/>
      <c r="D179" s="307"/>
      <c r="P179" s="44"/>
      <c r="Q179" s="307"/>
      <c r="AM179" s="922" t="str">
        <f>Financeiros!C31</f>
        <v>Retenção de Adicionais de Bandeiras Tarifárias</v>
      </c>
      <c r="AN179" s="1749">
        <f>Financeiros!D31</f>
        <v>-88163.743639273118</v>
      </c>
      <c r="AO179" s="23">
        <f t="shared" si="8"/>
        <v>1</v>
      </c>
      <c r="AP179" s="651"/>
    </row>
    <row r="180" spans="2:42" ht="15" customHeight="1">
      <c r="B180" s="46"/>
      <c r="C180" s="307"/>
      <c r="D180" s="307"/>
      <c r="P180" s="44"/>
      <c r="Q180" s="307"/>
      <c r="AM180" s="922" t="str">
        <f>Financeiros!C32</f>
        <v>Multa LPT</v>
      </c>
      <c r="AN180" s="1749">
        <f>Financeiros!D32</f>
        <v>0</v>
      </c>
      <c r="AO180" s="1554">
        <f>IF(AN180=0,0,1)</f>
        <v>0</v>
      </c>
      <c r="AP180" s="1554"/>
    </row>
    <row r="181" spans="2:42" ht="15" customHeight="1">
      <c r="B181" s="46"/>
      <c r="C181" s="307"/>
      <c r="D181" s="307"/>
      <c r="P181" s="44"/>
      <c r="Q181" s="307"/>
      <c r="AM181" s="922" t="s">
        <v>2443</v>
      </c>
      <c r="AN181" s="1749">
        <f>Financeiros!D33+Financeiros!D34</f>
        <v>0</v>
      </c>
      <c r="AO181" s="23">
        <f t="shared" si="8"/>
        <v>0</v>
      </c>
      <c r="AP181" s="651"/>
    </row>
    <row r="182" spans="2:42" ht="15" customHeight="1">
      <c r="B182" s="46"/>
      <c r="C182" s="307"/>
      <c r="D182" s="307"/>
      <c r="P182" s="44"/>
      <c r="Q182" s="307"/>
      <c r="AM182" s="922"/>
      <c r="AN182" s="1749">
        <f>Financeiros!D34</f>
        <v>0</v>
      </c>
      <c r="AO182" s="23">
        <f t="shared" si="8"/>
        <v>0</v>
      </c>
      <c r="AP182" s="651"/>
    </row>
    <row r="183" spans="2:42" ht="15" customHeight="1">
      <c r="B183" s="46"/>
      <c r="C183" s="307"/>
      <c r="D183" s="307"/>
      <c r="P183" s="44"/>
      <c r="Q183" s="307"/>
      <c r="AM183" s="922" t="str">
        <f>Financeiros!C35</f>
        <v>Ressarcimento P&amp;D</v>
      </c>
      <c r="AN183" s="1749">
        <f>Financeiros!D35</f>
        <v>0</v>
      </c>
      <c r="AO183" s="23">
        <f t="shared" si="8"/>
        <v>0</v>
      </c>
      <c r="AP183" s="651"/>
    </row>
    <row r="184" spans="2:42" ht="15" customHeight="1">
      <c r="B184" s="46"/>
      <c r="C184" s="307"/>
      <c r="D184" s="307"/>
      <c r="P184" s="44"/>
      <c r="Q184" s="307"/>
      <c r="AM184" s="922" t="str">
        <f>Financeiros!C36</f>
        <v>Efeito Conta COVID</v>
      </c>
      <c r="AN184" s="1749">
        <f>Financeiros!D36</f>
        <v>0</v>
      </c>
      <c r="AO184" s="23">
        <f t="shared" ref="AO184:AO189" si="9">IF(AN184=0,0,1)</f>
        <v>0</v>
      </c>
      <c r="AP184" s="651"/>
    </row>
    <row r="185" spans="2:42" ht="15" customHeight="1">
      <c r="B185" s="46"/>
      <c r="C185" s="307"/>
      <c r="D185" s="307"/>
      <c r="P185" s="44"/>
      <c r="Q185" s="307"/>
      <c r="AM185" s="922" t="str">
        <f>Financeiros!C37</f>
        <v>Diferimento de Parcela B</v>
      </c>
      <c r="AN185" s="1749">
        <f>Financeiros!D37</f>
        <v>0</v>
      </c>
      <c r="AO185" s="23">
        <f t="shared" si="9"/>
        <v>0</v>
      </c>
      <c r="AP185" s="651"/>
    </row>
    <row r="186" spans="2:42" ht="15" customHeight="1">
      <c r="B186" s="46"/>
      <c r="C186" s="307"/>
      <c r="D186" s="307"/>
      <c r="P186" s="44"/>
      <c r="Q186" s="307"/>
      <c r="AM186" s="922" t="str">
        <f>Financeiros!C38</f>
        <v>Efeito COVID da Supridora</v>
      </c>
      <c r="AN186" s="1749">
        <f>Financeiros!D38</f>
        <v>0</v>
      </c>
      <c r="AO186" s="23">
        <f t="shared" si="9"/>
        <v>0</v>
      </c>
      <c r="AP186" s="651"/>
    </row>
    <row r="187" spans="2:42" ht="15" customHeight="1">
      <c r="B187" s="46"/>
      <c r="C187" s="307"/>
      <c r="D187" s="307"/>
      <c r="P187" s="44"/>
      <c r="Q187" s="307"/>
      <c r="AM187" s="922" t="str">
        <f>Financeiros!C39</f>
        <v>Crédito de Pis Cofins sobre ICMS</v>
      </c>
      <c r="AN187" s="1749">
        <f>Financeiros!D39</f>
        <v>0</v>
      </c>
      <c r="AO187" s="23">
        <f t="shared" si="9"/>
        <v>0</v>
      </c>
      <c r="AP187" s="651"/>
    </row>
    <row r="188" spans="2:42" ht="15" customHeight="1">
      <c r="B188" s="46"/>
      <c r="C188" s="307"/>
      <c r="D188" s="307"/>
      <c r="P188" s="44"/>
      <c r="Q188" s="307"/>
      <c r="AM188" s="922" t="s">
        <v>2444</v>
      </c>
      <c r="AN188" s="1749">
        <f>Financeiros!D40+Financeiros!D41</f>
        <v>0</v>
      </c>
      <c r="AO188" s="23">
        <f t="shared" si="9"/>
        <v>0</v>
      </c>
      <c r="AP188" s="913"/>
    </row>
    <row r="189" spans="2:42" ht="15" customHeight="1">
      <c r="B189" s="46"/>
      <c r="C189" s="307"/>
      <c r="D189" s="307"/>
      <c r="P189" s="44"/>
      <c r="Q189" s="307"/>
      <c r="AM189" s="922"/>
      <c r="AN189" s="1749">
        <f>Financeiros!D41</f>
        <v>0</v>
      </c>
      <c r="AO189" s="23">
        <f t="shared" si="9"/>
        <v>0</v>
      </c>
      <c r="AP189" s="913"/>
    </row>
    <row r="190" spans="2:42" ht="15" customHeight="1">
      <c r="B190" s="46"/>
      <c r="C190" s="307"/>
      <c r="D190" s="307"/>
      <c r="P190" s="44"/>
      <c r="Q190" s="307"/>
      <c r="AM190" s="922" t="str">
        <f>Financeiros!C42</f>
        <v>Financeiros associados ao §7º do Art. 88 da Ren 414/2021</v>
      </c>
      <c r="AN190" s="1749">
        <f>Financeiros!D42</f>
        <v>0</v>
      </c>
      <c r="AO190" s="23">
        <f t="shared" si="8"/>
        <v>0</v>
      </c>
      <c r="AP190" s="651"/>
    </row>
    <row r="191" spans="2:42" ht="15" customHeight="1">
      <c r="B191" s="46"/>
      <c r="C191" s="307"/>
      <c r="D191" s="307"/>
      <c r="P191" s="44"/>
      <c r="Q191" s="307"/>
      <c r="AM191" s="922" t="str">
        <f>Financeiros!C43</f>
        <v>Spread Conta Covid</v>
      </c>
      <c r="AN191" s="1749">
        <f>Financeiros!D43</f>
        <v>-49683</v>
      </c>
      <c r="AO191" s="23">
        <f t="shared" si="8"/>
        <v>1</v>
      </c>
      <c r="AP191" s="651"/>
    </row>
    <row r="192" spans="2:42" ht="15" customHeight="1">
      <c r="B192" s="46"/>
      <c r="C192" s="307"/>
      <c r="D192" s="307"/>
      <c r="P192" s="44"/>
      <c r="Q192" s="307"/>
      <c r="AM192" s="922" t="str">
        <f>Financeiros!C44</f>
        <v>Diferimento Compra de Energia</v>
      </c>
      <c r="AN192" s="1749">
        <f>Financeiros!D44</f>
        <v>-1250000</v>
      </c>
      <c r="AO192" s="23">
        <f>IF(AN192=0,0,1)</f>
        <v>1</v>
      </c>
      <c r="AP192" s="651"/>
    </row>
    <row r="193" spans="2:42" ht="15" customHeight="1">
      <c r="B193" s="46"/>
      <c r="C193" s="307"/>
      <c r="D193" s="307"/>
      <c r="P193" s="44"/>
      <c r="Q193" s="307"/>
      <c r="AM193" s="922" t="str">
        <f>Financeiros!C45</f>
        <v xml:space="preserve">Reversão do Diferimento de Compra de Energia </v>
      </c>
      <c r="AN193" s="1749">
        <f>Financeiros!D45</f>
        <v>1087272.9129262005</v>
      </c>
      <c r="AO193" s="23">
        <f t="shared" ref="AO193:AO195" si="10">IF(AN193=0,0,1)</f>
        <v>1</v>
      </c>
      <c r="AP193" s="651"/>
    </row>
    <row r="194" spans="2:42" ht="15" customHeight="1">
      <c r="B194" s="46"/>
      <c r="C194" s="307"/>
      <c r="D194" s="307"/>
      <c r="P194" s="44"/>
      <c r="Q194" s="307"/>
      <c r="AM194" s="922" t="str">
        <f>Financeiros!C46</f>
        <v>Reversão do Diferimento de Parcela B</v>
      </c>
      <c r="AN194" s="1749">
        <f>Financeiros!D46</f>
        <v>0</v>
      </c>
      <c r="AO194" s="23">
        <f t="shared" si="10"/>
        <v>0</v>
      </c>
      <c r="AP194" s="651"/>
    </row>
    <row r="195" spans="2:42" ht="15" customHeight="1">
      <c r="B195" s="46"/>
      <c r="C195" s="307"/>
      <c r="D195" s="307"/>
      <c r="P195" s="44"/>
      <c r="Q195" s="307"/>
      <c r="AM195" s="922" t="s">
        <v>2450</v>
      </c>
      <c r="AN195" s="1749">
        <f>Financeiros!D47+Financeiros!D48</f>
        <v>0</v>
      </c>
      <c r="AO195" s="23">
        <f t="shared" si="10"/>
        <v>0</v>
      </c>
      <c r="AP195" s="651"/>
    </row>
    <row r="196" spans="2:42" ht="15" customHeight="1">
      <c r="B196" s="46"/>
      <c r="C196" s="307"/>
      <c r="D196" s="307"/>
      <c r="P196" s="44"/>
      <c r="Q196" s="307"/>
      <c r="AM196" s="922"/>
      <c r="AN196" s="1749">
        <v>0</v>
      </c>
      <c r="AO196" s="651">
        <f>IF(AN196=0,0,1)</f>
        <v>0</v>
      </c>
      <c r="AP196" s="651"/>
    </row>
    <row r="197" spans="2:42" ht="15" customHeight="1">
      <c r="B197" s="46"/>
      <c r="C197" s="307"/>
      <c r="D197" s="307"/>
      <c r="P197" s="44"/>
      <c r="Q197" s="307"/>
      <c r="AM197" s="922" t="s">
        <v>2309</v>
      </c>
      <c r="AN197" s="1749">
        <f ca="1">SUM(Financeiros!D58:D62)</f>
        <v>0</v>
      </c>
      <c r="AO197" s="23">
        <f ca="1">IF(AN197=0,0,1)</f>
        <v>0</v>
      </c>
      <c r="AP197" s="651"/>
    </row>
    <row r="198" spans="2:42" ht="15" customHeight="1">
      <c r="B198" s="46"/>
      <c r="C198" s="307"/>
      <c r="D198" s="307"/>
      <c r="P198" s="44"/>
      <c r="Q198" s="307"/>
      <c r="AM198" s="922" t="s">
        <v>2310</v>
      </c>
      <c r="AN198" s="1749">
        <f>Financeiros!D65</f>
        <v>0</v>
      </c>
      <c r="AO198" s="23">
        <f>IF(AN198=0,0,1)</f>
        <v>0</v>
      </c>
      <c r="AP198" s="651"/>
    </row>
    <row r="199" spans="2:42" ht="15" customHeight="1">
      <c r="B199" s="46"/>
      <c r="C199" s="307"/>
      <c r="D199" s="307"/>
      <c r="P199" s="44"/>
      <c r="Q199" s="307"/>
      <c r="AM199" s="922" t="s">
        <v>2060</v>
      </c>
      <c r="AN199" s="1749">
        <f ca="1">SUM(Financeiros!D66:D76)</f>
        <v>0</v>
      </c>
      <c r="AO199" s="651">
        <f t="shared" ref="AO199:AO206" ca="1" si="11">IF(AN199=0,0,1)</f>
        <v>0</v>
      </c>
      <c r="AP199" s="651"/>
    </row>
    <row r="200" spans="2:42" ht="15" customHeight="1">
      <c r="B200" s="46"/>
      <c r="C200" s="307"/>
      <c r="D200" s="307"/>
      <c r="P200" s="44"/>
      <c r="Q200" s="307"/>
      <c r="AM200" s="922"/>
      <c r="AN200" s="1749">
        <v>0</v>
      </c>
      <c r="AO200" s="651">
        <f t="shared" si="11"/>
        <v>0</v>
      </c>
      <c r="AP200" s="651"/>
    </row>
    <row r="201" spans="2:42" ht="15" customHeight="1">
      <c r="B201" s="46"/>
      <c r="C201" s="307"/>
      <c r="D201" s="307"/>
      <c r="P201" s="44"/>
      <c r="Q201" s="307"/>
      <c r="AM201" s="922"/>
      <c r="AN201" s="1749">
        <v>0</v>
      </c>
      <c r="AO201" s="651">
        <f t="shared" si="11"/>
        <v>0</v>
      </c>
      <c r="AP201" s="651"/>
    </row>
    <row r="202" spans="2:42" ht="15" customHeight="1">
      <c r="B202" s="46"/>
      <c r="C202" s="307"/>
      <c r="D202" s="307"/>
      <c r="P202" s="44"/>
      <c r="Q202" s="307"/>
      <c r="AM202" s="922" t="s">
        <v>2312</v>
      </c>
      <c r="AN202" s="1749">
        <f ca="1">SUM(Financeiros!D77:D81)</f>
        <v>0</v>
      </c>
      <c r="AO202" s="651">
        <f ca="1">IF(AN202=0,0,1)</f>
        <v>0</v>
      </c>
      <c r="AP202" s="651"/>
    </row>
    <row r="203" spans="2:42" ht="15" customHeight="1">
      <c r="B203" s="46"/>
      <c r="C203" s="307"/>
      <c r="D203" s="307"/>
      <c r="P203" s="44"/>
      <c r="Q203" s="307"/>
      <c r="AM203" s="922" t="s">
        <v>1307</v>
      </c>
      <c r="AN203" s="1749">
        <f ca="1">SUM(Financeiros!D82:D86)</f>
        <v>0</v>
      </c>
      <c r="AO203" s="651">
        <f ca="1">IF(AN203=0,0,1)</f>
        <v>0</v>
      </c>
      <c r="AP203" s="651"/>
    </row>
    <row r="204" spans="2:42" ht="15" customHeight="1">
      <c r="B204" s="46"/>
      <c r="C204" s="307"/>
      <c r="D204" s="307"/>
      <c r="P204" s="44"/>
      <c r="Q204" s="307"/>
      <c r="AM204" s="922" t="s">
        <v>2311</v>
      </c>
      <c r="AN204" s="1749">
        <f ca="1">SUM(Financeiros!D87:D91)</f>
        <v>0</v>
      </c>
      <c r="AO204" s="651">
        <f t="shared" ca="1" si="11"/>
        <v>0</v>
      </c>
      <c r="AP204" s="651"/>
    </row>
    <row r="205" spans="2:42" ht="15" customHeight="1">
      <c r="B205" s="46"/>
      <c r="C205" s="307"/>
      <c r="D205" s="307"/>
      <c r="P205" s="44"/>
      <c r="Q205" s="307"/>
      <c r="AM205" s="922"/>
      <c r="AN205" s="1749"/>
      <c r="AO205" s="651">
        <f t="shared" si="11"/>
        <v>0</v>
      </c>
      <c r="AP205" s="651"/>
    </row>
    <row r="206" spans="2:42" ht="15" customHeight="1">
      <c r="B206" s="46"/>
      <c r="C206" s="307"/>
      <c r="D206" s="307"/>
      <c r="P206" s="44"/>
      <c r="Q206" s="307"/>
      <c r="AM206" s="922"/>
      <c r="AN206" s="1749"/>
      <c r="AO206" s="651">
        <f t="shared" si="11"/>
        <v>0</v>
      </c>
      <c r="AP206" s="651"/>
    </row>
    <row r="207" spans="2:42" ht="15" customHeight="1">
      <c r="B207" s="46"/>
      <c r="C207" s="307"/>
      <c r="D207" s="307"/>
      <c r="P207" s="44"/>
      <c r="Q207" s="307"/>
      <c r="AM207" s="922"/>
      <c r="AN207" s="1749"/>
      <c r="AO207" s="23">
        <f t="shared" si="8"/>
        <v>0</v>
      </c>
      <c r="AP207" s="651"/>
    </row>
    <row r="208" spans="2:42" ht="15" customHeight="1">
      <c r="B208" s="46"/>
      <c r="C208" s="307"/>
      <c r="D208" s="307"/>
      <c r="P208" s="44"/>
      <c r="Q208" s="307"/>
      <c r="AM208" s="1713" t="s">
        <v>727</v>
      </c>
      <c r="AN208" s="1115">
        <f ca="1">SUM(AN167:AN207)</f>
        <v>-3022668.8973847665</v>
      </c>
      <c r="AP208" s="24"/>
    </row>
    <row r="209" spans="2:54" ht="15" customHeight="1">
      <c r="B209" s="46"/>
      <c r="C209" s="307"/>
      <c r="D209" s="307"/>
      <c r="P209" s="44"/>
      <c r="Q209" s="307"/>
    </row>
    <row r="210" spans="2:54" ht="15" customHeight="1">
      <c r="B210" s="46"/>
      <c r="C210" s="307"/>
      <c r="D210" s="307"/>
      <c r="P210" s="44"/>
      <c r="Q210" s="307"/>
    </row>
    <row r="211" spans="2:54" ht="15" customHeight="1">
      <c r="B211" s="46"/>
      <c r="C211" s="307"/>
      <c r="D211" s="307"/>
      <c r="P211" s="44"/>
      <c r="Q211" s="307"/>
      <c r="AM211" s="53"/>
      <c r="AN211" s="339"/>
      <c r="AP211" s="1092" t="s">
        <v>822</v>
      </c>
      <c r="AQ211" s="303" t="s">
        <v>773</v>
      </c>
    </row>
    <row r="212" spans="2:54" ht="15" customHeight="1">
      <c r="B212" s="46"/>
      <c r="C212" s="307"/>
      <c r="D212" s="307"/>
      <c r="P212" s="44"/>
      <c r="Q212" s="307"/>
      <c r="AM212" s="53"/>
      <c r="AN212" s="339"/>
      <c r="AP212" s="1080" t="s">
        <v>823</v>
      </c>
      <c r="AQ212" s="1062" t="s">
        <v>824</v>
      </c>
    </row>
    <row r="213" spans="2:54" ht="15" customHeight="1">
      <c r="B213" s="46"/>
      <c r="C213" s="307"/>
      <c r="D213" s="307"/>
      <c r="P213" s="44"/>
      <c r="Q213" s="307"/>
      <c r="AM213" s="53"/>
      <c r="AN213" s="339"/>
      <c r="AP213" s="300" t="s">
        <v>825</v>
      </c>
      <c r="AQ213" s="228">
        <f>LnkTXTEfeitoAT</f>
        <v>0.16443514661160497</v>
      </c>
    </row>
    <row r="214" spans="2:54" ht="15" customHeight="1">
      <c r="B214" s="46"/>
      <c r="C214" s="307"/>
      <c r="D214" s="307"/>
      <c r="P214" s="44"/>
      <c r="Q214" s="307"/>
      <c r="AM214" s="53"/>
      <c r="AN214" s="339"/>
      <c r="AP214" s="300" t="s">
        <v>826</v>
      </c>
      <c r="AQ214" s="228">
        <f>LnkTXTEfeitoBT</f>
        <v>0.11593202695126559</v>
      </c>
    </row>
    <row r="215" spans="2:54" ht="15" customHeight="1">
      <c r="B215" s="46"/>
      <c r="C215" s="307"/>
      <c r="D215" s="307"/>
      <c r="P215" s="44"/>
      <c r="Q215" s="307"/>
      <c r="AM215" s="53"/>
      <c r="AN215" s="339"/>
      <c r="AP215" s="1067" t="s">
        <v>827</v>
      </c>
      <c r="AQ215" s="1073">
        <f>LnkTXTEfeito</f>
        <v>0.13960279381483365</v>
      </c>
    </row>
    <row r="216" spans="2:54" ht="15" customHeight="1">
      <c r="B216" s="46"/>
      <c r="C216" s="307"/>
      <c r="D216" s="307"/>
      <c r="P216" s="44"/>
      <c r="Q216" s="307"/>
      <c r="AM216" s="53"/>
      <c r="AN216" s="339"/>
      <c r="AW216" s="413"/>
    </row>
    <row r="217" spans="2:54" ht="15" customHeight="1">
      <c r="B217" s="46"/>
      <c r="C217" s="307"/>
      <c r="D217" s="307"/>
      <c r="P217" s="44"/>
      <c r="Q217" s="307"/>
      <c r="AM217" s="53"/>
      <c r="AN217" s="339"/>
      <c r="AS217" s="1092" t="s">
        <v>828</v>
      </c>
      <c r="AT217" s="30"/>
      <c r="AU217" s="30"/>
      <c r="AV217" s="30"/>
      <c r="AW217" s="30"/>
      <c r="AX217" s="303" t="s">
        <v>773</v>
      </c>
    </row>
    <row r="218" spans="2:54" ht="39" customHeight="1" thickBot="1">
      <c r="B218" s="54"/>
      <c r="C218" s="317"/>
      <c r="D218" s="54"/>
      <c r="AS218" s="915" t="s">
        <v>829</v>
      </c>
      <c r="AT218" s="915" t="s">
        <v>793</v>
      </c>
      <c r="AU218" s="915" t="s">
        <v>830</v>
      </c>
      <c r="AV218" s="915" t="s">
        <v>831</v>
      </c>
      <c r="AW218" s="915" t="s">
        <v>832</v>
      </c>
      <c r="AX218" s="915" t="s">
        <v>833</v>
      </c>
      <c r="AY218" s="318" t="s">
        <v>782</v>
      </c>
      <c r="BB218" s="403"/>
    </row>
    <row r="219" spans="2:54" ht="15" customHeight="1" thickTop="1">
      <c r="B219" s="54"/>
      <c r="C219" s="317"/>
      <c r="D219" s="54"/>
      <c r="AS219" s="1094" t="s">
        <v>834</v>
      </c>
      <c r="AT219" s="1095">
        <f ca="1">SUM(AT220:AT229)</f>
        <v>1997967.7134773193</v>
      </c>
      <c r="AU219" s="1095">
        <f ca="1">SUM(AU220:AU229)</f>
        <v>2645608.6585800634</v>
      </c>
      <c r="AV219" s="1096">
        <f ca="1">IF(AU219=0,0,ROUND(AU219/AT219-1,4))</f>
        <v>0.3241</v>
      </c>
      <c r="AW219" s="1096">
        <f ca="1">SUM(AW220:AW229)</f>
        <v>4.3823894184132697E-2</v>
      </c>
      <c r="AX219" s="1096">
        <f t="shared" ref="AX219:AX226" ca="1" si="12">AU219/$AU$237</f>
        <v>0.16825656353012827</v>
      </c>
      <c r="AY219" s="318">
        <v>1</v>
      </c>
    </row>
    <row r="220" spans="2:54" ht="15" hidden="1" customHeight="1">
      <c r="AS220" s="916" t="str">
        <f t="shared" ref="AS220:AT223" si="13">I75</f>
        <v>Reserva Global de Reversão – RGR</v>
      </c>
      <c r="AT220" s="917">
        <f t="shared" si="13"/>
        <v>0</v>
      </c>
      <c r="AU220" s="917">
        <f>Resultado!D15</f>
        <v>0</v>
      </c>
      <c r="AV220" s="918">
        <f t="shared" ref="AV220:AV235" si="14">IF(AU220=0,0,ROUND(AU220/AT220-1,3))</f>
        <v>0</v>
      </c>
      <c r="AW220" s="918">
        <f ca="1">(AU220-AT220)/$AT$237</f>
        <v>0</v>
      </c>
      <c r="AX220" s="918">
        <f t="shared" ca="1" si="12"/>
        <v>0</v>
      </c>
      <c r="AY220" s="318">
        <f ca="1">IF(AW220=0,0,1)</f>
        <v>0</v>
      </c>
    </row>
    <row r="221" spans="2:54" ht="15" hidden="1" customHeight="1">
      <c r="H221" s="23"/>
      <c r="AS221" s="916" t="str">
        <f t="shared" si="13"/>
        <v>Conta de Consumo de Combustíveis – CCC</v>
      </c>
      <c r="AT221" s="917">
        <f t="shared" si="13"/>
        <v>0</v>
      </c>
      <c r="AU221" s="917">
        <f>Resultado!D16</f>
        <v>0</v>
      </c>
      <c r="AV221" s="918">
        <f t="shared" si="14"/>
        <v>0</v>
      </c>
      <c r="AW221" s="918">
        <f ca="1">(AU221-AT221)/$AT$237</f>
        <v>0</v>
      </c>
      <c r="AX221" s="918">
        <f t="shared" ca="1" si="12"/>
        <v>0</v>
      </c>
      <c r="AY221" s="318">
        <f t="shared" ref="AY221:AY287" ca="1" si="15">IF(AW221=0,0,1)</f>
        <v>0</v>
      </c>
    </row>
    <row r="222" spans="2:54" ht="15" customHeight="1">
      <c r="B222" s="29"/>
      <c r="C222" s="39"/>
      <c r="H222" s="23"/>
      <c r="AS222" s="916" t="str">
        <f t="shared" si="13"/>
        <v>Taxa de Fisc. de Serviços de E.E. – TFSEE</v>
      </c>
      <c r="AT222" s="917">
        <f t="shared" ca="1" si="13"/>
        <v>32470.265140638967</v>
      </c>
      <c r="AU222" s="917">
        <f ca="1">Resultado!D17</f>
        <v>32726.000289716503</v>
      </c>
      <c r="AV222" s="918">
        <f ca="1">IF(AU222=0,0,ROUND(AU222/AT222-1,4))</f>
        <v>7.9000000000000008E-3</v>
      </c>
      <c r="AW222" s="918">
        <f ca="1">(AU222-AT222)/$AT$237</f>
        <v>1.7304820204904411E-5</v>
      </c>
      <c r="AX222" s="918">
        <f t="shared" ca="1" si="12"/>
        <v>2.0813223183919526E-3</v>
      </c>
      <c r="AY222" s="318">
        <f t="shared" ca="1" si="15"/>
        <v>1</v>
      </c>
    </row>
    <row r="223" spans="2:54" ht="15" customHeight="1">
      <c r="C223" s="28"/>
      <c r="H223" s="23"/>
      <c r="AS223" s="916" t="str">
        <f t="shared" si="13"/>
        <v>Conta de Desenvolvimento Energético – CDE</v>
      </c>
      <c r="AT223" s="917">
        <f t="shared" ca="1" si="13"/>
        <v>1198296.1259205663</v>
      </c>
      <c r="AU223" s="917">
        <f ca="1">Encargos!I19</f>
        <v>1744067.2510800003</v>
      </c>
      <c r="AV223" s="918">
        <f t="shared" ref="AV223" ca="1" si="16">IF(AU223=0,0,ROUND(AU223/AT223-1,4))</f>
        <v>0.45550000000000002</v>
      </c>
      <c r="AW223" s="918">
        <f ca="1">(AU223-AT223)/$AT$237</f>
        <v>3.693067311231793E-2</v>
      </c>
      <c r="AX223" s="918">
        <f t="shared" ca="1" si="12"/>
        <v>0.11091994323516371</v>
      </c>
      <c r="AY223" s="318">
        <f t="shared" ca="1" si="15"/>
        <v>1</v>
      </c>
    </row>
    <row r="224" spans="2:54" ht="15" customHeight="1">
      <c r="C224" s="28"/>
      <c r="H224" s="23"/>
      <c r="AS224" s="916" t="s">
        <v>835</v>
      </c>
      <c r="AT224" s="917">
        <f ca="1">J79</f>
        <v>565037.62305771746</v>
      </c>
      <c r="AU224" s="917">
        <f>Encargos!I20</f>
        <v>561638.5612703464</v>
      </c>
      <c r="AV224" s="918">
        <f ca="1">IFERROR(IF(AU224=0,0,ROUND(AU224/AT224-1,4)),0)</f>
        <v>-6.0000000000000001E-3</v>
      </c>
      <c r="AW224" s="918">
        <f ca="1">(AU224-AT224)/$AT$237</f>
        <v>-2.3000417935503854E-4</v>
      </c>
      <c r="AX224" s="918">
        <f t="shared" ca="1" si="12"/>
        <v>3.5719332093535359E-2</v>
      </c>
      <c r="AY224" s="318">
        <f t="shared" ca="1" si="15"/>
        <v>1</v>
      </c>
    </row>
    <row r="225" spans="2:53" ht="15" hidden="1" customHeight="1">
      <c r="C225" s="28"/>
      <c r="H225" s="23"/>
      <c r="AS225" s="916" t="s">
        <v>2073</v>
      </c>
      <c r="AT225" s="917"/>
      <c r="AU225" s="917">
        <f>Encargos!I21</f>
        <v>0</v>
      </c>
      <c r="AV225" s="918">
        <f t="shared" ref="AV225:AV226" si="17">IFERROR(IF(AU225=0,0,ROUND(AU225/AT225-1,4)),0)</f>
        <v>0</v>
      </c>
      <c r="AW225" s="918">
        <f t="shared" ref="AW225:AW226" ca="1" si="18">(AU225-AT225)/$AT$237</f>
        <v>0</v>
      </c>
      <c r="AX225" s="918">
        <f t="shared" ca="1" si="12"/>
        <v>0</v>
      </c>
      <c r="AY225" s="912">
        <f ca="1">IF(AW225=0,0,1)</f>
        <v>0</v>
      </c>
    </row>
    <row r="226" spans="2:53" ht="12.75" hidden="1">
      <c r="C226" s="28"/>
      <c r="H226" s="23"/>
      <c r="AS226" s="916" t="str">
        <f t="shared" ref="AS226:AT229" si="19">I81</f>
        <v>Encargos Serv. Sist. - ESS e Energ. Reserv. – EER</v>
      </c>
      <c r="AT226" s="917">
        <f t="shared" ca="1" si="19"/>
        <v>0</v>
      </c>
      <c r="AU226" s="917">
        <f>Resultado!D20</f>
        <v>0</v>
      </c>
      <c r="AV226" s="918">
        <f t="shared" si="17"/>
        <v>0</v>
      </c>
      <c r="AW226" s="918">
        <f t="shared" ca="1" si="18"/>
        <v>0</v>
      </c>
      <c r="AX226" s="918">
        <f t="shared" ca="1" si="12"/>
        <v>0</v>
      </c>
      <c r="AY226" s="318">
        <f ca="1">IF(AW226=0,0,1)</f>
        <v>0</v>
      </c>
    </row>
    <row r="227" spans="2:53" ht="15" customHeight="1">
      <c r="C227" s="28"/>
      <c r="H227" s="23"/>
      <c r="AS227" s="916" t="str">
        <f t="shared" si="19"/>
        <v>PROINFA</v>
      </c>
      <c r="AT227" s="917">
        <f t="shared" ca="1" si="19"/>
        <v>202163.69935839661</v>
      </c>
      <c r="AU227" s="917">
        <f ca="1">Resultado!D21</f>
        <v>307176.84594000003</v>
      </c>
      <c r="AV227" s="918">
        <f ca="1">IF(AU227=0,0,ROUND(AU227/AT227-1,4))</f>
        <v>0.51939999999999997</v>
      </c>
      <c r="AW227" s="918">
        <f ca="1">(AU227-AT227)/$AT$237</f>
        <v>7.1059204309648974E-3</v>
      </c>
      <c r="AX227" s="918">
        <f t="shared" ref="AX227:AX239" ca="1" si="20">AU227/$AU$237</f>
        <v>1.9535965883037243E-2</v>
      </c>
      <c r="AY227" s="318">
        <f t="shared" ca="1" si="15"/>
        <v>1</v>
      </c>
    </row>
    <row r="228" spans="2:53" ht="15" hidden="1" customHeight="1">
      <c r="B228" s="29"/>
      <c r="C228" s="39"/>
      <c r="H228" s="23"/>
      <c r="AS228" s="916" t="str">
        <f t="shared" si="19"/>
        <v>P&amp;D e Eficiência Energética</v>
      </c>
      <c r="AT228" s="917">
        <f t="shared" ca="1" si="19"/>
        <v>0</v>
      </c>
      <c r="AU228" s="917">
        <f>Resultado!D22</f>
        <v>0</v>
      </c>
      <c r="AV228" s="918">
        <f>IF(AU228=0,0,ROUND(AU228/AT228-1,4))</f>
        <v>0</v>
      </c>
      <c r="AW228" s="918">
        <f ca="1">(AU228-AT228)/$AT$237</f>
        <v>0</v>
      </c>
      <c r="AX228" s="918">
        <f t="shared" ca="1" si="20"/>
        <v>0</v>
      </c>
      <c r="AY228" s="318">
        <v>0</v>
      </c>
    </row>
    <row r="229" spans="2:53" ht="15" hidden="1" customHeight="1">
      <c r="C229" s="340"/>
      <c r="H229" s="23"/>
      <c r="AS229" s="916" t="str">
        <f t="shared" si="19"/>
        <v>ONS</v>
      </c>
      <c r="AT229" s="917">
        <f t="shared" ca="1" si="19"/>
        <v>0</v>
      </c>
      <c r="AU229" s="917">
        <f>Resultado!D23</f>
        <v>0</v>
      </c>
      <c r="AV229" s="918">
        <f t="shared" si="14"/>
        <v>0</v>
      </c>
      <c r="AW229" s="918">
        <f ca="1">(AU229-AT229)/$AT$237</f>
        <v>0</v>
      </c>
      <c r="AX229" s="918">
        <f t="shared" ca="1" si="20"/>
        <v>0</v>
      </c>
      <c r="AY229" s="318">
        <v>0</v>
      </c>
    </row>
    <row r="230" spans="2:53" ht="15" customHeight="1">
      <c r="C230" s="307"/>
      <c r="H230" s="23"/>
      <c r="AS230" s="1094" t="s">
        <v>836</v>
      </c>
      <c r="AT230" s="1095">
        <f ca="1">AT231</f>
        <v>3536904.5995487506</v>
      </c>
      <c r="AU230" s="1095">
        <f ca="1">AU231</f>
        <v>3386788.7396409675</v>
      </c>
      <c r="AV230" s="1096">
        <f ca="1">IF(AU230=0,0,ROUND(AU230/AT230-1,4))</f>
        <v>-4.24E-2</v>
      </c>
      <c r="AW230" s="1096">
        <f ca="1">AW231</f>
        <v>-1.0157883947431879E-2</v>
      </c>
      <c r="AX230" s="1096">
        <f t="shared" ca="1" si="20"/>
        <v>0.21539445483988173</v>
      </c>
      <c r="AY230" s="318">
        <f t="shared" ca="1" si="15"/>
        <v>1</v>
      </c>
    </row>
    <row r="231" spans="2:53" ht="15" customHeight="1">
      <c r="C231" s="307"/>
      <c r="H231" s="23"/>
      <c r="AS231" s="916" t="s">
        <v>796</v>
      </c>
      <c r="AT231" s="917">
        <f ca="1">J86</f>
        <v>3536904.5995487506</v>
      </c>
      <c r="AU231" s="917">
        <f ca="1">Resultado!D33</f>
        <v>3386788.7396409675</v>
      </c>
      <c r="AV231" s="918">
        <f ca="1">IF(AU231=0,0,ROUND(AU231/AT231-1,4))</f>
        <v>-4.24E-2</v>
      </c>
      <c r="AW231" s="918">
        <f ca="1">(AU231-AT231)/$AT$237</f>
        <v>-1.0157883947431879E-2</v>
      </c>
      <c r="AX231" s="918">
        <f t="shared" ca="1" si="20"/>
        <v>0.21539445483988173</v>
      </c>
      <c r="AY231" s="318">
        <f t="shared" ca="1" si="15"/>
        <v>1</v>
      </c>
    </row>
    <row r="232" spans="2:53" ht="15" customHeight="1">
      <c r="AS232" s="1094" t="s">
        <v>837</v>
      </c>
      <c r="AT232" s="1095">
        <f ca="1">SUM(AT233:AT236)</f>
        <v>2044287.8320509181</v>
      </c>
      <c r="AU232" s="1095">
        <f>SUM(AU233:AU236)</f>
        <v>2472691.1461900002</v>
      </c>
      <c r="AV232" s="1096">
        <f ca="1">IF(AU232=0,0,ROUND(AU232/AT232-1,4))</f>
        <v>0.20960000000000001</v>
      </c>
      <c r="AW232" s="1096">
        <f ca="1">SUM(AW233:AW236)</f>
        <v>2.8988750092050576E-2</v>
      </c>
      <c r="AX232" s="1096">
        <f t="shared" ca="1" si="20"/>
        <v>0.15725928080103946</v>
      </c>
      <c r="AY232" s="318">
        <f t="shared" ca="1" si="15"/>
        <v>1</v>
      </c>
    </row>
    <row r="233" spans="2:53" ht="15" hidden="1" customHeight="1">
      <c r="AS233" s="916" t="str">
        <f>Resultado!B25</f>
        <v>Rede Básica</v>
      </c>
      <c r="AT233" s="917">
        <f ca="1">J88</f>
        <v>0</v>
      </c>
      <c r="AU233" s="917">
        <f>Resultado!D25</f>
        <v>0</v>
      </c>
      <c r="AV233" s="918">
        <f>IF(AU233=0,0,ROUND(AU233/AT233-1,3))</f>
        <v>0</v>
      </c>
      <c r="AW233" s="918">
        <f ca="1">(AU233-AT233)/$AT$237</f>
        <v>0</v>
      </c>
      <c r="AX233" s="918">
        <f t="shared" ca="1" si="20"/>
        <v>0</v>
      </c>
      <c r="AY233" s="318">
        <f t="shared" ca="1" si="15"/>
        <v>0</v>
      </c>
    </row>
    <row r="234" spans="2:53" ht="15" hidden="1" customHeight="1">
      <c r="AS234" s="916" t="str">
        <f>Resultado!B26</f>
        <v>Rede Básica Fronteira</v>
      </c>
      <c r="AT234" s="917">
        <f ca="1">J89</f>
        <v>0</v>
      </c>
      <c r="AU234" s="917">
        <f>Resultado!D26</f>
        <v>0</v>
      </c>
      <c r="AV234" s="918">
        <f t="shared" si="14"/>
        <v>0</v>
      </c>
      <c r="AW234" s="918">
        <f ca="1">(AU234-AT234)/$AT$237</f>
        <v>0</v>
      </c>
      <c r="AX234" s="918">
        <f t="shared" ca="1" si="20"/>
        <v>0</v>
      </c>
      <c r="AY234" s="318">
        <f t="shared" ca="1" si="15"/>
        <v>0</v>
      </c>
    </row>
    <row r="235" spans="2:53" ht="15" hidden="1" customHeight="1">
      <c r="H235" s="23"/>
      <c r="AS235" s="916" t="str">
        <f>Resultado!B31</f>
        <v>Conexão</v>
      </c>
      <c r="AT235" s="917">
        <f ca="1">J94</f>
        <v>0</v>
      </c>
      <c r="AU235" s="917">
        <f>Resultado!D31</f>
        <v>0</v>
      </c>
      <c r="AV235" s="918">
        <f t="shared" si="14"/>
        <v>0</v>
      </c>
      <c r="AW235" s="918">
        <f ca="1">(AU235-AT235)/$AT$237</f>
        <v>0</v>
      </c>
      <c r="AX235" s="918">
        <f t="shared" ca="1" si="20"/>
        <v>0</v>
      </c>
      <c r="AY235" s="318">
        <f t="shared" ca="1" si="15"/>
        <v>0</v>
      </c>
    </row>
    <row r="236" spans="2:53" ht="15" customHeight="1">
      <c r="H236" s="23"/>
      <c r="AS236" s="916" t="str">
        <f>Resultado!B32</f>
        <v>Uso do sistema de distribuição</v>
      </c>
      <c r="AT236" s="917">
        <f ca="1">J95</f>
        <v>2044287.8320509181</v>
      </c>
      <c r="AU236" s="917">
        <f>Resultado!D32</f>
        <v>2472691.1461900002</v>
      </c>
      <c r="AV236" s="918">
        <f ca="1">IF(AU236=0,0,ROUND(AU236/AT236-1,4))</f>
        <v>0.20960000000000001</v>
      </c>
      <c r="AW236" s="918">
        <f ca="1">(AU236-AT236)/$AT$237</f>
        <v>2.8988750092050576E-2</v>
      </c>
      <c r="AX236" s="918">
        <f t="shared" ca="1" si="20"/>
        <v>0.15725928080103946</v>
      </c>
      <c r="AY236" s="318">
        <f t="shared" ca="1" si="15"/>
        <v>1</v>
      </c>
    </row>
    <row r="237" spans="2:53" ht="15" hidden="1" customHeight="1">
      <c r="C237" s="19"/>
      <c r="AS237" s="1094" t="s">
        <v>838</v>
      </c>
      <c r="AT237" s="1095">
        <f ca="1">Mercado_RA0_Reais</f>
        <v>14778260.972920001</v>
      </c>
      <c r="AU237" s="1095">
        <f ca="1">AU219+AU230+AU232+AU239</f>
        <v>15723657.984411031</v>
      </c>
      <c r="AV237" s="1097"/>
      <c r="AW237" s="1097"/>
      <c r="AX237" s="1096">
        <f t="shared" ca="1" si="20"/>
        <v>1</v>
      </c>
      <c r="AY237" s="318">
        <f t="shared" si="15"/>
        <v>0</v>
      </c>
    </row>
    <row r="238" spans="2:53" ht="15" customHeight="1">
      <c r="C238" s="19"/>
      <c r="AS238" s="1098" t="s">
        <v>839</v>
      </c>
      <c r="AT238" s="1099">
        <f ca="1">AT219+AT230+AT232</f>
        <v>7579160.1450769883</v>
      </c>
      <c r="AU238" s="1099">
        <f ca="1">AU219+AU230+AU232</f>
        <v>8505088.5444110315</v>
      </c>
      <c r="AV238" s="1100">
        <f ca="1">IF(AU238=0,0,ROUND(AU238/AT238-1,4))</f>
        <v>0.1222</v>
      </c>
      <c r="AW238" s="1100">
        <f ca="1">(AU238-AT238)/AT237</f>
        <v>6.2654760328751405E-2</v>
      </c>
      <c r="AX238" s="1100">
        <f t="shared" ca="1" si="20"/>
        <v>0.54091029917104949</v>
      </c>
      <c r="AY238" s="318">
        <f t="shared" ca="1" si="15"/>
        <v>1</v>
      </c>
      <c r="BA238" s="23">
        <f ca="1">Resultado!D34</f>
        <v>8505088.5444110297</v>
      </c>
    </row>
    <row r="239" spans="2:53" ht="15" customHeight="1">
      <c r="B239" s="28"/>
      <c r="C239" s="19"/>
      <c r="AS239" s="1098" t="s">
        <v>840</v>
      </c>
      <c r="AT239" s="1099">
        <f ca="1">AT237-AT238</f>
        <v>7199100.8278430123</v>
      </c>
      <c r="AU239" s="1099">
        <f>Resultado!D39</f>
        <v>7218569.4400000004</v>
      </c>
      <c r="AV239" s="1100">
        <f ca="1">IF(AU239=0,0,ROUND(AU239/AT239-1,4))</f>
        <v>2.7000000000000001E-3</v>
      </c>
      <c r="AW239" s="1100">
        <f ca="1">(AU239-AT239)/AT237</f>
        <v>1.3173818078231817E-3</v>
      </c>
      <c r="AX239" s="1100">
        <f t="shared" ca="1" si="20"/>
        <v>0.45908970082895056</v>
      </c>
      <c r="AY239" s="318">
        <f t="shared" ca="1" si="15"/>
        <v>1</v>
      </c>
      <c r="BA239" s="23">
        <f>LnkTXTIParcelaBcomSub</f>
        <v>7218569.4400000004</v>
      </c>
    </row>
    <row r="240" spans="2:53" ht="15" customHeight="1">
      <c r="AS240" s="1101" t="str">
        <f>Resultado!B7</f>
        <v>Variação econômica</v>
      </c>
      <c r="AT240" s="1101"/>
      <c r="AU240" s="1101"/>
      <c r="AV240" s="1102"/>
      <c r="AW240" s="1103">
        <f ca="1">ROUND((AU239+AU238)/(AT238+AT239)-1,4)</f>
        <v>6.4000000000000001E-2</v>
      </c>
      <c r="AX240" s="1102"/>
      <c r="AY240" s="318">
        <v>1</v>
      </c>
    </row>
    <row r="241" spans="2:51" ht="15" hidden="1" customHeight="1">
      <c r="AS241" s="919"/>
      <c r="AT241" s="919"/>
      <c r="AU241" s="919"/>
      <c r="AV241" s="920"/>
      <c r="AW241" s="921"/>
      <c r="AX241" s="921"/>
      <c r="AY241" s="318">
        <f t="shared" si="15"/>
        <v>0</v>
      </c>
    </row>
    <row r="242" spans="2:51" ht="15" customHeight="1">
      <c r="AS242" s="1094" t="s">
        <v>841</v>
      </c>
      <c r="AT242" s="1104"/>
      <c r="AU242" s="1104"/>
      <c r="AV242" s="1105"/>
      <c r="AW242" s="1096" t="s">
        <v>842</v>
      </c>
      <c r="AX242" s="1096"/>
      <c r="AY242" s="318">
        <v>1</v>
      </c>
    </row>
    <row r="243" spans="2:51" ht="15" customHeight="1">
      <c r="AS243" s="922" t="str">
        <f>AM167</f>
        <v>Repasse de PIS COFINS</v>
      </c>
      <c r="AT243" s="922"/>
      <c r="AU243" s="923">
        <f ca="1">AN167</f>
        <v>275245.34535703011</v>
      </c>
      <c r="AV243" s="924"/>
      <c r="AW243" s="924">
        <f ca="1">AU243/Financeiros!$D$4</f>
        <v>1.8625015883898352E-2</v>
      </c>
      <c r="AX243" s="921"/>
      <c r="AY243" s="318">
        <f ca="1">IF(AW243=0,0,1)</f>
        <v>1</v>
      </c>
    </row>
    <row r="244" spans="2:51" ht="15" customHeight="1">
      <c r="B244" s="341"/>
      <c r="C244" s="342"/>
      <c r="D244" s="342"/>
      <c r="E244" s="342"/>
      <c r="F244" s="342"/>
      <c r="G244" s="342"/>
      <c r="H244" s="342"/>
      <c r="AS244" s="922" t="str">
        <f t="shared" ref="AS244:AS271" si="21">AM168</f>
        <v>Neutralidade Encargos Setoriais</v>
      </c>
      <c r="AT244" s="922"/>
      <c r="AU244" s="923">
        <f t="shared" ref="AU244:AU283" ca="1" si="22">AN168</f>
        <v>-9003.4518624144839</v>
      </c>
      <c r="AV244" s="924"/>
      <c r="AW244" s="924">
        <f ca="1">AU244/Financeiros!$D$4</f>
        <v>-6.0923622061571383E-4</v>
      </c>
      <c r="AX244" s="921"/>
      <c r="AY244" s="318">
        <f t="shared" ref="AY244:AY252" ca="1" si="23">IF(AW244=0,0,1)</f>
        <v>1</v>
      </c>
    </row>
    <row r="245" spans="2:51" ht="15" customHeight="1">
      <c r="B245" s="343"/>
      <c r="C245" s="344"/>
      <c r="D245" s="344"/>
      <c r="E245" s="344"/>
      <c r="F245" s="345"/>
      <c r="G245" s="345"/>
      <c r="H245" s="345"/>
      <c r="AS245" s="922" t="str">
        <f t="shared" si="21"/>
        <v>Neutralidade Financeiros e Encargos Conta Covid</v>
      </c>
      <c r="AT245" s="922"/>
      <c r="AU245" s="923">
        <f t="shared" ca="1" si="22"/>
        <v>-3474.370163392417</v>
      </c>
      <c r="AV245" s="924"/>
      <c r="AW245" s="924">
        <f ca="1">AU245/Financeiros!$D$4</f>
        <v>-2.3510006825288351E-4</v>
      </c>
      <c r="AX245" s="921"/>
      <c r="AY245" s="318">
        <f t="shared" ca="1" si="23"/>
        <v>1</v>
      </c>
    </row>
    <row r="246" spans="2:51" ht="15" hidden="1" customHeight="1">
      <c r="B246" s="343"/>
      <c r="C246" s="344"/>
      <c r="D246" s="344"/>
      <c r="E246" s="344"/>
      <c r="F246" s="345"/>
      <c r="G246" s="345"/>
      <c r="H246" s="345"/>
      <c r="AS246" s="922" t="str">
        <f t="shared" si="21"/>
        <v>Neutralidades Crédito de Pis cofins</v>
      </c>
      <c r="AT246" s="922"/>
      <c r="AU246" s="923">
        <f t="shared" ca="1" si="22"/>
        <v>0</v>
      </c>
      <c r="AV246" s="924"/>
      <c r="AW246" s="924">
        <f ca="1">AU246/Financeiros!$D$4</f>
        <v>0</v>
      </c>
      <c r="AX246" s="921"/>
      <c r="AY246" s="318">
        <f t="shared" ca="1" si="23"/>
        <v>0</v>
      </c>
    </row>
    <row r="247" spans="2:51" ht="15" hidden="1" customHeight="1">
      <c r="B247" s="343"/>
      <c r="C247" s="344"/>
      <c r="D247" s="344"/>
      <c r="E247" s="344"/>
      <c r="F247" s="345"/>
      <c r="G247" s="345"/>
      <c r="H247" s="345"/>
      <c r="AS247" s="922" t="str">
        <f t="shared" si="21"/>
        <v>Ajuste CUST RB + PIS Cofins</v>
      </c>
      <c r="AT247" s="922"/>
      <c r="AU247" s="923">
        <f t="shared" si="22"/>
        <v>0</v>
      </c>
      <c r="AV247" s="924"/>
      <c r="AW247" s="924">
        <f ca="1">AU247/Financeiros!$D$4</f>
        <v>0</v>
      </c>
      <c r="AX247" s="921"/>
      <c r="AY247" s="318">
        <f t="shared" ca="1" si="23"/>
        <v>0</v>
      </c>
    </row>
    <row r="248" spans="2:51" ht="15" hidden="1" customHeight="1">
      <c r="B248" s="343"/>
      <c r="C248" s="344"/>
      <c r="D248" s="344"/>
      <c r="E248" s="344"/>
      <c r="F248" s="345"/>
      <c r="G248" s="345"/>
      <c r="H248" s="345"/>
      <c r="AS248" s="922">
        <f t="shared" si="21"/>
        <v>0</v>
      </c>
      <c r="AT248" s="922"/>
      <c r="AU248" s="923">
        <f t="shared" si="22"/>
        <v>0</v>
      </c>
      <c r="AV248" s="924"/>
      <c r="AW248" s="924">
        <f ca="1">AU248/Financeiros!$D$4</f>
        <v>0</v>
      </c>
      <c r="AX248" s="921"/>
      <c r="AY248" s="318">
        <f t="shared" ca="1" si="23"/>
        <v>0</v>
      </c>
    </row>
    <row r="249" spans="2:51" ht="15" hidden="1" customHeight="1">
      <c r="B249" s="343"/>
      <c r="C249" s="344"/>
      <c r="D249" s="344"/>
      <c r="E249" s="344"/>
      <c r="F249" s="345"/>
      <c r="G249" s="345"/>
      <c r="H249" s="345"/>
      <c r="AS249" s="922">
        <f t="shared" si="21"/>
        <v>0</v>
      </c>
      <c r="AT249" s="922"/>
      <c r="AU249" s="923">
        <f t="shared" si="22"/>
        <v>0</v>
      </c>
      <c r="AV249" s="924"/>
      <c r="AW249" s="924">
        <f ca="1">AU249/Financeiros!$D$4</f>
        <v>0</v>
      </c>
      <c r="AX249" s="921"/>
      <c r="AY249" s="318">
        <f t="shared" ca="1" si="23"/>
        <v>0</v>
      </c>
    </row>
    <row r="250" spans="2:51" ht="15" hidden="1" customHeight="1">
      <c r="B250" s="343"/>
      <c r="C250" s="344"/>
      <c r="D250" s="344"/>
      <c r="E250" s="344"/>
      <c r="F250" s="345"/>
      <c r="G250" s="345"/>
      <c r="H250" s="345"/>
      <c r="AS250" s="922" t="str">
        <f t="shared" si="21"/>
        <v>Manual de Contabilidade do Setor Elétrico</v>
      </c>
      <c r="AT250" s="922"/>
      <c r="AU250" s="923">
        <f t="shared" si="22"/>
        <v>0</v>
      </c>
      <c r="AV250" s="924"/>
      <c r="AW250" s="924">
        <f ca="1">AU250/Financeiros!$D$4</f>
        <v>0</v>
      </c>
      <c r="AX250" s="921"/>
      <c r="AY250" s="318">
        <f t="shared" ca="1" si="23"/>
        <v>0</v>
      </c>
    </row>
    <row r="251" spans="2:51" ht="15" hidden="1" customHeight="1">
      <c r="B251" s="343"/>
      <c r="C251" s="344"/>
      <c r="D251" s="344"/>
      <c r="E251" s="344"/>
      <c r="F251" s="345"/>
      <c r="G251" s="345"/>
      <c r="H251" s="345"/>
      <c r="AS251" s="922" t="str">
        <f t="shared" si="21"/>
        <v>Financeiro CDE Eletrobras</v>
      </c>
      <c r="AT251" s="922"/>
      <c r="AU251" s="923">
        <f t="shared" si="22"/>
        <v>0</v>
      </c>
      <c r="AV251" s="924"/>
      <c r="AW251" s="924">
        <f ca="1">AU251/Financeiros!$D$4</f>
        <v>0</v>
      </c>
      <c r="AX251" s="921"/>
      <c r="AY251" s="318">
        <f t="shared" ca="1" si="23"/>
        <v>0</v>
      </c>
    </row>
    <row r="252" spans="2:51" ht="15" hidden="1" customHeight="1">
      <c r="B252" s="343"/>
      <c r="C252" s="344"/>
      <c r="D252" s="344"/>
      <c r="E252" s="344"/>
      <c r="F252" s="345"/>
      <c r="G252" s="345"/>
      <c r="H252" s="345"/>
      <c r="AS252" s="922" t="str">
        <f t="shared" si="21"/>
        <v>Ajustes Processo Anterior</v>
      </c>
      <c r="AT252" s="922"/>
      <c r="AU252" s="923">
        <f t="shared" si="22"/>
        <v>0</v>
      </c>
      <c r="AV252" s="924"/>
      <c r="AW252" s="924">
        <f ca="1">AU252/Financeiros!$D$4</f>
        <v>0</v>
      </c>
      <c r="AX252" s="921"/>
      <c r="AY252" s="318">
        <f t="shared" ca="1" si="23"/>
        <v>0</v>
      </c>
    </row>
    <row r="253" spans="2:51" ht="15" customHeight="1">
      <c r="B253" s="343"/>
      <c r="C253" s="344"/>
      <c r="D253" s="344"/>
      <c r="E253" s="344"/>
      <c r="F253" s="345"/>
      <c r="G253" s="345"/>
      <c r="H253" s="345"/>
      <c r="AS253" s="922" t="str">
        <f t="shared" si="21"/>
        <v>Compensação DIC FIC</v>
      </c>
      <c r="AT253" s="922"/>
      <c r="AU253" s="923">
        <f t="shared" si="22"/>
        <v>-9792.7939776082167</v>
      </c>
      <c r="AV253" s="924"/>
      <c r="AW253" s="924">
        <f ca="1">AU253/Financeiros!$D$4</f>
        <v>-6.6264860226468729E-4</v>
      </c>
      <c r="AX253" s="921"/>
      <c r="AY253" s="912">
        <f ca="1">IF(AW253=0,0,1)</f>
        <v>1</v>
      </c>
    </row>
    <row r="254" spans="2:51" ht="15" customHeight="1">
      <c r="B254" s="343"/>
      <c r="C254" s="344"/>
      <c r="D254" s="344"/>
      <c r="E254" s="344"/>
      <c r="F254" s="345"/>
      <c r="G254" s="345"/>
      <c r="H254" s="345"/>
      <c r="AS254" s="922" t="str">
        <f t="shared" si="21"/>
        <v>Subvenção CDE</v>
      </c>
      <c r="AT254" s="922"/>
      <c r="AU254" s="923">
        <f t="shared" ca="1" si="22"/>
        <v>-2975069.7960253092</v>
      </c>
      <c r="AV254" s="924"/>
      <c r="AW254" s="924">
        <f ca="1">AU254/Financeiros!$D$4</f>
        <v>-0.20131393006774548</v>
      </c>
      <c r="AX254" s="921"/>
      <c r="AY254" s="912">
        <f t="shared" ref="AY254:AY256" ca="1" si="24">IF(AW254=0,0,1)</f>
        <v>1</v>
      </c>
    </row>
    <row r="255" spans="2:51" ht="15" customHeight="1">
      <c r="B255" s="343"/>
      <c r="C255" s="344"/>
      <c r="D255" s="344"/>
      <c r="E255" s="344"/>
      <c r="F255" s="345"/>
      <c r="G255" s="345"/>
      <c r="H255" s="345"/>
      <c r="AS255" s="922" t="str">
        <f t="shared" si="21"/>
        <v>Retenção de Adicionais de Bandeiras Tarifárias</v>
      </c>
      <c r="AT255" s="922"/>
      <c r="AU255" s="923">
        <f t="shared" si="22"/>
        <v>-88163.743639273118</v>
      </c>
      <c r="AV255" s="924"/>
      <c r="AW255" s="924">
        <f ca="1">AU255/Financeiros!$D$4</f>
        <v>-5.9657725493430002E-3</v>
      </c>
      <c r="AX255" s="921"/>
      <c r="AY255" s="912">
        <f t="shared" ca="1" si="24"/>
        <v>1</v>
      </c>
    </row>
    <row r="256" spans="2:51" ht="15" hidden="1" customHeight="1">
      <c r="B256" s="343"/>
      <c r="C256" s="344"/>
      <c r="D256" s="344"/>
      <c r="E256" s="344"/>
      <c r="F256" s="345"/>
      <c r="G256" s="345"/>
      <c r="H256" s="345"/>
      <c r="AS256" s="922" t="str">
        <f t="shared" si="21"/>
        <v>Multa LPT</v>
      </c>
      <c r="AT256" s="922"/>
      <c r="AU256" s="923">
        <f t="shared" si="22"/>
        <v>0</v>
      </c>
      <c r="AV256" s="924"/>
      <c r="AW256" s="924">
        <f ca="1">AU256/Financeiros!$D$4</f>
        <v>0</v>
      </c>
      <c r="AX256" s="921"/>
      <c r="AY256" s="912">
        <f t="shared" ca="1" si="24"/>
        <v>0</v>
      </c>
    </row>
    <row r="257" spans="2:51" ht="15" hidden="1" customHeight="1">
      <c r="B257" s="343"/>
      <c r="C257" s="344"/>
      <c r="D257" s="344"/>
      <c r="E257" s="344"/>
      <c r="F257" s="345"/>
      <c r="G257" s="345"/>
      <c r="H257" s="345"/>
      <c r="AS257" s="922" t="str">
        <f t="shared" si="21"/>
        <v>Repasse de ICMS</v>
      </c>
      <c r="AT257" s="922"/>
      <c r="AU257" s="923">
        <f t="shared" si="22"/>
        <v>0</v>
      </c>
      <c r="AV257" s="924"/>
      <c r="AW257" s="924">
        <f ca="1">AU257/Financeiros!$D$4</f>
        <v>0</v>
      </c>
      <c r="AX257" s="921"/>
      <c r="AY257" s="912">
        <f t="shared" ref="AY257:AY261" ca="1" si="25">IF(AW257=0,0,1)</f>
        <v>0</v>
      </c>
    </row>
    <row r="258" spans="2:51" ht="15" hidden="1" customHeight="1">
      <c r="B258" s="343"/>
      <c r="C258" s="344"/>
      <c r="D258" s="344"/>
      <c r="E258" s="344"/>
      <c r="F258" s="345"/>
      <c r="G258" s="345"/>
      <c r="H258" s="345"/>
      <c r="AS258" s="922">
        <f t="shared" si="21"/>
        <v>0</v>
      </c>
      <c r="AT258" s="922"/>
      <c r="AU258" s="923">
        <f t="shared" si="22"/>
        <v>0</v>
      </c>
      <c r="AV258" s="924"/>
      <c r="AW258" s="924">
        <f ca="1">AU258/Financeiros!$D$4</f>
        <v>0</v>
      </c>
      <c r="AX258" s="921"/>
      <c r="AY258" s="912">
        <f t="shared" ref="AY258:AY260" ca="1" si="26">IF(AW258=0,0,1)</f>
        <v>0</v>
      </c>
    </row>
    <row r="259" spans="2:51" ht="15" hidden="1" customHeight="1">
      <c r="B259" s="343"/>
      <c r="C259" s="344"/>
      <c r="D259" s="344"/>
      <c r="E259" s="344"/>
      <c r="F259" s="345"/>
      <c r="G259" s="345"/>
      <c r="H259" s="345"/>
      <c r="AS259" s="922" t="str">
        <f t="shared" si="21"/>
        <v>Ressarcimento P&amp;D</v>
      </c>
      <c r="AT259" s="922"/>
      <c r="AU259" s="923">
        <f t="shared" si="22"/>
        <v>0</v>
      </c>
      <c r="AV259" s="924"/>
      <c r="AW259" s="924">
        <f ca="1">AU259/Financeiros!$D$4</f>
        <v>0</v>
      </c>
      <c r="AX259" s="921"/>
      <c r="AY259" s="912">
        <f t="shared" ca="1" si="26"/>
        <v>0</v>
      </c>
    </row>
    <row r="260" spans="2:51" ht="15" hidden="1" customHeight="1">
      <c r="B260" s="343"/>
      <c r="C260" s="344"/>
      <c r="D260" s="344"/>
      <c r="E260" s="344"/>
      <c r="F260" s="345"/>
      <c r="G260" s="345"/>
      <c r="H260" s="345"/>
      <c r="AS260" s="922" t="str">
        <f t="shared" si="21"/>
        <v>Efeito Conta COVID</v>
      </c>
      <c r="AT260" s="922"/>
      <c r="AU260" s="923">
        <f t="shared" si="22"/>
        <v>0</v>
      </c>
      <c r="AV260" s="924"/>
      <c r="AW260" s="924">
        <f ca="1">AU260/Financeiros!$D$4</f>
        <v>0</v>
      </c>
      <c r="AX260" s="921"/>
      <c r="AY260" s="912">
        <f t="shared" ca="1" si="26"/>
        <v>0</v>
      </c>
    </row>
    <row r="261" spans="2:51" ht="15" hidden="1" customHeight="1">
      <c r="B261" s="343"/>
      <c r="C261" s="344"/>
      <c r="D261" s="344"/>
      <c r="E261" s="344"/>
      <c r="F261" s="345"/>
      <c r="G261" s="345"/>
      <c r="H261" s="345"/>
      <c r="AS261" s="922" t="str">
        <f t="shared" si="21"/>
        <v>Diferimento de Parcela B</v>
      </c>
      <c r="AT261" s="922"/>
      <c r="AU261" s="923">
        <f t="shared" si="22"/>
        <v>0</v>
      </c>
      <c r="AV261" s="924"/>
      <c r="AW261" s="924">
        <f ca="1">AU261/Financeiros!$D$4</f>
        <v>0</v>
      </c>
      <c r="AX261" s="921"/>
      <c r="AY261" s="912">
        <f t="shared" ca="1" si="25"/>
        <v>0</v>
      </c>
    </row>
    <row r="262" spans="2:51" ht="15" hidden="1" customHeight="1">
      <c r="B262" s="343"/>
      <c r="C262" s="344"/>
      <c r="D262" s="344"/>
      <c r="E262" s="344"/>
      <c r="F262" s="345"/>
      <c r="G262" s="345"/>
      <c r="H262" s="345"/>
      <c r="AS262" s="922" t="str">
        <f t="shared" si="21"/>
        <v>Efeito COVID da Supridora</v>
      </c>
      <c r="AT262" s="922"/>
      <c r="AU262" s="923">
        <f t="shared" si="22"/>
        <v>0</v>
      </c>
      <c r="AV262" s="924"/>
      <c r="AW262" s="924">
        <f ca="1">AU262/Financeiros!$D$4</f>
        <v>0</v>
      </c>
      <c r="AX262" s="921"/>
      <c r="AY262" s="914">
        <f t="shared" ref="AY262:AY263" ca="1" si="27">IF(AW262=0,0,1)</f>
        <v>0</v>
      </c>
    </row>
    <row r="263" spans="2:51" ht="15" hidden="1" customHeight="1">
      <c r="B263" s="343"/>
      <c r="C263" s="344"/>
      <c r="D263" s="344"/>
      <c r="E263" s="344"/>
      <c r="F263" s="345"/>
      <c r="G263" s="345"/>
      <c r="H263" s="345"/>
      <c r="AS263" s="922" t="str">
        <f t="shared" si="21"/>
        <v>Crédito de Pis Cofins sobre ICMS</v>
      </c>
      <c r="AT263" s="922"/>
      <c r="AU263" s="923">
        <f t="shared" si="22"/>
        <v>0</v>
      </c>
      <c r="AV263" s="924"/>
      <c r="AW263" s="924">
        <f ca="1">AU263/Financeiros!$D$4</f>
        <v>0</v>
      </c>
      <c r="AX263" s="921"/>
      <c r="AY263" s="914">
        <f t="shared" ca="1" si="27"/>
        <v>0</v>
      </c>
    </row>
    <row r="264" spans="2:51" ht="15" hidden="1" customHeight="1">
      <c r="B264" s="343"/>
      <c r="C264" s="344"/>
      <c r="D264" s="344"/>
      <c r="E264" s="344"/>
      <c r="F264" s="345"/>
      <c r="G264" s="345"/>
      <c r="H264" s="345"/>
      <c r="AS264" s="922" t="str">
        <f t="shared" si="21"/>
        <v xml:space="preserve">Diferimento de PIS COFINS </v>
      </c>
      <c r="AT264" s="922"/>
      <c r="AU264" s="923">
        <f t="shared" si="22"/>
        <v>0</v>
      </c>
      <c r="AV264" s="924"/>
      <c r="AW264" s="924">
        <f ca="1">AU264/Financeiros!$D$4</f>
        <v>0</v>
      </c>
      <c r="AX264" s="921"/>
      <c r="AY264" s="914">
        <f t="shared" ref="AY264:AY271" ca="1" si="28">IF(AW264=0,0,1)</f>
        <v>0</v>
      </c>
    </row>
    <row r="265" spans="2:51" ht="15" hidden="1" customHeight="1">
      <c r="B265" s="343"/>
      <c r="C265" s="344"/>
      <c r="D265" s="344"/>
      <c r="E265" s="344"/>
      <c r="F265" s="345"/>
      <c r="G265" s="345"/>
      <c r="H265" s="345"/>
      <c r="AS265" s="922">
        <f t="shared" si="21"/>
        <v>0</v>
      </c>
      <c r="AT265" s="922"/>
      <c r="AU265" s="923">
        <f t="shared" si="22"/>
        <v>0</v>
      </c>
      <c r="AV265" s="924"/>
      <c r="AW265" s="924">
        <f ca="1">AU265/Financeiros!$D$4</f>
        <v>0</v>
      </c>
      <c r="AX265" s="921"/>
      <c r="AY265" s="914">
        <f t="shared" ca="1" si="28"/>
        <v>0</v>
      </c>
    </row>
    <row r="266" spans="2:51" ht="15" hidden="1" customHeight="1">
      <c r="B266" s="343"/>
      <c r="C266" s="344"/>
      <c r="D266" s="344"/>
      <c r="E266" s="344"/>
      <c r="F266" s="345"/>
      <c r="G266" s="345"/>
      <c r="H266" s="345"/>
      <c r="AS266" s="922" t="str">
        <f t="shared" si="21"/>
        <v>Financeiros associados ao §7º do Art. 88 da Ren 414/2021</v>
      </c>
      <c r="AT266" s="922"/>
      <c r="AU266" s="923">
        <f t="shared" si="22"/>
        <v>0</v>
      </c>
      <c r="AV266" s="924"/>
      <c r="AW266" s="924">
        <f ca="1">AU266/Financeiros!$D$4</f>
        <v>0</v>
      </c>
      <c r="AX266" s="921"/>
      <c r="AY266" s="914">
        <f t="shared" ca="1" si="28"/>
        <v>0</v>
      </c>
    </row>
    <row r="267" spans="2:51" ht="15" customHeight="1">
      <c r="B267" s="343"/>
      <c r="C267" s="344"/>
      <c r="D267" s="344"/>
      <c r="E267" s="344"/>
      <c r="F267" s="345"/>
      <c r="G267" s="345"/>
      <c r="H267" s="345"/>
      <c r="AS267" s="922" t="str">
        <f t="shared" si="21"/>
        <v>Spread Conta Covid</v>
      </c>
      <c r="AT267" s="922"/>
      <c r="AU267" s="923">
        <f t="shared" si="22"/>
        <v>-49683</v>
      </c>
      <c r="AV267" s="924"/>
      <c r="AW267" s="924">
        <f ca="1">AU267/Financeiros!$D$4</f>
        <v>-3.3618975934340436E-3</v>
      </c>
      <c r="AX267" s="921"/>
      <c r="AY267" s="914">
        <f t="shared" ca="1" si="28"/>
        <v>1</v>
      </c>
    </row>
    <row r="268" spans="2:51" ht="15" hidden="1" customHeight="1">
      <c r="B268" s="343"/>
      <c r="C268" s="344"/>
      <c r="D268" s="344"/>
      <c r="E268" s="344"/>
      <c r="F268" s="345"/>
      <c r="G268" s="345"/>
      <c r="H268" s="345"/>
      <c r="AS268" s="922" t="str">
        <f t="shared" si="21"/>
        <v>Diferimento Compra de Energia</v>
      </c>
      <c r="AT268" s="922"/>
      <c r="AU268" s="923">
        <f t="shared" si="22"/>
        <v>-1250000</v>
      </c>
      <c r="AV268" s="924"/>
      <c r="AW268" s="924">
        <f ca="1">AU268/Financeiros!$D$4</f>
        <v>-8.458370049700209E-2</v>
      </c>
      <c r="AX268" s="921"/>
      <c r="AY268" s="914">
        <f t="shared" ca="1" si="28"/>
        <v>1</v>
      </c>
    </row>
    <row r="269" spans="2:51" ht="15" customHeight="1">
      <c r="B269" s="343"/>
      <c r="C269" s="344"/>
      <c r="D269" s="344"/>
      <c r="E269" s="344"/>
      <c r="F269" s="345"/>
      <c r="G269" s="345"/>
      <c r="H269" s="345"/>
      <c r="AS269" s="922" t="str">
        <f t="shared" si="21"/>
        <v xml:space="preserve">Reversão do Diferimento de Compra de Energia </v>
      </c>
      <c r="AT269" s="922"/>
      <c r="AU269" s="923">
        <f t="shared" si="22"/>
        <v>1087272.9129262005</v>
      </c>
      <c r="AV269" s="924"/>
      <c r="AW269" s="924">
        <f ca="1">AU269/Financeiros!$D$4</f>
        <v>7.3572453140362218E-2</v>
      </c>
      <c r="AX269" s="921"/>
      <c r="AY269" s="914">
        <f t="shared" ca="1" si="28"/>
        <v>1</v>
      </c>
    </row>
    <row r="270" spans="2:51" ht="15" hidden="1" customHeight="1">
      <c r="B270" s="343"/>
      <c r="C270" s="344"/>
      <c r="D270" s="344"/>
      <c r="E270" s="344"/>
      <c r="F270" s="345"/>
      <c r="G270" s="345"/>
      <c r="H270" s="345"/>
      <c r="AS270" s="922" t="str">
        <f t="shared" si="21"/>
        <v>Reversão do Diferimento de Parcela B</v>
      </c>
      <c r="AT270" s="922"/>
      <c r="AU270" s="923">
        <f t="shared" si="22"/>
        <v>0</v>
      </c>
      <c r="AV270" s="924"/>
      <c r="AW270" s="924">
        <f ca="1">AU270/Financeiros!$D$4</f>
        <v>0</v>
      </c>
      <c r="AX270" s="921"/>
      <c r="AY270" s="914">
        <f t="shared" ca="1" si="28"/>
        <v>0</v>
      </c>
    </row>
    <row r="271" spans="2:51" ht="15" hidden="1" customHeight="1">
      <c r="B271" s="343"/>
      <c r="C271" s="344"/>
      <c r="D271" s="344"/>
      <c r="E271" s="344"/>
      <c r="F271" s="345"/>
      <c r="G271" s="345"/>
      <c r="H271" s="345"/>
      <c r="AS271" s="922" t="str">
        <f t="shared" si="21"/>
        <v>Reversão do Diferimento de Pis Cofins</v>
      </c>
      <c r="AT271" s="922"/>
      <c r="AU271" s="923">
        <f t="shared" si="22"/>
        <v>0</v>
      </c>
      <c r="AV271" s="924"/>
      <c r="AW271" s="924">
        <f ca="1">AU271/Financeiros!$D$4</f>
        <v>0</v>
      </c>
      <c r="AX271" s="921"/>
      <c r="AY271" s="914">
        <f t="shared" ca="1" si="28"/>
        <v>0</v>
      </c>
    </row>
    <row r="272" spans="2:51" ht="15" hidden="1" customHeight="1">
      <c r="B272" s="343"/>
      <c r="C272" s="344"/>
      <c r="D272" s="344"/>
      <c r="E272" s="344"/>
      <c r="F272" s="345"/>
      <c r="G272" s="345"/>
      <c r="H272" s="345"/>
      <c r="AS272" s="922">
        <f t="shared" ref="AS272:AS276" si="29">AM196</f>
        <v>0</v>
      </c>
      <c r="AT272" s="922"/>
      <c r="AU272" s="923">
        <f t="shared" si="22"/>
        <v>0</v>
      </c>
      <c r="AV272" s="924"/>
      <c r="AW272" s="924">
        <f ca="1">AU272/Financeiros!$D$4</f>
        <v>0</v>
      </c>
      <c r="AX272" s="921"/>
      <c r="AY272" s="912">
        <f t="shared" ref="AY272:AY276" ca="1" si="30">IF(AW272=0,0,1)</f>
        <v>0</v>
      </c>
    </row>
    <row r="273" spans="2:53" ht="15" hidden="1" customHeight="1">
      <c r="B273" s="343"/>
      <c r="C273" s="344"/>
      <c r="D273" s="344"/>
      <c r="E273" s="344"/>
      <c r="F273" s="345"/>
      <c r="G273" s="345"/>
      <c r="H273" s="345"/>
      <c r="AS273" s="922" t="str">
        <f t="shared" si="29"/>
        <v>CVE - Energia</v>
      </c>
      <c r="AT273" s="922"/>
      <c r="AU273" s="923">
        <f t="shared" ca="1" si="22"/>
        <v>0</v>
      </c>
      <c r="AV273" s="924"/>
      <c r="AW273" s="924">
        <f ca="1">AU273/Financeiros!$D$4</f>
        <v>0</v>
      </c>
      <c r="AX273" s="921"/>
      <c r="AY273" s="912">
        <f t="shared" ca="1" si="30"/>
        <v>0</v>
      </c>
    </row>
    <row r="274" spans="2:53" ht="15" hidden="1" customHeight="1">
      <c r="B274" s="343"/>
      <c r="C274" s="344"/>
      <c r="D274" s="344"/>
      <c r="E274" s="344"/>
      <c r="F274" s="345"/>
      <c r="G274" s="345"/>
      <c r="H274" s="345"/>
      <c r="AS274" s="922" t="str">
        <f t="shared" si="29"/>
        <v>CVE - Encargos</v>
      </c>
      <c r="AT274" s="922"/>
      <c r="AU274" s="923">
        <f t="shared" si="22"/>
        <v>0</v>
      </c>
      <c r="AV274" s="924"/>
      <c r="AW274" s="924">
        <f ca="1">AU274/Financeiros!$D$4</f>
        <v>0</v>
      </c>
      <c r="AX274" s="921"/>
      <c r="AY274" s="912">
        <f t="shared" ca="1" si="30"/>
        <v>0</v>
      </c>
    </row>
    <row r="275" spans="2:53" ht="15" hidden="1" customHeight="1">
      <c r="B275" s="343"/>
      <c r="C275" s="344"/>
      <c r="D275" s="344"/>
      <c r="E275" s="344"/>
      <c r="F275" s="345"/>
      <c r="G275" s="345"/>
      <c r="H275" s="345"/>
      <c r="AS275" s="922" t="str">
        <f t="shared" si="29"/>
        <v>Conta Escassez</v>
      </c>
      <c r="AT275" s="922"/>
      <c r="AU275" s="923">
        <f t="shared" ca="1" si="22"/>
        <v>0</v>
      </c>
      <c r="AV275" s="924"/>
      <c r="AW275" s="924">
        <f ca="1">AU275/Financeiros!$D$4</f>
        <v>0</v>
      </c>
      <c r="AX275" s="921"/>
      <c r="AY275" s="912">
        <f t="shared" ca="1" si="30"/>
        <v>0</v>
      </c>
    </row>
    <row r="276" spans="2:53" ht="15" hidden="1" customHeight="1">
      <c r="B276" s="343"/>
      <c r="C276" s="344"/>
      <c r="D276" s="344"/>
      <c r="E276" s="344"/>
      <c r="F276" s="345"/>
      <c r="G276" s="345"/>
      <c r="H276" s="345"/>
      <c r="AS276" s="922">
        <f t="shared" si="29"/>
        <v>0</v>
      </c>
      <c r="AT276" s="922"/>
      <c r="AU276" s="923">
        <f t="shared" si="22"/>
        <v>0</v>
      </c>
      <c r="AV276" s="924"/>
      <c r="AW276" s="924">
        <f ca="1">AU276/Financeiros!$D$4</f>
        <v>0</v>
      </c>
      <c r="AX276" s="921"/>
      <c r="AY276" s="912">
        <f t="shared" ca="1" si="30"/>
        <v>0</v>
      </c>
    </row>
    <row r="277" spans="2:53" ht="15" hidden="1" customHeight="1">
      <c r="B277" s="343"/>
      <c r="C277" s="344"/>
      <c r="D277" s="344"/>
      <c r="E277" s="344"/>
      <c r="F277" s="345"/>
      <c r="G277" s="345"/>
      <c r="H277" s="345"/>
      <c r="AS277" s="922">
        <f t="shared" ref="AS277:AS281" si="31">AM201</f>
        <v>0</v>
      </c>
      <c r="AT277" s="922"/>
      <c r="AU277" s="923">
        <f t="shared" si="22"/>
        <v>0</v>
      </c>
      <c r="AV277" s="924"/>
      <c r="AW277" s="924">
        <f ca="1">AU277/Financeiros!$D$4</f>
        <v>0</v>
      </c>
      <c r="AX277" s="921"/>
      <c r="AY277" s="912">
        <f t="shared" ref="AY277:AY281" ca="1" si="32">IF(AW277=0,0,1)</f>
        <v>0</v>
      </c>
    </row>
    <row r="278" spans="2:53" ht="15" hidden="1" customHeight="1">
      <c r="B278" s="343"/>
      <c r="C278" s="344"/>
      <c r="D278" s="344"/>
      <c r="E278" s="344"/>
      <c r="F278" s="345"/>
      <c r="G278" s="345"/>
      <c r="H278" s="345"/>
      <c r="AS278" s="922" t="str">
        <f t="shared" si="31"/>
        <v>Sobrecontratação/Exposição de Energia</v>
      </c>
      <c r="AT278" s="922"/>
      <c r="AU278" s="923">
        <f t="shared" ca="1" si="22"/>
        <v>0</v>
      </c>
      <c r="AV278" s="924"/>
      <c r="AW278" s="924">
        <f ca="1">AU278/Financeiros!$D$4</f>
        <v>0</v>
      </c>
      <c r="AX278" s="921"/>
      <c r="AY278" s="912">
        <f t="shared" ca="1" si="32"/>
        <v>0</v>
      </c>
    </row>
    <row r="279" spans="2:53" ht="15" hidden="1" customHeight="1">
      <c r="B279" s="343"/>
      <c r="C279" s="344"/>
      <c r="D279" s="344"/>
      <c r="E279" s="344"/>
      <c r="F279" s="345"/>
      <c r="G279" s="345"/>
      <c r="H279" s="345"/>
      <c r="AS279" s="922" t="str">
        <f t="shared" si="31"/>
        <v>Reversão de Risco Hidrológico</v>
      </c>
      <c r="AT279" s="922"/>
      <c r="AU279" s="923">
        <f t="shared" ca="1" si="22"/>
        <v>0</v>
      </c>
      <c r="AV279" s="924"/>
      <c r="AW279" s="924">
        <f ca="1">AU279/Financeiros!$D$4</f>
        <v>0</v>
      </c>
      <c r="AX279" s="921"/>
      <c r="AY279" s="912">
        <f t="shared" ca="1" si="32"/>
        <v>0</v>
      </c>
    </row>
    <row r="280" spans="2:53" ht="15" hidden="1" customHeight="1">
      <c r="B280" s="343"/>
      <c r="C280" s="344"/>
      <c r="D280" s="344"/>
      <c r="E280" s="344"/>
      <c r="F280" s="345"/>
      <c r="G280" s="345"/>
      <c r="H280" s="345"/>
      <c r="AS280" s="922" t="str">
        <f t="shared" si="31"/>
        <v>Previsão de Risco Hidrologico</v>
      </c>
      <c r="AT280" s="922"/>
      <c r="AU280" s="923">
        <f t="shared" ca="1" si="22"/>
        <v>0</v>
      </c>
      <c r="AV280" s="924"/>
      <c r="AW280" s="924">
        <f ca="1">AU280/Financeiros!$D$4</f>
        <v>0</v>
      </c>
      <c r="AX280" s="921"/>
      <c r="AY280" s="912">
        <f t="shared" ca="1" si="32"/>
        <v>0</v>
      </c>
    </row>
    <row r="281" spans="2:53" ht="15" hidden="1" customHeight="1">
      <c r="B281" s="343"/>
      <c r="C281" s="344"/>
      <c r="D281" s="344"/>
      <c r="E281" s="344"/>
      <c r="F281" s="345"/>
      <c r="G281" s="345"/>
      <c r="H281" s="345"/>
      <c r="AS281" s="922">
        <f t="shared" si="31"/>
        <v>0</v>
      </c>
      <c r="AT281" s="922"/>
      <c r="AU281" s="923">
        <f t="shared" si="22"/>
        <v>0</v>
      </c>
      <c r="AV281" s="924"/>
      <c r="AW281" s="924">
        <f ca="1">AU281/Financeiros!$D$4</f>
        <v>0</v>
      </c>
      <c r="AX281" s="921"/>
      <c r="AY281" s="912">
        <f t="shared" ca="1" si="32"/>
        <v>0</v>
      </c>
    </row>
    <row r="282" spans="2:53" ht="15" hidden="1" customHeight="1">
      <c r="B282" s="343"/>
      <c r="C282" s="344"/>
      <c r="D282" s="344"/>
      <c r="E282" s="344"/>
      <c r="F282" s="345"/>
      <c r="G282" s="345"/>
      <c r="H282" s="345"/>
      <c r="AS282" s="922">
        <f t="shared" ref="AS282:AS283" si="33">AM206</f>
        <v>0</v>
      </c>
      <c r="AT282" s="922"/>
      <c r="AU282" s="923">
        <f t="shared" si="22"/>
        <v>0</v>
      </c>
      <c r="AV282" s="924"/>
      <c r="AW282" s="924">
        <f ca="1">AU282/Financeiros!$D$4</f>
        <v>0</v>
      </c>
      <c r="AX282" s="921"/>
      <c r="AY282" s="912">
        <f t="shared" ref="AY282:AY283" ca="1" si="34">IF(AW282=0,0,1)</f>
        <v>0</v>
      </c>
    </row>
    <row r="283" spans="2:53" ht="15" hidden="1" customHeight="1">
      <c r="B283" s="343"/>
      <c r="C283" s="344"/>
      <c r="D283" s="344"/>
      <c r="E283" s="344"/>
      <c r="F283" s="345"/>
      <c r="G283" s="345"/>
      <c r="H283" s="345"/>
      <c r="AS283" s="922">
        <f t="shared" si="33"/>
        <v>0</v>
      </c>
      <c r="AT283" s="922"/>
      <c r="AU283" s="923">
        <f t="shared" si="22"/>
        <v>0</v>
      </c>
      <c r="AV283" s="924"/>
      <c r="AW283" s="924">
        <f ca="1">AU283/Financeiros!$D$4</f>
        <v>0</v>
      </c>
      <c r="AX283" s="921"/>
      <c r="AY283" s="912">
        <f t="shared" ca="1" si="34"/>
        <v>0</v>
      </c>
    </row>
    <row r="284" spans="2:53" ht="15" customHeight="1">
      <c r="B284" s="343"/>
      <c r="C284" s="346"/>
      <c r="D284" s="346"/>
      <c r="E284" s="344"/>
      <c r="F284" s="345"/>
      <c r="G284" s="345"/>
      <c r="H284" s="345"/>
      <c r="AS284" s="1101" t="s">
        <v>843</v>
      </c>
      <c r="AT284" s="1101"/>
      <c r="AU284" s="1106">
        <f ca="1">SUM(AU243:AU283)</f>
        <v>-3022668.8973847665</v>
      </c>
      <c r="AV284" s="1107"/>
      <c r="AW284" s="1107">
        <f ca="1">ROUND(SUM(AW243:AW283),4)</f>
        <v>-0.20449999999999999</v>
      </c>
      <c r="AX284" s="1107"/>
      <c r="AY284" s="318">
        <v>1</v>
      </c>
    </row>
    <row r="285" spans="2:53" ht="15" customHeight="1">
      <c r="B285" s="343"/>
      <c r="C285" s="344"/>
      <c r="D285" s="344"/>
      <c r="E285" s="344"/>
      <c r="F285" s="345"/>
      <c r="G285" s="345"/>
      <c r="H285" s="345"/>
      <c r="AS285" s="1108" t="str">
        <f>Resultado!B9</f>
        <v>Variação econômica e financeira</v>
      </c>
      <c r="AT285" s="1108"/>
      <c r="AU285" s="1108"/>
      <c r="AV285" s="1109"/>
      <c r="AW285" s="1109">
        <f ca="1">ROUND(AW240+AW284,4)</f>
        <v>-0.14050000000000001</v>
      </c>
      <c r="AX285" s="1109"/>
      <c r="AY285" s="318">
        <v>1</v>
      </c>
    </row>
    <row r="286" spans="2:53" ht="15" customHeight="1">
      <c r="B286" s="343"/>
      <c r="C286" s="347"/>
      <c r="D286" s="343"/>
      <c r="E286" s="344"/>
      <c r="F286" s="345"/>
      <c r="G286" s="345"/>
      <c r="H286" s="348"/>
      <c r="AS286" s="1101" t="s">
        <v>844</v>
      </c>
      <c r="AT286" s="1101"/>
      <c r="AU286" s="1101"/>
      <c r="AV286" s="1101"/>
      <c r="AW286" s="1110">
        <f ca="1">ROUND(AW288-AW285,4)</f>
        <v>0.28010000000000002</v>
      </c>
      <c r="AX286" s="1110"/>
      <c r="AY286" s="318">
        <v>1</v>
      </c>
    </row>
    <row r="287" spans="2:53" ht="26.25" hidden="1" customHeight="1">
      <c r="B287" s="343"/>
      <c r="C287" s="347"/>
      <c r="D287" s="343"/>
      <c r="E287" s="344"/>
      <c r="F287" s="345"/>
      <c r="G287" s="345"/>
      <c r="H287" s="348"/>
      <c r="AS287" s="1111" t="s">
        <v>845</v>
      </c>
      <c r="AT287" s="1111"/>
      <c r="AU287" s="1106"/>
      <c r="AV287" s="1106"/>
      <c r="AW287" s="1112">
        <v>0</v>
      </c>
      <c r="AX287" s="1113"/>
      <c r="AY287" s="318">
        <f t="shared" si="15"/>
        <v>0</v>
      </c>
      <c r="BA287" s="768"/>
    </row>
    <row r="288" spans="2:53" ht="15" customHeight="1">
      <c r="B288" s="343"/>
      <c r="C288" s="347"/>
      <c r="D288" s="347"/>
      <c r="E288" s="344"/>
      <c r="F288" s="345"/>
      <c r="G288" s="345"/>
      <c r="H288" s="349"/>
      <c r="AS288" s="1830" t="s">
        <v>846</v>
      </c>
      <c r="AT288" s="1830"/>
      <c r="AU288" s="1830"/>
      <c r="AV288" s="1830"/>
      <c r="AW288" s="1109">
        <f>Resultado!L5</f>
        <v>0.13960279381483365</v>
      </c>
      <c r="AX288" s="1109"/>
      <c r="AY288" s="318"/>
    </row>
    <row r="289" spans="2:84" ht="15" customHeight="1">
      <c r="AW289" s="770">
        <v>-0.1116</v>
      </c>
      <c r="BA289" s="1092" t="s">
        <v>847</v>
      </c>
      <c r="BB289" s="30" t="s">
        <v>848</v>
      </c>
      <c r="BC289" s="30"/>
      <c r="BD289" s="30"/>
      <c r="BE289" s="30"/>
      <c r="BF289" s="30"/>
      <c r="BG289" s="30"/>
      <c r="BH289" s="303" t="s">
        <v>773</v>
      </c>
      <c r="BI289" s="303" t="s">
        <v>773</v>
      </c>
    </row>
    <row r="290" spans="2:84" ht="45" customHeight="1">
      <c r="AU290" s="413"/>
      <c r="BA290" s="927" t="s">
        <v>849</v>
      </c>
      <c r="BB290" s="927" t="str">
        <f>"Cobertura "&amp;YEAR(CAPA!C14)&amp;"/"&amp;YEAR(CAPA!C14)+1</f>
        <v>Cobertura 2021/2022</v>
      </c>
      <c r="BC290" s="927" t="str">
        <f>"Cobertura "&amp;YEAR(CAPA!C14)&amp;"/"&amp;YEAR(CAPA!C14)+1&amp;" Atualizada"</f>
        <v>Cobertura 2021/2022 Atualizada</v>
      </c>
      <c r="BD290" s="927" t="s">
        <v>850</v>
      </c>
      <c r="BE290" s="927" t="s">
        <v>851</v>
      </c>
      <c r="BF290" s="927" t="s">
        <v>852</v>
      </c>
      <c r="BG290" s="927" t="str">
        <f>"Previsão "&amp;YEAR(CAPA!C14)+1&amp;"/"&amp;YEAR(CAPA!C14)+2</f>
        <v>Previsão 2022/2023</v>
      </c>
      <c r="BH290" s="927" t="str">
        <f>"Previsão "&amp;YEAR(CAPA!C14)+1&amp;"/"&amp;YEAR(CAPA!C14)+2&amp;" + Diferença"</f>
        <v>Previsão 2022/2023 + Diferença</v>
      </c>
      <c r="BI290" s="350" t="str">
        <f>"Previsão "&amp;YEAR(CAPA!C14)+1&amp;"/"&amp;YEAR(CAPA!C14)+2&amp;" Atualizada"&amp;" + Diferença (Mensal)"</f>
        <v>Previsão 2022/2023 Atualizada + Diferença (Mensal)</v>
      </c>
      <c r="BJ290" s="409" t="s">
        <v>726</v>
      </c>
    </row>
    <row r="291" spans="2:84" ht="15" customHeight="1">
      <c r="B291" s="351"/>
      <c r="C291" s="351"/>
      <c r="D291" s="351"/>
      <c r="E291" s="351"/>
      <c r="AU291" s="23">
        <f ca="1">Financeiros!D7</f>
        <v>-3022668.8973847665</v>
      </c>
      <c r="AW291" s="23">
        <f ca="1">lnktxttotalfin</f>
        <v>-0.20453481657439732</v>
      </c>
      <c r="BA291" s="436" t="str">
        <f>BO311</f>
        <v>Subsidio Carga Fonte Incentivda</v>
      </c>
      <c r="BB291" s="928" t="e">
        <f>Indexador!#REF!</f>
        <v>#REF!</v>
      </c>
      <c r="BC291" s="928" t="e">
        <f>Indexador!#REF!</f>
        <v>#REF!</v>
      </c>
      <c r="BD291" s="928" t="e">
        <f>Indexador!#REF!</f>
        <v>#REF!</v>
      </c>
      <c r="BE291" s="928" t="e">
        <f>Indexador!#REF!</f>
        <v>#REF!</v>
      </c>
      <c r="BF291" s="928">
        <f>BP311</f>
        <v>34692.890407873027</v>
      </c>
      <c r="BG291" s="928">
        <f t="shared" ref="BG291:BH296" si="35">BQ311</f>
        <v>81799.084486143911</v>
      </c>
      <c r="BH291" s="928">
        <f t="shared" si="35"/>
        <v>116491.97489401694</v>
      </c>
      <c r="BI291" s="352" t="e">
        <f>Indexador!#REF!</f>
        <v>#REF!</v>
      </c>
      <c r="BJ291" s="333">
        <f t="shared" ref="BJ291:BJ297" si="36">IF(BH291=0,0,1)</f>
        <v>1</v>
      </c>
    </row>
    <row r="292" spans="2:84" ht="15" hidden="1" customHeight="1">
      <c r="B292" s="343"/>
      <c r="C292" s="344"/>
      <c r="D292" s="344"/>
      <c r="E292" s="21"/>
      <c r="AZ292" s="353"/>
      <c r="BA292" s="436" t="str">
        <f t="shared" ref="BA292:BA296" si="37">BO312</f>
        <v>Subsidio Geração Fonte Incentivda</v>
      </c>
      <c r="BB292" s="928" t="e">
        <f>Indexador!#REF!</f>
        <v>#REF!</v>
      </c>
      <c r="BC292" s="928" t="e">
        <f>Indexador!#REF!</f>
        <v>#REF!</v>
      </c>
      <c r="BD292" s="928" t="e">
        <f>Indexador!#REF!</f>
        <v>#REF!</v>
      </c>
      <c r="BE292" s="928" t="e">
        <f>Indexador!#REF!</f>
        <v>#REF!</v>
      </c>
      <c r="BF292" s="929">
        <f t="shared" ref="BF292:BF296" si="38">BP312</f>
        <v>0</v>
      </c>
      <c r="BG292" s="929">
        <f t="shared" si="35"/>
        <v>0</v>
      </c>
      <c r="BH292" s="929">
        <f t="shared" si="35"/>
        <v>0</v>
      </c>
      <c r="BI292" s="352" t="e">
        <f>Indexador!#REF!</f>
        <v>#REF!</v>
      </c>
      <c r="BJ292" s="333">
        <f t="shared" si="36"/>
        <v>0</v>
      </c>
      <c r="BK292" s="354"/>
      <c r="BL292" s="354"/>
      <c r="BM292" s="354"/>
      <c r="BN292" s="354"/>
      <c r="BO292" s="354"/>
      <c r="BP292" s="354"/>
      <c r="BQ292" s="354"/>
      <c r="BR292" s="354"/>
      <c r="BS292" s="354"/>
      <c r="BT292" s="354"/>
      <c r="BU292" s="353"/>
      <c r="BV292" s="353"/>
      <c r="BW292" s="353"/>
      <c r="BX292" s="353"/>
      <c r="BY292" s="353"/>
      <c r="BZ292" s="353"/>
      <c r="CA292" s="353"/>
      <c r="CB292" s="353"/>
      <c r="CC292" s="353"/>
      <c r="CD292" s="353"/>
      <c r="CE292" s="353"/>
      <c r="CF292" s="353"/>
    </row>
    <row r="293" spans="2:84" ht="15" hidden="1" customHeight="1">
      <c r="B293" s="343"/>
      <c r="C293" s="344"/>
      <c r="D293" s="344"/>
      <c r="E293" s="21"/>
      <c r="AZ293" s="353"/>
      <c r="BA293" s="436" t="str">
        <f t="shared" si="37"/>
        <v>Subsidio Distribuição</v>
      </c>
      <c r="BB293" s="928" t="e">
        <f>Indexador!#REF!</f>
        <v>#REF!</v>
      </c>
      <c r="BC293" s="928" t="e">
        <f>Indexador!#REF!</f>
        <v>#REF!</v>
      </c>
      <c r="BD293" s="928" t="e">
        <f>Indexador!#REF!</f>
        <v>#REF!</v>
      </c>
      <c r="BE293" s="928" t="e">
        <f>Indexador!#REF!</f>
        <v>#REF!</v>
      </c>
      <c r="BF293" s="929">
        <f t="shared" si="38"/>
        <v>0</v>
      </c>
      <c r="BG293" s="929">
        <f t="shared" si="35"/>
        <v>0</v>
      </c>
      <c r="BH293" s="929">
        <f t="shared" si="35"/>
        <v>0</v>
      </c>
      <c r="BI293" s="352" t="e">
        <f>Indexador!#REF!</f>
        <v>#REF!</v>
      </c>
      <c r="BJ293" s="333">
        <f t="shared" si="36"/>
        <v>0</v>
      </c>
      <c r="BK293" s="353"/>
      <c r="BL293" s="353"/>
      <c r="BM293" s="353"/>
      <c r="BN293" s="353"/>
      <c r="BO293" s="353"/>
      <c r="BP293" s="353"/>
      <c r="BQ293" s="353"/>
      <c r="BR293" s="353"/>
      <c r="BS293" s="353"/>
      <c r="BT293" s="353"/>
      <c r="BU293" s="353"/>
      <c r="BV293" s="353"/>
      <c r="BW293" s="353"/>
      <c r="BX293" s="353"/>
      <c r="BY293" s="353"/>
      <c r="BZ293" s="353"/>
      <c r="CA293" s="353"/>
      <c r="CB293" s="353"/>
      <c r="CC293" s="353"/>
      <c r="CD293" s="353"/>
      <c r="CE293" s="353"/>
      <c r="CF293" s="353"/>
    </row>
    <row r="294" spans="2:84" ht="15" customHeight="1">
      <c r="B294" s="343"/>
      <c r="D294" s="22"/>
      <c r="AU294" s="310">
        <f ca="1">AU284-AU291</f>
        <v>0</v>
      </c>
      <c r="AW294" s="25">
        <f ca="1">linktxttotfin-AW291</f>
        <v>3.4816574397328326E-5</v>
      </c>
      <c r="AZ294" s="353"/>
      <c r="BA294" s="436" t="str">
        <f t="shared" si="37"/>
        <v>Subsidio Água, Esgoto e Saneamento</v>
      </c>
      <c r="BB294" s="928" t="e">
        <f>Indexador!#REF!</f>
        <v>#REF!</v>
      </c>
      <c r="BC294" s="928" t="e">
        <f>Indexador!#REF!</f>
        <v>#REF!</v>
      </c>
      <c r="BD294" s="928" t="e">
        <f>Indexador!#REF!</f>
        <v>#REF!</v>
      </c>
      <c r="BE294" s="928" t="e">
        <f>Indexador!#REF!</f>
        <v>#REF!</v>
      </c>
      <c r="BF294" s="929">
        <f t="shared" si="38"/>
        <v>-866.69076167700769</v>
      </c>
      <c r="BG294" s="929">
        <f t="shared" si="35"/>
        <v>5488.406044475928</v>
      </c>
      <c r="BH294" s="929">
        <f t="shared" si="35"/>
        <v>4621.7152827989203</v>
      </c>
      <c r="BI294" s="352" t="e">
        <f>Indexador!#REF!</f>
        <v>#REF!</v>
      </c>
      <c r="BJ294" s="333">
        <f t="shared" si="36"/>
        <v>1</v>
      </c>
      <c r="BK294" s="353"/>
      <c r="BL294" s="353"/>
      <c r="BM294" s="353"/>
      <c r="BN294" s="353"/>
      <c r="BO294" s="353"/>
      <c r="BP294" s="353"/>
      <c r="BQ294" s="353"/>
      <c r="BR294" s="353"/>
      <c r="BS294" s="353"/>
      <c r="BT294" s="353"/>
      <c r="BU294" s="353"/>
      <c r="BV294" s="353"/>
      <c r="BW294" s="353"/>
      <c r="BX294" s="353"/>
      <c r="BY294" s="353"/>
      <c r="BZ294" s="353"/>
      <c r="CA294" s="353"/>
      <c r="CB294" s="353"/>
      <c r="CC294" s="353"/>
      <c r="CD294" s="353"/>
      <c r="CE294" s="353"/>
      <c r="CF294" s="353"/>
    </row>
    <row r="295" spans="2:84" ht="15" customHeight="1">
      <c r="B295" s="343"/>
      <c r="C295" s="344"/>
      <c r="D295" s="344"/>
      <c r="E295" s="21"/>
      <c r="AU295" s="413"/>
      <c r="AZ295" s="353"/>
      <c r="BA295" s="436" t="str">
        <f t="shared" si="37"/>
        <v>Subsidio Rural</v>
      </c>
      <c r="BB295" s="928" t="e">
        <f>Indexador!#REF!</f>
        <v>#REF!</v>
      </c>
      <c r="BC295" s="928" t="e">
        <f>Indexador!#REF!</f>
        <v>#REF!</v>
      </c>
      <c r="BD295" s="928" t="e">
        <f>Indexador!#REF!</f>
        <v>#REF!</v>
      </c>
      <c r="BE295" s="928" t="e">
        <f>Indexador!#REF!</f>
        <v>#REF!</v>
      </c>
      <c r="BF295" s="929">
        <f t="shared" si="38"/>
        <v>-48.368243641169101</v>
      </c>
      <c r="BG295" s="929">
        <f t="shared" si="35"/>
        <v>5221.0269105296893</v>
      </c>
      <c r="BH295" s="929">
        <f t="shared" si="35"/>
        <v>5172.6586668885202</v>
      </c>
      <c r="BI295" s="352" t="e">
        <f>Indexador!#REF!</f>
        <v>#REF!</v>
      </c>
      <c r="BJ295" s="333">
        <f t="shared" si="36"/>
        <v>1</v>
      </c>
      <c r="BK295" s="353"/>
      <c r="BL295" s="353"/>
      <c r="BM295" s="353"/>
      <c r="BN295" s="353"/>
      <c r="BO295" s="353"/>
      <c r="BP295" s="353"/>
      <c r="BQ295" s="353"/>
      <c r="BR295" s="353"/>
      <c r="BS295" s="353"/>
      <c r="BT295" s="353"/>
      <c r="BU295" s="353"/>
      <c r="BV295" s="353"/>
      <c r="BW295" s="353"/>
      <c r="BX295" s="353"/>
      <c r="BY295" s="353"/>
      <c r="BZ295" s="353"/>
      <c r="CA295" s="353"/>
      <c r="CB295" s="353"/>
      <c r="CC295" s="353"/>
      <c r="CD295" s="353"/>
      <c r="CE295" s="353"/>
      <c r="CF295" s="353"/>
    </row>
    <row r="296" spans="2:84" ht="15" hidden="1" customHeight="1">
      <c r="AU296" s="413"/>
      <c r="AZ296" s="353"/>
      <c r="BA296" s="436" t="str">
        <f t="shared" si="37"/>
        <v>Subsidio - Irrigante/Aquicultor</v>
      </c>
      <c r="BB296" s="928" t="e">
        <f>Indexador!#REF!</f>
        <v>#REF!</v>
      </c>
      <c r="BC296" s="928" t="e">
        <f>Indexador!#REF!</f>
        <v>#REF!</v>
      </c>
      <c r="BD296" s="928" t="e">
        <f>Indexador!#REF!</f>
        <v>#REF!</v>
      </c>
      <c r="BE296" s="928" t="e">
        <f>Indexador!#REF!</f>
        <v>#REF!</v>
      </c>
      <c r="BF296" s="929">
        <f t="shared" si="38"/>
        <v>0</v>
      </c>
      <c r="BG296" s="929">
        <f t="shared" si="35"/>
        <v>0</v>
      </c>
      <c r="BH296" s="929">
        <f t="shared" si="35"/>
        <v>0</v>
      </c>
      <c r="BI296" s="352" t="e">
        <f>Indexador!#REF!</f>
        <v>#REF!</v>
      </c>
      <c r="BJ296" s="333">
        <f t="shared" si="36"/>
        <v>0</v>
      </c>
      <c r="BK296" s="353"/>
      <c r="BL296" s="353"/>
      <c r="BM296" s="353"/>
      <c r="BN296" s="353"/>
      <c r="BO296" s="353"/>
      <c r="BP296" s="353"/>
      <c r="BQ296" s="353"/>
      <c r="BR296" s="353"/>
      <c r="BS296" s="353"/>
      <c r="BT296" s="353"/>
      <c r="BU296" s="353"/>
      <c r="BV296" s="353"/>
      <c r="BW296" s="353"/>
      <c r="BX296" s="353"/>
      <c r="BY296" s="353"/>
      <c r="BZ296" s="353"/>
      <c r="CA296" s="353"/>
      <c r="CB296" s="353"/>
      <c r="CC296" s="353"/>
      <c r="CD296" s="353"/>
      <c r="CE296" s="353"/>
      <c r="CF296" s="353"/>
    </row>
    <row r="297" spans="2:84" ht="15" customHeight="1">
      <c r="AU297" s="413"/>
      <c r="AW297" s="413"/>
      <c r="AZ297" s="353"/>
      <c r="BA297" s="1101" t="s">
        <v>760</v>
      </c>
      <c r="BB297" s="1114" t="e">
        <f t="shared" ref="BB297:BI297" si="39">SUM(BB291:BB296)</f>
        <v>#REF!</v>
      </c>
      <c r="BC297" s="1114" t="e">
        <f t="shared" si="39"/>
        <v>#REF!</v>
      </c>
      <c r="BD297" s="1114" t="e">
        <f t="shared" si="39"/>
        <v>#REF!</v>
      </c>
      <c r="BE297" s="1114" t="e">
        <f t="shared" si="39"/>
        <v>#REF!</v>
      </c>
      <c r="BF297" s="1115">
        <f t="shared" si="39"/>
        <v>33777.831402554853</v>
      </c>
      <c r="BG297" s="1115">
        <f t="shared" si="39"/>
        <v>92508.517441149525</v>
      </c>
      <c r="BH297" s="1115">
        <f t="shared" si="39"/>
        <v>126286.34884370437</v>
      </c>
      <c r="BI297" s="1116" t="e">
        <f t="shared" si="39"/>
        <v>#REF!</v>
      </c>
      <c r="BJ297" s="335">
        <f t="shared" si="36"/>
        <v>1</v>
      </c>
      <c r="BK297" s="353"/>
      <c r="BL297" s="353"/>
      <c r="BM297" s="353"/>
      <c r="BN297" s="353"/>
      <c r="BO297" s="353"/>
      <c r="BP297" s="353"/>
      <c r="BQ297" s="353"/>
      <c r="BR297" s="353"/>
      <c r="BS297" s="353"/>
      <c r="BT297" s="353"/>
      <c r="BU297" s="353"/>
      <c r="BV297" s="353"/>
      <c r="BW297" s="353"/>
      <c r="BX297" s="353"/>
      <c r="BY297" s="353"/>
      <c r="BZ297" s="353"/>
      <c r="CA297" s="353"/>
      <c r="CB297" s="353"/>
      <c r="CC297" s="353"/>
      <c r="CD297" s="353"/>
      <c r="CE297" s="353"/>
      <c r="CF297" s="353"/>
    </row>
    <row r="298" spans="2:84" ht="15" customHeight="1">
      <c r="B298" s="351"/>
      <c r="C298" s="351"/>
      <c r="AZ298" s="353"/>
      <c r="BC298" s="353"/>
      <c r="BD298" s="353"/>
      <c r="BE298" s="353"/>
      <c r="BF298" s="353"/>
      <c r="BG298" s="353"/>
      <c r="BH298" s="353"/>
      <c r="BI298" s="353"/>
      <c r="BK298" s="1092" t="s">
        <v>635</v>
      </c>
      <c r="BL298" s="353"/>
      <c r="BM298" s="303" t="s">
        <v>773</v>
      </c>
      <c r="BN298" s="353"/>
      <c r="BO298" s="353"/>
      <c r="BP298" s="353"/>
      <c r="BQ298" s="353"/>
      <c r="BR298" s="353"/>
      <c r="BS298" s="353"/>
      <c r="BT298" s="353"/>
      <c r="BU298" s="353"/>
      <c r="BV298" s="353"/>
      <c r="BW298" s="353"/>
      <c r="BX298" s="353"/>
      <c r="BY298" s="353"/>
      <c r="BZ298" s="353"/>
      <c r="CA298" s="353"/>
      <c r="CB298" s="353"/>
      <c r="CC298" s="353"/>
      <c r="CD298" s="353"/>
      <c r="CE298" s="353"/>
      <c r="CF298" s="353"/>
    </row>
    <row r="299" spans="2:84" ht="15" customHeight="1">
      <c r="B299" s="307"/>
      <c r="C299" s="307"/>
      <c r="AZ299" s="353"/>
      <c r="BC299" s="353"/>
      <c r="BD299" s="353"/>
      <c r="BE299" s="353"/>
      <c r="BF299" s="353"/>
      <c r="BG299" s="353"/>
      <c r="BH299" s="353"/>
      <c r="BI299" s="353"/>
      <c r="BJ299" s="353"/>
      <c r="BK299" s="1117" t="s">
        <v>853</v>
      </c>
      <c r="BL299" s="1117" t="s">
        <v>793</v>
      </c>
      <c r="BM299" s="1117" t="s">
        <v>830</v>
      </c>
      <c r="BN299" s="462" t="s">
        <v>726</v>
      </c>
      <c r="BO299" s="353"/>
      <c r="BP299" s="353"/>
      <c r="BQ299" s="353"/>
      <c r="BR299" s="353"/>
      <c r="BS299" s="353"/>
      <c r="BT299" s="353"/>
      <c r="BU299" s="353"/>
      <c r="BV299" s="353"/>
      <c r="BW299" s="353"/>
      <c r="BX299" s="353"/>
      <c r="BY299" s="353"/>
      <c r="BZ299" s="353"/>
      <c r="CA299" s="353"/>
      <c r="CB299" s="353"/>
      <c r="CC299" s="353"/>
      <c r="CD299" s="353"/>
      <c r="CE299" s="353"/>
      <c r="CF299" s="353"/>
    </row>
    <row r="300" spans="2:84" ht="15" hidden="1" customHeight="1">
      <c r="B300" s="307"/>
      <c r="C300" s="307"/>
      <c r="AZ300" s="353"/>
      <c r="BC300" s="353"/>
      <c r="BD300" s="353"/>
      <c r="BE300" s="353"/>
      <c r="BF300" s="353"/>
      <c r="BG300" s="353"/>
      <c r="BH300" s="353"/>
      <c r="BI300" s="353"/>
      <c r="BJ300" s="353"/>
      <c r="BK300" s="65" t="s">
        <v>635</v>
      </c>
      <c r="BL300" s="355">
        <f ca="1">Resultado!C25</f>
        <v>0</v>
      </c>
      <c r="BM300" s="355">
        <f>Resultado!D25</f>
        <v>0</v>
      </c>
      <c r="BN300" s="333">
        <f t="shared" ref="BN300:BN307" si="40">IF(BM300=0,0,1)</f>
        <v>0</v>
      </c>
      <c r="BO300" s="353"/>
      <c r="BP300" s="353"/>
      <c r="BQ300" s="353"/>
      <c r="BR300" s="353"/>
      <c r="BS300" s="353"/>
      <c r="BT300" s="353"/>
      <c r="BU300" s="353"/>
      <c r="BV300" s="353"/>
      <c r="BW300" s="353"/>
      <c r="BX300" s="353"/>
      <c r="BY300" s="353"/>
      <c r="BZ300" s="353"/>
      <c r="CA300" s="353"/>
      <c r="CB300" s="353"/>
      <c r="CC300" s="353"/>
      <c r="CD300" s="353"/>
      <c r="CE300" s="353"/>
      <c r="CF300" s="353"/>
    </row>
    <row r="301" spans="2:84" ht="15" hidden="1" customHeight="1">
      <c r="B301" s="307"/>
      <c r="C301" s="307"/>
      <c r="AZ301" s="353"/>
      <c r="BC301" s="353"/>
      <c r="BD301" s="353"/>
      <c r="BE301" s="353"/>
      <c r="BF301" s="353"/>
      <c r="BG301" s="353"/>
      <c r="BH301" s="353"/>
      <c r="BI301" s="353"/>
      <c r="BJ301" s="353"/>
      <c r="BK301" s="65" t="s">
        <v>637</v>
      </c>
      <c r="BL301" s="355">
        <f ca="1">Resultado!C26</f>
        <v>0</v>
      </c>
      <c r="BM301" s="355">
        <f>Resultado!D26</f>
        <v>0</v>
      </c>
      <c r="BN301" s="333">
        <f t="shared" si="40"/>
        <v>0</v>
      </c>
      <c r="BO301" s="353"/>
      <c r="BP301" s="353"/>
      <c r="BQ301" s="353"/>
      <c r="BR301" s="353"/>
      <c r="BS301" s="353"/>
      <c r="BT301" s="353"/>
      <c r="BU301" s="353"/>
      <c r="BV301" s="353"/>
      <c r="BW301" s="353"/>
      <c r="BX301" s="353"/>
      <c r="BY301" s="353"/>
      <c r="BZ301" s="353"/>
      <c r="CA301" s="353"/>
      <c r="CB301" s="353"/>
      <c r="CC301" s="353"/>
      <c r="CD301" s="353"/>
      <c r="CE301" s="353"/>
      <c r="CF301" s="353"/>
    </row>
    <row r="302" spans="2:84" ht="15" hidden="1" customHeight="1">
      <c r="B302" s="307"/>
      <c r="C302" s="307"/>
      <c r="H302" s="23"/>
      <c r="AZ302" s="353"/>
      <c r="BC302" s="353"/>
      <c r="BD302" s="353"/>
      <c r="BE302" s="353"/>
      <c r="BF302" s="353"/>
      <c r="BG302" s="353"/>
      <c r="BH302" s="353"/>
      <c r="BI302" s="353"/>
      <c r="BJ302" s="353"/>
      <c r="BK302" s="65" t="s">
        <v>718</v>
      </c>
      <c r="BL302" s="355"/>
      <c r="BM302" s="355"/>
      <c r="BN302" s="333">
        <f t="shared" si="40"/>
        <v>0</v>
      </c>
      <c r="BO302" s="353"/>
      <c r="BP302" s="353"/>
      <c r="BQ302" s="353"/>
      <c r="BR302" s="353"/>
      <c r="BS302" s="353"/>
      <c r="BT302" s="353"/>
      <c r="BU302" s="353"/>
      <c r="BV302" s="353"/>
      <c r="BW302" s="353"/>
      <c r="BX302" s="353"/>
      <c r="BY302" s="353"/>
      <c r="BZ302" s="353"/>
      <c r="CA302" s="353"/>
      <c r="CB302" s="353"/>
      <c r="CC302" s="353"/>
      <c r="CD302" s="353"/>
      <c r="CE302" s="353"/>
      <c r="CF302" s="353"/>
    </row>
    <row r="303" spans="2:84" ht="15" hidden="1" customHeight="1">
      <c r="B303" s="307"/>
      <c r="C303" s="307"/>
      <c r="H303" s="23"/>
      <c r="AZ303" s="353"/>
      <c r="BC303" s="353"/>
      <c r="BD303" s="353"/>
      <c r="BE303" s="353"/>
      <c r="BF303" s="353"/>
      <c r="BG303" s="353"/>
      <c r="BH303" s="353"/>
      <c r="BI303" s="353"/>
      <c r="BJ303" s="353"/>
      <c r="BK303" s="65" t="s">
        <v>719</v>
      </c>
      <c r="BL303" s="355"/>
      <c r="BM303" s="355"/>
      <c r="BN303" s="333">
        <f t="shared" si="40"/>
        <v>0</v>
      </c>
      <c r="BO303" s="353"/>
      <c r="BP303" s="353"/>
      <c r="BQ303" s="353"/>
      <c r="BR303" s="353"/>
      <c r="BS303" s="353"/>
      <c r="BT303" s="353"/>
      <c r="BU303" s="353"/>
      <c r="BV303" s="353"/>
      <c r="BW303" s="353"/>
      <c r="BX303" s="353"/>
      <c r="BY303" s="353"/>
      <c r="BZ303" s="353"/>
      <c r="CA303" s="353"/>
      <c r="CB303" s="353"/>
      <c r="CC303" s="353"/>
      <c r="CD303" s="353"/>
      <c r="CE303" s="353"/>
      <c r="CF303" s="353"/>
    </row>
    <row r="304" spans="2:84" ht="15" hidden="1" customHeight="1">
      <c r="B304" s="307"/>
      <c r="C304" s="307"/>
      <c r="H304" s="23"/>
      <c r="AZ304" s="353"/>
      <c r="BC304" s="353"/>
      <c r="BD304" s="353"/>
      <c r="BE304" s="353"/>
      <c r="BF304" s="353"/>
      <c r="BG304" s="353"/>
      <c r="BH304" s="353"/>
      <c r="BI304" s="353"/>
      <c r="BJ304" s="353"/>
      <c r="BK304" s="65" t="s">
        <v>720</v>
      </c>
      <c r="BL304" s="355"/>
      <c r="BM304" s="355"/>
      <c r="BN304" s="333">
        <f t="shared" si="40"/>
        <v>0</v>
      </c>
      <c r="BO304" s="353"/>
      <c r="BP304" s="353"/>
      <c r="BQ304" s="353"/>
      <c r="BR304" s="353"/>
      <c r="BS304" s="353"/>
      <c r="BT304" s="353"/>
      <c r="BU304" s="353"/>
      <c r="BV304" s="353"/>
      <c r="BW304" s="353"/>
      <c r="BX304" s="353"/>
      <c r="BY304" s="353"/>
      <c r="BZ304" s="353"/>
      <c r="CA304" s="353"/>
      <c r="CB304" s="353"/>
      <c r="CC304" s="353"/>
      <c r="CD304" s="353"/>
      <c r="CE304" s="353"/>
      <c r="CF304" s="353"/>
    </row>
    <row r="305" spans="2:84" ht="15" hidden="1" customHeight="1">
      <c r="B305" s="307"/>
      <c r="C305" s="307"/>
      <c r="H305" s="23"/>
      <c r="AZ305" s="353"/>
      <c r="BC305" s="353"/>
      <c r="BD305" s="353"/>
      <c r="BE305" s="353"/>
      <c r="BF305" s="353"/>
      <c r="BG305" s="353"/>
      <c r="BH305" s="353"/>
      <c r="BI305" s="353"/>
      <c r="BJ305" s="353"/>
      <c r="BK305" s="65" t="s">
        <v>721</v>
      </c>
      <c r="BL305" s="355"/>
      <c r="BM305" s="355"/>
      <c r="BN305" s="333">
        <f t="shared" si="40"/>
        <v>0</v>
      </c>
      <c r="BO305" s="353"/>
      <c r="BP305" s="353"/>
      <c r="BQ305" s="353"/>
      <c r="BR305" s="353"/>
      <c r="BS305" s="353"/>
      <c r="BT305" s="353"/>
      <c r="BU305" s="353"/>
      <c r="BV305" s="353"/>
      <c r="BW305" s="353"/>
      <c r="BX305" s="353"/>
      <c r="BY305" s="353"/>
      <c r="BZ305" s="353"/>
      <c r="CA305" s="353"/>
      <c r="CB305" s="353"/>
      <c r="CC305" s="353"/>
      <c r="CD305" s="353"/>
      <c r="CE305" s="353"/>
      <c r="CF305" s="353"/>
    </row>
    <row r="306" spans="2:84" ht="15" hidden="1" customHeight="1">
      <c r="B306" s="307"/>
      <c r="C306" s="307"/>
      <c r="H306" s="23"/>
      <c r="AZ306" s="353"/>
      <c r="BC306" s="353"/>
      <c r="BD306" s="353"/>
      <c r="BE306" s="353"/>
      <c r="BF306" s="353"/>
      <c r="BG306" s="353"/>
      <c r="BH306" s="353"/>
      <c r="BI306" s="353"/>
      <c r="BJ306" s="353"/>
      <c r="BK306" s="65" t="s">
        <v>638</v>
      </c>
      <c r="BL306" s="355">
        <f ca="1">Resultado!C31</f>
        <v>0</v>
      </c>
      <c r="BM306" s="355">
        <f>Resultado!D31</f>
        <v>0</v>
      </c>
      <c r="BN306" s="333">
        <f t="shared" si="40"/>
        <v>0</v>
      </c>
      <c r="BO306" s="353"/>
      <c r="BP306" s="353"/>
      <c r="BQ306" s="353"/>
      <c r="BR306" s="353"/>
      <c r="BS306" s="353"/>
      <c r="BT306" s="353"/>
      <c r="BU306" s="353"/>
      <c r="BV306" s="353"/>
      <c r="BW306" s="353"/>
      <c r="BX306" s="353"/>
      <c r="BY306" s="353"/>
      <c r="BZ306" s="353"/>
      <c r="CA306" s="353"/>
      <c r="CB306" s="353"/>
      <c r="CC306" s="353"/>
      <c r="CD306" s="353"/>
      <c r="CE306" s="353"/>
      <c r="CF306" s="353"/>
    </row>
    <row r="307" spans="2:84" ht="15" hidden="1" customHeight="1">
      <c r="B307" s="307"/>
      <c r="C307" s="307"/>
      <c r="H307" s="23"/>
      <c r="AZ307" s="353"/>
      <c r="BC307" s="353"/>
      <c r="BD307" s="353"/>
      <c r="BE307" s="353"/>
      <c r="BF307" s="353"/>
      <c r="BG307" s="353"/>
      <c r="BH307" s="353"/>
      <c r="BI307" s="353"/>
      <c r="BJ307" s="353"/>
      <c r="BK307" s="65" t="s">
        <v>639</v>
      </c>
      <c r="BL307" s="355">
        <f>Resultado!DJ285</f>
        <v>0</v>
      </c>
      <c r="BM307" s="355">
        <f>Resultado!DK285</f>
        <v>0</v>
      </c>
      <c r="BN307" s="335">
        <f t="shared" si="40"/>
        <v>0</v>
      </c>
      <c r="BO307" s="353"/>
      <c r="BP307" s="353"/>
      <c r="BQ307" s="353"/>
      <c r="BR307" s="353"/>
      <c r="BS307" s="353"/>
      <c r="BT307" s="353"/>
      <c r="BU307" s="353"/>
      <c r="BV307" s="353"/>
      <c r="BW307" s="353"/>
      <c r="BX307" s="353"/>
      <c r="BY307" s="353"/>
      <c r="BZ307" s="353"/>
      <c r="CA307" s="353"/>
      <c r="CB307" s="353"/>
      <c r="CC307" s="353"/>
      <c r="CD307" s="353"/>
      <c r="CE307" s="353"/>
      <c r="CF307" s="353"/>
    </row>
    <row r="308" spans="2:84" ht="15" customHeight="1">
      <c r="B308" s="307"/>
      <c r="C308" s="307"/>
      <c r="H308" s="23"/>
      <c r="AU308" s="310"/>
      <c r="AZ308" s="353"/>
      <c r="BA308" s="353"/>
      <c r="BB308" s="353"/>
      <c r="BC308" s="353"/>
      <c r="BD308" s="353"/>
      <c r="BE308" s="353"/>
      <c r="BF308" s="353"/>
      <c r="BG308" s="353"/>
      <c r="BH308" s="353"/>
      <c r="BI308" s="353"/>
      <c r="BJ308" s="353"/>
      <c r="BK308" s="1118" t="s">
        <v>854</v>
      </c>
      <c r="BL308" s="1116">
        <f ca="1">SUM(BL300:BL307)</f>
        <v>0</v>
      </c>
      <c r="BM308" s="1116">
        <f>SUM(BM300:BM307)</f>
        <v>0</v>
      </c>
      <c r="BN308" s="333">
        <f ca="1">IF(BL308=0,0,1)</f>
        <v>0</v>
      </c>
      <c r="BO308" s="1092" t="s">
        <v>855</v>
      </c>
      <c r="BP308" s="353"/>
      <c r="BQ308" s="353"/>
      <c r="BR308" s="303" t="s">
        <v>773</v>
      </c>
      <c r="BS308" s="353"/>
      <c r="BT308" s="353"/>
      <c r="BU308" s="353"/>
      <c r="BV308" s="353"/>
      <c r="BW308" s="353"/>
      <c r="BX308" s="353"/>
      <c r="BY308" s="353"/>
      <c r="BZ308" s="353"/>
      <c r="CA308" s="353"/>
      <c r="CB308" s="353"/>
      <c r="CC308" s="353"/>
      <c r="CD308" s="353"/>
      <c r="CE308" s="353"/>
      <c r="CF308" s="353"/>
    </row>
    <row r="309" spans="2:84" ht="15" customHeight="1">
      <c r="B309" s="307"/>
      <c r="C309" s="307"/>
      <c r="H309" s="23"/>
      <c r="AZ309" s="353"/>
      <c r="BA309" s="353"/>
      <c r="BB309" s="353"/>
      <c r="BC309" s="353"/>
      <c r="BD309" s="353"/>
      <c r="BE309" s="353"/>
      <c r="BF309" s="353"/>
      <c r="BG309" s="353"/>
      <c r="BH309" s="353"/>
      <c r="BI309" s="353"/>
      <c r="BJ309" s="353"/>
      <c r="BN309" s="353"/>
      <c r="BO309" s="356" t="str">
        <f>"TABELA 9 – VALOR MENSAL DA SUBVENÇÃO DA CDE PARA CUSTEAR DESCONTOS TARIFÁRIOS ("&amp;LnkTXTSigla&amp;")."</f>
        <v>TABELA 9 – VALOR MENSAL DA SUBVENÇÃO DA CDE PARA CUSTEAR DESCONTOS TARIFÁRIOS (Cedri).</v>
      </c>
      <c r="BP309" s="357"/>
      <c r="BQ309" s="357"/>
      <c r="BR309" s="357"/>
      <c r="BS309" s="285"/>
      <c r="BU309" s="353"/>
      <c r="BV309" s="353"/>
      <c r="BW309" s="353"/>
      <c r="BX309" s="353"/>
      <c r="BY309" s="353"/>
      <c r="BZ309" s="353"/>
      <c r="CA309" s="353"/>
      <c r="CB309" s="353"/>
      <c r="CC309" s="353"/>
      <c r="CD309" s="353"/>
      <c r="CE309" s="353"/>
      <c r="CF309" s="353"/>
    </row>
    <row r="310" spans="2:84" ht="12.75">
      <c r="B310" s="307"/>
      <c r="C310" s="307"/>
      <c r="H310" s="23"/>
      <c r="AZ310" s="353"/>
      <c r="BA310" s="353"/>
      <c r="BB310" s="353"/>
      <c r="BC310" s="353"/>
      <c r="BD310" s="353"/>
      <c r="BE310" s="353"/>
      <c r="BF310" s="353"/>
      <c r="BG310" s="353"/>
      <c r="BH310" s="353"/>
      <c r="BI310" s="353"/>
      <c r="BJ310" s="353"/>
      <c r="BN310" s="353"/>
      <c r="BO310" s="1119" t="s">
        <v>856</v>
      </c>
      <c r="BP310" s="1119" t="s">
        <v>857</v>
      </c>
      <c r="BQ310" s="1119" t="s">
        <v>858</v>
      </c>
      <c r="BR310" s="1120" t="s">
        <v>859</v>
      </c>
      <c r="BS310" s="404" t="s">
        <v>726</v>
      </c>
      <c r="BU310" s="353"/>
      <c r="BV310" s="353"/>
      <c r="BW310" s="303" t="s">
        <v>773</v>
      </c>
      <c r="BX310" s="353"/>
      <c r="BY310" s="353"/>
      <c r="BZ310" s="353"/>
      <c r="CA310" s="353"/>
      <c r="CB310" s="353"/>
      <c r="CC310" s="353"/>
      <c r="CD310" s="353"/>
      <c r="CE310" s="353"/>
      <c r="CF310" s="353"/>
    </row>
    <row r="311" spans="2:84" ht="12.75">
      <c r="B311" s="307"/>
      <c r="C311" s="307"/>
      <c r="H311" s="23"/>
      <c r="AU311" s="413"/>
      <c r="AZ311" s="353"/>
      <c r="BA311" s="353"/>
      <c r="BB311" s="353"/>
      <c r="BC311" s="353"/>
      <c r="BD311" s="353"/>
      <c r="BE311" s="353"/>
      <c r="BF311" s="353"/>
      <c r="BG311" s="353"/>
      <c r="BH311" s="353"/>
      <c r="BI311" s="353"/>
      <c r="BJ311" s="353"/>
      <c r="BK311" s="353"/>
      <c r="BL311" s="353"/>
      <c r="BM311" s="353"/>
      <c r="BN311" s="353"/>
      <c r="BO311" s="1121" t="s">
        <v>860</v>
      </c>
      <c r="BP311" s="1122">
        <f>IFERROR(Aj.Subsídio!L5,0)</f>
        <v>34692.890407873027</v>
      </c>
      <c r="BQ311" s="1122">
        <f>IFERROR(Aj.Subsídio!M5,0)</f>
        <v>81799.084486143911</v>
      </c>
      <c r="BR311" s="1122">
        <f t="shared" ref="BR311:BR317" si="41">BP311+BQ311</f>
        <v>116491.97489401694</v>
      </c>
      <c r="BS311" s="405">
        <f t="shared" ref="BS311:BS317" si="42">IF(BR311=0,0,1)</f>
        <v>1</v>
      </c>
      <c r="BU311" s="353"/>
      <c r="BV311" s="353"/>
      <c r="BW311" s="353"/>
      <c r="BX311" s="353"/>
      <c r="BY311" s="353"/>
      <c r="BZ311" s="353"/>
      <c r="CA311" s="353"/>
      <c r="CB311" s="353"/>
      <c r="CC311" s="353"/>
      <c r="CD311" s="353"/>
      <c r="CE311" s="353"/>
      <c r="CF311" s="353"/>
    </row>
    <row r="312" spans="2:84" ht="12.75">
      <c r="B312" s="307"/>
      <c r="C312" s="307"/>
      <c r="H312" s="23"/>
      <c r="AZ312" s="353"/>
      <c r="BA312" s="353"/>
      <c r="BB312" s="353"/>
      <c r="BC312" s="353"/>
      <c r="BD312" s="353"/>
      <c r="BE312" s="353"/>
      <c r="BF312" s="353"/>
      <c r="BG312" s="353"/>
      <c r="BH312" s="353"/>
      <c r="BI312" s="353"/>
      <c r="BJ312" s="353"/>
      <c r="BK312" s="353"/>
      <c r="BL312" s="353"/>
      <c r="BM312" s="353"/>
      <c r="BN312" s="353"/>
      <c r="BO312" s="1121" t="s">
        <v>861</v>
      </c>
      <c r="BP312" s="1122">
        <f>IFERROR(Aj.Subsídio!L6,0)</f>
        <v>0</v>
      </c>
      <c r="BQ312" s="1122">
        <f>IFERROR(Aj.Subsídio!M6,0)</f>
        <v>0</v>
      </c>
      <c r="BR312" s="1123">
        <f t="shared" si="41"/>
        <v>0</v>
      </c>
      <c r="BS312" s="358">
        <f t="shared" si="42"/>
        <v>0</v>
      </c>
      <c r="BU312" s="353"/>
      <c r="BV312" s="353"/>
      <c r="BW312" s="353"/>
      <c r="BX312" s="353"/>
      <c r="BY312" s="353"/>
      <c r="BZ312" s="353"/>
      <c r="CA312" s="353"/>
      <c r="CB312" s="353"/>
      <c r="CC312" s="353"/>
      <c r="CD312" s="353"/>
      <c r="CE312" s="353"/>
      <c r="CF312" s="353"/>
    </row>
    <row r="313" spans="2:84" ht="12.75">
      <c r="B313" s="307"/>
      <c r="C313" s="307"/>
      <c r="H313" s="23"/>
      <c r="AZ313" s="353"/>
      <c r="BB313" s="353"/>
      <c r="BC313" s="353"/>
      <c r="BD313" s="353"/>
      <c r="BE313" s="353"/>
      <c r="BF313" s="353"/>
      <c r="BG313" s="353"/>
      <c r="BH313" s="353"/>
      <c r="BI313" s="353"/>
      <c r="BJ313" s="353"/>
      <c r="BK313" s="353"/>
      <c r="BL313" s="353"/>
      <c r="BM313" s="353"/>
      <c r="BN313" s="353"/>
      <c r="BO313" s="1121" t="s">
        <v>862</v>
      </c>
      <c r="BP313" s="1122">
        <f>IFERROR(Aj.Subsídio!L7,0)</f>
        <v>0</v>
      </c>
      <c r="BQ313" s="1122">
        <f>IFERROR(Aj.Subsídio!M7,0)</f>
        <v>0</v>
      </c>
      <c r="BR313" s="1123">
        <f t="shared" si="41"/>
        <v>0</v>
      </c>
      <c r="BS313" s="358">
        <f t="shared" si="42"/>
        <v>0</v>
      </c>
      <c r="BU313" s="353"/>
      <c r="BV313" s="353"/>
      <c r="BW313" s="353"/>
      <c r="BX313" s="353"/>
      <c r="BY313" s="353"/>
      <c r="BZ313" s="353"/>
      <c r="CA313" s="353"/>
      <c r="CB313" s="353"/>
      <c r="CC313" s="353"/>
      <c r="CD313" s="353"/>
      <c r="CE313" s="353"/>
      <c r="CF313" s="353"/>
    </row>
    <row r="314" spans="2:84" ht="12.75">
      <c r="B314" s="307"/>
      <c r="C314" s="307"/>
      <c r="H314" s="23"/>
      <c r="AZ314" s="353"/>
      <c r="BA314" s="353"/>
      <c r="BB314" s="353"/>
      <c r="BC314" s="353"/>
      <c r="BD314" s="353"/>
      <c r="BE314" s="353"/>
      <c r="BF314" s="353"/>
      <c r="BG314" s="353"/>
      <c r="BH314" s="353"/>
      <c r="BI314" s="353"/>
      <c r="BJ314" s="353"/>
      <c r="BK314" s="353"/>
      <c r="BL314" s="353"/>
      <c r="BM314" s="353"/>
      <c r="BN314" s="353"/>
      <c r="BO314" s="1121" t="s">
        <v>863</v>
      </c>
      <c r="BP314" s="1122">
        <f>IFERROR(Aj.Subsídio!L8,0)</f>
        <v>-866.69076167700769</v>
      </c>
      <c r="BQ314" s="1122">
        <f>IFERROR(Aj.Subsídio!M8,0)</f>
        <v>5488.406044475928</v>
      </c>
      <c r="BR314" s="1123">
        <f t="shared" si="41"/>
        <v>4621.7152827989203</v>
      </c>
      <c r="BS314" s="358">
        <f t="shared" si="42"/>
        <v>1</v>
      </c>
      <c r="BU314" s="353"/>
      <c r="BV314" s="353"/>
      <c r="BW314" s="353"/>
      <c r="BX314" s="353"/>
      <c r="BY314" s="353"/>
      <c r="BZ314" s="353"/>
      <c r="CA314" s="353"/>
      <c r="CB314" s="353"/>
      <c r="CC314" s="353"/>
      <c r="CD314" s="353"/>
      <c r="CE314" s="353"/>
      <c r="CF314" s="353"/>
    </row>
    <row r="315" spans="2:84" ht="12.75">
      <c r="B315" s="307"/>
      <c r="C315" s="307"/>
      <c r="H315" s="23"/>
      <c r="AZ315" s="353"/>
      <c r="BA315" s="353"/>
      <c r="BB315" s="353"/>
      <c r="BC315" s="353"/>
      <c r="BD315" s="353"/>
      <c r="BE315" s="353"/>
      <c r="BF315" s="353"/>
      <c r="BG315" s="353"/>
      <c r="BH315" s="353"/>
      <c r="BI315" s="353"/>
      <c r="BJ315" s="353"/>
      <c r="BK315" s="353"/>
      <c r="BL315" s="353"/>
      <c r="BM315" s="353"/>
      <c r="BN315" s="353"/>
      <c r="BO315" s="1121" t="s">
        <v>864</v>
      </c>
      <c r="BP315" s="1122">
        <f>IFERROR(Aj.Subsídio!L9,0)</f>
        <v>-48.368243641169101</v>
      </c>
      <c r="BQ315" s="1122">
        <f>IFERROR(Aj.Subsídio!M9,0)</f>
        <v>5221.0269105296893</v>
      </c>
      <c r="BR315" s="1123">
        <f t="shared" si="41"/>
        <v>5172.6586668885202</v>
      </c>
      <c r="BS315" s="358">
        <f t="shared" si="42"/>
        <v>1</v>
      </c>
      <c r="BU315" s="353"/>
      <c r="BV315" s="353"/>
      <c r="BW315" s="353"/>
      <c r="BX315" s="353"/>
      <c r="BY315" s="354"/>
      <c r="BZ315" s="354"/>
      <c r="CA315" s="354"/>
      <c r="CB315" s="354"/>
      <c r="CC315" s="354"/>
      <c r="CD315" s="354"/>
      <c r="CE315" s="354"/>
      <c r="CF315" s="353"/>
    </row>
    <row r="316" spans="2:84" ht="12.75">
      <c r="B316" s="307"/>
      <c r="C316" s="307"/>
      <c r="H316" s="23"/>
      <c r="AZ316" s="353"/>
      <c r="BA316" s="353"/>
      <c r="BB316" s="353"/>
      <c r="BC316" s="353"/>
      <c r="BD316" s="353"/>
      <c r="BE316" s="353"/>
      <c r="BF316" s="353"/>
      <c r="BG316" s="353"/>
      <c r="BH316" s="353"/>
      <c r="BI316" s="353"/>
      <c r="BJ316" s="353"/>
      <c r="BK316" s="353"/>
      <c r="BL316" s="353"/>
      <c r="BM316" s="353"/>
      <c r="BN316" s="353"/>
      <c r="BO316" s="1121" t="s">
        <v>865</v>
      </c>
      <c r="BP316" s="1122">
        <f>IFERROR(Aj.Subsídio!L10,0)</f>
        <v>0</v>
      </c>
      <c r="BQ316" s="1122">
        <f>IFERROR(Aj.Subsídio!M10,0)</f>
        <v>0</v>
      </c>
      <c r="BR316" s="1123">
        <f t="shared" si="41"/>
        <v>0</v>
      </c>
      <c r="BS316" s="358">
        <f t="shared" si="42"/>
        <v>0</v>
      </c>
      <c r="BU316" s="353"/>
      <c r="BV316" s="353"/>
      <c r="BW316" s="353"/>
      <c r="BX316" s="353"/>
      <c r="BY316" s="353"/>
      <c r="BZ316" s="353"/>
      <c r="CA316" s="353"/>
      <c r="CB316" s="353"/>
      <c r="CC316" s="353"/>
      <c r="CD316" s="353"/>
      <c r="CE316" s="353"/>
      <c r="CF316" s="353"/>
    </row>
    <row r="317" spans="2:84" ht="12.75">
      <c r="B317" s="307"/>
      <c r="C317" s="307"/>
      <c r="H317" s="23"/>
      <c r="AZ317" s="353"/>
      <c r="BA317" s="353"/>
      <c r="BB317" s="353"/>
      <c r="BC317" s="353"/>
      <c r="BD317" s="353"/>
      <c r="BE317" s="353"/>
      <c r="BF317" s="353"/>
      <c r="BG317" s="353"/>
      <c r="BH317" s="353"/>
      <c r="BI317" s="353"/>
      <c r="BJ317" s="353"/>
      <c r="BK317" s="353"/>
      <c r="BL317" s="353"/>
      <c r="BM317" s="353"/>
      <c r="BN317" s="353"/>
      <c r="BO317" s="1124" t="s">
        <v>769</v>
      </c>
      <c r="BP317" s="1122">
        <f>SUM(BP311:BP316)</f>
        <v>33777.831402554853</v>
      </c>
      <c r="BQ317" s="1122">
        <f>SUM(BQ311:BQ316)</f>
        <v>92508.517441149525</v>
      </c>
      <c r="BR317" s="1123">
        <f t="shared" si="41"/>
        <v>126286.34884370439</v>
      </c>
      <c r="BS317" s="405">
        <f t="shared" si="42"/>
        <v>1</v>
      </c>
      <c r="BU317" s="353"/>
      <c r="BY317" s="353"/>
      <c r="BZ317" s="353"/>
      <c r="CA317" s="353"/>
      <c r="CB317" s="353"/>
      <c r="CC317" s="353"/>
      <c r="CD317" s="353"/>
      <c r="CE317" s="353"/>
      <c r="CF317" s="353"/>
    </row>
    <row r="318" spans="2:84" ht="12.75">
      <c r="B318" s="307"/>
      <c r="C318" s="307"/>
      <c r="H318" s="23"/>
      <c r="AZ318" s="353"/>
      <c r="BA318" s="353"/>
      <c r="BB318" s="353"/>
      <c r="BC318" s="353"/>
      <c r="BD318" s="353"/>
      <c r="BE318" s="353"/>
      <c r="BF318" s="353"/>
      <c r="BG318" s="353"/>
      <c r="BH318" s="353"/>
      <c r="BI318" s="353"/>
      <c r="BJ318" s="353"/>
      <c r="BK318" s="353"/>
      <c r="BL318" s="353"/>
      <c r="BM318" s="353"/>
      <c r="BN318" s="353"/>
      <c r="BO318" s="353"/>
      <c r="BP318" s="353"/>
      <c r="BQ318" s="353"/>
      <c r="BR318" s="353"/>
      <c r="BS318" s="406"/>
      <c r="BT318" s="649" t="s">
        <v>866</v>
      </c>
      <c r="BU318" s="353"/>
      <c r="BY318" s="353"/>
      <c r="BZ318" s="353"/>
      <c r="CA318" s="353"/>
      <c r="CB318" s="353"/>
      <c r="CC318" s="353"/>
      <c r="CD318" s="353"/>
      <c r="CE318" s="353"/>
      <c r="CF318" s="353"/>
    </row>
    <row r="319" spans="2:84" ht="25.5">
      <c r="B319" s="307"/>
      <c r="C319" s="307"/>
      <c r="H319" s="23"/>
      <c r="AZ319" s="353"/>
      <c r="BA319" s="353"/>
      <c r="BB319" s="353"/>
      <c r="BC319" s="353"/>
      <c r="BD319" s="353"/>
      <c r="BE319" s="353"/>
      <c r="BF319" s="353"/>
      <c r="BG319" s="353"/>
      <c r="BH319" s="353"/>
      <c r="BI319" s="353"/>
      <c r="BJ319" s="353"/>
      <c r="BK319" s="353"/>
      <c r="BL319" s="353"/>
      <c r="BM319" s="353"/>
      <c r="BN319" s="353"/>
      <c r="BO319" s="353"/>
      <c r="BP319" s="353"/>
      <c r="BQ319" s="353"/>
      <c r="BR319" s="49"/>
      <c r="BS319" s="353"/>
      <c r="BT319" s="60" t="s">
        <v>27</v>
      </c>
      <c r="BU319" s="60" t="s">
        <v>21</v>
      </c>
      <c r="BV319" s="60" t="s">
        <v>867</v>
      </c>
      <c r="BW319" s="60" t="s">
        <v>868</v>
      </c>
      <c r="BY319" s="23" t="s">
        <v>726</v>
      </c>
      <c r="BZ319" s="651" t="s">
        <v>869</v>
      </c>
      <c r="CA319" s="353"/>
      <c r="CB319" s="353"/>
      <c r="CC319" s="353"/>
      <c r="CD319" s="353"/>
      <c r="CE319" s="353"/>
      <c r="CF319" s="353"/>
    </row>
    <row r="320" spans="2:84" ht="15" customHeight="1">
      <c r="B320" s="307"/>
      <c r="C320" s="307"/>
      <c r="H320" s="23"/>
      <c r="AZ320" s="353"/>
      <c r="BA320" s="353"/>
      <c r="BB320" s="353"/>
      <c r="BC320" s="353"/>
      <c r="BD320" s="353"/>
      <c r="BE320" s="353"/>
      <c r="BF320" s="353"/>
      <c r="BG320" s="353"/>
      <c r="BH320" s="353"/>
      <c r="BI320" s="353"/>
      <c r="BJ320" s="353"/>
      <c r="BK320" s="353"/>
      <c r="BL320" s="353"/>
      <c r="BM320" s="353"/>
      <c r="BN320" s="353"/>
      <c r="BO320" s="353"/>
      <c r="BP320" s="353"/>
      <c r="BQ320" s="353"/>
      <c r="BR320" s="353"/>
      <c r="BS320" s="353"/>
      <c r="BT320" s="305" t="str">
        <f>Energia!B28</f>
        <v>ELEKTRO REDES S.A.</v>
      </c>
      <c r="BU320" s="306" t="str">
        <f>Energia!C28</f>
        <v>A4 (2,3 a 25 kV)</v>
      </c>
      <c r="BV320" s="420">
        <f>Energia!I28</f>
        <v>0</v>
      </c>
      <c r="BW320" s="420">
        <f>Energia!F28</f>
        <v>0</v>
      </c>
      <c r="BY320" s="23">
        <f t="shared" ref="BY320:BY326" si="43">IF(BU320=0,0,1)</f>
        <v>1</v>
      </c>
      <c r="BZ320" s="650"/>
      <c r="CA320" s="353"/>
      <c r="CB320" s="353"/>
      <c r="CC320" s="353"/>
      <c r="CD320" s="353"/>
      <c r="CE320" s="353"/>
      <c r="CF320" s="353"/>
    </row>
    <row r="321" spans="2:80" ht="15" hidden="1" customHeight="1">
      <c r="B321" s="307"/>
      <c r="C321" s="307"/>
      <c r="H321" s="23"/>
      <c r="AZ321" s="353"/>
      <c r="BA321" s="353"/>
      <c r="BB321" s="353"/>
      <c r="BC321" s="353"/>
      <c r="BD321" s="353"/>
      <c r="BE321" s="353"/>
      <c r="BF321" s="353"/>
      <c r="BG321" s="353"/>
      <c r="BH321" s="353"/>
      <c r="BI321" s="353"/>
      <c r="BJ321" s="353"/>
      <c r="BK321" s="353"/>
      <c r="BL321" s="353"/>
      <c r="BM321" s="353"/>
      <c r="BN321" s="353"/>
      <c r="BO321" s="353"/>
      <c r="BP321" s="353"/>
      <c r="BQ321" s="353"/>
      <c r="BR321" s="353"/>
      <c r="BS321" s="353"/>
      <c r="BT321" s="305">
        <f>Energia!B29</f>
        <v>0</v>
      </c>
      <c r="BU321" s="306">
        <f>Energia!C29</f>
        <v>0</v>
      </c>
      <c r="BV321" s="420">
        <f>Energia!I29</f>
        <v>0</v>
      </c>
      <c r="BW321" s="420">
        <f>Energia!F29</f>
        <v>0</v>
      </c>
      <c r="BY321" s="23">
        <f t="shared" si="43"/>
        <v>0</v>
      </c>
      <c r="BZ321" s="650"/>
    </row>
    <row r="322" spans="2:80" ht="15" hidden="1" customHeight="1">
      <c r="B322" s="307"/>
      <c r="C322" s="307"/>
      <c r="H322" s="23"/>
      <c r="AZ322" s="353"/>
      <c r="BA322" s="353"/>
      <c r="BB322" s="353"/>
      <c r="BC322" s="353"/>
      <c r="BD322" s="353"/>
      <c r="BE322" s="353"/>
      <c r="BF322" s="353"/>
      <c r="BG322" s="353"/>
      <c r="BH322" s="353"/>
      <c r="BI322" s="353"/>
      <c r="BJ322" s="353"/>
      <c r="BK322" s="353"/>
      <c r="BL322" s="353"/>
      <c r="BM322" s="353"/>
      <c r="BN322" s="353"/>
      <c r="BO322" s="353"/>
      <c r="BP322" s="353"/>
      <c r="BQ322" s="353"/>
      <c r="BR322" s="353"/>
      <c r="BS322" s="353"/>
      <c r="BT322" s="305">
        <f>Energia!B30</f>
        <v>0</v>
      </c>
      <c r="BU322" s="306">
        <f>Energia!C30</f>
        <v>0</v>
      </c>
      <c r="BV322" s="420">
        <f>Energia!I30</f>
        <v>0</v>
      </c>
      <c r="BW322" s="420">
        <f>Energia!F30</f>
        <v>0</v>
      </c>
      <c r="BY322" s="23">
        <f t="shared" si="43"/>
        <v>0</v>
      </c>
      <c r="BZ322" s="650"/>
    </row>
    <row r="323" spans="2:80" ht="15" hidden="1" customHeight="1">
      <c r="B323" s="307"/>
      <c r="C323" s="307"/>
      <c r="H323" s="23"/>
      <c r="AZ323" s="353"/>
      <c r="BA323" s="353"/>
      <c r="BB323" s="353"/>
      <c r="BC323" s="353"/>
      <c r="BD323" s="353"/>
      <c r="BE323" s="353"/>
      <c r="BF323" s="353"/>
      <c r="BG323" s="353"/>
      <c r="BH323" s="353"/>
      <c r="BI323" s="353"/>
      <c r="BJ323" s="353"/>
      <c r="BK323" s="353"/>
      <c r="BL323" s="353"/>
      <c r="BM323" s="353"/>
      <c r="BN323" s="353"/>
      <c r="BO323" s="353"/>
      <c r="BP323" s="353"/>
      <c r="BQ323" s="353"/>
      <c r="BR323" s="353"/>
      <c r="BS323" s="353"/>
      <c r="BT323" s="305">
        <f>Energia!B31</f>
        <v>0</v>
      </c>
      <c r="BU323" s="306">
        <f>Energia!C31</f>
        <v>0</v>
      </c>
      <c r="BV323" s="420">
        <f>Energia!I31</f>
        <v>0</v>
      </c>
      <c r="BW323" s="420">
        <f>Energia!F31</f>
        <v>0</v>
      </c>
      <c r="BY323" s="23">
        <f t="shared" si="43"/>
        <v>0</v>
      </c>
      <c r="BZ323" s="650"/>
    </row>
    <row r="324" spans="2:80" ht="15" hidden="1" customHeight="1">
      <c r="B324" s="307"/>
      <c r="C324" s="307"/>
      <c r="H324" s="23"/>
      <c r="AZ324" s="353"/>
      <c r="BA324" s="353"/>
      <c r="BB324" s="353"/>
      <c r="BC324" s="353"/>
      <c r="BD324" s="353"/>
      <c r="BE324" s="353"/>
      <c r="BF324" s="353"/>
      <c r="BG324" s="353"/>
      <c r="BH324" s="353"/>
      <c r="BI324" s="353"/>
      <c r="BJ324" s="353"/>
      <c r="BK324" s="353"/>
      <c r="BL324" s="353"/>
      <c r="BM324" s="353"/>
      <c r="BN324" s="353"/>
      <c r="BO324" s="353"/>
      <c r="BP324" s="353"/>
      <c r="BQ324" s="353"/>
      <c r="BR324" s="353"/>
      <c r="BS324" s="353"/>
      <c r="BT324" s="305">
        <f>Energia!B32</f>
        <v>0</v>
      </c>
      <c r="BU324" s="306">
        <f>Energia!C32</f>
        <v>0</v>
      </c>
      <c r="BV324" s="420">
        <f>Energia!I32</f>
        <v>0</v>
      </c>
      <c r="BW324" s="420">
        <f>Energia!F32</f>
        <v>0</v>
      </c>
      <c r="BY324" s="23">
        <f t="shared" si="43"/>
        <v>0</v>
      </c>
      <c r="BZ324" s="650"/>
    </row>
    <row r="325" spans="2:80" ht="15" hidden="1" customHeight="1">
      <c r="B325" s="307"/>
      <c r="C325" s="307"/>
      <c r="H325" s="23"/>
      <c r="AZ325" s="353"/>
      <c r="BA325" s="353"/>
      <c r="BB325" s="353"/>
      <c r="BC325" s="353"/>
      <c r="BD325" s="353"/>
      <c r="BE325" s="353"/>
      <c r="BF325" s="353"/>
      <c r="BG325" s="353"/>
      <c r="BH325" s="353"/>
      <c r="BI325" s="353"/>
      <c r="BJ325" s="353"/>
      <c r="BK325" s="353"/>
      <c r="BL325" s="353"/>
      <c r="BM325" s="353"/>
      <c r="BN325" s="353"/>
      <c r="BO325" s="353"/>
      <c r="BP325" s="353"/>
      <c r="BQ325" s="353"/>
      <c r="BR325" s="353"/>
      <c r="BS325" s="353"/>
      <c r="BT325" s="305">
        <f>Energia!B34</f>
        <v>0</v>
      </c>
      <c r="BU325" s="306">
        <f>Energia!C34</f>
        <v>0</v>
      </c>
      <c r="BV325" s="420">
        <f>Energia!I34</f>
        <v>0</v>
      </c>
      <c r="BW325" s="420" t="str">
        <f>Energia!F34</f>
        <v/>
      </c>
      <c r="BY325" s="23">
        <f t="shared" si="43"/>
        <v>0</v>
      </c>
      <c r="BZ325" s="650"/>
    </row>
    <row r="326" spans="2:80" ht="15" hidden="1" customHeight="1">
      <c r="B326" s="307"/>
      <c r="C326" s="307"/>
      <c r="H326" s="23"/>
      <c r="AZ326" s="353"/>
      <c r="BA326" s="353"/>
      <c r="BB326" s="353"/>
      <c r="BC326" s="353"/>
      <c r="BD326" s="353"/>
      <c r="BE326" s="353"/>
      <c r="BF326" s="353"/>
      <c r="BG326" s="353"/>
      <c r="BH326" s="353"/>
      <c r="BI326" s="353"/>
      <c r="BJ326" s="353"/>
      <c r="BK326" s="353"/>
      <c r="BL326" s="353"/>
      <c r="BM326" s="353"/>
      <c r="BN326" s="353"/>
      <c r="BO326" s="353"/>
      <c r="BP326" s="353"/>
      <c r="BQ326" s="353"/>
      <c r="BR326" s="353"/>
      <c r="BS326" s="353"/>
      <c r="BT326" s="305" t="e">
        <f>Energia!#REF!</f>
        <v>#REF!</v>
      </c>
      <c r="BU326" s="306" t="e">
        <f>Energia!#REF!</f>
        <v>#REF!</v>
      </c>
      <c r="BV326" s="420" t="e">
        <f>Energia!#REF!</f>
        <v>#REF!</v>
      </c>
      <c r="BW326" s="420" t="e">
        <f>Energia!#REF!</f>
        <v>#REF!</v>
      </c>
      <c r="BY326" s="23" t="e">
        <f t="shared" si="43"/>
        <v>#REF!</v>
      </c>
      <c r="BZ326" s="652" t="s">
        <v>633</v>
      </c>
      <c r="CB326" s="303" t="s">
        <v>773</v>
      </c>
    </row>
    <row r="327" spans="2:80" ht="15" customHeight="1">
      <c r="B327" s="307"/>
      <c r="C327" s="307"/>
      <c r="H327" s="23"/>
      <c r="AZ327" s="353"/>
      <c r="BA327" s="353"/>
      <c r="BB327" s="353"/>
      <c r="BC327" s="353"/>
      <c r="BD327" s="353"/>
      <c r="BE327" s="353"/>
      <c r="BF327" s="353"/>
      <c r="BG327" s="353"/>
      <c r="BH327" s="353"/>
      <c r="BI327" s="353"/>
      <c r="BJ327" s="353"/>
      <c r="BK327" s="353"/>
      <c r="BL327" s="353"/>
      <c r="BM327" s="353"/>
      <c r="BN327" s="353"/>
      <c r="BO327" s="353"/>
      <c r="BP327" s="353"/>
      <c r="BQ327" s="353"/>
      <c r="BR327" s="353"/>
      <c r="BS327" s="353"/>
      <c r="BZ327" s="1125" t="s">
        <v>633</v>
      </c>
      <c r="CA327" s="1126" t="e">
        <f>SUM(CA328:CA329)</f>
        <v>#REF!</v>
      </c>
    </row>
    <row r="328" spans="2:80" ht="15" customHeight="1">
      <c r="B328" s="307"/>
      <c r="C328" s="307"/>
      <c r="H328" s="23"/>
      <c r="AZ328" s="353"/>
      <c r="BA328" s="353"/>
      <c r="BB328" s="353"/>
      <c r="BC328" s="353"/>
      <c r="BD328" s="353"/>
      <c r="BE328" s="353"/>
      <c r="BF328" s="353"/>
      <c r="BG328" s="353"/>
      <c r="BH328" s="353"/>
      <c r="BI328" s="353"/>
      <c r="BJ328" s="353"/>
      <c r="BK328" s="353"/>
      <c r="BL328" s="353"/>
      <c r="BM328" s="353"/>
      <c r="BN328" s="353"/>
      <c r="BO328" s="353"/>
      <c r="BP328" s="353"/>
      <c r="BQ328" s="353"/>
      <c r="BR328" s="353"/>
      <c r="BS328" s="353"/>
      <c r="BZ328" s="421" t="s">
        <v>870</v>
      </c>
      <c r="CA328" s="422" t="e">
        <f>CAPA!#REF!</f>
        <v>#REF!</v>
      </c>
    </row>
    <row r="329" spans="2:80" ht="15" customHeight="1">
      <c r="B329" s="307"/>
      <c r="C329" s="307"/>
      <c r="H329" s="23"/>
      <c r="AZ329" s="353"/>
      <c r="BA329" s="353"/>
      <c r="BB329" s="353"/>
      <c r="BC329" s="353"/>
      <c r="BD329" s="353"/>
      <c r="BE329" s="353"/>
      <c r="BF329" s="353"/>
      <c r="BG329" s="353"/>
      <c r="BH329" s="353"/>
      <c r="BI329" s="353"/>
      <c r="BJ329" s="353"/>
      <c r="BK329" s="353"/>
      <c r="BL329" s="353"/>
      <c r="BM329" s="353"/>
      <c r="BN329" s="353"/>
      <c r="BO329" s="353"/>
      <c r="BP329" s="353"/>
      <c r="BQ329" s="353"/>
      <c r="BR329" s="353"/>
      <c r="BS329" s="353"/>
      <c r="BZ329" s="1127" t="s">
        <v>871</v>
      </c>
      <c r="CA329" s="1128" t="e">
        <f>CAPA!#REF!</f>
        <v>#REF!</v>
      </c>
    </row>
    <row r="330" spans="2:80" ht="15" customHeight="1">
      <c r="B330" s="307"/>
      <c r="C330" s="307"/>
      <c r="H330" s="23"/>
      <c r="AZ330" s="353"/>
      <c r="BA330" s="353"/>
      <c r="BB330" s="353"/>
      <c r="BC330" s="353"/>
      <c r="BD330" s="353"/>
      <c r="BE330" s="353"/>
      <c r="BF330" s="353"/>
      <c r="BG330" s="353"/>
      <c r="BH330" s="353"/>
      <c r="BI330" s="353"/>
      <c r="BJ330" s="353"/>
      <c r="BK330" s="353"/>
      <c r="BL330" s="353"/>
      <c r="BM330" s="353"/>
      <c r="BN330" s="353"/>
      <c r="BO330" s="353"/>
      <c r="BP330" s="353"/>
      <c r="BQ330" s="353"/>
      <c r="BR330" s="353"/>
      <c r="BS330" s="353"/>
      <c r="BW330" s="306">
        <v>0</v>
      </c>
    </row>
    <row r="331" spans="2:80" ht="15" customHeight="1">
      <c r="B331" s="307"/>
      <c r="C331" s="307"/>
      <c r="H331" s="23"/>
      <c r="AZ331" s="353"/>
      <c r="BA331" s="353"/>
      <c r="BB331" s="353"/>
      <c r="BC331" s="353"/>
      <c r="BD331" s="353"/>
      <c r="BE331" s="353"/>
      <c r="BF331" s="353"/>
      <c r="BG331" s="353"/>
      <c r="BH331" s="353"/>
      <c r="BI331" s="353"/>
      <c r="BJ331" s="353"/>
      <c r="BK331" s="353"/>
      <c r="BL331" s="353"/>
      <c r="BM331" s="353"/>
      <c r="BN331" s="353"/>
      <c r="BO331" s="353"/>
      <c r="BP331" s="353"/>
      <c r="BQ331" s="353"/>
      <c r="BR331" s="353"/>
      <c r="BS331" s="353"/>
    </row>
    <row r="332" spans="2:80" ht="15" customHeight="1">
      <c r="B332" s="307"/>
      <c r="C332" s="307"/>
      <c r="H332" s="23"/>
      <c r="AZ332" s="353"/>
      <c r="BA332" s="353"/>
      <c r="BB332" s="353"/>
      <c r="BC332" s="353"/>
      <c r="BD332" s="353"/>
      <c r="BE332" s="353"/>
      <c r="BF332" s="353"/>
      <c r="BG332" s="353"/>
      <c r="BH332" s="353"/>
      <c r="BI332" s="353"/>
      <c r="BJ332" s="353"/>
      <c r="BK332" s="353"/>
      <c r="BL332" s="353"/>
      <c r="BM332" s="353"/>
      <c r="BN332" s="353"/>
      <c r="BO332" s="353"/>
      <c r="BP332" s="353"/>
      <c r="BQ332" s="353"/>
      <c r="BR332" s="353"/>
      <c r="BS332" s="353"/>
    </row>
    <row r="333" spans="2:80" ht="15" customHeight="1">
      <c r="B333" s="307"/>
      <c r="C333" s="307"/>
      <c r="H333" s="23"/>
      <c r="AZ333" s="353"/>
      <c r="BA333" s="353"/>
      <c r="BB333" s="353"/>
      <c r="BC333" s="353"/>
      <c r="BD333" s="353"/>
      <c r="BE333" s="353"/>
      <c r="BF333" s="353"/>
      <c r="BG333" s="353"/>
      <c r="BH333" s="353"/>
      <c r="BI333" s="353"/>
      <c r="BJ333" s="353"/>
      <c r="BK333" s="353"/>
      <c r="BL333" s="353"/>
      <c r="BM333" s="353"/>
      <c r="BN333" s="353"/>
      <c r="BO333" s="353"/>
      <c r="BP333" s="353"/>
      <c r="BQ333" s="353"/>
      <c r="BR333" s="353"/>
      <c r="BS333" s="353"/>
    </row>
    <row r="334" spans="2:80" ht="15" customHeight="1">
      <c r="B334" s="351"/>
      <c r="C334" s="359"/>
      <c r="H334" s="23"/>
    </row>
    <row r="335" spans="2:80" ht="15" customHeight="1">
      <c r="H335" s="23"/>
    </row>
    <row r="336" spans="2:80" ht="15" customHeight="1">
      <c r="H336" s="23"/>
    </row>
    <row r="337" spans="2:8" ht="15" customHeight="1">
      <c r="H337" s="23"/>
    </row>
    <row r="338" spans="2:8" ht="15" customHeight="1">
      <c r="B338" s="1833"/>
      <c r="C338" s="1833"/>
      <c r="H338" s="23"/>
    </row>
    <row r="339" spans="2:8" ht="15" customHeight="1">
      <c r="C339" s="24"/>
      <c r="H339" s="23"/>
    </row>
    <row r="340" spans="2:8" ht="15" customHeight="1">
      <c r="C340" s="307"/>
      <c r="H340" s="23"/>
    </row>
    <row r="341" spans="2:8" ht="15" customHeight="1">
      <c r="C341" s="25"/>
      <c r="H341" s="23"/>
    </row>
    <row r="342" spans="2:8" ht="15" customHeight="1">
      <c r="C342" s="25"/>
      <c r="H342" s="23"/>
    </row>
    <row r="343" spans="2:8" ht="15" customHeight="1">
      <c r="C343" s="25"/>
      <c r="H343" s="23"/>
    </row>
    <row r="344" spans="2:8" ht="15" customHeight="1">
      <c r="B344" s="1833"/>
      <c r="C344" s="1833"/>
      <c r="H344" s="23"/>
    </row>
    <row r="345" spans="2:8" ht="15" customHeight="1">
      <c r="B345" s="362"/>
      <c r="C345" s="363"/>
      <c r="H345" s="23"/>
    </row>
    <row r="346" spans="2:8" ht="15" customHeight="1">
      <c r="C346" s="307"/>
      <c r="H346" s="23"/>
    </row>
    <row r="347" spans="2:8" ht="15" customHeight="1">
      <c r="C347" s="307"/>
      <c r="H347" s="23"/>
    </row>
    <row r="348" spans="2:8" ht="15" customHeight="1">
      <c r="C348" s="307"/>
      <c r="H348" s="23"/>
    </row>
    <row r="349" spans="2:8" ht="15" customHeight="1">
      <c r="C349" s="307"/>
      <c r="H349" s="23"/>
    </row>
    <row r="350" spans="2:8" ht="15" customHeight="1">
      <c r="B350" s="362"/>
      <c r="C350" s="26"/>
      <c r="H350" s="23"/>
    </row>
    <row r="351" spans="2:8" ht="15" customHeight="1">
      <c r="B351" s="362"/>
      <c r="C351" s="26"/>
      <c r="H351" s="23"/>
    </row>
    <row r="352" spans="2:8" ht="15" customHeight="1">
      <c r="B352" s="362"/>
      <c r="C352" s="363"/>
      <c r="H352" s="23"/>
    </row>
    <row r="353" spans="2:8" ht="15" customHeight="1">
      <c r="B353" s="1833"/>
      <c r="C353" s="1833"/>
      <c r="H353" s="23"/>
    </row>
    <row r="354" spans="2:8" ht="15" customHeight="1">
      <c r="C354" s="26"/>
      <c r="H354" s="23"/>
    </row>
    <row r="355" spans="2:8" ht="15" customHeight="1">
      <c r="C355" s="26"/>
      <c r="H355" s="23"/>
    </row>
    <row r="356" spans="2:8" ht="15" customHeight="1">
      <c r="C356" s="310"/>
      <c r="H356" s="23"/>
    </row>
    <row r="357" spans="2:8" ht="15" customHeight="1">
      <c r="C357" s="26"/>
      <c r="H357" s="23"/>
    </row>
    <row r="358" spans="2:8" ht="15" customHeight="1">
      <c r="C358" s="26"/>
      <c r="H358" s="23"/>
    </row>
    <row r="359" spans="2:8" ht="15" customHeight="1">
      <c r="C359" s="26"/>
      <c r="H359" s="23"/>
    </row>
    <row r="360" spans="2:8" ht="15" customHeight="1">
      <c r="B360" s="362"/>
      <c r="C360" s="26"/>
      <c r="H360" s="23"/>
    </row>
    <row r="361" spans="2:8" ht="15" customHeight="1">
      <c r="B361" s="362"/>
      <c r="C361" s="26"/>
      <c r="H361" s="23"/>
    </row>
    <row r="362" spans="2:8" ht="15" customHeight="1">
      <c r="H362" s="23"/>
    </row>
    <row r="363" spans="2:8" ht="15" customHeight="1">
      <c r="H363" s="23"/>
    </row>
    <row r="364" spans="2:8" ht="15" customHeight="1">
      <c r="H364" s="23"/>
    </row>
    <row r="365" spans="2:8" ht="15" customHeight="1">
      <c r="H365" s="23"/>
    </row>
    <row r="366" spans="2:8" ht="30" customHeight="1">
      <c r="B366" s="365"/>
      <c r="C366" s="366"/>
      <c r="H366" s="23"/>
    </row>
    <row r="367" spans="2:8" ht="15" customHeight="1">
      <c r="B367" s="367"/>
      <c r="C367" s="27"/>
      <c r="H367" s="23"/>
    </row>
    <row r="368" spans="2:8" ht="15" customHeight="1">
      <c r="B368" s="367"/>
      <c r="C368" s="27"/>
      <c r="H368" s="23"/>
    </row>
    <row r="369" spans="2:8" ht="15" customHeight="1">
      <c r="B369" s="367"/>
      <c r="C369" s="27"/>
      <c r="H369" s="23"/>
    </row>
    <row r="370" spans="2:8" ht="15" customHeight="1">
      <c r="B370" s="367"/>
      <c r="C370" s="27"/>
      <c r="H370" s="23"/>
    </row>
    <row r="371" spans="2:8" ht="15" customHeight="1">
      <c r="B371" s="367"/>
      <c r="C371" s="368"/>
      <c r="H371" s="23"/>
    </row>
    <row r="372" spans="2:8" ht="15" customHeight="1">
      <c r="B372" s="367"/>
      <c r="C372" s="27"/>
      <c r="H372" s="23"/>
    </row>
    <row r="373" spans="2:8" ht="15" customHeight="1">
      <c r="B373" s="367"/>
      <c r="C373" s="368"/>
      <c r="H373" s="23"/>
    </row>
    <row r="399" ht="31.5" customHeight="1"/>
    <row r="400" ht="15.75" customHeight="1"/>
    <row r="410" spans="72:74" ht="15" customHeight="1">
      <c r="BT410" s="418"/>
      <c r="BU410" s="419"/>
      <c r="BV410" s="419"/>
    </row>
    <row r="411" spans="72:74" ht="15" customHeight="1">
      <c r="BT411" s="418"/>
      <c r="BU411" s="419"/>
      <c r="BV411" s="419"/>
    </row>
    <row r="412" spans="72:74" ht="15" customHeight="1">
      <c r="BT412" s="418"/>
      <c r="BU412" s="419"/>
      <c r="BV412" s="419"/>
    </row>
    <row r="413" spans="72:74" ht="15" customHeight="1">
      <c r="BT413" s="418"/>
      <c r="BU413" s="419"/>
      <c r="BV413" s="419"/>
    </row>
    <row r="414" spans="72:74" ht="15" customHeight="1">
      <c r="BT414" s="418"/>
      <c r="BU414" s="419"/>
      <c r="BV414" s="419"/>
    </row>
    <row r="415" spans="72:74" ht="15" customHeight="1">
      <c r="BT415" s="418"/>
      <c r="BU415" s="419"/>
      <c r="BV415" s="419"/>
    </row>
  </sheetData>
  <mergeCells count="31">
    <mergeCell ref="B353:C353"/>
    <mergeCell ref="B338:C338"/>
    <mergeCell ref="AH74:AJ74"/>
    <mergeCell ref="AH78:AJ78"/>
    <mergeCell ref="AH83:AJ83"/>
    <mergeCell ref="AH75:AJ75"/>
    <mergeCell ref="B97:F97"/>
    <mergeCell ref="B98:F98"/>
    <mergeCell ref="B99:F99"/>
    <mergeCell ref="B100:F100"/>
    <mergeCell ref="B107:F107"/>
    <mergeCell ref="B108:F108"/>
    <mergeCell ref="B105:F105"/>
    <mergeCell ref="C79:E79"/>
    <mergeCell ref="AS288:AV288"/>
    <mergeCell ref="S20:T20"/>
    <mergeCell ref="L51:N51"/>
    <mergeCell ref="B344:C344"/>
    <mergeCell ref="B90:F90"/>
    <mergeCell ref="B95:F95"/>
    <mergeCell ref="B96:F96"/>
    <mergeCell ref="C81:E81"/>
    <mergeCell ref="C82:E82"/>
    <mergeCell ref="B87:F87"/>
    <mergeCell ref="B88:F88"/>
    <mergeCell ref="S7:U7"/>
    <mergeCell ref="C75:E75"/>
    <mergeCell ref="C76:E76"/>
    <mergeCell ref="C77:E77"/>
    <mergeCell ref="C78:E78"/>
    <mergeCell ref="C74:E74"/>
  </mergeCells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9" location="'Tabelas e Gráficos'!A1" display="Voltar" xr:uid="{00000000-0004-0000-0300-000003000000}"/>
    <hyperlink ref="Q112" location="'Tabelas e Gráficos'!A1" display="Voltar" xr:uid="{00000000-0004-0000-0300-000004000000}"/>
    <hyperlink ref="T119" location="'Tabelas e Gráficos'!A1" display="Voltar" xr:uid="{00000000-0004-0000-0300-000005000000}"/>
    <hyperlink ref="X129" location="'Tabelas e Gráficos'!A1" display="Voltar" xr:uid="{00000000-0004-0000-0300-000006000000}"/>
    <hyperlink ref="AC138" location="'Tabelas e Gráficos'!A1" display="Voltar" xr:uid="{00000000-0004-0000-0300-000007000000}"/>
    <hyperlink ref="AK146" location="'Tabelas e Gráficos'!A1" display="Voltar" xr:uid="{00000000-0004-0000-0300-000008000000}"/>
    <hyperlink ref="AN165" location="'Tabelas e Gráficos'!A1" display="Voltar" xr:uid="{00000000-0004-0000-0300-000009000000}"/>
    <hyperlink ref="AQ211" location="'Tabelas e Gráficos'!A1" display="Voltar" xr:uid="{00000000-0004-0000-0300-00000A000000}"/>
    <hyperlink ref="AX217" location="'Tabelas e Gráficos'!A1" display="Voltar" xr:uid="{00000000-0004-0000-0300-00000B000000}"/>
    <hyperlink ref="BI289" location="'Tabelas e Gráficos '!A1" display="Voltar" xr:uid="{00000000-0004-0000-0300-00000C000000}"/>
    <hyperlink ref="BM298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89" location="'Tabelas e Gráficos'!A1" display="Voltar" xr:uid="{00000000-0004-0000-0300-00001D000000}"/>
    <hyperlink ref="B19" location="'Tabelas e Gráficos'!BT256" display="Descontos na TE" xr:uid="{00000000-0004-0000-0300-00001E000000}"/>
    <hyperlink ref="BR308" location="'Tabelas e Gráficos'!A1" display="Voltar" xr:uid="{00000000-0004-0000-0300-00001F000000}"/>
    <hyperlink ref="BW310" location="'Tabelas e Gráficos'!A1" display="Voltar" xr:uid="{00000000-0004-0000-0300-000020000000}"/>
    <hyperlink ref="CB326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20:AX221 AS286:AV286 AB144 AT243 AV243 AS284:AT284 AX284 AS235:AX235 AS233:AU233 AW233:AX233 AS234:AU234 AW234:AX234 AS290 AS288:AV288 AT287 AX287 AS226:AU226 AS223:AT223 AX223 AS219 AU219:AV219 AS240:AX242 AS239 AU239:AX239 AS238:AV238 AS237:AT237 AV237:AX237 AX238 AX219 AS285:AV285 AX285 AX286 AS222:AV222 AX222 AS228:AX229 AS227:AV227 AX227 AS232:AV232 AS230:AV230 AX230 AS231:AV231 AX231 AX232 AS236:AV236 AX236 K85 AT224 AW224:AX224 AW230:AW232 AX288 AX243" formula="1"/>
    <ignoredError sqref="L81:L84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100"/>
  <sheetViews>
    <sheetView showGridLines="0" topLeftCell="A27" zoomScale="66" zoomScaleNormal="66" workbookViewId="0">
      <selection activeCell="D45" sqref="D45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95" style="68" bestFit="1" customWidth="1"/>
    <col min="4" max="4" width="40.140625" style="107" bestFit="1" customWidth="1"/>
    <col min="5" max="5" width="16.28515625" style="906" customWidth="1"/>
    <col min="6" max="6" width="31.42578125" style="1599" customWidth="1"/>
    <col min="7" max="7" width="47.85546875" style="1599" bestFit="1" customWidth="1"/>
    <col min="8" max="13" width="16.28515625" style="906" customWidth="1"/>
    <col min="14" max="14" width="16.42578125" style="68" customWidth="1"/>
    <col min="15" max="15" width="56.42578125" style="68" bestFit="1" customWidth="1"/>
    <col min="16" max="18" width="9.28515625" style="68" bestFit="1" customWidth="1"/>
    <col min="19" max="19" width="9.140625" style="68"/>
    <col min="20" max="20" width="39.85546875" style="68" bestFit="1" customWidth="1"/>
    <col min="21" max="21" width="17.5703125" style="68" bestFit="1" customWidth="1"/>
    <col min="22" max="22" width="25" style="68" bestFit="1" customWidth="1"/>
    <col min="23" max="23" width="14.5703125" style="68" bestFit="1" customWidth="1"/>
    <col min="24" max="16384" width="9.140625" style="68"/>
  </cols>
  <sheetData>
    <row r="1" spans="3:23" ht="23.25" customHeight="1">
      <c r="C1" s="930" t="s">
        <v>724</v>
      </c>
      <c r="D1" s="1302"/>
      <c r="E1" s="1303"/>
      <c r="F1" s="1592"/>
      <c r="G1" s="1707"/>
      <c r="H1" s="1706"/>
      <c r="I1" s="1590"/>
      <c r="J1" s="1601" t="s">
        <v>873</v>
      </c>
      <c r="K1" s="1229">
        <f ca="1">LnkTXTIRTEco</f>
        <v>6.4000000000000001E-2</v>
      </c>
      <c r="L1" s="1590"/>
      <c r="M1" s="1590"/>
    </row>
    <row r="2" spans="3:23" ht="16.5">
      <c r="C2" s="620" t="str">
        <f>CAPA!B2</f>
        <v>Cedri</v>
      </c>
      <c r="D2" s="622"/>
      <c r="E2" s="902"/>
      <c r="F2" s="1593"/>
      <c r="G2" s="1703" t="s">
        <v>2258</v>
      </c>
      <c r="H2" s="1708">
        <f ca="1">LnkTXTEV/LnkTXTER</f>
        <v>0.88119999999999998</v>
      </c>
      <c r="I2" s="902"/>
      <c r="J2" s="1602" t="s">
        <v>877</v>
      </c>
      <c r="K2" s="1603">
        <f ca="1">LnkTXTIRTTotal</f>
        <v>-0.14050000000000001</v>
      </c>
      <c r="L2" s="902"/>
      <c r="M2" s="902"/>
    </row>
    <row r="3" spans="3:23" ht="16.5">
      <c r="C3" s="624"/>
      <c r="D3" s="622"/>
      <c r="E3" s="902"/>
      <c r="F3" s="1593"/>
      <c r="G3" s="1704" t="s">
        <v>2260</v>
      </c>
      <c r="H3" s="1709">
        <f ca="1">Energia!D10/LnkTXTER</f>
        <v>0</v>
      </c>
      <c r="I3" s="902"/>
      <c r="J3" s="902"/>
      <c r="K3" s="902"/>
      <c r="L3" s="902"/>
      <c r="M3" s="902"/>
    </row>
    <row r="4" spans="3:23" ht="16.5">
      <c r="C4" s="1304" t="s">
        <v>1278</v>
      </c>
      <c r="D4" s="1305">
        <f ca="1">LnkTXTRA0</f>
        <v>14778260.972920001</v>
      </c>
      <c r="E4" s="903"/>
      <c r="F4" s="1594"/>
      <c r="G4" s="1704" t="s">
        <v>2263</v>
      </c>
      <c r="H4" s="1709">
        <f ca="1">Energia!D11/LnkTXTER</f>
        <v>0.1188</v>
      </c>
      <c r="I4" s="903"/>
      <c r="J4" s="903"/>
      <c r="K4" s="903"/>
      <c r="L4" s="903"/>
      <c r="M4" s="903"/>
    </row>
    <row r="5" spans="3:23" ht="16.5">
      <c r="C5" s="1306" t="s">
        <v>1279</v>
      </c>
      <c r="D5" s="1307">
        <f ca="1">D7</f>
        <v>-3022668.8973847665</v>
      </c>
      <c r="E5" s="904"/>
      <c r="F5" s="1595"/>
      <c r="G5" s="1704" t="s">
        <v>2261</v>
      </c>
      <c r="H5" s="1709">
        <f ca="1">Energia!D12/LnkTXTER</f>
        <v>0</v>
      </c>
      <c r="I5" s="904"/>
      <c r="J5" s="904"/>
      <c r="K5" s="904"/>
      <c r="L5" s="904"/>
      <c r="M5" s="904"/>
    </row>
    <row r="6" spans="3:23" ht="16.5">
      <c r="C6" s="623"/>
      <c r="D6" s="1308"/>
      <c r="E6" s="905"/>
      <c r="F6" s="1596"/>
      <c r="G6" s="1705" t="s">
        <v>2262</v>
      </c>
      <c r="H6" s="1710">
        <f ca="1">Energia!D13/LnkTXTER</f>
        <v>0</v>
      </c>
      <c r="I6" s="905"/>
      <c r="J6" s="905"/>
      <c r="K6" s="905"/>
      <c r="L6" s="905"/>
      <c r="M6" s="905"/>
    </row>
    <row r="7" spans="3:23" ht="17.25" thickBot="1">
      <c r="C7" s="1309" t="s">
        <v>1280</v>
      </c>
      <c r="D7" s="1310">
        <f ca="1">SUM(D9:D100)</f>
        <v>-3022668.8973847665</v>
      </c>
      <c r="E7" s="1311">
        <f ca="1">SUM(E9:E100)</f>
        <v>-0.20453481657439732</v>
      </c>
      <c r="F7" s="1597"/>
      <c r="G7" s="1597"/>
      <c r="H7" s="1591"/>
      <c r="I7" s="1591"/>
      <c r="J7" s="1591"/>
      <c r="K7" s="1591"/>
      <c r="L7" s="1591"/>
      <c r="M7" s="1591"/>
    </row>
    <row r="8" spans="3:23" ht="16.5">
      <c r="C8" s="1312" t="s">
        <v>1281</v>
      </c>
      <c r="D8" s="1313" t="s">
        <v>37</v>
      </c>
      <c r="E8" s="1314" t="s">
        <v>1282</v>
      </c>
      <c r="F8" s="1598" t="s">
        <v>22</v>
      </c>
      <c r="G8" s="1598" t="s">
        <v>2277</v>
      </c>
      <c r="H8" s="1604" t="s">
        <v>1283</v>
      </c>
      <c r="I8" s="1604" t="s">
        <v>1284</v>
      </c>
      <c r="J8" s="1604" t="s">
        <v>1285</v>
      </c>
      <c r="K8" s="1604" t="s">
        <v>1286</v>
      </c>
      <c r="L8" s="1604" t="s">
        <v>1287</v>
      </c>
      <c r="M8" s="1604" t="s">
        <v>1288</v>
      </c>
      <c r="O8" s="1583" t="s">
        <v>22</v>
      </c>
      <c r="P8" s="1584" t="s">
        <v>1410</v>
      </c>
      <c r="Q8" s="1585" t="s">
        <v>1411</v>
      </c>
      <c r="R8" s="1585" t="s">
        <v>1412</v>
      </c>
      <c r="T8" s="1566" t="s">
        <v>22</v>
      </c>
      <c r="U8" s="1566" t="s">
        <v>1286</v>
      </c>
      <c r="V8" s="1566" t="s">
        <v>1287</v>
      </c>
      <c r="W8" s="1566" t="s">
        <v>1288</v>
      </c>
    </row>
    <row r="9" spans="3:23" ht="16.5">
      <c r="C9" s="1642" t="s">
        <v>1289</v>
      </c>
      <c r="D9" s="1643">
        <f>IFERROR(ABS(Indexador!$D$49)*'Tributos suprimento'!$C$41,0)</f>
        <v>94802.370931986879</v>
      </c>
      <c r="E9" s="1622">
        <f ca="1">IF(ISERROR(D9/$D$4),0,D9/$D$4)</f>
        <v>6.4149882794535002E-3</v>
      </c>
      <c r="F9" s="1612" t="s">
        <v>2238</v>
      </c>
      <c r="G9" s="1625" t="s">
        <v>2270</v>
      </c>
      <c r="H9" s="1613">
        <f>IFERROR(VLOOKUP(Financeiros[[#This Row],[Tipo]],RefTabTipo[],2,FALSE),0)</f>
        <v>22</v>
      </c>
      <c r="I9" s="1631">
        <f>IFERROR(VLOOKUP(Financeiros[[#This Row],[Tipo]],RefTabTipo[],3,FALSE),0)</f>
        <v>60</v>
      </c>
      <c r="J9" s="1614">
        <f>IFERROR(VLOOKUP(Financeiros[[#This Row],[Tipo]],RefTabTipo[],4,FALSE),0)</f>
        <v>999</v>
      </c>
      <c r="K9" s="1637">
        <f>IFERROR(VLOOKUP(Financeiros[[#This Row],[Grupo Tarifário]],RefTabGrupoTarifa[],2,FALSE),0)</f>
        <v>1</v>
      </c>
      <c r="L9" s="1613">
        <f>IFERROR(VLOOKUP(Financeiros[[#This Row],[Grupo Tarifário]],RefTabGrupoTarifa[],3,FALSE),0)</f>
        <v>7</v>
      </c>
      <c r="M9" s="1637">
        <f>IFERROR(VLOOKUP(Financeiros[[#This Row],[Grupo Tarifário]],RefTabGrupoTarifa[],4,FALSE),0)</f>
        <v>9</v>
      </c>
      <c r="O9" s="1586" t="s">
        <v>2231</v>
      </c>
      <c r="P9" s="1587">
        <v>22</v>
      </c>
      <c r="Q9" s="1587">
        <v>60</v>
      </c>
      <c r="R9" s="1588">
        <v>235</v>
      </c>
      <c r="T9" s="846" t="s">
        <v>2242</v>
      </c>
      <c r="U9" s="1458">
        <v>99</v>
      </c>
      <c r="V9" s="1458">
        <v>999</v>
      </c>
      <c r="W9" s="1458">
        <v>2</v>
      </c>
    </row>
    <row r="10" spans="3:23" ht="16.5">
      <c r="C10" s="1642" t="s">
        <v>2289</v>
      </c>
      <c r="D10" s="1643">
        <f ca="1">IFERROR(ABS(Indexador!$D$49)*'Tributos suprimento'!$D$41*H2,0)</f>
        <v>159006.34906334808</v>
      </c>
      <c r="E10" s="1622">
        <f t="shared" ref="E10:E73" ca="1" si="0">IF(ISERROR(D10/$D$4),0,D10/$D$4)</f>
        <v>1.0759476325036802E-2</v>
      </c>
      <c r="F10" s="1612" t="s">
        <v>2238</v>
      </c>
      <c r="G10" s="1625" t="s">
        <v>2258</v>
      </c>
      <c r="H10" s="1613">
        <f>IFERROR(VLOOKUP(Financeiros[[#This Row],[Tipo]],RefTabTipo[],2,FALSE),0)</f>
        <v>22</v>
      </c>
      <c r="I10" s="1631">
        <f>IFERROR(VLOOKUP(Financeiros[[#This Row],[Tipo]],RefTabTipo[],3,FALSE),0)</f>
        <v>60</v>
      </c>
      <c r="J10" s="1614">
        <f>IFERROR(VLOOKUP(Financeiros[[#This Row],[Tipo]],RefTabTipo[],4,FALSE),0)</f>
        <v>999</v>
      </c>
      <c r="K10" s="1637">
        <f>IFERROR(VLOOKUP(Financeiros[[#This Row],[Grupo Tarifário]],RefTabGrupoTarifa[],2,FALSE),0)</f>
        <v>2</v>
      </c>
      <c r="L10" s="1613">
        <f>IFERROR(VLOOKUP(Financeiros[[#This Row],[Grupo Tarifário]],RefTabGrupoTarifa[],3,FALSE),0)</f>
        <v>11</v>
      </c>
      <c r="M10" s="1637">
        <f>IFERROR(VLOOKUP(Financeiros[[#This Row],[Grupo Tarifário]],RefTabGrupoTarifa[],4,FALSE),0)</f>
        <v>9</v>
      </c>
      <c r="O10" s="1586" t="s">
        <v>2232</v>
      </c>
      <c r="P10" s="1587">
        <v>20</v>
      </c>
      <c r="Q10" s="1587">
        <v>60</v>
      </c>
      <c r="R10" s="1588">
        <v>234</v>
      </c>
      <c r="T10" s="846" t="s">
        <v>2243</v>
      </c>
      <c r="U10" s="1458">
        <v>99</v>
      </c>
      <c r="V10" s="1458">
        <v>999</v>
      </c>
      <c r="W10" s="1458">
        <v>1</v>
      </c>
    </row>
    <row r="11" spans="3:23" ht="16.5">
      <c r="C11" s="1642" t="s">
        <v>2290</v>
      </c>
      <c r="D11" s="1643">
        <f ca="1">IFERROR(ABS(Indexador!$D$49)*'Tributos suprimento'!$D$41*H3,0)</f>
        <v>0</v>
      </c>
      <c r="E11" s="1622">
        <f t="shared" ca="1" si="0"/>
        <v>0</v>
      </c>
      <c r="F11" s="1612" t="s">
        <v>2238</v>
      </c>
      <c r="G11" s="1625" t="s">
        <v>2260</v>
      </c>
      <c r="H11" s="1613">
        <f>IFERROR(VLOOKUP(Financeiros[[#This Row],[Tipo]],RefTabTipo[],2,FALSE),0)</f>
        <v>22</v>
      </c>
      <c r="I11" s="1631">
        <f>IFERROR(VLOOKUP(Financeiros[[#This Row],[Tipo]],RefTabTipo[],3,FALSE),0)</f>
        <v>60</v>
      </c>
      <c r="J11" s="1614">
        <f>IFERROR(VLOOKUP(Financeiros[[#This Row],[Tipo]],RefTabTipo[],4,FALSE),0)</f>
        <v>999</v>
      </c>
      <c r="K11" s="1637">
        <f>IFERROR(VLOOKUP(Financeiros[[#This Row],[Grupo Tarifário]],RefTabGrupoTarifa[],2,FALSE),0)</f>
        <v>2</v>
      </c>
      <c r="L11" s="1613">
        <f>IFERROR(VLOOKUP(Financeiros[[#This Row],[Grupo Tarifário]],RefTabGrupoTarifa[],3,FALSE),0)</f>
        <v>9</v>
      </c>
      <c r="M11" s="1637">
        <f>IFERROR(VLOOKUP(Financeiros[[#This Row],[Grupo Tarifário]],RefTabGrupoTarifa[],4,FALSE),0)</f>
        <v>9</v>
      </c>
      <c r="O11" s="1586" t="s">
        <v>2233</v>
      </c>
      <c r="P11" s="1587">
        <v>22</v>
      </c>
      <c r="Q11" s="1587">
        <v>60</v>
      </c>
      <c r="R11" s="1588">
        <v>167</v>
      </c>
      <c r="T11" s="846" t="s">
        <v>2244</v>
      </c>
      <c r="U11" s="1458">
        <v>99</v>
      </c>
      <c r="V11" s="1458">
        <v>999</v>
      </c>
      <c r="W11" s="1458">
        <v>3</v>
      </c>
    </row>
    <row r="12" spans="3:23" ht="16.5">
      <c r="C12" s="1642" t="s">
        <v>2291</v>
      </c>
      <c r="D12" s="1643">
        <f ca="1">IFERROR(ABS(Indexador!$D$49)*'Tributos suprimento'!$D$41*H4,0)</f>
        <v>21436.625361695133</v>
      </c>
      <c r="E12" s="1622">
        <f t="shared" ca="1" si="0"/>
        <v>1.4505512794080481E-3</v>
      </c>
      <c r="F12" s="1612" t="s">
        <v>2238</v>
      </c>
      <c r="G12" s="1625" t="s">
        <v>2263</v>
      </c>
      <c r="H12" s="1613">
        <f>IFERROR(VLOOKUP(Financeiros[[#This Row],[Tipo]],RefTabTipo[],2,FALSE),0)</f>
        <v>22</v>
      </c>
      <c r="I12" s="1631">
        <f>IFERROR(VLOOKUP(Financeiros[[#This Row],[Tipo]],RefTabTipo[],3,FALSE),0)</f>
        <v>60</v>
      </c>
      <c r="J12" s="1614">
        <f>IFERROR(VLOOKUP(Financeiros[[#This Row],[Tipo]],RefTabTipo[],4,FALSE),0)</f>
        <v>999</v>
      </c>
      <c r="K12" s="1637">
        <f>IFERROR(VLOOKUP(Financeiros[[#This Row],[Grupo Tarifário]],RefTabGrupoTarifa[],2,FALSE),0)</f>
        <v>2</v>
      </c>
      <c r="L12" s="1613">
        <f>IFERROR(VLOOKUP(Financeiros[[#This Row],[Grupo Tarifário]],RefTabGrupoTarifa[],3,FALSE),0)</f>
        <v>8</v>
      </c>
      <c r="M12" s="1637">
        <f>IFERROR(VLOOKUP(Financeiros[[#This Row],[Grupo Tarifário]],RefTabGrupoTarifa[],4,FALSE),0)</f>
        <v>9</v>
      </c>
      <c r="O12" s="1586" t="s">
        <v>2234</v>
      </c>
      <c r="P12" s="1587">
        <v>22</v>
      </c>
      <c r="Q12" s="1587">
        <v>60</v>
      </c>
      <c r="R12" s="1588">
        <v>241</v>
      </c>
      <c r="T12" s="846" t="s">
        <v>2245</v>
      </c>
      <c r="U12" s="846">
        <v>3</v>
      </c>
      <c r="V12" s="846">
        <v>17</v>
      </c>
      <c r="W12" s="846">
        <v>9</v>
      </c>
    </row>
    <row r="13" spans="3:23" ht="16.5">
      <c r="C13" s="1642" t="s">
        <v>2292</v>
      </c>
      <c r="D13" s="1643">
        <f ca="1">IFERROR(ABS(Indexador!$D$49)*'Tributos suprimento'!$D$41*H5,0)</f>
        <v>0</v>
      </c>
      <c r="E13" s="1622">
        <f t="shared" ca="1" si="0"/>
        <v>0</v>
      </c>
      <c r="F13" s="1612" t="s">
        <v>2238</v>
      </c>
      <c r="G13" s="1625" t="s">
        <v>2261</v>
      </c>
      <c r="H13" s="1613">
        <f>IFERROR(VLOOKUP(Financeiros[[#This Row],[Tipo]],RefTabTipo[],2,FALSE),0)</f>
        <v>22</v>
      </c>
      <c r="I13" s="1631">
        <f>IFERROR(VLOOKUP(Financeiros[[#This Row],[Tipo]],RefTabTipo[],3,FALSE),0)</f>
        <v>60</v>
      </c>
      <c r="J13" s="1614">
        <f>IFERROR(VLOOKUP(Financeiros[[#This Row],[Tipo]],RefTabTipo[],4,FALSE),0)</f>
        <v>999</v>
      </c>
      <c r="K13" s="1637">
        <f>IFERROR(VLOOKUP(Financeiros[[#This Row],[Grupo Tarifário]],RefTabGrupoTarifa[],2,FALSE),0)</f>
        <v>2</v>
      </c>
      <c r="L13" s="1613">
        <f>IFERROR(VLOOKUP(Financeiros[[#This Row],[Grupo Tarifário]],RefTabGrupoTarifa[],3,FALSE),0)</f>
        <v>10</v>
      </c>
      <c r="M13" s="1637">
        <f>IFERROR(VLOOKUP(Financeiros[[#This Row],[Grupo Tarifário]],RefTabGrupoTarifa[],4,FALSE),0)</f>
        <v>9</v>
      </c>
      <c r="O13" s="1586" t="s">
        <v>2235</v>
      </c>
      <c r="P13" s="1587">
        <v>22</v>
      </c>
      <c r="Q13" s="1587">
        <v>60</v>
      </c>
      <c r="R13" s="1588">
        <v>120</v>
      </c>
      <c r="T13" s="846" t="s">
        <v>2246</v>
      </c>
      <c r="U13" s="846">
        <v>3</v>
      </c>
      <c r="V13" s="846">
        <v>13</v>
      </c>
      <c r="W13" s="846">
        <v>9</v>
      </c>
    </row>
    <row r="14" spans="3:23" ht="16.5">
      <c r="C14" s="1642" t="s">
        <v>2293</v>
      </c>
      <c r="D14" s="1643">
        <f ca="1">IFERROR(ABS(Indexador!$D$49)*'Tributos suprimento'!$D$41*H6,0)</f>
        <v>0</v>
      </c>
      <c r="E14" s="1622">
        <f t="shared" ca="1" si="0"/>
        <v>0</v>
      </c>
      <c r="F14" s="1612" t="s">
        <v>2238</v>
      </c>
      <c r="G14" s="1625" t="s">
        <v>2262</v>
      </c>
      <c r="H14" s="1613">
        <f>IFERROR(VLOOKUP(Financeiros[[#This Row],[Tipo]],RefTabTipo[],2,FALSE),0)</f>
        <v>22</v>
      </c>
      <c r="I14" s="1631">
        <f>IFERROR(VLOOKUP(Financeiros[[#This Row],[Tipo]],RefTabTipo[],3,FALSE),0)</f>
        <v>60</v>
      </c>
      <c r="J14" s="1614">
        <f>IFERROR(VLOOKUP(Financeiros[[#This Row],[Tipo]],RefTabTipo[],4,FALSE),0)</f>
        <v>999</v>
      </c>
      <c r="K14" s="1637">
        <f>IFERROR(VLOOKUP(Financeiros[[#This Row],[Grupo Tarifário]],RefTabGrupoTarifa[],2,FALSE),0)</f>
        <v>2</v>
      </c>
      <c r="L14" s="1613">
        <f>IFERROR(VLOOKUP(Financeiros[[#This Row],[Grupo Tarifário]],RefTabGrupoTarifa[],3,FALSE),0)</f>
        <v>24</v>
      </c>
      <c r="M14" s="1637">
        <f>IFERROR(VLOOKUP(Financeiros[[#This Row],[Grupo Tarifário]],RefTabGrupoTarifa[],4,FALSE),0)</f>
        <v>9</v>
      </c>
      <c r="O14" s="1586" t="s">
        <v>2236</v>
      </c>
      <c r="P14" s="1587">
        <v>22</v>
      </c>
      <c r="Q14" s="1587">
        <v>60</v>
      </c>
      <c r="R14" s="1588">
        <v>240</v>
      </c>
      <c r="T14" s="846" t="s">
        <v>2247</v>
      </c>
      <c r="U14" s="846">
        <v>3</v>
      </c>
      <c r="V14" s="846">
        <v>25</v>
      </c>
      <c r="W14" s="846">
        <v>9</v>
      </c>
    </row>
    <row r="15" spans="3:23" ht="16.5">
      <c r="C15" s="1619" t="str">
        <f>"(Neutralidade) "&amp;Encargos!L31</f>
        <v>(Neutralidade) TFSEE</v>
      </c>
      <c r="D15" s="1615">
        <f ca="1">Encargos!$M$31</f>
        <v>-230.23633007930752</v>
      </c>
      <c r="E15" s="1622">
        <f t="shared" ca="1" si="0"/>
        <v>-1.5579392629565647E-5</v>
      </c>
      <c r="F15" s="1616" t="s">
        <v>107</v>
      </c>
      <c r="G15" s="1623" t="s">
        <v>2257</v>
      </c>
      <c r="H15" s="1617">
        <f>IFERROR(VLOOKUP(Financeiros[[#This Row],[Tipo]],RefTabTipo[],2,FALSE),0)</f>
        <v>20</v>
      </c>
      <c r="I15" s="1629">
        <f>IFERROR(VLOOKUP(Financeiros[[#This Row],[Tipo]],RefTabTipo[],3,FALSE),0)</f>
        <v>60</v>
      </c>
      <c r="J15" s="1618">
        <f>IFERROR(VLOOKUP(Financeiros[[#This Row],[Tipo]],RefTabTipo[],4,FALSE),0)</f>
        <v>999</v>
      </c>
      <c r="K15" s="1636">
        <f>IFERROR(VLOOKUP(Financeiros[[#This Row],[Grupo Tarifário]],RefTabGrupoTarifa[],2,FALSE),0)</f>
        <v>3</v>
      </c>
      <c r="L15" s="1617">
        <f>IFERROR(VLOOKUP(Financeiros[[#This Row],[Grupo Tarifário]],RefTabGrupoTarifa[],3,FALSE),0)</f>
        <v>14</v>
      </c>
      <c r="M15" s="1636">
        <f>IFERROR(VLOOKUP(Financeiros[[#This Row],[Grupo Tarifário]],RefTabGrupoTarifa[],4,FALSE),0)</f>
        <v>9</v>
      </c>
      <c r="O15" s="1586" t="s">
        <v>2237</v>
      </c>
      <c r="P15" s="1587">
        <v>22</v>
      </c>
      <c r="Q15" s="1587">
        <v>60</v>
      </c>
      <c r="R15" s="1588">
        <v>179</v>
      </c>
      <c r="T15" s="846" t="s">
        <v>2248</v>
      </c>
      <c r="U15" s="846">
        <v>3</v>
      </c>
      <c r="V15" s="846">
        <v>15</v>
      </c>
      <c r="W15" s="846">
        <v>9</v>
      </c>
    </row>
    <row r="16" spans="3:23" ht="16.5">
      <c r="C16" s="1619" t="str">
        <f>"(Neutralidade) "&amp;Encargos!L32</f>
        <v>(Neutralidade) CDE</v>
      </c>
      <c r="D16" s="1615">
        <f ca="1">IFERROR(Encargos!$M$32,0)</f>
        <v>-7368.2249409820133</v>
      </c>
      <c r="E16" s="1622">
        <f t="shared" ca="1" si="0"/>
        <v>-4.9858538528205079E-4</v>
      </c>
      <c r="F16" s="1616" t="s">
        <v>107</v>
      </c>
      <c r="G16" s="1623" t="s">
        <v>2248</v>
      </c>
      <c r="H16" s="1617">
        <f>IFERROR(VLOOKUP(Financeiros[[#This Row],[Tipo]],RefTabTipo[],2,FALSE),0)</f>
        <v>20</v>
      </c>
      <c r="I16" s="1629">
        <f>IFERROR(VLOOKUP(Financeiros[[#This Row],[Tipo]],RefTabTipo[],3,FALSE),0)</f>
        <v>60</v>
      </c>
      <c r="J16" s="1618">
        <f>IFERROR(VLOOKUP(Financeiros[[#This Row],[Tipo]],RefTabTipo[],4,FALSE),0)</f>
        <v>999</v>
      </c>
      <c r="K16" s="1636">
        <f>IFERROR(VLOOKUP(Financeiros[[#This Row],[Grupo Tarifário]],RefTabGrupoTarifa[],2,FALSE),0)</f>
        <v>3</v>
      </c>
      <c r="L16" s="1617">
        <f>IFERROR(VLOOKUP(Financeiros[[#This Row],[Grupo Tarifário]],RefTabGrupoTarifa[],3,FALSE),0)</f>
        <v>15</v>
      </c>
      <c r="M16" s="1636">
        <f>IFERROR(VLOOKUP(Financeiros[[#This Row],[Grupo Tarifário]],RefTabGrupoTarifa[],4,FALSE),0)</f>
        <v>9</v>
      </c>
      <c r="O16" s="1586" t="s">
        <v>2238</v>
      </c>
      <c r="P16" s="1587">
        <v>22</v>
      </c>
      <c r="Q16" s="1587">
        <v>60</v>
      </c>
      <c r="R16" s="1588">
        <v>999</v>
      </c>
      <c r="T16" s="846" t="s">
        <v>2249</v>
      </c>
      <c r="U16" s="1458">
        <v>3</v>
      </c>
      <c r="V16" s="1458">
        <v>25</v>
      </c>
      <c r="W16" s="1458">
        <v>9</v>
      </c>
    </row>
    <row r="17" spans="3:23" ht="16.5">
      <c r="C17" s="1619" t="str">
        <f>"(Neutralidade) "&amp;Encargos!L33</f>
        <v>(Neutralidade) CFURH</v>
      </c>
      <c r="D17" s="1615">
        <f>Encargos!$M$33</f>
        <v>0</v>
      </c>
      <c r="E17" s="1622">
        <f t="shared" ca="1" si="0"/>
        <v>0</v>
      </c>
      <c r="F17" s="1616" t="s">
        <v>107</v>
      </c>
      <c r="G17" s="1623" t="s">
        <v>2252</v>
      </c>
      <c r="H17" s="1617">
        <f>IFERROR(VLOOKUP(Financeiros[[#This Row],[Tipo]],RefTabTipo[],2,FALSE),0)</f>
        <v>20</v>
      </c>
      <c r="I17" s="1629">
        <f>IFERROR(VLOOKUP(Financeiros[[#This Row],[Tipo]],RefTabTipo[],3,FALSE),0)</f>
        <v>60</v>
      </c>
      <c r="J17" s="1618">
        <f>IFERROR(VLOOKUP(Financeiros[[#This Row],[Tipo]],RefTabTipo[],4,FALSE),0)</f>
        <v>999</v>
      </c>
      <c r="K17" s="1636">
        <f>IFERROR(VLOOKUP(Financeiros[[#This Row],[Grupo Tarifário]],RefTabGrupoTarifa[],2,FALSE),0)</f>
        <v>3</v>
      </c>
      <c r="L17" s="1617">
        <f>IFERROR(VLOOKUP(Financeiros[[#This Row],[Grupo Tarifário]],RefTabGrupoTarifa[],3,FALSE),0)</f>
        <v>16</v>
      </c>
      <c r="M17" s="1636">
        <f>IFERROR(VLOOKUP(Financeiros[[#This Row],[Grupo Tarifário]],RefTabGrupoTarifa[],4,FALSE),0)</f>
        <v>9</v>
      </c>
      <c r="O17" s="1586" t="s">
        <v>107</v>
      </c>
      <c r="P17" s="1587">
        <v>20</v>
      </c>
      <c r="Q17" s="1587">
        <v>60</v>
      </c>
      <c r="R17" s="1588">
        <v>999</v>
      </c>
      <c r="T17" s="846" t="s">
        <v>2250</v>
      </c>
      <c r="U17" s="1458">
        <v>3</v>
      </c>
      <c r="V17" s="1458">
        <v>12</v>
      </c>
      <c r="W17" s="1458">
        <v>9</v>
      </c>
    </row>
    <row r="18" spans="3:23" ht="16.5">
      <c r="C18" s="1619" t="str">
        <f>"(Neutralidade) "&amp;Encargos!L34</f>
        <v>(Neutralidade) ESS/ERR</v>
      </c>
      <c r="D18" s="1615">
        <f ca="1">Encargos!$M$34</f>
        <v>0</v>
      </c>
      <c r="E18" s="1622">
        <f t="shared" ca="1" si="0"/>
        <v>0</v>
      </c>
      <c r="F18" s="1616" t="s">
        <v>107</v>
      </c>
      <c r="G18" s="1623" t="s">
        <v>2245</v>
      </c>
      <c r="H18" s="1617">
        <f>IFERROR(VLOOKUP(Financeiros[[#This Row],[Tipo]],RefTabTipo[],2,FALSE),0)</f>
        <v>20</v>
      </c>
      <c r="I18" s="1629">
        <f>IFERROR(VLOOKUP(Financeiros[[#This Row],[Tipo]],RefTabTipo[],3,FALSE),0)</f>
        <v>60</v>
      </c>
      <c r="J18" s="1618">
        <f>IFERROR(VLOOKUP(Financeiros[[#This Row],[Tipo]],RefTabTipo[],4,FALSE),0)</f>
        <v>999</v>
      </c>
      <c r="K18" s="1636">
        <f>IFERROR(VLOOKUP(Financeiros[[#This Row],[Grupo Tarifário]],RefTabGrupoTarifa[],2,FALSE),0)</f>
        <v>3</v>
      </c>
      <c r="L18" s="1617">
        <f>IFERROR(VLOOKUP(Financeiros[[#This Row],[Grupo Tarifário]],RefTabGrupoTarifa[],3,FALSE),0)</f>
        <v>17</v>
      </c>
      <c r="M18" s="1636">
        <f>IFERROR(VLOOKUP(Financeiros[[#This Row],[Grupo Tarifário]],RefTabGrupoTarifa[],4,FALSE),0)</f>
        <v>9</v>
      </c>
      <c r="O18" s="1586" t="s">
        <v>2239</v>
      </c>
      <c r="P18" s="1587">
        <v>20</v>
      </c>
      <c r="Q18" s="1587">
        <v>60</v>
      </c>
      <c r="R18" s="1588">
        <v>179</v>
      </c>
      <c r="T18" s="846" t="s">
        <v>2251</v>
      </c>
      <c r="U18" s="1458">
        <v>3</v>
      </c>
      <c r="V18" s="1458">
        <v>28</v>
      </c>
      <c r="W18" s="1458">
        <v>9</v>
      </c>
    </row>
    <row r="19" spans="3:23" ht="16.5">
      <c r="C19" s="1619" t="str">
        <f>"(Neutralidade) "&amp;Encargos!L35</f>
        <v>(Neutralidade) PROINFA</v>
      </c>
      <c r="D19" s="1615">
        <f ca="1">Encargos!$M$35</f>
        <v>-1404.9905913531622</v>
      </c>
      <c r="E19" s="1622">
        <f t="shared" ca="1" si="0"/>
        <v>-9.5071442704097378E-5</v>
      </c>
      <c r="F19" s="1616" t="s">
        <v>107</v>
      </c>
      <c r="G19" s="1623" t="s">
        <v>2255</v>
      </c>
      <c r="H19" s="1617">
        <f>IFERROR(VLOOKUP(Financeiros[[#This Row],[Tipo]],RefTabTipo[],2,FALSE),0)</f>
        <v>20</v>
      </c>
      <c r="I19" s="1629">
        <f>IFERROR(VLOOKUP(Financeiros[[#This Row],[Tipo]],RefTabTipo[],3,FALSE),0)</f>
        <v>60</v>
      </c>
      <c r="J19" s="1618">
        <f>IFERROR(VLOOKUP(Financeiros[[#This Row],[Tipo]],RefTabTipo[],4,FALSE),0)</f>
        <v>999</v>
      </c>
      <c r="K19" s="1636">
        <f>IFERROR(VLOOKUP(Financeiros[[#This Row],[Grupo Tarifário]],RefTabGrupoTarifa[],2,FALSE),0)</f>
        <v>3</v>
      </c>
      <c r="L19" s="1617">
        <f>IFERROR(VLOOKUP(Financeiros[[#This Row],[Grupo Tarifário]],RefTabGrupoTarifa[],3,FALSE),0)</f>
        <v>18</v>
      </c>
      <c r="M19" s="1636">
        <f>IFERROR(VLOOKUP(Financeiros[[#This Row],[Grupo Tarifário]],RefTabGrupoTarifa[],4,FALSE),0)</f>
        <v>9</v>
      </c>
      <c r="O19" s="68" t="s">
        <v>2279</v>
      </c>
      <c r="P19" s="1653">
        <v>22</v>
      </c>
      <c r="Q19" s="1653">
        <v>60</v>
      </c>
      <c r="R19" s="1653">
        <v>220</v>
      </c>
      <c r="T19" s="846" t="s">
        <v>2252</v>
      </c>
      <c r="U19" s="846">
        <v>3</v>
      </c>
      <c r="V19" s="846">
        <v>16</v>
      </c>
      <c r="W19" s="846">
        <v>9</v>
      </c>
    </row>
    <row r="20" spans="3:23" ht="16.5">
      <c r="C20" s="1619" t="str">
        <f>"(Neutralidade) "&amp;Encargos!L36</f>
        <v>(Neutralidade) CDE COVID</v>
      </c>
      <c r="D20" s="1615">
        <f ca="1">Encargos!$M$36</f>
        <v>-3474.370163392417</v>
      </c>
      <c r="E20" s="1622">
        <f t="shared" ca="1" si="0"/>
        <v>-2.3510006825288351E-4</v>
      </c>
      <c r="F20" s="1616" t="s">
        <v>107</v>
      </c>
      <c r="G20" s="1623" t="s">
        <v>2250</v>
      </c>
      <c r="H20" s="1617">
        <f>IFERROR(VLOOKUP(Financeiros[[#This Row],[Tipo]],RefTabTipo[],2,FALSE),0)</f>
        <v>20</v>
      </c>
      <c r="I20" s="1629">
        <f>IFERROR(VLOOKUP(Financeiros[[#This Row],[Tipo]],RefTabTipo[],3,FALSE),0)</f>
        <v>60</v>
      </c>
      <c r="J20" s="1618">
        <f>IFERROR(VLOOKUP(Financeiros[[#This Row],[Tipo]],RefTabTipo[],4,FALSE),0)</f>
        <v>999</v>
      </c>
      <c r="K20" s="1636">
        <f>IFERROR(VLOOKUP(Financeiros[[#This Row],[Grupo Tarifário]],RefTabGrupoTarifa[],2,FALSE),0)</f>
        <v>3</v>
      </c>
      <c r="L20" s="1617">
        <f>IFERROR(VLOOKUP(Financeiros[[#This Row],[Grupo Tarifário]],RefTabGrupoTarifa[],3,FALSE),0)</f>
        <v>12</v>
      </c>
      <c r="M20" s="1636">
        <f>IFERROR(VLOOKUP(Financeiros[[#This Row],[Grupo Tarifário]],RefTabGrupoTarifa[],4,FALSE),0)</f>
        <v>9</v>
      </c>
      <c r="O20" s="1654" t="s">
        <v>2240</v>
      </c>
      <c r="P20" s="1655">
        <v>22</v>
      </c>
      <c r="Q20" s="1655">
        <v>60</v>
      </c>
      <c r="R20" s="1655">
        <v>178</v>
      </c>
      <c r="T20" s="846" t="s">
        <v>2253</v>
      </c>
      <c r="U20" s="846">
        <v>3</v>
      </c>
      <c r="V20" s="846">
        <v>20</v>
      </c>
      <c r="W20" s="846">
        <v>9</v>
      </c>
    </row>
    <row r="21" spans="3:23" ht="16.5">
      <c r="C21" s="1619" t="str">
        <f>"(Neutralidade) "&amp;Encargos!L37</f>
        <v>(Neutralidade) P&amp;D</v>
      </c>
      <c r="D21" s="1615">
        <f ca="1">Encargos!$M$37</f>
        <v>0</v>
      </c>
      <c r="E21" s="1622">
        <f t="shared" ca="1" si="0"/>
        <v>0</v>
      </c>
      <c r="F21" s="1616" t="s">
        <v>107</v>
      </c>
      <c r="G21" s="1623" t="s">
        <v>2254</v>
      </c>
      <c r="H21" s="1617">
        <f>IFERROR(VLOOKUP(Financeiros[[#This Row],[Tipo]],RefTabTipo[],2,FALSE),0)</f>
        <v>20</v>
      </c>
      <c r="I21" s="1629">
        <f>IFERROR(VLOOKUP(Financeiros[[#This Row],[Tipo]],RefTabTipo[],3,FALSE),0)</f>
        <v>60</v>
      </c>
      <c r="J21" s="1618">
        <f>IFERROR(VLOOKUP(Financeiros[[#This Row],[Tipo]],RefTabTipo[],4,FALSE),0)</f>
        <v>999</v>
      </c>
      <c r="K21" s="1636">
        <f>IFERROR(VLOOKUP(Financeiros[[#This Row],[Grupo Tarifário]],RefTabGrupoTarifa[],2,FALSE),0)</f>
        <v>3</v>
      </c>
      <c r="L21" s="1617">
        <f>IFERROR(VLOOKUP(Financeiros[[#This Row],[Grupo Tarifário]],RefTabGrupoTarifa[],3,FALSE),0)</f>
        <v>19</v>
      </c>
      <c r="M21" s="1636">
        <f>IFERROR(VLOOKUP(Financeiros[[#This Row],[Grupo Tarifário]],RefTabGrupoTarifa[],4,FALSE),0)</f>
        <v>9</v>
      </c>
      <c r="O21" s="1654" t="s">
        <v>1307</v>
      </c>
      <c r="P21" s="1655">
        <v>22</v>
      </c>
      <c r="Q21" s="1655">
        <v>62</v>
      </c>
      <c r="R21" s="1655">
        <v>220</v>
      </c>
      <c r="T21" s="846" t="s">
        <v>2254</v>
      </c>
      <c r="U21" s="846">
        <v>3</v>
      </c>
      <c r="V21" s="846">
        <v>19</v>
      </c>
      <c r="W21" s="846">
        <v>9</v>
      </c>
    </row>
    <row r="22" spans="3:23" ht="16.5">
      <c r="C22" s="1619" t="str">
        <f>"(Neutralidade)" &amp; Encargos!L41</f>
        <v>(Neutralidade)Financeiro Covid</v>
      </c>
      <c r="D22" s="1615">
        <f ca="1">Encargos!$M$41</f>
        <v>0</v>
      </c>
      <c r="E22" s="1622">
        <f t="shared" ca="1" si="0"/>
        <v>0</v>
      </c>
      <c r="F22" s="1616" t="s">
        <v>107</v>
      </c>
      <c r="G22" s="1623" t="s">
        <v>104</v>
      </c>
      <c r="H22" s="1617">
        <f>IFERROR(VLOOKUP(Financeiros[[#This Row],[Tipo]],RefTabTipo[],2,FALSE),0)</f>
        <v>20</v>
      </c>
      <c r="I22" s="1629">
        <f>IFERROR(VLOOKUP(Financeiros[[#This Row],[Tipo]],RefTabTipo[],3,FALSE),0)</f>
        <v>60</v>
      </c>
      <c r="J22" s="1618">
        <f>IFERROR(VLOOKUP(Financeiros[[#This Row],[Tipo]],RefTabTipo[],4,FALSE),0)</f>
        <v>999</v>
      </c>
      <c r="K22" s="1636">
        <f>IFERROR(VLOOKUP(Financeiros[[#This Row],[Grupo Tarifário]],RefTabGrupoTarifa[],2,FALSE),0)</f>
        <v>4</v>
      </c>
      <c r="L22" s="1617">
        <f>IFERROR(VLOOKUP(Financeiros[[#This Row],[Grupo Tarifário]],RefTabGrupoTarifa[],3,FALSE),0)</f>
        <v>999</v>
      </c>
      <c r="M22" s="1636">
        <f>IFERROR(VLOOKUP(Financeiros[[#This Row],[Grupo Tarifário]],RefTabGrupoTarifa[],4,FALSE),0)</f>
        <v>9</v>
      </c>
      <c r="O22" s="1586" t="s">
        <v>2241</v>
      </c>
      <c r="P22" s="1589">
        <v>22</v>
      </c>
      <c r="Q22" s="1589">
        <v>60</v>
      </c>
      <c r="R22" s="1589">
        <v>106</v>
      </c>
      <c r="T22" s="846" t="s">
        <v>2255</v>
      </c>
      <c r="U22" s="846">
        <v>3</v>
      </c>
      <c r="V22" s="846">
        <v>18</v>
      </c>
      <c r="W22" s="846">
        <v>9</v>
      </c>
    </row>
    <row r="23" spans="3:23" ht="16.5">
      <c r="C23" s="1619" t="str">
        <f>"(Neutralidade)" &amp; Encargos!L42</f>
        <v>(Neutralidade)Crédito Pis Cofins</v>
      </c>
      <c r="D23" s="1615">
        <f ca="1">Encargos!$M$42</f>
        <v>0</v>
      </c>
      <c r="E23" s="1622">
        <f t="shared" ca="1" si="0"/>
        <v>0</v>
      </c>
      <c r="F23" s="1616" t="s">
        <v>2239</v>
      </c>
      <c r="G23" s="1623" t="s">
        <v>2244</v>
      </c>
      <c r="H23" s="1617">
        <f>IFERROR(VLOOKUP(Financeiros[[#This Row],[Tipo]],RefTabTipo[],2,FALSE),0)</f>
        <v>20</v>
      </c>
      <c r="I23" s="1629">
        <f>IFERROR(VLOOKUP(Financeiros[[#This Row],[Tipo]],RefTabTipo[],3,FALSE),0)</f>
        <v>60</v>
      </c>
      <c r="J23" s="1618">
        <f>IFERROR(VLOOKUP(Financeiros[[#This Row],[Tipo]],RefTabTipo[],4,FALSE),0)</f>
        <v>179</v>
      </c>
      <c r="K23" s="1636">
        <f>IFERROR(VLOOKUP(Financeiros[[#This Row],[Grupo Tarifário]],RefTabGrupoTarifa[],2,FALSE),0)</f>
        <v>99</v>
      </c>
      <c r="L23" s="1617">
        <f>IFERROR(VLOOKUP(Financeiros[[#This Row],[Grupo Tarifário]],RefTabGrupoTarifa[],3,FALSE),0)</f>
        <v>999</v>
      </c>
      <c r="M23" s="1636">
        <f>IFERROR(VLOOKUP(Financeiros[[#This Row],[Grupo Tarifário]],RefTabGrupoTarifa[],4,FALSE),0)</f>
        <v>3</v>
      </c>
      <c r="O23" s="68" t="s">
        <v>2451</v>
      </c>
      <c r="P23" s="68">
        <v>22</v>
      </c>
      <c r="Q23" s="68">
        <v>60</v>
      </c>
      <c r="R23" s="68">
        <v>242</v>
      </c>
      <c r="T23" s="846" t="s">
        <v>2256</v>
      </c>
      <c r="U23" s="846">
        <v>3</v>
      </c>
      <c r="V23" s="846">
        <v>12</v>
      </c>
      <c r="W23" s="846">
        <v>9</v>
      </c>
    </row>
    <row r="24" spans="3:23" ht="16.5">
      <c r="C24" s="1644" t="s">
        <v>1291</v>
      </c>
      <c r="D24" s="1645">
        <f>IFERROR((Indexador!J49+Indexador!P49)*Resultado!D25/(Resultado!D25+Resultado!D26),0)</f>
        <v>0</v>
      </c>
      <c r="E24" s="1622">
        <f t="shared" ca="1" si="0"/>
        <v>0</v>
      </c>
      <c r="F24" s="1646" t="s">
        <v>2238</v>
      </c>
      <c r="G24" s="1647" t="s">
        <v>2273</v>
      </c>
      <c r="H24" s="1648">
        <f>IFERROR(VLOOKUP(Financeiros[[#This Row],[Tipo]],RefTabTipo[],2,FALSE),0)</f>
        <v>22</v>
      </c>
      <c r="I24" s="1649">
        <f>IFERROR(VLOOKUP(Financeiros[[#This Row],[Tipo]],RefTabTipo[],3,FALSE),0)</f>
        <v>60</v>
      </c>
      <c r="J24" s="1650">
        <f>IFERROR(VLOOKUP(Financeiros[[#This Row],[Tipo]],RefTabTipo[],4,FALSE),0)</f>
        <v>999</v>
      </c>
      <c r="K24" s="1651">
        <f>IFERROR(VLOOKUP(Financeiros[[#This Row],[Grupo Tarifário]],RefTabGrupoTarifa[],2,FALSE),0)</f>
        <v>1</v>
      </c>
      <c r="L24" s="1648">
        <f>IFERROR(VLOOKUP(Financeiros[[#This Row],[Grupo Tarifário]],RefTabGrupoTarifa[],3,FALSE),0)</f>
        <v>1</v>
      </c>
      <c r="M24" s="1651">
        <f>IFERROR(VLOOKUP(Financeiros[[#This Row],[Grupo Tarifário]],RefTabGrupoTarifa[],4,FALSE),0)</f>
        <v>9</v>
      </c>
      <c r="T24" s="846" t="s">
        <v>2257</v>
      </c>
      <c r="U24" s="846">
        <v>3</v>
      </c>
      <c r="V24" s="846">
        <v>14</v>
      </c>
      <c r="W24" s="846">
        <v>9</v>
      </c>
    </row>
    <row r="25" spans="3:23" ht="16.5">
      <c r="C25" s="1644" t="s">
        <v>1292</v>
      </c>
      <c r="D25" s="1645">
        <f>IFERROR((Indexador!J49+Indexador!P49)*Resultado!D26/(Resultado!D25+Resultado!D26),0)</f>
        <v>0</v>
      </c>
      <c r="E25" s="1622">
        <f t="shared" ca="1" si="0"/>
        <v>0</v>
      </c>
      <c r="F25" s="1646" t="s">
        <v>2238</v>
      </c>
      <c r="G25" s="1647" t="s">
        <v>2272</v>
      </c>
      <c r="H25" s="1648">
        <f>IFERROR(VLOOKUP(Financeiros[[#This Row],[Tipo]],RefTabTipo[],2,FALSE),0)</f>
        <v>22</v>
      </c>
      <c r="I25" s="1649">
        <f>IFERROR(VLOOKUP(Financeiros[[#This Row],[Tipo]],RefTabTipo[],3,FALSE),0)</f>
        <v>60</v>
      </c>
      <c r="J25" s="1650">
        <f>IFERROR(VLOOKUP(Financeiros[[#This Row],[Tipo]],RefTabTipo[],4,FALSE),0)</f>
        <v>999</v>
      </c>
      <c r="K25" s="1651">
        <f>IFERROR(VLOOKUP(Financeiros[[#This Row],[Grupo Tarifário]],RefTabGrupoTarifa[],2,FALSE),0)</f>
        <v>1</v>
      </c>
      <c r="L25" s="1648">
        <f>IFERROR(VLOOKUP(Financeiros[[#This Row],[Grupo Tarifário]],RefTabGrupoTarifa[],3,FALSE),0)</f>
        <v>2</v>
      </c>
      <c r="M25" s="1651">
        <f>IFERROR(VLOOKUP(Financeiros[[#This Row],[Grupo Tarifário]],RefTabGrupoTarifa[],4,FALSE),0)</f>
        <v>9</v>
      </c>
      <c r="T25" s="846" t="s">
        <v>2258</v>
      </c>
      <c r="U25" s="846">
        <v>2</v>
      </c>
      <c r="V25" s="846">
        <v>11</v>
      </c>
      <c r="W25" s="846">
        <v>9</v>
      </c>
    </row>
    <row r="26" spans="3:23" ht="16.5">
      <c r="C26" s="1656" t="s">
        <v>1293</v>
      </c>
      <c r="D26" s="1657">
        <v>0</v>
      </c>
      <c r="E26" s="1622">
        <f t="shared" ca="1" si="0"/>
        <v>0</v>
      </c>
      <c r="F26" s="1606" t="s">
        <v>2233</v>
      </c>
      <c r="G26" s="1627" t="s">
        <v>104</v>
      </c>
      <c r="H26" s="1607">
        <f>IFERROR(VLOOKUP(Financeiros[[#This Row],[Tipo]],RefTabTipo[],2,FALSE),0)</f>
        <v>22</v>
      </c>
      <c r="I26" s="1633">
        <f>IFERROR(VLOOKUP(Financeiros[[#This Row],[Tipo]],RefTabTipo[],3,FALSE),0)</f>
        <v>60</v>
      </c>
      <c r="J26" s="1608">
        <f>IFERROR(VLOOKUP(Financeiros[[#This Row],[Tipo]],RefTabTipo[],4,FALSE),0)</f>
        <v>167</v>
      </c>
      <c r="K26" s="1639">
        <f>IFERROR(VLOOKUP(Financeiros[[#This Row],[Grupo Tarifário]],RefTabGrupoTarifa[],2,FALSE),0)</f>
        <v>4</v>
      </c>
      <c r="L26" s="1607">
        <f>IFERROR(VLOOKUP(Financeiros[[#This Row],[Grupo Tarifário]],RefTabGrupoTarifa[],3,FALSE),0)</f>
        <v>999</v>
      </c>
      <c r="M26" s="1639">
        <f>IFERROR(VLOOKUP(Financeiros[[#This Row],[Grupo Tarifário]],RefTabGrupoTarifa[],4,FALSE),0)</f>
        <v>9</v>
      </c>
      <c r="T26" s="846" t="s">
        <v>2259</v>
      </c>
      <c r="U26" s="846">
        <v>2</v>
      </c>
      <c r="V26" s="846">
        <v>30</v>
      </c>
      <c r="W26" s="846">
        <v>9</v>
      </c>
    </row>
    <row r="27" spans="3:23" ht="16.5">
      <c r="C27" s="1656" t="s">
        <v>2070</v>
      </c>
      <c r="D27" s="1657"/>
      <c r="E27" s="1622">
        <f t="shared" ca="1" si="0"/>
        <v>0</v>
      </c>
      <c r="F27" s="1606" t="s">
        <v>2238</v>
      </c>
      <c r="G27" s="1627" t="s">
        <v>2251</v>
      </c>
      <c r="H27" s="1607">
        <f>IFERROR(VLOOKUP(Financeiros[[#This Row],[Tipo]],RefTabTipo[],2,FALSE),0)</f>
        <v>22</v>
      </c>
      <c r="I27" s="1633">
        <f>IFERROR(VLOOKUP(Financeiros[[#This Row],[Tipo]],RefTabTipo[],3,FALSE),0)</f>
        <v>60</v>
      </c>
      <c r="J27" s="1608">
        <f>IFERROR(VLOOKUP(Financeiros[[#This Row],[Tipo]],RefTabTipo[],4,FALSE),0)</f>
        <v>999</v>
      </c>
      <c r="K27" s="1639">
        <f>IFERROR(VLOOKUP(Financeiros[[#This Row],[Grupo Tarifário]],RefTabGrupoTarifa[],2,FALSE),0)</f>
        <v>3</v>
      </c>
      <c r="L27" s="1607">
        <f>IFERROR(VLOOKUP(Financeiros[[#This Row],[Grupo Tarifário]],RefTabGrupoTarifa[],3,FALSE),0)</f>
        <v>28</v>
      </c>
      <c r="M27" s="1639">
        <f>IFERROR(VLOOKUP(Financeiros[[#This Row],[Grupo Tarifário]],RefTabGrupoTarifa[],4,FALSE),0)</f>
        <v>9</v>
      </c>
      <c r="T27" s="846" t="s">
        <v>2260</v>
      </c>
      <c r="U27" s="846">
        <v>2</v>
      </c>
      <c r="V27" s="846">
        <v>9</v>
      </c>
      <c r="W27" s="846">
        <v>9</v>
      </c>
    </row>
    <row r="28" spans="3:23" ht="16.5">
      <c r="C28" s="1620" t="s">
        <v>2048</v>
      </c>
      <c r="D28" s="1448"/>
      <c r="E28" s="1622">
        <f t="shared" ca="1" si="0"/>
        <v>0</v>
      </c>
      <c r="F28" s="1600" t="s">
        <v>2238</v>
      </c>
      <c r="G28" s="1624" t="s">
        <v>2259</v>
      </c>
      <c r="H28" s="1605">
        <f>IFERROR(VLOOKUP(Financeiros[[#This Row],[Tipo]],RefTabTipo[],2,FALSE),0)</f>
        <v>22</v>
      </c>
      <c r="I28" s="1630">
        <f>IFERROR(VLOOKUP(Financeiros[[#This Row],[Tipo]],RefTabTipo[],3,FALSE),0)</f>
        <v>60</v>
      </c>
      <c r="J28" s="1605">
        <f>IFERROR(VLOOKUP(Financeiros[[#This Row],[Tipo]],RefTabTipo[],4,FALSE),0)</f>
        <v>999</v>
      </c>
      <c r="K28" s="1630">
        <f>IFERROR(VLOOKUP(Financeiros[[#This Row],[Grupo Tarifário]],RefTabGrupoTarifa[],2,FALSE),0)</f>
        <v>2</v>
      </c>
      <c r="L28" s="1605">
        <f>IFERROR(VLOOKUP(Financeiros[[#This Row],[Grupo Tarifário]],RefTabGrupoTarifa[],3,FALSE),0)</f>
        <v>30</v>
      </c>
      <c r="M28" s="1630">
        <f>IFERROR(VLOOKUP(Financeiros[[#This Row],[Grupo Tarifário]],RefTabGrupoTarifa[],4,FALSE),0)</f>
        <v>9</v>
      </c>
      <c r="T28" s="846" t="s">
        <v>2261</v>
      </c>
      <c r="U28" s="846">
        <v>2</v>
      </c>
      <c r="V28" s="846">
        <v>10</v>
      </c>
      <c r="W28" s="846">
        <v>9</v>
      </c>
    </row>
    <row r="29" spans="3:23" ht="16.5">
      <c r="C29" s="1621" t="s">
        <v>1294</v>
      </c>
      <c r="D29" s="1448">
        <f>(Indexador!H49)</f>
        <v>-9792.7939776082167</v>
      </c>
      <c r="E29" s="1622">
        <f t="shared" ca="1" si="0"/>
        <v>-6.6264860226468729E-4</v>
      </c>
      <c r="F29" s="1665" t="s">
        <v>2240</v>
      </c>
      <c r="G29" s="1666" t="s">
        <v>2270</v>
      </c>
      <c r="H29" s="1667">
        <f>IFERROR(VLOOKUP(Financeiros[[#This Row],[Tipo]],RefTabTipo[],2,FALSE),0)</f>
        <v>22</v>
      </c>
      <c r="I29" s="1630">
        <f>IFERROR(VLOOKUP(Financeiros[[#This Row],[Tipo]],RefTabTipo[],3,FALSE),0)</f>
        <v>60</v>
      </c>
      <c r="J29" s="1605">
        <f>IFERROR(VLOOKUP(Financeiros[[#This Row],[Tipo]],RefTabTipo[],4,FALSE),0)</f>
        <v>178</v>
      </c>
      <c r="K29" s="1668">
        <f>IFERROR(VLOOKUP(Financeiros[[#This Row],[Grupo Tarifário]],RefTabGrupoTarifa[],2,FALSE),0)</f>
        <v>1</v>
      </c>
      <c r="L29" s="1667">
        <f>IFERROR(VLOOKUP(Financeiros[[#This Row],[Grupo Tarifário]],RefTabGrupoTarifa[],3,FALSE),0)</f>
        <v>7</v>
      </c>
      <c r="M29" s="1668">
        <f>IFERROR(VLOOKUP(Financeiros[[#This Row],[Grupo Tarifário]],RefTabGrupoTarifa[],4,FALSE),0)</f>
        <v>9</v>
      </c>
      <c r="T29" s="846" t="s">
        <v>2262</v>
      </c>
      <c r="U29" s="846">
        <v>2</v>
      </c>
      <c r="V29" s="846">
        <v>24</v>
      </c>
      <c r="W29" s="846">
        <v>9</v>
      </c>
    </row>
    <row r="30" spans="3:23" ht="16.5">
      <c r="C30" s="1621" t="s">
        <v>1295</v>
      </c>
      <c r="D30" s="1448">
        <f ca="1">-LnkTXTISubvencaoPB</f>
        <v>-2975069.7960253092</v>
      </c>
      <c r="E30" s="1622">
        <f t="shared" ca="1" si="0"/>
        <v>-0.20131393006774548</v>
      </c>
      <c r="F30" s="1665" t="s">
        <v>2451</v>
      </c>
      <c r="G30" s="1666" t="s">
        <v>104</v>
      </c>
      <c r="H30" s="1667">
        <f>IFERROR(VLOOKUP(Financeiros[[#This Row],[Tipo]],RefTabTipo[],2,FALSE),0)</f>
        <v>22</v>
      </c>
      <c r="I30" s="1630">
        <f>IFERROR(VLOOKUP(Financeiros[[#This Row],[Tipo]],RefTabTipo[],3,FALSE),0)</f>
        <v>60</v>
      </c>
      <c r="J30" s="1605">
        <f>IFERROR(VLOOKUP(Financeiros[[#This Row],[Tipo]],RefTabTipo[],4,FALSE),0)</f>
        <v>242</v>
      </c>
      <c r="K30" s="1668">
        <f>IFERROR(VLOOKUP(Financeiros[[#This Row],[Grupo Tarifário]],RefTabGrupoTarifa[],2,FALSE),0)</f>
        <v>4</v>
      </c>
      <c r="L30" s="1667">
        <f>IFERROR(VLOOKUP(Financeiros[[#This Row],[Grupo Tarifário]],RefTabGrupoTarifa[],3,FALSE),0)</f>
        <v>999</v>
      </c>
      <c r="M30" s="1668">
        <f>IFERROR(VLOOKUP(Financeiros[[#This Row],[Grupo Tarifário]],RefTabGrupoTarifa[],4,FALSE),0)</f>
        <v>9</v>
      </c>
      <c r="T30" s="846" t="s">
        <v>2263</v>
      </c>
      <c r="U30" s="846">
        <v>2</v>
      </c>
      <c r="V30" s="846">
        <v>8</v>
      </c>
      <c r="W30" s="846">
        <v>9</v>
      </c>
    </row>
    <row r="31" spans="3:23" ht="16.5">
      <c r="C31" s="1620" t="s">
        <v>1296</v>
      </c>
      <c r="D31" s="1448">
        <f>IFERROR(-ABS(Indexador!$L$49),0)</f>
        <v>-88163.743639273118</v>
      </c>
      <c r="E31" s="1622">
        <f t="shared" ca="1" si="0"/>
        <v>-5.9657725493430002E-3</v>
      </c>
      <c r="F31" s="1665" t="s">
        <v>2238</v>
      </c>
      <c r="G31" s="1666" t="s">
        <v>2259</v>
      </c>
      <c r="H31" s="1667">
        <f>IFERROR(VLOOKUP(Financeiros[[#This Row],[Tipo]],RefTabTipo[],2,FALSE),0)</f>
        <v>22</v>
      </c>
      <c r="I31" s="1630">
        <f>IFERROR(VLOOKUP(Financeiros[[#This Row],[Tipo]],RefTabTipo[],3,FALSE),0)</f>
        <v>60</v>
      </c>
      <c r="J31" s="1605">
        <f>IFERROR(VLOOKUP(Financeiros[[#This Row],[Tipo]],RefTabTipo[],4,FALSE),0)</f>
        <v>999</v>
      </c>
      <c r="K31" s="1668">
        <f>IFERROR(VLOOKUP(Financeiros[[#This Row],[Grupo Tarifário]],RefTabGrupoTarifa[],2,FALSE),0)</f>
        <v>2</v>
      </c>
      <c r="L31" s="1667">
        <f>IFERROR(VLOOKUP(Financeiros[[#This Row],[Grupo Tarifário]],RefTabGrupoTarifa[],3,FALSE),0)</f>
        <v>30</v>
      </c>
      <c r="M31" s="1668">
        <f>IFERROR(VLOOKUP(Financeiros[[#This Row],[Grupo Tarifário]],RefTabGrupoTarifa[],4,FALSE),0)</f>
        <v>9</v>
      </c>
      <c r="N31" s="92"/>
      <c r="T31" s="846" t="s">
        <v>2264</v>
      </c>
      <c r="U31" s="846">
        <v>3</v>
      </c>
      <c r="V31" s="846">
        <v>40</v>
      </c>
      <c r="W31" s="846">
        <v>9</v>
      </c>
    </row>
    <row r="32" spans="3:23" ht="16.5">
      <c r="C32" s="1620" t="s">
        <v>1297</v>
      </c>
      <c r="D32" s="1448"/>
      <c r="E32" s="1622">
        <f t="shared" ca="1" si="0"/>
        <v>0</v>
      </c>
      <c r="F32" s="1665" t="s">
        <v>2235</v>
      </c>
      <c r="G32" s="1666" t="s">
        <v>104</v>
      </c>
      <c r="H32" s="1667">
        <f>IFERROR(VLOOKUP(Financeiros[[#This Row],[Tipo]],RefTabTipo[],2,FALSE),0)</f>
        <v>22</v>
      </c>
      <c r="I32" s="1630">
        <f>IFERROR(VLOOKUP(Financeiros[[#This Row],[Tipo]],RefTabTipo[],3,FALSE),0)</f>
        <v>60</v>
      </c>
      <c r="J32" s="1605">
        <f>IFERROR(VLOOKUP(Financeiros[[#This Row],[Tipo]],RefTabTipo[],4,FALSE),0)</f>
        <v>120</v>
      </c>
      <c r="K32" s="1668">
        <f>IFERROR(VLOOKUP(Financeiros[[#This Row],[Grupo Tarifário]],RefTabGrupoTarifa[],2,FALSE),0)</f>
        <v>4</v>
      </c>
      <c r="L32" s="1667">
        <f>IFERROR(VLOOKUP(Financeiros[[#This Row],[Grupo Tarifário]],RefTabGrupoTarifa[],3,FALSE),0)</f>
        <v>999</v>
      </c>
      <c r="M32" s="1668">
        <f>IFERROR(VLOOKUP(Financeiros[[#This Row],[Grupo Tarifário]],RefTabGrupoTarifa[],4,FALSE),0)</f>
        <v>9</v>
      </c>
      <c r="N32" s="92"/>
      <c r="T32" s="846" t="s">
        <v>104</v>
      </c>
      <c r="U32" s="846">
        <v>4</v>
      </c>
      <c r="V32" s="846">
        <v>999</v>
      </c>
      <c r="W32" s="846">
        <v>9</v>
      </c>
    </row>
    <row r="33" spans="3:23" ht="16.5">
      <c r="C33" s="1621" t="s">
        <v>1298</v>
      </c>
      <c r="D33" s="1448">
        <f>'Tributos suprimento'!$E$18</f>
        <v>0</v>
      </c>
      <c r="E33" s="1622">
        <f t="shared" ca="1" si="0"/>
        <v>0</v>
      </c>
      <c r="F33" s="1665" t="s">
        <v>2238</v>
      </c>
      <c r="G33" s="1666" t="s">
        <v>2270</v>
      </c>
      <c r="H33" s="1667">
        <f>IFERROR(VLOOKUP(Financeiros[[#This Row],[Tipo]],RefTabTipo[],2,FALSE),0)</f>
        <v>22</v>
      </c>
      <c r="I33" s="1630">
        <f>IFERROR(VLOOKUP(Financeiros[[#This Row],[Tipo]],RefTabTipo[],3,FALSE),0)</f>
        <v>60</v>
      </c>
      <c r="J33" s="1605">
        <f>IFERROR(VLOOKUP(Financeiros[[#This Row],[Tipo]],RefTabTipo[],4,FALSE),0)</f>
        <v>999</v>
      </c>
      <c r="K33" s="1668">
        <f>IFERROR(VLOOKUP(Financeiros[[#This Row],[Grupo Tarifário]],RefTabGrupoTarifa[],2,FALSE),0)</f>
        <v>1</v>
      </c>
      <c r="L33" s="1667">
        <f>IFERROR(VLOOKUP(Financeiros[[#This Row],[Grupo Tarifário]],RefTabGrupoTarifa[],3,FALSE),0)</f>
        <v>7</v>
      </c>
      <c r="M33" s="1668">
        <f>IFERROR(VLOOKUP(Financeiros[[#This Row],[Grupo Tarifário]],RefTabGrupoTarifa[],4,FALSE),0)</f>
        <v>9</v>
      </c>
      <c r="N33" s="92"/>
      <c r="T33" s="846" t="s">
        <v>2265</v>
      </c>
      <c r="U33" s="846">
        <v>5</v>
      </c>
      <c r="V33" s="846">
        <v>999</v>
      </c>
      <c r="W33" s="846">
        <v>9</v>
      </c>
    </row>
    <row r="34" spans="3:23" ht="16.5">
      <c r="C34" s="1621" t="s">
        <v>1299</v>
      </c>
      <c r="D34" s="1448">
        <f>'Tributos suprimento'!$E$19</f>
        <v>0</v>
      </c>
      <c r="E34" s="1622">
        <f t="shared" ca="1" si="0"/>
        <v>0</v>
      </c>
      <c r="F34" s="1665" t="s">
        <v>2238</v>
      </c>
      <c r="G34" s="1666" t="s">
        <v>2259</v>
      </c>
      <c r="H34" s="1667">
        <f>IFERROR(VLOOKUP(Financeiros[[#This Row],[Tipo]],RefTabTipo[],2,FALSE),0)</f>
        <v>22</v>
      </c>
      <c r="I34" s="1630">
        <f>IFERROR(VLOOKUP(Financeiros[[#This Row],[Tipo]],RefTabTipo[],3,FALSE),0)</f>
        <v>60</v>
      </c>
      <c r="J34" s="1605">
        <f>IFERROR(VLOOKUP(Financeiros[[#This Row],[Tipo]],RefTabTipo[],4,FALSE),0)</f>
        <v>999</v>
      </c>
      <c r="K34" s="1668">
        <f>IFERROR(VLOOKUP(Financeiros[[#This Row],[Grupo Tarifário]],RefTabGrupoTarifa[],2,FALSE),0)</f>
        <v>2</v>
      </c>
      <c r="L34" s="1667">
        <f>IFERROR(VLOOKUP(Financeiros[[#This Row],[Grupo Tarifário]],RefTabGrupoTarifa[],3,FALSE),0)</f>
        <v>30</v>
      </c>
      <c r="M34" s="1668">
        <f>IFERROR(VLOOKUP(Financeiros[[#This Row],[Grupo Tarifário]],RefTabGrupoTarifa[],4,FALSE),0)</f>
        <v>9</v>
      </c>
      <c r="T34" s="846" t="s">
        <v>2266</v>
      </c>
      <c r="U34" s="846">
        <v>1</v>
      </c>
      <c r="V34" s="846">
        <v>1</v>
      </c>
      <c r="W34" s="846">
        <v>9</v>
      </c>
    </row>
    <row r="35" spans="3:23" ht="16.5">
      <c r="C35" s="1621" t="s">
        <v>1300</v>
      </c>
      <c r="D35" s="625"/>
      <c r="E35" s="1622">
        <f t="shared" ca="1" si="0"/>
        <v>0</v>
      </c>
      <c r="F35" s="1665" t="s">
        <v>2238</v>
      </c>
      <c r="G35" s="1666" t="s">
        <v>2254</v>
      </c>
      <c r="H35" s="1667">
        <f>IFERROR(VLOOKUP(Financeiros[[#This Row],[Tipo]],RefTabTipo[],2,FALSE),0)</f>
        <v>22</v>
      </c>
      <c r="I35" s="1630">
        <f>IFERROR(VLOOKUP(Financeiros[[#This Row],[Tipo]],RefTabTipo[],3,FALSE),0)</f>
        <v>60</v>
      </c>
      <c r="J35" s="1605">
        <f>IFERROR(VLOOKUP(Financeiros[[#This Row],[Tipo]],RefTabTipo[],4,FALSE),0)</f>
        <v>999</v>
      </c>
      <c r="K35" s="1668">
        <f>IFERROR(VLOOKUP(Financeiros[[#This Row],[Grupo Tarifário]],RefTabGrupoTarifa[],2,FALSE),0)</f>
        <v>3</v>
      </c>
      <c r="L35" s="1667">
        <f>IFERROR(VLOOKUP(Financeiros[[#This Row],[Grupo Tarifário]],RefTabGrupoTarifa[],3,FALSE),0)</f>
        <v>19</v>
      </c>
      <c r="M35" s="1668">
        <f>IFERROR(VLOOKUP(Financeiros[[#This Row],[Grupo Tarifário]],RefTabGrupoTarifa[],4,FALSE),0)</f>
        <v>9</v>
      </c>
      <c r="T35" s="846" t="s">
        <v>2267</v>
      </c>
      <c r="U35" s="846">
        <v>1</v>
      </c>
      <c r="V35" s="846">
        <v>22</v>
      </c>
      <c r="W35" s="846">
        <v>9</v>
      </c>
    </row>
    <row r="36" spans="3:23" ht="16.5">
      <c r="C36" s="1621" t="s">
        <v>1301</v>
      </c>
      <c r="D36" s="1669"/>
      <c r="E36" s="1622">
        <f t="shared" ca="1" si="0"/>
        <v>0</v>
      </c>
      <c r="F36" s="1665" t="s">
        <v>2238</v>
      </c>
      <c r="G36" s="1666" t="s">
        <v>104</v>
      </c>
      <c r="H36" s="1667">
        <f>IFERROR(VLOOKUP(Financeiros[[#This Row],[Tipo]],RefTabTipo[],2,FALSE),0)</f>
        <v>22</v>
      </c>
      <c r="I36" s="1630">
        <f>IFERROR(VLOOKUP(Financeiros[[#This Row],[Tipo]],RefTabTipo[],3,FALSE),0)</f>
        <v>60</v>
      </c>
      <c r="J36" s="1605">
        <f>IFERROR(VLOOKUP(Financeiros[[#This Row],[Tipo]],RefTabTipo[],4,FALSE),0)</f>
        <v>999</v>
      </c>
      <c r="K36" s="1668">
        <f>IFERROR(VLOOKUP(Financeiros[[#This Row],[Grupo Tarifário]],RefTabGrupoTarifa[],2,FALSE),0)</f>
        <v>4</v>
      </c>
      <c r="L36" s="1667">
        <f>IFERROR(VLOOKUP(Financeiros[[#This Row],[Grupo Tarifário]],RefTabGrupoTarifa[],3,FALSE),0)</f>
        <v>999</v>
      </c>
      <c r="M36" s="1668">
        <f>IFERROR(VLOOKUP(Financeiros[[#This Row],[Grupo Tarifário]],RefTabGrupoTarifa[],4,FALSE),0)</f>
        <v>9</v>
      </c>
      <c r="T36" s="846" t="s">
        <v>2268</v>
      </c>
      <c r="U36" s="846">
        <v>1</v>
      </c>
      <c r="V36" s="846">
        <v>4</v>
      </c>
      <c r="W36" s="846">
        <v>9</v>
      </c>
    </row>
    <row r="37" spans="3:23" ht="16.5">
      <c r="C37" s="1766" t="s">
        <v>2442</v>
      </c>
      <c r="D37" s="1670"/>
      <c r="E37" s="1622">
        <f t="shared" ca="1" si="0"/>
        <v>0</v>
      </c>
      <c r="F37" s="1665"/>
      <c r="G37" s="1666"/>
      <c r="H37" s="1667"/>
      <c r="I37" s="1630"/>
      <c r="J37" s="1605"/>
      <c r="K37" s="1668"/>
      <c r="L37" s="1667"/>
      <c r="M37" s="1668"/>
      <c r="T37" s="846" t="s">
        <v>2269</v>
      </c>
      <c r="U37" s="846">
        <v>1</v>
      </c>
      <c r="V37" s="846">
        <v>3</v>
      </c>
      <c r="W37" s="846">
        <v>9</v>
      </c>
    </row>
    <row r="38" spans="3:23" ht="16.5">
      <c r="C38" s="1621" t="s">
        <v>1302</v>
      </c>
      <c r="D38" s="625"/>
      <c r="E38" s="1622">
        <f t="shared" ca="1" si="0"/>
        <v>0</v>
      </c>
      <c r="F38" s="1665" t="s">
        <v>2238</v>
      </c>
      <c r="G38" s="1666" t="s">
        <v>2259</v>
      </c>
      <c r="H38" s="1667">
        <f>IFERROR(VLOOKUP(Financeiros[[#This Row],[Tipo]],RefTabTipo[],2,FALSE),0)</f>
        <v>22</v>
      </c>
      <c r="I38" s="1630">
        <f>IFERROR(VLOOKUP(Financeiros[[#This Row],[Tipo]],RefTabTipo[],3,FALSE),0)</f>
        <v>60</v>
      </c>
      <c r="J38" s="1605">
        <f>IFERROR(VLOOKUP(Financeiros[[#This Row],[Tipo]],RefTabTipo[],4,FALSE),0)</f>
        <v>999</v>
      </c>
      <c r="K38" s="1668">
        <f>IFERROR(VLOOKUP(Financeiros[[#This Row],[Grupo Tarifário]],RefTabGrupoTarifa[],2,FALSE),0)</f>
        <v>2</v>
      </c>
      <c r="L38" s="1667">
        <f>IFERROR(VLOOKUP(Financeiros[[#This Row],[Grupo Tarifário]],RefTabGrupoTarifa[],3,FALSE),0)</f>
        <v>30</v>
      </c>
      <c r="M38" s="1668">
        <f>IFERROR(VLOOKUP(Financeiros[[#This Row],[Grupo Tarifário]],RefTabGrupoTarifa[],4,FALSE),0)</f>
        <v>9</v>
      </c>
      <c r="T38" s="846" t="s">
        <v>2270</v>
      </c>
      <c r="U38" s="846">
        <v>1</v>
      </c>
      <c r="V38" s="846">
        <v>7</v>
      </c>
      <c r="W38" s="846">
        <v>9</v>
      </c>
    </row>
    <row r="39" spans="3:23" ht="16.5">
      <c r="C39" s="1621" t="s">
        <v>1303</v>
      </c>
      <c r="D39" s="625">
        <f>-ABS(PIS_COFINS!$R$4)</f>
        <v>0</v>
      </c>
      <c r="E39" s="1622">
        <f t="shared" ca="1" si="0"/>
        <v>0</v>
      </c>
      <c r="F39" s="1665" t="s">
        <v>2237</v>
      </c>
      <c r="G39" s="1666" t="s">
        <v>2244</v>
      </c>
      <c r="H39" s="1667">
        <f>IFERROR(VLOOKUP(Financeiros[[#This Row],[Tipo]],RefTabTipo[],2,FALSE),0)</f>
        <v>22</v>
      </c>
      <c r="I39" s="1630">
        <f>IFERROR(VLOOKUP(Financeiros[[#This Row],[Tipo]],RefTabTipo[],3,FALSE),0)</f>
        <v>60</v>
      </c>
      <c r="J39" s="1605">
        <f>IFERROR(VLOOKUP(Financeiros[[#This Row],[Tipo]],RefTabTipo[],4,FALSE),0)</f>
        <v>179</v>
      </c>
      <c r="K39" s="1668">
        <f>IFERROR(VLOOKUP(Financeiros[[#This Row],[Grupo Tarifário]],RefTabGrupoTarifa[],2,FALSE),0)</f>
        <v>99</v>
      </c>
      <c r="L39" s="1667">
        <f>IFERROR(VLOOKUP(Financeiros[[#This Row],[Grupo Tarifário]],RefTabGrupoTarifa[],3,FALSE),0)</f>
        <v>999</v>
      </c>
      <c r="M39" s="1668">
        <f>IFERROR(VLOOKUP(Financeiros[[#This Row],[Grupo Tarifário]],RefTabGrupoTarifa[],4,FALSE),0)</f>
        <v>3</v>
      </c>
      <c r="T39" s="846" t="s">
        <v>2271</v>
      </c>
      <c r="U39" s="846">
        <v>1</v>
      </c>
      <c r="V39" s="846">
        <v>23</v>
      </c>
      <c r="W39" s="846">
        <v>9</v>
      </c>
    </row>
    <row r="40" spans="3:23" ht="16.5">
      <c r="C40" s="1767" t="s">
        <v>1304</v>
      </c>
      <c r="D40" s="625"/>
      <c r="E40" s="1622">
        <f t="shared" ca="1" si="0"/>
        <v>0</v>
      </c>
      <c r="F40" s="1665" t="s">
        <v>2238</v>
      </c>
      <c r="G40" s="1666" t="s">
        <v>2270</v>
      </c>
      <c r="H40" s="1667">
        <f>IFERROR(VLOOKUP(Financeiros[[#This Row],[Tipo]],RefTabTipo[],2,FALSE),0)</f>
        <v>22</v>
      </c>
      <c r="I40" s="1630">
        <f>IFERROR(VLOOKUP(Financeiros[[#This Row],[Tipo]],RefTabTipo[],3,FALSE),0)</f>
        <v>60</v>
      </c>
      <c r="J40" s="1605">
        <f>IFERROR(VLOOKUP(Financeiros[[#This Row],[Tipo]],RefTabTipo[],4,FALSE),0)</f>
        <v>999</v>
      </c>
      <c r="K40" s="1668">
        <f>IFERROR(VLOOKUP(Financeiros[[#This Row],[Grupo Tarifário]],RefTabGrupoTarifa[],2,FALSE),0)</f>
        <v>1</v>
      </c>
      <c r="L40" s="1667">
        <f>IFERROR(VLOOKUP(Financeiros[[#This Row],[Grupo Tarifário]],RefTabGrupoTarifa[],3,FALSE),0)</f>
        <v>7</v>
      </c>
      <c r="M40" s="1668">
        <f>IFERROR(VLOOKUP(Financeiros[[#This Row],[Grupo Tarifário]],RefTabGrupoTarifa[],4,FALSE),0)</f>
        <v>9</v>
      </c>
      <c r="T40" s="846" t="s">
        <v>2272</v>
      </c>
      <c r="U40" s="846">
        <v>1</v>
      </c>
      <c r="V40" s="846">
        <v>2</v>
      </c>
      <c r="W40" s="846">
        <v>9</v>
      </c>
    </row>
    <row r="41" spans="3:23" ht="16.5">
      <c r="C41" s="1767" t="s">
        <v>1305</v>
      </c>
      <c r="D41" s="625"/>
      <c r="E41" s="1622">
        <f t="shared" ca="1" si="0"/>
        <v>0</v>
      </c>
      <c r="F41" s="1665" t="s">
        <v>2238</v>
      </c>
      <c r="G41" s="1666" t="s">
        <v>2259</v>
      </c>
      <c r="H41" s="1667">
        <f>IFERROR(VLOOKUP(Financeiros[[#This Row],[Tipo]],RefTabTipo[],2,FALSE),0)</f>
        <v>22</v>
      </c>
      <c r="I41" s="1630">
        <f>IFERROR(VLOOKUP(Financeiros[[#This Row],[Tipo]],RefTabTipo[],3,FALSE),0)</f>
        <v>60</v>
      </c>
      <c r="J41" s="1605">
        <f>IFERROR(VLOOKUP(Financeiros[[#This Row],[Tipo]],RefTabTipo[],4,FALSE),0)</f>
        <v>999</v>
      </c>
      <c r="K41" s="1668">
        <f>IFERROR(VLOOKUP(Financeiros[[#This Row],[Grupo Tarifário]],RefTabGrupoTarifa[],2,FALSE),0)</f>
        <v>2</v>
      </c>
      <c r="L41" s="1667">
        <f>IFERROR(VLOOKUP(Financeiros[[#This Row],[Grupo Tarifário]],RefTabGrupoTarifa[],3,FALSE),0)</f>
        <v>30</v>
      </c>
      <c r="M41" s="1668">
        <f>IFERROR(VLOOKUP(Financeiros[[#This Row],[Grupo Tarifário]],RefTabGrupoTarifa[],4,FALSE),0)</f>
        <v>9</v>
      </c>
      <c r="T41" s="846" t="s">
        <v>2273</v>
      </c>
      <c r="U41" s="846">
        <v>1</v>
      </c>
      <c r="V41" s="846">
        <v>1</v>
      </c>
      <c r="W41" s="846">
        <v>9</v>
      </c>
    </row>
    <row r="42" spans="3:23" ht="16.5">
      <c r="C42" s="1621" t="s">
        <v>1306</v>
      </c>
      <c r="D42" s="625">
        <f>'Financeiros Mitigação'!$D$12</f>
        <v>0</v>
      </c>
      <c r="E42" s="1622">
        <f t="shared" ca="1" si="0"/>
        <v>0</v>
      </c>
      <c r="F42" s="1665" t="s">
        <v>2238</v>
      </c>
      <c r="G42" s="1666" t="s">
        <v>104</v>
      </c>
      <c r="H42" s="1667">
        <f>IFERROR(VLOOKUP(Financeiros[[#This Row],[Tipo]],RefTabTipo[],2,FALSE),0)</f>
        <v>22</v>
      </c>
      <c r="I42" s="1630">
        <f>IFERROR(VLOOKUP(Financeiros[[#This Row],[Tipo]],RefTabTipo[],3,FALSE),0)</f>
        <v>60</v>
      </c>
      <c r="J42" s="1605">
        <f>IFERROR(VLOOKUP(Financeiros[[#This Row],[Tipo]],RefTabTipo[],4,FALSE),0)</f>
        <v>999</v>
      </c>
      <c r="K42" s="1668">
        <f>IFERROR(VLOOKUP(Financeiros[[#This Row],[Grupo Tarifário]],RefTabGrupoTarifa[],2,FALSE),0)</f>
        <v>4</v>
      </c>
      <c r="L42" s="1667">
        <f>IFERROR(VLOOKUP(Financeiros[[#This Row],[Grupo Tarifário]],RefTabGrupoTarifa[],3,FALSE),0)</f>
        <v>999</v>
      </c>
      <c r="M42" s="1668">
        <f>IFERROR(VLOOKUP(Financeiros[[#This Row],[Grupo Tarifário]],RefTabGrupoTarifa[],4,FALSE),0)</f>
        <v>9</v>
      </c>
      <c r="T42" s="846" t="s">
        <v>2274</v>
      </c>
      <c r="U42" s="846">
        <v>1</v>
      </c>
      <c r="V42" s="846">
        <v>21</v>
      </c>
      <c r="W42" s="846">
        <v>9</v>
      </c>
    </row>
    <row r="43" spans="3:23" ht="16.5">
      <c r="C43" s="1621" t="s">
        <v>2278</v>
      </c>
      <c r="D43" s="1658">
        <v>-49683</v>
      </c>
      <c r="E43" s="1622">
        <f t="shared" ca="1" si="0"/>
        <v>-3.3618975934340436E-3</v>
      </c>
      <c r="F43" s="1665" t="s">
        <v>2231</v>
      </c>
      <c r="G43" s="1666" t="s">
        <v>104</v>
      </c>
      <c r="H43" s="1671">
        <f>IFERROR(VLOOKUP(Financeiros[[#This Row],[Tipo]],RefTabTipo[],2,FALSE),0)</f>
        <v>22</v>
      </c>
      <c r="I43" s="1630">
        <f>IFERROR(VLOOKUP(Financeiros[[#This Row],[Tipo]],RefTabTipo[],3,FALSE),0)</f>
        <v>60</v>
      </c>
      <c r="J43" s="1605">
        <f>IFERROR(VLOOKUP(Financeiros[[#This Row],[Tipo]],RefTabTipo[],4,FALSE),0)</f>
        <v>235</v>
      </c>
      <c r="K43" s="1672">
        <f>IFERROR(VLOOKUP(Financeiros[[#This Row],[Grupo Tarifário]],RefTabGrupoTarifa[],2,FALSE),0)</f>
        <v>4</v>
      </c>
      <c r="L43" s="1671">
        <f>IFERROR(VLOOKUP(Financeiros[[#This Row],[Grupo Tarifário]],RefTabGrupoTarifa[],3,FALSE),0)</f>
        <v>999</v>
      </c>
      <c r="M43" s="1672">
        <f>IFERROR(VLOOKUP(Financeiros[[#This Row],[Grupo Tarifário]],RefTabGrupoTarifa[],4,FALSE),0)</f>
        <v>9</v>
      </c>
      <c r="T43" s="846" t="s">
        <v>2275</v>
      </c>
      <c r="U43" s="846">
        <v>1</v>
      </c>
      <c r="V43" s="846">
        <v>5</v>
      </c>
      <c r="W43" s="846">
        <v>9</v>
      </c>
    </row>
    <row r="44" spans="3:23" ht="16.5">
      <c r="C44" s="1619" t="s">
        <v>2449</v>
      </c>
      <c r="D44" s="1765">
        <v>-1250000</v>
      </c>
      <c r="E44" s="1622">
        <f t="shared" ca="1" si="0"/>
        <v>-8.458370049700209E-2</v>
      </c>
      <c r="F44" s="1758" t="s">
        <v>2238</v>
      </c>
      <c r="G44" s="1759" t="s">
        <v>2259</v>
      </c>
      <c r="H44" s="1760">
        <f>IFERROR(VLOOKUP(Financeiros[[#This Row],[Tipo]],RefTabTipo[],2,FALSE),0)</f>
        <v>22</v>
      </c>
      <c r="I44" s="1761">
        <f>IFERROR(VLOOKUP(Financeiros[[#This Row],[Tipo]],RefTabTipo[],3,FALSE),0)</f>
        <v>60</v>
      </c>
      <c r="J44" s="1762">
        <f>IFERROR(VLOOKUP(Financeiros[[#This Row],[Tipo]],RefTabTipo[],4,FALSE),0)</f>
        <v>999</v>
      </c>
      <c r="K44" s="1763">
        <f>IFERROR(VLOOKUP(Financeiros[[#This Row],[Grupo Tarifário]],RefTabGrupoTarifa[],2,FALSE),0)</f>
        <v>2</v>
      </c>
      <c r="L44" s="1760">
        <f>IFERROR(VLOOKUP(Financeiros[[#This Row],[Grupo Tarifário]],RefTabGrupoTarifa[],3,FALSE),0)</f>
        <v>30</v>
      </c>
      <c r="M44" s="1763">
        <f>IFERROR(VLOOKUP(Financeiros[[#This Row],[Grupo Tarifário]],RefTabGrupoTarifa[],4,FALSE),0)</f>
        <v>9</v>
      </c>
      <c r="T44" s="846" t="s">
        <v>2276</v>
      </c>
      <c r="U44" s="846">
        <v>1</v>
      </c>
      <c r="V44" s="846">
        <v>6</v>
      </c>
      <c r="W44" s="846">
        <v>9</v>
      </c>
    </row>
    <row r="45" spans="3:23" ht="16.5">
      <c r="C45" s="1619" t="s">
        <v>2445</v>
      </c>
      <c r="D45" s="1658">
        <f>Indexador!G17</f>
        <v>1087272.9129262005</v>
      </c>
      <c r="E45" s="1622">
        <f t="shared" ca="1" si="0"/>
        <v>7.3572453140362218E-2</v>
      </c>
      <c r="F45" s="1665" t="s">
        <v>2238</v>
      </c>
      <c r="G45" s="1666" t="s">
        <v>2259</v>
      </c>
      <c r="H45" s="1671">
        <f>IFERROR(VLOOKUP(Financeiros[[#This Row],[Tipo]],RefTabTipo[],2,FALSE),0)</f>
        <v>22</v>
      </c>
      <c r="I45" s="1630">
        <f>IFERROR(VLOOKUP(Financeiros[[#This Row],[Tipo]],RefTabTipo[],3,FALSE),0)</f>
        <v>60</v>
      </c>
      <c r="J45" s="1605">
        <f>IFERROR(VLOOKUP(Financeiros[[#This Row],[Tipo]],RefTabTipo[],4,FALSE),0)</f>
        <v>999</v>
      </c>
      <c r="K45" s="1672">
        <f>IFERROR(VLOOKUP(Financeiros[[#This Row],[Grupo Tarifário]],RefTabGrupoTarifa[],2,FALSE),0)</f>
        <v>2</v>
      </c>
      <c r="L45" s="1671">
        <f>IFERROR(VLOOKUP(Financeiros[[#This Row],[Grupo Tarifário]],RefTabGrupoTarifa[],3,FALSE),0)</f>
        <v>30</v>
      </c>
      <c r="M45" s="1672">
        <f>IFERROR(VLOOKUP(Financeiros[[#This Row],[Grupo Tarifário]],RefTabGrupoTarifa[],4,FALSE),0)</f>
        <v>9</v>
      </c>
      <c r="T45" s="846"/>
      <c r="U45" s="846"/>
      <c r="V45" s="846"/>
      <c r="W45" s="846"/>
    </row>
    <row r="46" spans="3:23" ht="16.5">
      <c r="C46" s="1766" t="s">
        <v>2446</v>
      </c>
      <c r="D46" s="625"/>
      <c r="E46" s="1622">
        <f t="shared" ca="1" si="0"/>
        <v>0</v>
      </c>
      <c r="F46" s="1665"/>
      <c r="G46" s="1666"/>
      <c r="H46" s="1667">
        <f>IFERROR(VLOOKUP(Financeiros[[#This Row],[Tipo]],RefTabTipo[],2,FALSE),0)</f>
        <v>0</v>
      </c>
      <c r="I46" s="1630">
        <f>IFERROR(VLOOKUP(Financeiros[[#This Row],[Tipo]],RefTabTipo[],3,FALSE),0)</f>
        <v>0</v>
      </c>
      <c r="J46" s="1605">
        <f>IFERROR(VLOOKUP(Financeiros[[#This Row],[Tipo]],RefTabTipo[],4,FALSE),0)</f>
        <v>0</v>
      </c>
      <c r="K46" s="1668">
        <f>IFERROR(VLOOKUP(Financeiros[[#This Row],[Grupo Tarifário]],RefTabGrupoTarifa[],2,FALSE),0)</f>
        <v>0</v>
      </c>
      <c r="L46" s="1667">
        <f>IFERROR(VLOOKUP(Financeiros[[#This Row],[Grupo Tarifário]],RefTabGrupoTarifa[],3,FALSE),0)</f>
        <v>0</v>
      </c>
      <c r="M46" s="1668">
        <f>IFERROR(VLOOKUP(Financeiros[[#This Row],[Grupo Tarifário]],RefTabGrupoTarifa[],4,FALSE),0)</f>
        <v>0</v>
      </c>
      <c r="T46" s="846"/>
      <c r="U46" s="846"/>
      <c r="V46" s="846"/>
      <c r="W46" s="846"/>
    </row>
    <row r="47" spans="3:23" ht="16.5">
      <c r="C47" s="1767" t="s">
        <v>2447</v>
      </c>
      <c r="D47" s="625"/>
      <c r="E47" s="1622">
        <f t="shared" ca="1" si="0"/>
        <v>0</v>
      </c>
      <c r="F47" s="1665"/>
      <c r="G47" s="1666"/>
      <c r="H47" s="1667">
        <f>IFERROR(VLOOKUP(Financeiros[[#This Row],[Tipo]],RefTabTipo[],2,FALSE),0)</f>
        <v>0</v>
      </c>
      <c r="I47" s="1630">
        <f>IFERROR(VLOOKUP(Financeiros[[#This Row],[Tipo]],RefTabTipo[],3,FALSE),0)</f>
        <v>0</v>
      </c>
      <c r="J47" s="1605">
        <f>IFERROR(VLOOKUP(Financeiros[[#This Row],[Tipo]],RefTabTipo[],4,FALSE),0)</f>
        <v>0</v>
      </c>
      <c r="K47" s="1668">
        <f>IFERROR(VLOOKUP(Financeiros[[#This Row],[Grupo Tarifário]],RefTabGrupoTarifa[],2,FALSE),0)</f>
        <v>0</v>
      </c>
      <c r="L47" s="1667">
        <f>IFERROR(VLOOKUP(Financeiros[[#This Row],[Grupo Tarifário]],RefTabGrupoTarifa[],3,FALSE),0)</f>
        <v>0</v>
      </c>
      <c r="M47" s="1668">
        <f>IFERROR(VLOOKUP(Financeiros[[#This Row],[Grupo Tarifário]],RefTabGrupoTarifa[],4,FALSE),0)</f>
        <v>0</v>
      </c>
    </row>
    <row r="48" spans="3:23" ht="16.5">
      <c r="C48" s="1767" t="s">
        <v>2448</v>
      </c>
      <c r="D48" s="625"/>
      <c r="E48" s="1622">
        <f t="shared" ca="1" si="0"/>
        <v>0</v>
      </c>
      <c r="F48" s="1665"/>
      <c r="G48" s="1666"/>
      <c r="H48" s="1667">
        <f>IFERROR(VLOOKUP(Financeiros[[#This Row],[Tipo]],RefTabTipo[],2,FALSE),0)</f>
        <v>0</v>
      </c>
      <c r="I48" s="1630">
        <f>IFERROR(VLOOKUP(Financeiros[[#This Row],[Tipo]],RefTabTipo[],3,FALSE),0)</f>
        <v>0</v>
      </c>
      <c r="J48" s="1605">
        <f>IFERROR(VLOOKUP(Financeiros[[#This Row],[Tipo]],RefTabTipo[],4,FALSE),0)</f>
        <v>0</v>
      </c>
      <c r="K48" s="1668">
        <f>IFERROR(VLOOKUP(Financeiros[[#This Row],[Grupo Tarifário]],RefTabGrupoTarifa[],2,FALSE),0)</f>
        <v>0</v>
      </c>
      <c r="L48" s="1667">
        <f>IFERROR(VLOOKUP(Financeiros[[#This Row],[Grupo Tarifário]],RefTabGrupoTarifa[],3,FALSE),0)</f>
        <v>0</v>
      </c>
      <c r="M48" s="1668">
        <f>IFERROR(VLOOKUP(Financeiros[[#This Row],[Grupo Tarifário]],RefTabGrupoTarifa[],4,FALSE),0)</f>
        <v>0</v>
      </c>
    </row>
    <row r="49" spans="3:13" ht="16.5">
      <c r="C49" s="1659" t="s">
        <v>2105</v>
      </c>
      <c r="D49" s="1660">
        <f>CVE!$D$9</f>
        <v>0</v>
      </c>
      <c r="E49" s="1622">
        <f t="shared" ca="1" si="0"/>
        <v>0</v>
      </c>
      <c r="F49" s="1612" t="s">
        <v>2234</v>
      </c>
      <c r="G49" s="1625" t="s">
        <v>2246</v>
      </c>
      <c r="H49" s="1613">
        <f>IFERROR(VLOOKUP(Financeiros[[#This Row],[Tipo]],RefTabTipo[],2,FALSE),0)</f>
        <v>22</v>
      </c>
      <c r="I49" s="1631">
        <f>IFERROR(VLOOKUP(Financeiros[[#This Row],[Tipo]],RefTabTipo[],3,FALSE),0)</f>
        <v>60</v>
      </c>
      <c r="J49" s="1614">
        <f>IFERROR(VLOOKUP(Financeiros[[#This Row],[Tipo]],RefTabTipo[],4,FALSE),0)</f>
        <v>241</v>
      </c>
      <c r="K49" s="1637">
        <f>IFERROR(VLOOKUP(Financeiros[[#This Row],[Grupo Tarifário]],RefTabGrupoTarifa[],2,FALSE),0)</f>
        <v>3</v>
      </c>
      <c r="L49" s="1613">
        <f>IFERROR(VLOOKUP(Financeiros[[#This Row],[Grupo Tarifário]],RefTabGrupoTarifa[],3,FALSE),0)</f>
        <v>13</v>
      </c>
      <c r="M49" s="1637">
        <f>IFERROR(VLOOKUP(Financeiros[[#This Row],[Grupo Tarifário]],RefTabGrupoTarifa[],4,FALSE),0)</f>
        <v>9</v>
      </c>
    </row>
    <row r="50" spans="3:13" ht="16.5">
      <c r="C50" s="1659" t="s">
        <v>2106</v>
      </c>
      <c r="D50" s="1660">
        <f>CVE!$D$10</f>
        <v>0</v>
      </c>
      <c r="E50" s="1622">
        <f t="shared" ca="1" si="0"/>
        <v>0</v>
      </c>
      <c r="F50" s="1612" t="s">
        <v>2234</v>
      </c>
      <c r="G50" s="1625" t="s">
        <v>2248</v>
      </c>
      <c r="H50" s="1613">
        <f>IFERROR(VLOOKUP(Financeiros[[#This Row],[Tipo]],RefTabTipo[],2,FALSE),0)</f>
        <v>22</v>
      </c>
      <c r="I50" s="1631">
        <f>IFERROR(VLOOKUP(Financeiros[[#This Row],[Tipo]],RefTabTipo[],3,FALSE),0)</f>
        <v>60</v>
      </c>
      <c r="J50" s="1614">
        <f>IFERROR(VLOOKUP(Financeiros[[#This Row],[Tipo]],RefTabTipo[],4,FALSE),0)</f>
        <v>241</v>
      </c>
      <c r="K50" s="1637">
        <f>IFERROR(VLOOKUP(Financeiros[[#This Row],[Grupo Tarifário]],RefTabGrupoTarifa[],2,FALSE),0)</f>
        <v>3</v>
      </c>
      <c r="L50" s="1613">
        <f>IFERROR(VLOOKUP(Financeiros[[#This Row],[Grupo Tarifário]],RefTabGrupoTarifa[],3,FALSE),0)</f>
        <v>15</v>
      </c>
      <c r="M50" s="1637">
        <f>IFERROR(VLOOKUP(Financeiros[[#This Row],[Grupo Tarifário]],RefTabGrupoTarifa[],4,FALSE),0)</f>
        <v>9</v>
      </c>
    </row>
    <row r="51" spans="3:13" ht="16.5">
      <c r="C51" s="1659" t="s">
        <v>2107</v>
      </c>
      <c r="D51" s="1660">
        <f>CVE!$D$11</f>
        <v>0</v>
      </c>
      <c r="E51" s="1622">
        <f t="shared" ca="1" si="0"/>
        <v>0</v>
      </c>
      <c r="F51" s="1612" t="s">
        <v>2234</v>
      </c>
      <c r="G51" s="1625" t="s">
        <v>2247</v>
      </c>
      <c r="H51" s="1613">
        <f>IFERROR(VLOOKUP(Financeiros[[#This Row],[Tipo]],RefTabTipo[],2,FALSE),0)</f>
        <v>22</v>
      </c>
      <c r="I51" s="1631">
        <f>IFERROR(VLOOKUP(Financeiros[[#This Row],[Tipo]],RefTabTipo[],3,FALSE),0)</f>
        <v>60</v>
      </c>
      <c r="J51" s="1614">
        <f>IFERROR(VLOOKUP(Financeiros[[#This Row],[Tipo]],RefTabTipo[],4,FALSE),0)</f>
        <v>241</v>
      </c>
      <c r="K51" s="1637">
        <f>IFERROR(VLOOKUP(Financeiros[[#This Row],[Grupo Tarifário]],RefTabGrupoTarifa[],2,FALSE),0)</f>
        <v>3</v>
      </c>
      <c r="L51" s="1613">
        <f>IFERROR(VLOOKUP(Financeiros[[#This Row],[Grupo Tarifário]],RefTabGrupoTarifa[],3,FALSE),0)</f>
        <v>25</v>
      </c>
      <c r="M51" s="1637">
        <f>IFERROR(VLOOKUP(Financeiros[[#This Row],[Grupo Tarifário]],RefTabGrupoTarifa[],4,FALSE),0)</f>
        <v>9</v>
      </c>
    </row>
    <row r="52" spans="3:13" ht="16.5">
      <c r="C52" s="1659" t="s">
        <v>2108</v>
      </c>
      <c r="D52" s="1660">
        <f>IFERROR(CVE!$D$12*Resultado!D25/SUM(Resultado!$D$25:$D$29),0)</f>
        <v>0</v>
      </c>
      <c r="E52" s="1622">
        <f t="shared" ca="1" si="0"/>
        <v>0</v>
      </c>
      <c r="F52" s="1612" t="s">
        <v>2234</v>
      </c>
      <c r="G52" s="1625" t="s">
        <v>2266</v>
      </c>
      <c r="H52" s="1613">
        <f>IFERROR(VLOOKUP(Financeiros[[#This Row],[Tipo]],RefTabTipo[],2,FALSE),0)</f>
        <v>22</v>
      </c>
      <c r="I52" s="1631">
        <f>IFERROR(VLOOKUP(Financeiros[[#This Row],[Tipo]],RefTabTipo[],3,FALSE),0)</f>
        <v>60</v>
      </c>
      <c r="J52" s="1614">
        <f>IFERROR(VLOOKUP(Financeiros[[#This Row],[Tipo]],RefTabTipo[],4,FALSE),0)</f>
        <v>241</v>
      </c>
      <c r="K52" s="1637">
        <f>IFERROR(VLOOKUP(Financeiros[[#This Row],[Grupo Tarifário]],RefTabGrupoTarifa[],2,FALSE),0)</f>
        <v>1</v>
      </c>
      <c r="L52" s="1613">
        <f>IFERROR(VLOOKUP(Financeiros[[#This Row],[Grupo Tarifário]],RefTabGrupoTarifa[],3,FALSE),0)</f>
        <v>1</v>
      </c>
      <c r="M52" s="1637">
        <f>IFERROR(VLOOKUP(Financeiros[[#This Row],[Grupo Tarifário]],RefTabGrupoTarifa[],4,FALSE),0)</f>
        <v>9</v>
      </c>
    </row>
    <row r="53" spans="3:13" ht="16.5">
      <c r="C53" s="1659" t="s">
        <v>2109</v>
      </c>
      <c r="D53" s="1660">
        <f>IFERROR(CVE!$D$12*Resultado!D26/SUM(Resultado!$D$25:$D$29),0)</f>
        <v>0</v>
      </c>
      <c r="E53" s="1622">
        <f t="shared" ca="1" si="0"/>
        <v>0</v>
      </c>
      <c r="F53" s="1612" t="s">
        <v>2234</v>
      </c>
      <c r="G53" s="1625" t="s">
        <v>2266</v>
      </c>
      <c r="H53" s="1613">
        <f>IFERROR(VLOOKUP(Financeiros[[#This Row],[Tipo]],RefTabTipo[],2,FALSE),0)</f>
        <v>22</v>
      </c>
      <c r="I53" s="1631">
        <f>IFERROR(VLOOKUP(Financeiros[[#This Row],[Tipo]],RefTabTipo[],3,FALSE),0)</f>
        <v>60</v>
      </c>
      <c r="J53" s="1614">
        <f>IFERROR(VLOOKUP(Financeiros[[#This Row],[Tipo]],RefTabTipo[],4,FALSE),0)</f>
        <v>241</v>
      </c>
      <c r="K53" s="1637">
        <f>IFERROR(VLOOKUP(Financeiros[[#This Row],[Grupo Tarifário]],RefTabGrupoTarifa[],2,FALSE),0)</f>
        <v>1</v>
      </c>
      <c r="L53" s="1613">
        <f>IFERROR(VLOOKUP(Financeiros[[#This Row],[Grupo Tarifário]],RefTabGrupoTarifa[],3,FALSE),0)</f>
        <v>1</v>
      </c>
      <c r="M53" s="1637">
        <f>IFERROR(VLOOKUP(Financeiros[[#This Row],[Grupo Tarifário]],RefTabGrupoTarifa[],4,FALSE),0)</f>
        <v>9</v>
      </c>
    </row>
    <row r="54" spans="3:13" ht="16.5">
      <c r="C54" s="1659" t="s">
        <v>2110</v>
      </c>
      <c r="D54" s="1660">
        <f>IFERROR(CVE!$D$12*Resultado!D28/SUM(Resultado!$D$25:$D$29),0)</f>
        <v>0</v>
      </c>
      <c r="E54" s="1622">
        <f t="shared" ca="1" si="0"/>
        <v>0</v>
      </c>
      <c r="F54" s="1612" t="s">
        <v>2234</v>
      </c>
      <c r="G54" s="1625" t="s">
        <v>2266</v>
      </c>
      <c r="H54" s="1613">
        <f>IFERROR(VLOOKUP(Financeiros[[#This Row],[Tipo]],RefTabTipo[],2,FALSE),0)</f>
        <v>22</v>
      </c>
      <c r="I54" s="1631">
        <f>IFERROR(VLOOKUP(Financeiros[[#This Row],[Tipo]],RefTabTipo[],3,FALSE),0)</f>
        <v>60</v>
      </c>
      <c r="J54" s="1614">
        <f>IFERROR(VLOOKUP(Financeiros[[#This Row],[Tipo]],RefTabTipo[],4,FALSE),0)</f>
        <v>241</v>
      </c>
      <c r="K54" s="1637">
        <f>IFERROR(VLOOKUP(Financeiros[[#This Row],[Grupo Tarifário]],RefTabGrupoTarifa[],2,FALSE),0)</f>
        <v>1</v>
      </c>
      <c r="L54" s="1613">
        <f>IFERROR(VLOOKUP(Financeiros[[#This Row],[Grupo Tarifário]],RefTabGrupoTarifa[],3,FALSE),0)</f>
        <v>1</v>
      </c>
      <c r="M54" s="1637">
        <f>IFERROR(VLOOKUP(Financeiros[[#This Row],[Grupo Tarifário]],RefTabGrupoTarifa[],4,FALSE),0)</f>
        <v>9</v>
      </c>
    </row>
    <row r="55" spans="3:13" ht="16.5">
      <c r="C55" s="1659" t="s">
        <v>2111</v>
      </c>
      <c r="D55" s="1660">
        <f>IFERROR(CVE!$D$12*Resultado!D27/SUM(Resultado!$D$25:$D$29),0)</f>
        <v>0</v>
      </c>
      <c r="E55" s="1622">
        <f t="shared" ca="1" si="0"/>
        <v>0</v>
      </c>
      <c r="F55" s="1612" t="s">
        <v>2234</v>
      </c>
      <c r="G55" s="1625" t="s">
        <v>2266</v>
      </c>
      <c r="H55" s="1613">
        <f>IFERROR(VLOOKUP(Financeiros[[#This Row],[Tipo]],RefTabTipo[],2,FALSE),0)</f>
        <v>22</v>
      </c>
      <c r="I55" s="1631">
        <f>IFERROR(VLOOKUP(Financeiros[[#This Row],[Tipo]],RefTabTipo[],3,FALSE),0)</f>
        <v>60</v>
      </c>
      <c r="J55" s="1614">
        <f>IFERROR(VLOOKUP(Financeiros[[#This Row],[Tipo]],RefTabTipo[],4,FALSE),0)</f>
        <v>241</v>
      </c>
      <c r="K55" s="1637">
        <f>IFERROR(VLOOKUP(Financeiros[[#This Row],[Grupo Tarifário]],RefTabGrupoTarifa[],2,FALSE),0)</f>
        <v>1</v>
      </c>
      <c r="L55" s="1613">
        <f>IFERROR(VLOOKUP(Financeiros[[#This Row],[Grupo Tarifário]],RefTabGrupoTarifa[],3,FALSE),0)</f>
        <v>1</v>
      </c>
      <c r="M55" s="1637">
        <f>IFERROR(VLOOKUP(Financeiros[[#This Row],[Grupo Tarifário]],RefTabGrupoTarifa[],4,FALSE),0)</f>
        <v>9</v>
      </c>
    </row>
    <row r="56" spans="3:13" ht="16.5">
      <c r="C56" s="1659" t="s">
        <v>2112</v>
      </c>
      <c r="D56" s="1660">
        <f>IFERROR(CVE!$D$12*Resultado!D29/SUM(Resultado!$D$25:$D$29),0)</f>
        <v>0</v>
      </c>
      <c r="E56" s="1622">
        <f t="shared" ca="1" si="0"/>
        <v>0</v>
      </c>
      <c r="F56" s="1612" t="s">
        <v>2234</v>
      </c>
      <c r="G56" s="1625" t="s">
        <v>2266</v>
      </c>
      <c r="H56" s="1613">
        <f>IFERROR(VLOOKUP(Financeiros[[#This Row],[Tipo]],RefTabTipo[],2,FALSE),0)</f>
        <v>22</v>
      </c>
      <c r="I56" s="1631">
        <f>IFERROR(VLOOKUP(Financeiros[[#This Row],[Tipo]],RefTabTipo[],3,FALSE),0)</f>
        <v>60</v>
      </c>
      <c r="J56" s="1614">
        <f>IFERROR(VLOOKUP(Financeiros[[#This Row],[Tipo]],RefTabTipo[],4,FALSE),0)</f>
        <v>241</v>
      </c>
      <c r="K56" s="1637">
        <f>IFERROR(VLOOKUP(Financeiros[[#This Row],[Grupo Tarifário]],RefTabGrupoTarifa[],2,FALSE),0)</f>
        <v>1</v>
      </c>
      <c r="L56" s="1613">
        <f>IFERROR(VLOOKUP(Financeiros[[#This Row],[Grupo Tarifário]],RefTabGrupoTarifa[],3,FALSE),0)</f>
        <v>1</v>
      </c>
      <c r="M56" s="1637">
        <f>IFERROR(VLOOKUP(Financeiros[[#This Row],[Grupo Tarifário]],RefTabGrupoTarifa[],4,FALSE),0)</f>
        <v>9</v>
      </c>
    </row>
    <row r="57" spans="3:13" ht="16.5">
      <c r="C57" s="1659" t="s">
        <v>2113</v>
      </c>
      <c r="D57" s="1660">
        <f>CVE!D15</f>
        <v>0</v>
      </c>
      <c r="E57" s="1622">
        <f t="shared" ca="1" si="0"/>
        <v>0</v>
      </c>
      <c r="F57" s="1612" t="s">
        <v>2234</v>
      </c>
      <c r="G57" s="1625" t="s">
        <v>2274</v>
      </c>
      <c r="H57" s="1613">
        <f>IFERROR(VLOOKUP(Financeiros[[#This Row],[Tipo]],RefTabTipo[],2,FALSE),0)</f>
        <v>22</v>
      </c>
      <c r="I57" s="1631">
        <f>IFERROR(VLOOKUP(Financeiros[[#This Row],[Tipo]],RefTabTipo[],3,FALSE),0)</f>
        <v>60</v>
      </c>
      <c r="J57" s="1614">
        <f>IFERROR(VLOOKUP(Financeiros[[#This Row],[Tipo]],RefTabTipo[],4,FALSE),0)</f>
        <v>241</v>
      </c>
      <c r="K57" s="1637">
        <f>IFERROR(VLOOKUP(Financeiros[[#This Row],[Grupo Tarifário]],RefTabGrupoTarifa[],2,FALSE),0)</f>
        <v>1</v>
      </c>
      <c r="L57" s="1613">
        <f>IFERROR(VLOOKUP(Financeiros[[#This Row],[Grupo Tarifário]],RefTabGrupoTarifa[],3,FALSE),0)</f>
        <v>21</v>
      </c>
      <c r="M57" s="1637">
        <f>IFERROR(VLOOKUP(Financeiros[[#This Row],[Grupo Tarifário]],RefTabGrupoTarifa[],4,FALSE),0)</f>
        <v>9</v>
      </c>
    </row>
    <row r="58" spans="3:13" ht="16.5">
      <c r="C58" s="1659" t="s">
        <v>2114</v>
      </c>
      <c r="D58" s="1660">
        <f ca="1">IFERROR(CVE!$D$13*H2,0)</f>
        <v>0</v>
      </c>
      <c r="E58" s="1622">
        <f t="shared" ca="1" si="0"/>
        <v>0</v>
      </c>
      <c r="F58" s="1612" t="s">
        <v>2234</v>
      </c>
      <c r="G58" s="1625" t="s">
        <v>2258</v>
      </c>
      <c r="H58" s="1613">
        <f>IFERROR(VLOOKUP(Financeiros[[#This Row],[Tipo]],RefTabTipo[],2,FALSE),0)</f>
        <v>22</v>
      </c>
      <c r="I58" s="1631">
        <f>IFERROR(VLOOKUP(Financeiros[[#This Row],[Tipo]],RefTabTipo[],3,FALSE),0)</f>
        <v>60</v>
      </c>
      <c r="J58" s="1614">
        <f>IFERROR(VLOOKUP(Financeiros[[#This Row],[Tipo]],RefTabTipo[],4,FALSE),0)</f>
        <v>241</v>
      </c>
      <c r="K58" s="1637">
        <f>IFERROR(VLOOKUP(Financeiros[[#This Row],[Grupo Tarifário]],RefTabGrupoTarifa[],2,FALSE),0)</f>
        <v>2</v>
      </c>
      <c r="L58" s="1613">
        <f>IFERROR(VLOOKUP(Financeiros[[#This Row],[Grupo Tarifário]],RefTabGrupoTarifa[],3,FALSE),0)</f>
        <v>11</v>
      </c>
      <c r="M58" s="1637">
        <f>IFERROR(VLOOKUP(Financeiros[[#This Row],[Grupo Tarifário]],RefTabGrupoTarifa[],4,FALSE),0)</f>
        <v>9</v>
      </c>
    </row>
    <row r="59" spans="3:13" ht="16.5">
      <c r="C59" s="1659" t="s">
        <v>2115</v>
      </c>
      <c r="D59" s="1660">
        <f ca="1">IFERROR(CVE!$D$13*H3,0)</f>
        <v>0</v>
      </c>
      <c r="E59" s="1622">
        <f t="shared" ca="1" si="0"/>
        <v>0</v>
      </c>
      <c r="F59" s="1612" t="s">
        <v>2234</v>
      </c>
      <c r="G59" s="1625" t="s">
        <v>2260</v>
      </c>
      <c r="H59" s="1613">
        <f>IFERROR(VLOOKUP(Financeiros[[#This Row],[Tipo]],RefTabTipo[],2,FALSE),0)</f>
        <v>22</v>
      </c>
      <c r="I59" s="1631">
        <f>IFERROR(VLOOKUP(Financeiros[[#This Row],[Tipo]],RefTabTipo[],3,FALSE),0)</f>
        <v>60</v>
      </c>
      <c r="J59" s="1614">
        <f>IFERROR(VLOOKUP(Financeiros[[#This Row],[Tipo]],RefTabTipo[],4,FALSE),0)</f>
        <v>241</v>
      </c>
      <c r="K59" s="1637">
        <f>IFERROR(VLOOKUP(Financeiros[[#This Row],[Grupo Tarifário]],RefTabGrupoTarifa[],2,FALSE),0)</f>
        <v>2</v>
      </c>
      <c r="L59" s="1613">
        <f>IFERROR(VLOOKUP(Financeiros[[#This Row],[Grupo Tarifário]],RefTabGrupoTarifa[],3,FALSE),0)</f>
        <v>9</v>
      </c>
      <c r="M59" s="1637">
        <f>IFERROR(VLOOKUP(Financeiros[[#This Row],[Grupo Tarifário]],RefTabGrupoTarifa[],4,FALSE),0)</f>
        <v>9</v>
      </c>
    </row>
    <row r="60" spans="3:13" ht="16.5">
      <c r="C60" s="1659" t="s">
        <v>2116</v>
      </c>
      <c r="D60" s="1660">
        <f ca="1">IFERROR(CVE!$D$13*H4,0)</f>
        <v>0</v>
      </c>
      <c r="E60" s="1622">
        <f t="shared" ca="1" si="0"/>
        <v>0</v>
      </c>
      <c r="F60" s="1612" t="s">
        <v>2234</v>
      </c>
      <c r="G60" s="1625" t="s">
        <v>2263</v>
      </c>
      <c r="H60" s="1613">
        <f>IFERROR(VLOOKUP(Financeiros[[#This Row],[Tipo]],RefTabTipo[],2,FALSE),0)</f>
        <v>22</v>
      </c>
      <c r="I60" s="1631">
        <f>IFERROR(VLOOKUP(Financeiros[[#This Row],[Tipo]],RefTabTipo[],3,FALSE),0)</f>
        <v>60</v>
      </c>
      <c r="J60" s="1614">
        <f>IFERROR(VLOOKUP(Financeiros[[#This Row],[Tipo]],RefTabTipo[],4,FALSE),0)</f>
        <v>241</v>
      </c>
      <c r="K60" s="1637">
        <f>IFERROR(VLOOKUP(Financeiros[[#This Row],[Grupo Tarifário]],RefTabGrupoTarifa[],2,FALSE),0)</f>
        <v>2</v>
      </c>
      <c r="L60" s="1613">
        <f>IFERROR(VLOOKUP(Financeiros[[#This Row],[Grupo Tarifário]],RefTabGrupoTarifa[],3,FALSE),0)</f>
        <v>8</v>
      </c>
      <c r="M60" s="1637">
        <f>IFERROR(VLOOKUP(Financeiros[[#This Row],[Grupo Tarifário]],RefTabGrupoTarifa[],4,FALSE),0)</f>
        <v>9</v>
      </c>
    </row>
    <row r="61" spans="3:13" ht="16.5">
      <c r="C61" s="1659" t="s">
        <v>2117</v>
      </c>
      <c r="D61" s="1660">
        <f ca="1">IFERROR(CVE!$D$13*H5,0)</f>
        <v>0</v>
      </c>
      <c r="E61" s="1622">
        <f t="shared" ca="1" si="0"/>
        <v>0</v>
      </c>
      <c r="F61" s="1612" t="s">
        <v>2234</v>
      </c>
      <c r="G61" s="1625" t="s">
        <v>2261</v>
      </c>
      <c r="H61" s="1613">
        <f>IFERROR(VLOOKUP(Financeiros[[#This Row],[Tipo]],RefTabTipo[],2,FALSE),0)</f>
        <v>22</v>
      </c>
      <c r="I61" s="1631">
        <f>IFERROR(VLOOKUP(Financeiros[[#This Row],[Tipo]],RefTabTipo[],3,FALSE),0)</f>
        <v>60</v>
      </c>
      <c r="J61" s="1614">
        <f>IFERROR(VLOOKUP(Financeiros[[#This Row],[Tipo]],RefTabTipo[],4,FALSE),0)</f>
        <v>241</v>
      </c>
      <c r="K61" s="1637">
        <f>IFERROR(VLOOKUP(Financeiros[[#This Row],[Grupo Tarifário]],RefTabGrupoTarifa[],2,FALSE),0)</f>
        <v>2</v>
      </c>
      <c r="L61" s="1613">
        <f>IFERROR(VLOOKUP(Financeiros[[#This Row],[Grupo Tarifário]],RefTabGrupoTarifa[],3,FALSE),0)</f>
        <v>10</v>
      </c>
      <c r="M61" s="1637">
        <f>IFERROR(VLOOKUP(Financeiros[[#This Row],[Grupo Tarifário]],RefTabGrupoTarifa[],4,FALSE),0)</f>
        <v>9</v>
      </c>
    </row>
    <row r="62" spans="3:13" ht="16.5">
      <c r="C62" s="1659" t="s">
        <v>2118</v>
      </c>
      <c r="D62" s="1660">
        <f ca="1">IFERROR(CVE!$D$13*H6,0)</f>
        <v>0</v>
      </c>
      <c r="E62" s="1622">
        <f t="shared" ca="1" si="0"/>
        <v>0</v>
      </c>
      <c r="F62" s="1612" t="s">
        <v>2234</v>
      </c>
      <c r="G62" s="1625" t="s">
        <v>2262</v>
      </c>
      <c r="H62" s="1613">
        <f>IFERROR(VLOOKUP(Financeiros[[#This Row],[Tipo]],RefTabTipo[],2,FALSE),0)</f>
        <v>22</v>
      </c>
      <c r="I62" s="1631">
        <f>IFERROR(VLOOKUP(Financeiros[[#This Row],[Tipo]],RefTabTipo[],3,FALSE),0)</f>
        <v>60</v>
      </c>
      <c r="J62" s="1614">
        <f>IFERROR(VLOOKUP(Financeiros[[#This Row],[Tipo]],RefTabTipo[],4,FALSE),0)</f>
        <v>241</v>
      </c>
      <c r="K62" s="1637">
        <f>IFERROR(VLOOKUP(Financeiros[[#This Row],[Grupo Tarifário]],RefTabGrupoTarifa[],2,FALSE),0)</f>
        <v>2</v>
      </c>
      <c r="L62" s="1613">
        <f>IFERROR(VLOOKUP(Financeiros[[#This Row],[Grupo Tarifário]],RefTabGrupoTarifa[],3,FALSE),0)</f>
        <v>24</v>
      </c>
      <c r="M62" s="1637">
        <f>IFERROR(VLOOKUP(Financeiros[[#This Row],[Grupo Tarifário]],RefTabGrupoTarifa[],4,FALSE),0)</f>
        <v>9</v>
      </c>
    </row>
    <row r="63" spans="3:13" ht="16.5">
      <c r="C63" s="1659" t="s">
        <v>2119</v>
      </c>
      <c r="D63" s="1660">
        <f>IFERROR(CVE!$D$16,0)</f>
        <v>0</v>
      </c>
      <c r="E63" s="1622">
        <f t="shared" ca="1" si="0"/>
        <v>0</v>
      </c>
      <c r="F63" s="1612" t="s">
        <v>2234</v>
      </c>
      <c r="G63" s="1625" t="s">
        <v>2255</v>
      </c>
      <c r="H63" s="1613">
        <f>IFERROR(VLOOKUP(Financeiros[[#This Row],[Tipo]],RefTabTipo[],2,FALSE),0)</f>
        <v>22</v>
      </c>
      <c r="I63" s="1631">
        <f>IFERROR(VLOOKUP(Financeiros[[#This Row],[Tipo]],RefTabTipo[],3,FALSE),0)</f>
        <v>60</v>
      </c>
      <c r="J63" s="1614">
        <f>IFERROR(VLOOKUP(Financeiros[[#This Row],[Tipo]],RefTabTipo[],4,FALSE),0)</f>
        <v>241</v>
      </c>
      <c r="K63" s="1637">
        <f>IFERROR(VLOOKUP(Financeiros[[#This Row],[Grupo Tarifário]],RefTabGrupoTarifa[],2,FALSE),0)</f>
        <v>3</v>
      </c>
      <c r="L63" s="1613">
        <f>IFERROR(VLOOKUP(Financeiros[[#This Row],[Grupo Tarifário]],RefTabGrupoTarifa[],3,FALSE),0)</f>
        <v>18</v>
      </c>
      <c r="M63" s="1637">
        <f>IFERROR(VLOOKUP(Financeiros[[#This Row],[Grupo Tarifário]],RefTabGrupoTarifa[],4,FALSE),0)</f>
        <v>9</v>
      </c>
    </row>
    <row r="64" spans="3:13" ht="16.5">
      <c r="C64" s="1659" t="s">
        <v>2120</v>
      </c>
      <c r="D64" s="1660">
        <f>CVE!D14</f>
        <v>0</v>
      </c>
      <c r="E64" s="1622">
        <f t="shared" ca="1" si="0"/>
        <v>0</v>
      </c>
      <c r="F64" s="1612" t="s">
        <v>2234</v>
      </c>
      <c r="G64" s="1625" t="s">
        <v>2252</v>
      </c>
      <c r="H64" s="1613">
        <f>IFERROR(VLOOKUP(Financeiros[[#This Row],[Tipo]],RefTabTipo[],2,FALSE),0)</f>
        <v>22</v>
      </c>
      <c r="I64" s="1631">
        <f>IFERROR(VLOOKUP(Financeiros[[#This Row],[Tipo]],RefTabTipo[],3,FALSE),0)</f>
        <v>60</v>
      </c>
      <c r="J64" s="1614">
        <f>IFERROR(VLOOKUP(Financeiros[[#This Row],[Tipo]],RefTabTipo[],4,FALSE),0)</f>
        <v>241</v>
      </c>
      <c r="K64" s="1637">
        <f>IFERROR(VLOOKUP(Financeiros[[#This Row],[Grupo Tarifário]],RefTabGrupoTarifa[],2,FALSE),0)</f>
        <v>3</v>
      </c>
      <c r="L64" s="1613">
        <f>IFERROR(VLOOKUP(Financeiros[[#This Row],[Grupo Tarifário]],RefTabGrupoTarifa[],3,FALSE),0)</f>
        <v>16</v>
      </c>
      <c r="M64" s="1637">
        <f>IFERROR(VLOOKUP(Financeiros[[#This Row],[Grupo Tarifário]],RefTabGrupoTarifa[],4,FALSE),0)</f>
        <v>9</v>
      </c>
    </row>
    <row r="65" spans="3:13" ht="16.5">
      <c r="C65" s="1659" t="s">
        <v>2121</v>
      </c>
      <c r="D65" s="1660">
        <f>CVE!D17</f>
        <v>0</v>
      </c>
      <c r="E65" s="1622">
        <f t="shared" ca="1" si="0"/>
        <v>0</v>
      </c>
      <c r="F65" s="1612" t="s">
        <v>2234</v>
      </c>
      <c r="G65" s="1625" t="s">
        <v>2245</v>
      </c>
      <c r="H65" s="1613">
        <f>IFERROR(VLOOKUP(Financeiros[[#This Row],[Tipo]],RefTabTipo[],2,FALSE),0)</f>
        <v>22</v>
      </c>
      <c r="I65" s="1631">
        <f>IFERROR(VLOOKUP(Financeiros[[#This Row],[Tipo]],RefTabTipo[],3,FALSE),0)</f>
        <v>60</v>
      </c>
      <c r="J65" s="1614">
        <f>IFERROR(VLOOKUP(Financeiros[[#This Row],[Tipo]],RefTabTipo[],4,FALSE),0)</f>
        <v>241</v>
      </c>
      <c r="K65" s="1637">
        <f>IFERROR(VLOOKUP(Financeiros[[#This Row],[Grupo Tarifário]],RefTabGrupoTarifa[],2,FALSE),0)</f>
        <v>3</v>
      </c>
      <c r="L65" s="1613">
        <f>IFERROR(VLOOKUP(Financeiros[[#This Row],[Grupo Tarifário]],RefTabGrupoTarifa[],3,FALSE),0)</f>
        <v>17</v>
      </c>
      <c r="M65" s="1637">
        <f>IFERROR(VLOOKUP(Financeiros[[#This Row],[Grupo Tarifário]],RefTabGrupoTarifa[],4,FALSE),0)</f>
        <v>9</v>
      </c>
    </row>
    <row r="66" spans="3:13" ht="16.5">
      <c r="C66" s="1661" t="s">
        <v>2093</v>
      </c>
      <c r="D66" s="1662">
        <f ca="1">IFERROR('Financeiros Mitigação'!$D$5*H2,0)</f>
        <v>0</v>
      </c>
      <c r="E66" s="1622">
        <f t="shared" ca="1" si="0"/>
        <v>0</v>
      </c>
      <c r="F66" s="1609" t="s">
        <v>2236</v>
      </c>
      <c r="G66" s="1626" t="s">
        <v>2258</v>
      </c>
      <c r="H66" s="1610">
        <f>IFERROR(VLOOKUP(Financeiros[[#This Row],[Tipo]],RefTabTipo[],2,FALSE),0)</f>
        <v>22</v>
      </c>
      <c r="I66" s="1632">
        <f>IFERROR(VLOOKUP(Financeiros[[#This Row],[Tipo]],RefTabTipo[],3,FALSE),0)</f>
        <v>60</v>
      </c>
      <c r="J66" s="1611">
        <f>IFERROR(VLOOKUP(Financeiros[[#This Row],[Tipo]],RefTabTipo[],4,FALSE),0)</f>
        <v>240</v>
      </c>
      <c r="K66" s="1638">
        <f>IFERROR(VLOOKUP(Financeiros[[#This Row],[Grupo Tarifário]],RefTabGrupoTarifa[],2,FALSE),0)</f>
        <v>2</v>
      </c>
      <c r="L66" s="1610">
        <f>IFERROR(VLOOKUP(Financeiros[[#This Row],[Grupo Tarifário]],RefTabGrupoTarifa[],3,FALSE),0)</f>
        <v>11</v>
      </c>
      <c r="M66" s="1638">
        <f>IFERROR(VLOOKUP(Financeiros[[#This Row],[Grupo Tarifário]],RefTabGrupoTarifa[],4,FALSE),0)</f>
        <v>9</v>
      </c>
    </row>
    <row r="67" spans="3:13" ht="16.5">
      <c r="C67" s="1661" t="s">
        <v>2094</v>
      </c>
      <c r="D67" s="1662">
        <f ca="1">IFERROR('Financeiros Mitigação'!$D$5*H3,0)</f>
        <v>0</v>
      </c>
      <c r="E67" s="1622">
        <f t="shared" ca="1" si="0"/>
        <v>0</v>
      </c>
      <c r="F67" s="1609" t="s">
        <v>2236</v>
      </c>
      <c r="G67" s="1626" t="s">
        <v>2260</v>
      </c>
      <c r="H67" s="1610">
        <f>IFERROR(VLOOKUP(Financeiros[[#This Row],[Tipo]],RefTabTipo[],2,FALSE),0)</f>
        <v>22</v>
      </c>
      <c r="I67" s="1632">
        <f>IFERROR(VLOOKUP(Financeiros[[#This Row],[Tipo]],RefTabTipo[],3,FALSE),0)</f>
        <v>60</v>
      </c>
      <c r="J67" s="1611">
        <f>IFERROR(VLOOKUP(Financeiros[[#This Row],[Tipo]],RefTabTipo[],4,FALSE),0)</f>
        <v>240</v>
      </c>
      <c r="K67" s="1638">
        <f>IFERROR(VLOOKUP(Financeiros[[#This Row],[Grupo Tarifário]],RefTabGrupoTarifa[],2,FALSE),0)</f>
        <v>2</v>
      </c>
      <c r="L67" s="1610">
        <f>IFERROR(VLOOKUP(Financeiros[[#This Row],[Grupo Tarifário]],RefTabGrupoTarifa[],3,FALSE),0)</f>
        <v>9</v>
      </c>
      <c r="M67" s="1638">
        <f>IFERROR(VLOOKUP(Financeiros[[#This Row],[Grupo Tarifário]],RefTabGrupoTarifa[],4,FALSE),0)</f>
        <v>9</v>
      </c>
    </row>
    <row r="68" spans="3:13" ht="16.5">
      <c r="C68" s="1661" t="s">
        <v>2095</v>
      </c>
      <c r="D68" s="1662">
        <f ca="1">IFERROR('Financeiros Mitigação'!$D$5*H4,0)</f>
        <v>0</v>
      </c>
      <c r="E68" s="1622">
        <f t="shared" ca="1" si="0"/>
        <v>0</v>
      </c>
      <c r="F68" s="1609" t="s">
        <v>2236</v>
      </c>
      <c r="G68" s="1626" t="s">
        <v>2263</v>
      </c>
      <c r="H68" s="1610">
        <f>IFERROR(VLOOKUP(Financeiros[[#This Row],[Tipo]],RefTabTipo[],2,FALSE),0)</f>
        <v>22</v>
      </c>
      <c r="I68" s="1632">
        <f>IFERROR(VLOOKUP(Financeiros[[#This Row],[Tipo]],RefTabTipo[],3,FALSE),0)</f>
        <v>60</v>
      </c>
      <c r="J68" s="1611">
        <f>IFERROR(VLOOKUP(Financeiros[[#This Row],[Tipo]],RefTabTipo[],4,FALSE),0)</f>
        <v>240</v>
      </c>
      <c r="K68" s="1638">
        <f>IFERROR(VLOOKUP(Financeiros[[#This Row],[Grupo Tarifário]],RefTabGrupoTarifa[],2,FALSE),0)</f>
        <v>2</v>
      </c>
      <c r="L68" s="1610">
        <f>IFERROR(VLOOKUP(Financeiros[[#This Row],[Grupo Tarifário]],RefTabGrupoTarifa[],3,FALSE),0)</f>
        <v>8</v>
      </c>
      <c r="M68" s="1638">
        <f>IFERROR(VLOOKUP(Financeiros[[#This Row],[Grupo Tarifário]],RefTabGrupoTarifa[],4,FALSE),0)</f>
        <v>9</v>
      </c>
    </row>
    <row r="69" spans="3:13" ht="16.5">
      <c r="C69" s="1661" t="s">
        <v>2096</v>
      </c>
      <c r="D69" s="1662">
        <f ca="1">IFERROR('Financeiros Mitigação'!$D$5*H5,0)</f>
        <v>0</v>
      </c>
      <c r="E69" s="1622">
        <f t="shared" ca="1" si="0"/>
        <v>0</v>
      </c>
      <c r="F69" s="1609" t="s">
        <v>2236</v>
      </c>
      <c r="G69" s="1626" t="s">
        <v>2261</v>
      </c>
      <c r="H69" s="1610">
        <f>IFERROR(VLOOKUP(Financeiros[[#This Row],[Tipo]],RefTabTipo[],2,FALSE),0)</f>
        <v>22</v>
      </c>
      <c r="I69" s="1632">
        <f>IFERROR(VLOOKUP(Financeiros[[#This Row],[Tipo]],RefTabTipo[],3,FALSE),0)</f>
        <v>60</v>
      </c>
      <c r="J69" s="1611">
        <f>IFERROR(VLOOKUP(Financeiros[[#This Row],[Tipo]],RefTabTipo[],4,FALSE),0)</f>
        <v>240</v>
      </c>
      <c r="K69" s="1638">
        <f>IFERROR(VLOOKUP(Financeiros[[#This Row],[Grupo Tarifário]],RefTabGrupoTarifa[],2,FALSE),0)</f>
        <v>2</v>
      </c>
      <c r="L69" s="1610">
        <f>IFERROR(VLOOKUP(Financeiros[[#This Row],[Grupo Tarifário]],RefTabGrupoTarifa[],3,FALSE),0)</f>
        <v>10</v>
      </c>
      <c r="M69" s="1638">
        <f>IFERROR(VLOOKUP(Financeiros[[#This Row],[Grupo Tarifário]],RefTabGrupoTarifa[],4,FALSE),0)</f>
        <v>9</v>
      </c>
    </row>
    <row r="70" spans="3:13" ht="16.5">
      <c r="C70" s="1661" t="s">
        <v>2097</v>
      </c>
      <c r="D70" s="1662">
        <f ca="1">IFERROR('Financeiros Mitigação'!$D$5*H6,0)</f>
        <v>0</v>
      </c>
      <c r="E70" s="1622">
        <f t="shared" ca="1" si="0"/>
        <v>0</v>
      </c>
      <c r="F70" s="1609" t="s">
        <v>2236</v>
      </c>
      <c r="G70" s="1626" t="s">
        <v>2262</v>
      </c>
      <c r="H70" s="1610">
        <f>IFERROR(VLOOKUP(Financeiros[[#This Row],[Tipo]],RefTabTipo[],2,FALSE),0)</f>
        <v>22</v>
      </c>
      <c r="I70" s="1632">
        <f>IFERROR(VLOOKUP(Financeiros[[#This Row],[Tipo]],RefTabTipo[],3,FALSE),0)</f>
        <v>60</v>
      </c>
      <c r="J70" s="1611">
        <f>IFERROR(VLOOKUP(Financeiros[[#This Row],[Tipo]],RefTabTipo[],4,FALSE),0)</f>
        <v>240</v>
      </c>
      <c r="K70" s="1638">
        <f>IFERROR(VLOOKUP(Financeiros[[#This Row],[Grupo Tarifário]],RefTabGrupoTarifa[],2,FALSE),0)</f>
        <v>2</v>
      </c>
      <c r="L70" s="1610">
        <f>IFERROR(VLOOKUP(Financeiros[[#This Row],[Grupo Tarifário]],RefTabGrupoTarifa[],3,FALSE),0)</f>
        <v>24</v>
      </c>
      <c r="M70" s="1638">
        <f>IFERROR(VLOOKUP(Financeiros[[#This Row],[Grupo Tarifário]],RefTabGrupoTarifa[],4,FALSE),0)</f>
        <v>9</v>
      </c>
    </row>
    <row r="71" spans="3:13" ht="16.5">
      <c r="C71" s="1661" t="s">
        <v>2098</v>
      </c>
      <c r="D71" s="1662">
        <f>IFERROR('Financeiros Mitigação'!D6,0)</f>
        <v>0</v>
      </c>
      <c r="E71" s="1622">
        <f t="shared" ca="1" si="0"/>
        <v>0</v>
      </c>
      <c r="F71" s="1609" t="s">
        <v>2236</v>
      </c>
      <c r="G71" s="1626" t="s">
        <v>2245</v>
      </c>
      <c r="H71" s="1610">
        <f>IFERROR(VLOOKUP(Financeiros[[#This Row],[Tipo]],RefTabTipo[],2,FALSE),0)</f>
        <v>22</v>
      </c>
      <c r="I71" s="1632">
        <f>IFERROR(VLOOKUP(Financeiros[[#This Row],[Tipo]],RefTabTipo[],3,FALSE),0)</f>
        <v>60</v>
      </c>
      <c r="J71" s="1611">
        <f>IFERROR(VLOOKUP(Financeiros[[#This Row],[Tipo]],RefTabTipo[],4,FALSE),0)</f>
        <v>240</v>
      </c>
      <c r="K71" s="1638">
        <f>IFERROR(VLOOKUP(Financeiros[[#This Row],[Grupo Tarifário]],RefTabGrupoTarifa[],2,FALSE),0)</f>
        <v>3</v>
      </c>
      <c r="L71" s="1610">
        <f>IFERROR(VLOOKUP(Financeiros[[#This Row],[Grupo Tarifário]],RefTabGrupoTarifa[],3,FALSE),0)</f>
        <v>17</v>
      </c>
      <c r="M71" s="1638">
        <f>IFERROR(VLOOKUP(Financeiros[[#This Row],[Grupo Tarifário]],RefTabGrupoTarifa[],4,FALSE),0)</f>
        <v>9</v>
      </c>
    </row>
    <row r="72" spans="3:13" ht="16.5">
      <c r="C72" s="1661" t="s">
        <v>2099</v>
      </c>
      <c r="D72" s="1662">
        <f ca="1">IFERROR('Financeiros Mitigação'!$D$7*H2,0)</f>
        <v>0</v>
      </c>
      <c r="E72" s="1622">
        <f t="shared" ca="1" si="0"/>
        <v>0</v>
      </c>
      <c r="F72" s="1609" t="s">
        <v>2236</v>
      </c>
      <c r="G72" s="1626" t="s">
        <v>2258</v>
      </c>
      <c r="H72" s="1610">
        <f>IFERROR(VLOOKUP(Financeiros[[#This Row],[Tipo]],RefTabTipo[],2,FALSE),0)</f>
        <v>22</v>
      </c>
      <c r="I72" s="1632">
        <f>IFERROR(VLOOKUP(Financeiros[[#This Row],[Tipo]],RefTabTipo[],3,FALSE),0)</f>
        <v>60</v>
      </c>
      <c r="J72" s="1611">
        <f>IFERROR(VLOOKUP(Financeiros[[#This Row],[Tipo]],RefTabTipo[],4,FALSE),0)</f>
        <v>240</v>
      </c>
      <c r="K72" s="1638">
        <f>IFERROR(VLOOKUP(Financeiros[[#This Row],[Grupo Tarifário]],RefTabGrupoTarifa[],2,FALSE),0)</f>
        <v>2</v>
      </c>
      <c r="L72" s="1610">
        <f>IFERROR(VLOOKUP(Financeiros[[#This Row],[Grupo Tarifário]],RefTabGrupoTarifa[],3,FALSE),0)</f>
        <v>11</v>
      </c>
      <c r="M72" s="1638">
        <f>IFERROR(VLOOKUP(Financeiros[[#This Row],[Grupo Tarifário]],RefTabGrupoTarifa[],4,FALSE),0)</f>
        <v>9</v>
      </c>
    </row>
    <row r="73" spans="3:13" ht="16.5">
      <c r="C73" s="1661" t="s">
        <v>2100</v>
      </c>
      <c r="D73" s="1662">
        <f ca="1">IFERROR('Financeiros Mitigação'!$D$7*H3,0)</f>
        <v>0</v>
      </c>
      <c r="E73" s="1622">
        <f t="shared" ca="1" si="0"/>
        <v>0</v>
      </c>
      <c r="F73" s="1609" t="s">
        <v>2236</v>
      </c>
      <c r="G73" s="1626" t="s">
        <v>2260</v>
      </c>
      <c r="H73" s="1610">
        <f>IFERROR(VLOOKUP(Financeiros[[#This Row],[Tipo]],RefTabTipo[],2,FALSE),0)</f>
        <v>22</v>
      </c>
      <c r="I73" s="1632">
        <f>IFERROR(VLOOKUP(Financeiros[[#This Row],[Tipo]],RefTabTipo[],3,FALSE),0)</f>
        <v>60</v>
      </c>
      <c r="J73" s="1611">
        <f>IFERROR(VLOOKUP(Financeiros[[#This Row],[Tipo]],RefTabTipo[],4,FALSE),0)</f>
        <v>240</v>
      </c>
      <c r="K73" s="1638">
        <f>IFERROR(VLOOKUP(Financeiros[[#This Row],[Grupo Tarifário]],RefTabGrupoTarifa[],2,FALSE),0)</f>
        <v>2</v>
      </c>
      <c r="L73" s="1610">
        <f>IFERROR(VLOOKUP(Financeiros[[#This Row],[Grupo Tarifário]],RefTabGrupoTarifa[],3,FALSE),0)</f>
        <v>9</v>
      </c>
      <c r="M73" s="1638">
        <f>IFERROR(VLOOKUP(Financeiros[[#This Row],[Grupo Tarifário]],RefTabGrupoTarifa[],4,FALSE),0)</f>
        <v>9</v>
      </c>
    </row>
    <row r="74" spans="3:13" ht="16.5">
      <c r="C74" s="1661" t="s">
        <v>2101</v>
      </c>
      <c r="D74" s="1662">
        <f ca="1">IFERROR('Financeiros Mitigação'!$D$7*H4,0)</f>
        <v>0</v>
      </c>
      <c r="E74" s="1622">
        <f t="shared" ref="E74:E100" ca="1" si="1">IF(ISERROR(D74/$D$4),0,D74/$D$4)</f>
        <v>0</v>
      </c>
      <c r="F74" s="1609" t="s">
        <v>2236</v>
      </c>
      <c r="G74" s="1626" t="s">
        <v>2263</v>
      </c>
      <c r="H74" s="1610">
        <f>IFERROR(VLOOKUP(Financeiros[[#This Row],[Tipo]],RefTabTipo[],2,FALSE),0)</f>
        <v>22</v>
      </c>
      <c r="I74" s="1632">
        <f>IFERROR(VLOOKUP(Financeiros[[#This Row],[Tipo]],RefTabTipo[],3,FALSE),0)</f>
        <v>60</v>
      </c>
      <c r="J74" s="1611">
        <f>IFERROR(VLOOKUP(Financeiros[[#This Row],[Tipo]],RefTabTipo[],4,FALSE),0)</f>
        <v>240</v>
      </c>
      <c r="K74" s="1638">
        <f>IFERROR(VLOOKUP(Financeiros[[#This Row],[Grupo Tarifário]],RefTabGrupoTarifa[],2,FALSE),0)</f>
        <v>2</v>
      </c>
      <c r="L74" s="1610">
        <f>IFERROR(VLOOKUP(Financeiros[[#This Row],[Grupo Tarifário]],RefTabGrupoTarifa[],3,FALSE),0)</f>
        <v>8</v>
      </c>
      <c r="M74" s="1638">
        <f>IFERROR(VLOOKUP(Financeiros[[#This Row],[Grupo Tarifário]],RefTabGrupoTarifa[],4,FALSE),0)</f>
        <v>9</v>
      </c>
    </row>
    <row r="75" spans="3:13" ht="16.5">
      <c r="C75" s="1661" t="s">
        <v>2102</v>
      </c>
      <c r="D75" s="1662">
        <f ca="1">IFERROR('Financeiros Mitigação'!$D$7*H5,0)</f>
        <v>0</v>
      </c>
      <c r="E75" s="1622">
        <f t="shared" ca="1" si="1"/>
        <v>0</v>
      </c>
      <c r="F75" s="1609" t="s">
        <v>2236</v>
      </c>
      <c r="G75" s="1626" t="s">
        <v>2261</v>
      </c>
      <c r="H75" s="1610">
        <f>IFERROR(VLOOKUP(Financeiros[[#This Row],[Tipo]],RefTabTipo[],2,FALSE),0)</f>
        <v>22</v>
      </c>
      <c r="I75" s="1632">
        <f>IFERROR(VLOOKUP(Financeiros[[#This Row],[Tipo]],RefTabTipo[],3,FALSE),0)</f>
        <v>60</v>
      </c>
      <c r="J75" s="1611">
        <f>IFERROR(VLOOKUP(Financeiros[[#This Row],[Tipo]],RefTabTipo[],4,FALSE),0)</f>
        <v>240</v>
      </c>
      <c r="K75" s="1638">
        <f>IFERROR(VLOOKUP(Financeiros[[#This Row],[Grupo Tarifário]],RefTabGrupoTarifa[],2,FALSE),0)</f>
        <v>2</v>
      </c>
      <c r="L75" s="1610">
        <f>IFERROR(VLOOKUP(Financeiros[[#This Row],[Grupo Tarifário]],RefTabGrupoTarifa[],3,FALSE),0)</f>
        <v>10</v>
      </c>
      <c r="M75" s="1638">
        <f>IFERROR(VLOOKUP(Financeiros[[#This Row],[Grupo Tarifário]],RefTabGrupoTarifa[],4,FALSE),0)</f>
        <v>9</v>
      </c>
    </row>
    <row r="76" spans="3:13" ht="16.5">
      <c r="C76" s="1661" t="s">
        <v>2103</v>
      </c>
      <c r="D76" s="1662">
        <f ca="1">IFERROR('Financeiros Mitigação'!$D$7*H6,0)</f>
        <v>0</v>
      </c>
      <c r="E76" s="1622">
        <f t="shared" ca="1" si="1"/>
        <v>0</v>
      </c>
      <c r="F76" s="1626" t="s">
        <v>2236</v>
      </c>
      <c r="G76" s="1626" t="s">
        <v>2262</v>
      </c>
      <c r="H76" s="1638">
        <f>IFERROR(VLOOKUP(Financeiros[[#This Row],[Tipo]],RefTabTipo[],2,FALSE),0)</f>
        <v>22</v>
      </c>
      <c r="I76" s="1632">
        <f>IFERROR(VLOOKUP(Financeiros[[#This Row],[Tipo]],RefTabTipo[],3,FALSE),0)</f>
        <v>60</v>
      </c>
      <c r="J76" s="1632">
        <f>IFERROR(VLOOKUP(Financeiros[[#This Row],[Tipo]],RefTabTipo[],4,FALSE),0)</f>
        <v>240</v>
      </c>
      <c r="K76" s="1638">
        <f>IFERROR(VLOOKUP(Financeiros[[#This Row],[Grupo Tarifário]],RefTabGrupoTarifa[],2,FALSE),0)</f>
        <v>2</v>
      </c>
      <c r="L76" s="1638">
        <f>IFERROR(VLOOKUP(Financeiros[[#This Row],[Grupo Tarifário]],RefTabGrupoTarifa[],3,FALSE),0)</f>
        <v>24</v>
      </c>
      <c r="M76" s="1638">
        <f>IFERROR(VLOOKUP(Financeiros[[#This Row],[Grupo Tarifário]],RefTabGrupoTarifa[],4,FALSE),0)</f>
        <v>9</v>
      </c>
    </row>
    <row r="77" spans="3:13" ht="16.5">
      <c r="C77" s="1663" t="s">
        <v>2313</v>
      </c>
      <c r="D77" s="1663">
        <f ca="1">IFERROR(CVE!$I$9*H2,0)</f>
        <v>0</v>
      </c>
      <c r="E77" s="1622">
        <f t="shared" ca="1" si="1"/>
        <v>0</v>
      </c>
      <c r="F77" s="1627" t="s">
        <v>2241</v>
      </c>
      <c r="G77" s="1627" t="s">
        <v>2258</v>
      </c>
      <c r="H77" s="1639">
        <f>IFERROR(VLOOKUP(Financeiros[[#This Row],[Tipo]],RefTabTipo[],2,FALSE),0)</f>
        <v>22</v>
      </c>
      <c r="I77" s="1633">
        <f>IFERROR(VLOOKUP(Financeiros[[#This Row],[Tipo]],RefTabTipo[],3,FALSE),0)</f>
        <v>60</v>
      </c>
      <c r="J77" s="1633">
        <f>IFERROR(VLOOKUP(Financeiros[[#This Row],[Tipo]],RefTabTipo[],4,FALSE),0)</f>
        <v>106</v>
      </c>
      <c r="K77" s="1639">
        <f>IFERROR(VLOOKUP(Financeiros[[#This Row],[Grupo Tarifário]],RefTabGrupoTarifa[],2,FALSE),0)</f>
        <v>2</v>
      </c>
      <c r="L77" s="1639">
        <f>IFERROR(VLOOKUP(Financeiros[[#This Row],[Grupo Tarifário]],RefTabGrupoTarifa[],3,FALSE),0)</f>
        <v>11</v>
      </c>
      <c r="M77" s="1639">
        <f>IFERROR(VLOOKUP(Financeiros[[#This Row],[Grupo Tarifário]],RefTabGrupoTarifa[],4,FALSE),0)</f>
        <v>9</v>
      </c>
    </row>
    <row r="78" spans="3:13" ht="16.5">
      <c r="C78" s="1663" t="s">
        <v>2314</v>
      </c>
      <c r="D78" s="1663">
        <f ca="1">IFERROR(CVE!$I$9*H3,0)</f>
        <v>0</v>
      </c>
      <c r="E78" s="1622">
        <f t="shared" ca="1" si="1"/>
        <v>0</v>
      </c>
      <c r="F78" s="1627" t="s">
        <v>2241</v>
      </c>
      <c r="G78" s="1627" t="s">
        <v>2260</v>
      </c>
      <c r="H78" s="1639">
        <f>IFERROR(VLOOKUP(Financeiros[[#This Row],[Tipo]],RefTabTipo[],2,FALSE),0)</f>
        <v>22</v>
      </c>
      <c r="I78" s="1633">
        <f>IFERROR(VLOOKUP(Financeiros[[#This Row],[Tipo]],RefTabTipo[],3,FALSE),0)</f>
        <v>60</v>
      </c>
      <c r="J78" s="1633">
        <f>IFERROR(VLOOKUP(Financeiros[[#This Row],[Tipo]],RefTabTipo[],4,FALSE),0)</f>
        <v>106</v>
      </c>
      <c r="K78" s="1639">
        <f>IFERROR(VLOOKUP(Financeiros[[#This Row],[Grupo Tarifário]],RefTabGrupoTarifa[],2,FALSE),0)</f>
        <v>2</v>
      </c>
      <c r="L78" s="1639">
        <f>IFERROR(VLOOKUP(Financeiros[[#This Row],[Grupo Tarifário]],RefTabGrupoTarifa[],3,FALSE),0)</f>
        <v>9</v>
      </c>
      <c r="M78" s="1639">
        <f>IFERROR(VLOOKUP(Financeiros[[#This Row],[Grupo Tarifário]],RefTabGrupoTarifa[],4,FALSE),0)</f>
        <v>9</v>
      </c>
    </row>
    <row r="79" spans="3:13" ht="16.5">
      <c r="C79" s="1663" t="s">
        <v>2315</v>
      </c>
      <c r="D79" s="1663">
        <f ca="1">IFERROR(CVE!$I$9*H4,0)</f>
        <v>0</v>
      </c>
      <c r="E79" s="1622">
        <f t="shared" ca="1" si="1"/>
        <v>0</v>
      </c>
      <c r="F79" s="1627" t="s">
        <v>2241</v>
      </c>
      <c r="G79" s="1627" t="s">
        <v>2263</v>
      </c>
      <c r="H79" s="1639">
        <f>IFERROR(VLOOKUP(Financeiros[[#This Row],[Tipo]],RefTabTipo[],2,FALSE),0)</f>
        <v>22</v>
      </c>
      <c r="I79" s="1633">
        <f>IFERROR(VLOOKUP(Financeiros[[#This Row],[Tipo]],RefTabTipo[],3,FALSE),0)</f>
        <v>60</v>
      </c>
      <c r="J79" s="1633">
        <f>IFERROR(VLOOKUP(Financeiros[[#This Row],[Tipo]],RefTabTipo[],4,FALSE),0)</f>
        <v>106</v>
      </c>
      <c r="K79" s="1639">
        <f>IFERROR(VLOOKUP(Financeiros[[#This Row],[Grupo Tarifário]],RefTabGrupoTarifa[],2,FALSE),0)</f>
        <v>2</v>
      </c>
      <c r="L79" s="1639">
        <f>IFERROR(VLOOKUP(Financeiros[[#This Row],[Grupo Tarifário]],RefTabGrupoTarifa[],3,FALSE),0)</f>
        <v>8</v>
      </c>
      <c r="M79" s="1639">
        <f>IFERROR(VLOOKUP(Financeiros[[#This Row],[Grupo Tarifário]],RefTabGrupoTarifa[],4,FALSE),0)</f>
        <v>9</v>
      </c>
    </row>
    <row r="80" spans="3:13" ht="16.5">
      <c r="C80" s="1663" t="s">
        <v>2316</v>
      </c>
      <c r="D80" s="1663">
        <f ca="1">IFERROR(CVE!$I$9*H5,0)</f>
        <v>0</v>
      </c>
      <c r="E80" s="1622">
        <f t="shared" ca="1" si="1"/>
        <v>0</v>
      </c>
      <c r="F80" s="1627" t="s">
        <v>2241</v>
      </c>
      <c r="G80" s="1627" t="s">
        <v>2261</v>
      </c>
      <c r="H80" s="1639">
        <f>IFERROR(VLOOKUP(Financeiros[[#This Row],[Tipo]],RefTabTipo[],2,FALSE),0)</f>
        <v>22</v>
      </c>
      <c r="I80" s="1633">
        <f>IFERROR(VLOOKUP(Financeiros[[#This Row],[Tipo]],RefTabTipo[],3,FALSE),0)</f>
        <v>60</v>
      </c>
      <c r="J80" s="1633">
        <f>IFERROR(VLOOKUP(Financeiros[[#This Row],[Tipo]],RefTabTipo[],4,FALSE),0)</f>
        <v>106</v>
      </c>
      <c r="K80" s="1639">
        <f>IFERROR(VLOOKUP(Financeiros[[#This Row],[Grupo Tarifário]],RefTabGrupoTarifa[],2,FALSE),0)</f>
        <v>2</v>
      </c>
      <c r="L80" s="1639">
        <f>IFERROR(VLOOKUP(Financeiros[[#This Row],[Grupo Tarifário]],RefTabGrupoTarifa[],3,FALSE),0)</f>
        <v>10</v>
      </c>
      <c r="M80" s="1639">
        <f>IFERROR(VLOOKUP(Financeiros[[#This Row],[Grupo Tarifário]],RefTabGrupoTarifa[],4,FALSE),0)</f>
        <v>9</v>
      </c>
    </row>
    <row r="81" spans="3:13" ht="16.5">
      <c r="C81" s="1663" t="s">
        <v>2317</v>
      </c>
      <c r="D81" s="1663">
        <f ca="1">IFERROR(CVE!$I$9*H6,0)</f>
        <v>0</v>
      </c>
      <c r="E81" s="1622">
        <f t="shared" ca="1" si="1"/>
        <v>0</v>
      </c>
      <c r="F81" s="1627" t="s">
        <v>2241</v>
      </c>
      <c r="G81" s="1627" t="s">
        <v>2262</v>
      </c>
      <c r="H81" s="1639">
        <f>IFERROR(VLOOKUP(Financeiros[[#This Row],[Tipo]],RefTabTipo[],2,FALSE),0)</f>
        <v>22</v>
      </c>
      <c r="I81" s="1633">
        <f>IFERROR(VLOOKUP(Financeiros[[#This Row],[Tipo]],RefTabTipo[],3,FALSE),0)</f>
        <v>60</v>
      </c>
      <c r="J81" s="1633">
        <f>IFERROR(VLOOKUP(Financeiros[[#This Row],[Tipo]],RefTabTipo[],4,FALSE),0)</f>
        <v>106</v>
      </c>
      <c r="K81" s="1639">
        <f>IFERROR(VLOOKUP(Financeiros[[#This Row],[Grupo Tarifário]],RefTabGrupoTarifa[],2,FALSE),0)</f>
        <v>2</v>
      </c>
      <c r="L81" s="1639">
        <f>IFERROR(VLOOKUP(Financeiros[[#This Row],[Grupo Tarifário]],RefTabGrupoTarifa[],3,FALSE),0)</f>
        <v>24</v>
      </c>
      <c r="M81" s="1639">
        <f>IFERROR(VLOOKUP(Financeiros[[#This Row],[Grupo Tarifário]],RefTabGrupoTarifa[],4,FALSE),0)</f>
        <v>9</v>
      </c>
    </row>
    <row r="82" spans="3:13" ht="16.5">
      <c r="C82" s="1664" t="s">
        <v>2294</v>
      </c>
      <c r="D82" s="1673">
        <f ca="1">IFERROR(CVE!$I$15*H2,0)</f>
        <v>0</v>
      </c>
      <c r="E82" s="1622">
        <f t="shared" ca="1" si="1"/>
        <v>0</v>
      </c>
      <c r="F82" s="1628" t="s">
        <v>1307</v>
      </c>
      <c r="G82" s="1628" t="s">
        <v>2258</v>
      </c>
      <c r="H82" s="1640">
        <f>IFERROR(VLOOKUP(Financeiros[[#This Row],[Tipo]],RefTabTipo[],2,FALSE),0)</f>
        <v>22</v>
      </c>
      <c r="I82" s="1634">
        <f>IFERROR(VLOOKUP(Financeiros[[#This Row],[Tipo]],RefTabTipo[],3,FALSE),0)</f>
        <v>62</v>
      </c>
      <c r="J82" s="1634">
        <f>IFERROR(VLOOKUP(Financeiros[[#This Row],[Tipo]],RefTabTipo[],4,FALSE),0)</f>
        <v>220</v>
      </c>
      <c r="K82" s="1640">
        <f>IFERROR(VLOOKUP(Financeiros[[#This Row],[Grupo Tarifário]],RefTabGrupoTarifa[],2,FALSE),0)</f>
        <v>2</v>
      </c>
      <c r="L82" s="1640">
        <f>IFERROR(VLOOKUP(Financeiros[[#This Row],[Grupo Tarifário]],RefTabGrupoTarifa[],3,FALSE),0)</f>
        <v>11</v>
      </c>
      <c r="M82" s="1640">
        <f>IFERROR(VLOOKUP(Financeiros[[#This Row],[Grupo Tarifário]],RefTabGrupoTarifa[],4,FALSE),0)</f>
        <v>9</v>
      </c>
    </row>
    <row r="83" spans="3:13" ht="16.5">
      <c r="C83" s="1664" t="s">
        <v>2295</v>
      </c>
      <c r="D83" s="1673">
        <f ca="1">IFERROR(CVE!$I$15*H3,0)</f>
        <v>0</v>
      </c>
      <c r="E83" s="1622">
        <f t="shared" ca="1" si="1"/>
        <v>0</v>
      </c>
      <c r="F83" s="1628" t="s">
        <v>1307</v>
      </c>
      <c r="G83" s="1628" t="s">
        <v>2260</v>
      </c>
      <c r="H83" s="1641">
        <f>IFERROR(VLOOKUP(Financeiros[[#This Row],[Tipo]],RefTabTipo[],2,FALSE),0)</f>
        <v>22</v>
      </c>
      <c r="I83" s="1635">
        <f>IFERROR(VLOOKUP(Financeiros[[#This Row],[Tipo]],RefTabTipo[],3,FALSE),0)</f>
        <v>62</v>
      </c>
      <c r="J83" s="1635">
        <f>IFERROR(VLOOKUP(Financeiros[[#This Row],[Tipo]],RefTabTipo[],4,FALSE),0)</f>
        <v>220</v>
      </c>
      <c r="K83" s="1641">
        <f>IFERROR(VLOOKUP(Financeiros[[#This Row],[Grupo Tarifário]],RefTabGrupoTarifa[],2,FALSE),0)</f>
        <v>2</v>
      </c>
      <c r="L83" s="1641">
        <f>IFERROR(VLOOKUP(Financeiros[[#This Row],[Grupo Tarifário]],RefTabGrupoTarifa[],3,FALSE),0)</f>
        <v>9</v>
      </c>
      <c r="M83" s="1641">
        <f>IFERROR(VLOOKUP(Financeiros[[#This Row],[Grupo Tarifário]],RefTabGrupoTarifa[],4,FALSE),0)</f>
        <v>9</v>
      </c>
    </row>
    <row r="84" spans="3:13" ht="16.5">
      <c r="C84" s="1664" t="s">
        <v>2296</v>
      </c>
      <c r="D84" s="1673">
        <f ca="1">IFERROR(CVE!$I$15*H4,0)</f>
        <v>0</v>
      </c>
      <c r="E84" s="1622">
        <f t="shared" ca="1" si="1"/>
        <v>0</v>
      </c>
      <c r="F84" s="1628" t="s">
        <v>1307</v>
      </c>
      <c r="G84" s="1628" t="s">
        <v>2263</v>
      </c>
      <c r="H84" s="1641">
        <f>IFERROR(VLOOKUP(Financeiros[[#This Row],[Tipo]],RefTabTipo[],2,FALSE),0)</f>
        <v>22</v>
      </c>
      <c r="I84" s="1635">
        <f>IFERROR(VLOOKUP(Financeiros[[#This Row],[Tipo]],RefTabTipo[],3,FALSE),0)</f>
        <v>62</v>
      </c>
      <c r="J84" s="1635">
        <f>IFERROR(VLOOKUP(Financeiros[[#This Row],[Tipo]],RefTabTipo[],4,FALSE),0)</f>
        <v>220</v>
      </c>
      <c r="K84" s="1641">
        <f>IFERROR(VLOOKUP(Financeiros[[#This Row],[Grupo Tarifário]],RefTabGrupoTarifa[],2,FALSE),0)</f>
        <v>2</v>
      </c>
      <c r="L84" s="1641">
        <f>IFERROR(VLOOKUP(Financeiros[[#This Row],[Grupo Tarifário]],RefTabGrupoTarifa[],3,FALSE),0)</f>
        <v>8</v>
      </c>
      <c r="M84" s="1641">
        <f>IFERROR(VLOOKUP(Financeiros[[#This Row],[Grupo Tarifário]],RefTabGrupoTarifa[],4,FALSE),0)</f>
        <v>9</v>
      </c>
    </row>
    <row r="85" spans="3:13" ht="16.5">
      <c r="C85" s="1664" t="s">
        <v>2297</v>
      </c>
      <c r="D85" s="1673">
        <f ca="1">IFERROR(CVE!$I$15*H5,0)</f>
        <v>0</v>
      </c>
      <c r="E85" s="1622">
        <f t="shared" ca="1" si="1"/>
        <v>0</v>
      </c>
      <c r="F85" s="1628" t="s">
        <v>1307</v>
      </c>
      <c r="G85" s="1628" t="s">
        <v>2261</v>
      </c>
      <c r="H85" s="1641">
        <f>IFERROR(VLOOKUP(Financeiros[[#This Row],[Tipo]],RefTabTipo[],2,FALSE),0)</f>
        <v>22</v>
      </c>
      <c r="I85" s="1635">
        <f>IFERROR(VLOOKUP(Financeiros[[#This Row],[Tipo]],RefTabTipo[],3,FALSE),0)</f>
        <v>62</v>
      </c>
      <c r="J85" s="1635">
        <f>IFERROR(VLOOKUP(Financeiros[[#This Row],[Tipo]],RefTabTipo[],4,FALSE),0)</f>
        <v>220</v>
      </c>
      <c r="K85" s="1641">
        <f>IFERROR(VLOOKUP(Financeiros[[#This Row],[Grupo Tarifário]],RefTabGrupoTarifa[],2,FALSE),0)</f>
        <v>2</v>
      </c>
      <c r="L85" s="1641">
        <f>IFERROR(VLOOKUP(Financeiros[[#This Row],[Grupo Tarifário]],RefTabGrupoTarifa[],3,FALSE),0)</f>
        <v>10</v>
      </c>
      <c r="M85" s="1641">
        <f>IFERROR(VLOOKUP(Financeiros[[#This Row],[Grupo Tarifário]],RefTabGrupoTarifa[],4,FALSE),0)</f>
        <v>9</v>
      </c>
    </row>
    <row r="86" spans="3:13" ht="16.5">
      <c r="C86" s="1664" t="s">
        <v>2298</v>
      </c>
      <c r="D86" s="1673">
        <f ca="1">IFERROR(CVE!$I$15*H6,0)</f>
        <v>0</v>
      </c>
      <c r="E86" s="1622">
        <f t="shared" ca="1" si="1"/>
        <v>0</v>
      </c>
      <c r="F86" s="1628" t="s">
        <v>1307</v>
      </c>
      <c r="G86" s="1628" t="s">
        <v>2262</v>
      </c>
      <c r="H86" s="1641">
        <f>IFERROR(VLOOKUP(Financeiros[[#This Row],[Tipo]],RefTabTipo[],2,FALSE),0)</f>
        <v>22</v>
      </c>
      <c r="I86" s="1635">
        <f>IFERROR(VLOOKUP(Financeiros[[#This Row],[Tipo]],RefTabTipo[],3,FALSE),0)</f>
        <v>62</v>
      </c>
      <c r="J86" s="1635">
        <f>IFERROR(VLOOKUP(Financeiros[[#This Row],[Tipo]],RefTabTipo[],4,FALSE),0)</f>
        <v>220</v>
      </c>
      <c r="K86" s="1641">
        <f>IFERROR(VLOOKUP(Financeiros[[#This Row],[Grupo Tarifário]],RefTabGrupoTarifa[],2,FALSE),0)</f>
        <v>2</v>
      </c>
      <c r="L86" s="1641">
        <f>IFERROR(VLOOKUP(Financeiros[[#This Row],[Grupo Tarifário]],RefTabGrupoTarifa[],3,FALSE),0)</f>
        <v>24</v>
      </c>
      <c r="M86" s="1641">
        <f>IFERROR(VLOOKUP(Financeiros[[#This Row],[Grupo Tarifário]],RefTabGrupoTarifa[],4,FALSE),0)</f>
        <v>9</v>
      </c>
    </row>
    <row r="87" spans="3:13" ht="16.5">
      <c r="C87" s="1674" t="s">
        <v>2299</v>
      </c>
      <c r="D87" s="1675">
        <f ca="1">IFERROR(Energia!$K$66*H2,0)</f>
        <v>0</v>
      </c>
      <c r="E87" s="1622">
        <f t="shared" ca="1" si="1"/>
        <v>0</v>
      </c>
      <c r="F87" s="1628" t="s">
        <v>2279</v>
      </c>
      <c r="G87" s="1628" t="s">
        <v>2258</v>
      </c>
      <c r="H87" s="1641">
        <f>IFERROR(VLOOKUP(Financeiros[[#This Row],[Tipo]],RefTabTipo[],2,FALSE),0)</f>
        <v>22</v>
      </c>
      <c r="I87" s="1635">
        <f>IFERROR(VLOOKUP(Financeiros[[#This Row],[Tipo]],RefTabTipo[],3,FALSE),0)</f>
        <v>60</v>
      </c>
      <c r="J87" s="1635">
        <f>IFERROR(VLOOKUP(Financeiros[[#This Row],[Tipo]],RefTabTipo[],4,FALSE),0)</f>
        <v>220</v>
      </c>
      <c r="K87" s="1641">
        <f>IFERROR(VLOOKUP(Financeiros[[#This Row],[Grupo Tarifário]],RefTabGrupoTarifa[],2,FALSE),0)</f>
        <v>2</v>
      </c>
      <c r="L87" s="1641">
        <f>IFERROR(VLOOKUP(Financeiros[[#This Row],[Grupo Tarifário]],RefTabGrupoTarifa[],3,FALSE),0)</f>
        <v>11</v>
      </c>
      <c r="M87" s="1641">
        <f>IFERROR(VLOOKUP(Financeiros[[#This Row],[Grupo Tarifário]],RefTabGrupoTarifa[],4,FALSE),0)</f>
        <v>9</v>
      </c>
    </row>
    <row r="88" spans="3:13" ht="16.5">
      <c r="C88" s="1674" t="s">
        <v>2300</v>
      </c>
      <c r="D88" s="1675">
        <f ca="1">IFERROR(Energia!$K$66*H3,0)</f>
        <v>0</v>
      </c>
      <c r="E88" s="1622">
        <f t="shared" ca="1" si="1"/>
        <v>0</v>
      </c>
      <c r="F88" s="1628" t="s">
        <v>2279</v>
      </c>
      <c r="G88" s="1628" t="s">
        <v>2260</v>
      </c>
      <c r="H88" s="1641">
        <f>IFERROR(VLOOKUP(Financeiros[[#This Row],[Tipo]],RefTabTipo[],2,FALSE),0)</f>
        <v>22</v>
      </c>
      <c r="I88" s="1635">
        <f>IFERROR(VLOOKUP(Financeiros[[#This Row],[Tipo]],RefTabTipo[],3,FALSE),0)</f>
        <v>60</v>
      </c>
      <c r="J88" s="1635">
        <f>IFERROR(VLOOKUP(Financeiros[[#This Row],[Tipo]],RefTabTipo[],4,FALSE),0)</f>
        <v>220</v>
      </c>
      <c r="K88" s="1641">
        <f>IFERROR(VLOOKUP(Financeiros[[#This Row],[Grupo Tarifário]],RefTabGrupoTarifa[],2,FALSE),0)</f>
        <v>2</v>
      </c>
      <c r="L88" s="1641">
        <f>IFERROR(VLOOKUP(Financeiros[[#This Row],[Grupo Tarifário]],RefTabGrupoTarifa[],3,FALSE),0)</f>
        <v>9</v>
      </c>
      <c r="M88" s="1641">
        <f>IFERROR(VLOOKUP(Financeiros[[#This Row],[Grupo Tarifário]],RefTabGrupoTarifa[],4,FALSE),0)</f>
        <v>9</v>
      </c>
    </row>
    <row r="89" spans="3:13" ht="16.5">
      <c r="C89" s="1674" t="s">
        <v>2301</v>
      </c>
      <c r="D89" s="1675">
        <f ca="1">IFERROR(Energia!$K$66*H4,0)</f>
        <v>0</v>
      </c>
      <c r="E89" s="1622">
        <f t="shared" ca="1" si="1"/>
        <v>0</v>
      </c>
      <c r="F89" s="1628" t="s">
        <v>2279</v>
      </c>
      <c r="G89" s="1628" t="s">
        <v>2263</v>
      </c>
      <c r="H89" s="1641">
        <f>IFERROR(VLOOKUP(Financeiros[[#This Row],[Tipo]],RefTabTipo[],2,FALSE),0)</f>
        <v>22</v>
      </c>
      <c r="I89" s="1635">
        <f>IFERROR(VLOOKUP(Financeiros[[#This Row],[Tipo]],RefTabTipo[],3,FALSE),0)</f>
        <v>60</v>
      </c>
      <c r="J89" s="1635">
        <f>IFERROR(VLOOKUP(Financeiros[[#This Row],[Tipo]],RefTabTipo[],4,FALSE),0)</f>
        <v>220</v>
      </c>
      <c r="K89" s="1641">
        <f>IFERROR(VLOOKUP(Financeiros[[#This Row],[Grupo Tarifário]],RefTabGrupoTarifa[],2,FALSE),0)</f>
        <v>2</v>
      </c>
      <c r="L89" s="1641">
        <f>IFERROR(VLOOKUP(Financeiros[[#This Row],[Grupo Tarifário]],RefTabGrupoTarifa[],3,FALSE),0)</f>
        <v>8</v>
      </c>
      <c r="M89" s="1641">
        <f>IFERROR(VLOOKUP(Financeiros[[#This Row],[Grupo Tarifário]],RefTabGrupoTarifa[],4,FALSE),0)</f>
        <v>9</v>
      </c>
    </row>
    <row r="90" spans="3:13" ht="16.5">
      <c r="C90" s="1674" t="s">
        <v>2302</v>
      </c>
      <c r="D90" s="1675">
        <f ca="1">IFERROR(Energia!$K$66*H5,0)</f>
        <v>0</v>
      </c>
      <c r="E90" s="1622">
        <f t="shared" ca="1" si="1"/>
        <v>0</v>
      </c>
      <c r="F90" s="1628" t="s">
        <v>2279</v>
      </c>
      <c r="G90" s="1628" t="s">
        <v>2261</v>
      </c>
      <c r="H90" s="1641">
        <f>IFERROR(VLOOKUP(Financeiros[[#This Row],[Tipo]],RefTabTipo[],2,FALSE),0)</f>
        <v>22</v>
      </c>
      <c r="I90" s="1635">
        <f>IFERROR(VLOOKUP(Financeiros[[#This Row],[Tipo]],RefTabTipo[],3,FALSE),0)</f>
        <v>60</v>
      </c>
      <c r="J90" s="1635">
        <f>IFERROR(VLOOKUP(Financeiros[[#This Row],[Tipo]],RefTabTipo[],4,FALSE),0)</f>
        <v>220</v>
      </c>
      <c r="K90" s="1641">
        <f>IFERROR(VLOOKUP(Financeiros[[#This Row],[Grupo Tarifário]],RefTabGrupoTarifa[],2,FALSE),0)</f>
        <v>2</v>
      </c>
      <c r="L90" s="1641">
        <f>IFERROR(VLOOKUP(Financeiros[[#This Row],[Grupo Tarifário]],RefTabGrupoTarifa[],3,FALSE),0)</f>
        <v>10</v>
      </c>
      <c r="M90" s="1641">
        <f>IFERROR(VLOOKUP(Financeiros[[#This Row],[Grupo Tarifário]],RefTabGrupoTarifa[],4,FALSE),0)</f>
        <v>9</v>
      </c>
    </row>
    <row r="91" spans="3:13" ht="16.5">
      <c r="C91" s="1674" t="s">
        <v>2303</v>
      </c>
      <c r="D91" s="1675">
        <f ca="1">IFERROR(Energia!$K$66*H6,0)</f>
        <v>0</v>
      </c>
      <c r="E91" s="1622">
        <f t="shared" ca="1" si="1"/>
        <v>0</v>
      </c>
      <c r="F91" s="1628" t="s">
        <v>2279</v>
      </c>
      <c r="G91" s="1628" t="s">
        <v>2262</v>
      </c>
      <c r="H91" s="1641">
        <f>IFERROR(VLOOKUP(Financeiros[[#This Row],[Tipo]],RefTabTipo[],2,FALSE),0)</f>
        <v>22</v>
      </c>
      <c r="I91" s="1635">
        <f>IFERROR(VLOOKUP(Financeiros[[#This Row],[Tipo]],RefTabTipo[],3,FALSE),0)</f>
        <v>60</v>
      </c>
      <c r="J91" s="1635">
        <f>IFERROR(VLOOKUP(Financeiros[[#This Row],[Tipo]],RefTabTipo[],4,FALSE),0)</f>
        <v>220</v>
      </c>
      <c r="K91" s="1641">
        <f>IFERROR(VLOOKUP(Financeiros[[#This Row],[Grupo Tarifário]],RefTabGrupoTarifa[],2,FALSE),0)</f>
        <v>2</v>
      </c>
      <c r="L91" s="1641">
        <f>IFERROR(VLOOKUP(Financeiros[[#This Row],[Grupo Tarifário]],RefTabGrupoTarifa[],3,FALSE),0)</f>
        <v>24</v>
      </c>
      <c r="M91" s="1641">
        <f>IFERROR(VLOOKUP(Financeiros[[#This Row],[Grupo Tarifário]],RefTabGrupoTarifa[],4,FALSE),0)</f>
        <v>9</v>
      </c>
    </row>
    <row r="92" spans="3:13" ht="16.5">
      <c r="C92" s="1621" t="s">
        <v>2299</v>
      </c>
      <c r="D92" s="1652"/>
      <c r="E92" s="1622">
        <f t="shared" ca="1" si="1"/>
        <v>0</v>
      </c>
      <c r="F92" s="1666"/>
      <c r="G92" s="1666"/>
      <c r="H92" s="1668">
        <f>IFERROR(VLOOKUP(Financeiros[[#This Row],[Tipo]],RefTabTipo[],2,FALSE),0)</f>
        <v>0</v>
      </c>
      <c r="I92" s="1630">
        <f>IFERROR(VLOOKUP(Financeiros[[#This Row],[Tipo]],RefTabTipo[],3,FALSE),0)</f>
        <v>0</v>
      </c>
      <c r="J92" s="1630">
        <f>IFERROR(VLOOKUP(Financeiros[[#This Row],[Tipo]],RefTabTipo[],4,FALSE),0)</f>
        <v>0</v>
      </c>
      <c r="K92" s="1668">
        <f>IFERROR(VLOOKUP(Financeiros[[#This Row],[Grupo Tarifário]],RefTabGrupoTarifa[],2,FALSE),0)</f>
        <v>0</v>
      </c>
      <c r="L92" s="1668">
        <f>IFERROR(VLOOKUP(Financeiros[[#This Row],[Grupo Tarifário]],RefTabGrupoTarifa[],3,FALSE),0)</f>
        <v>0</v>
      </c>
      <c r="M92" s="1668">
        <f>IFERROR(VLOOKUP(Financeiros[[#This Row],[Grupo Tarifário]],RefTabGrupoTarifa[],4,FALSE),0)</f>
        <v>0</v>
      </c>
    </row>
    <row r="93" spans="3:13" ht="16.5">
      <c r="C93" s="1621" t="s">
        <v>2300</v>
      </c>
      <c r="D93" s="1652"/>
      <c r="E93" s="1622">
        <f t="shared" ca="1" si="1"/>
        <v>0</v>
      </c>
      <c r="F93" s="1666"/>
      <c r="G93" s="1666"/>
      <c r="H93" s="1668">
        <f>IFERROR(VLOOKUP(Financeiros[[#This Row],[Tipo]],RefTabTipo[],2,FALSE),0)</f>
        <v>0</v>
      </c>
      <c r="I93" s="1630">
        <f>IFERROR(VLOOKUP(Financeiros[[#This Row],[Tipo]],RefTabTipo[],3,FALSE),0)</f>
        <v>0</v>
      </c>
      <c r="J93" s="1630">
        <f>IFERROR(VLOOKUP(Financeiros[[#This Row],[Tipo]],RefTabTipo[],4,FALSE),0)</f>
        <v>0</v>
      </c>
      <c r="K93" s="1668">
        <f>IFERROR(VLOOKUP(Financeiros[[#This Row],[Grupo Tarifário]],RefTabGrupoTarifa[],2,FALSE),0)</f>
        <v>0</v>
      </c>
      <c r="L93" s="1668">
        <f>IFERROR(VLOOKUP(Financeiros[[#This Row],[Grupo Tarifário]],RefTabGrupoTarifa[],3,FALSE),0)</f>
        <v>0</v>
      </c>
      <c r="M93" s="1668">
        <f>IFERROR(VLOOKUP(Financeiros[[#This Row],[Grupo Tarifário]],RefTabGrupoTarifa[],4,FALSE),0)</f>
        <v>0</v>
      </c>
    </row>
    <row r="94" spans="3:13" ht="16.5">
      <c r="C94" s="1677" t="s">
        <v>2301</v>
      </c>
      <c r="D94" s="1678"/>
      <c r="E94" s="1622">
        <f t="shared" ca="1" si="1"/>
        <v>0</v>
      </c>
      <c r="F94" s="1666"/>
      <c r="G94" s="1679"/>
      <c r="H94" s="1668">
        <f>IFERROR(VLOOKUP(Financeiros[[#This Row],[Tipo]],RefTabTipo[],2,FALSE),0)</f>
        <v>0</v>
      </c>
      <c r="I94" s="1630">
        <f>IFERROR(VLOOKUP(Financeiros[[#This Row],[Tipo]],RefTabTipo[],3,FALSE),0)</f>
        <v>0</v>
      </c>
      <c r="J94" s="1630">
        <f>IFERROR(VLOOKUP(Financeiros[[#This Row],[Tipo]],RefTabTipo[],4,FALSE),0)</f>
        <v>0</v>
      </c>
      <c r="K94" s="1668">
        <f>IFERROR(VLOOKUP(Financeiros[[#This Row],[Grupo Tarifário]],RefTabGrupoTarifa[],2,FALSE),0)</f>
        <v>0</v>
      </c>
      <c r="L94" s="1668">
        <f>IFERROR(VLOOKUP(Financeiros[[#This Row],[Grupo Tarifário]],RefTabGrupoTarifa[],3,FALSE),0)</f>
        <v>0</v>
      </c>
      <c r="M94" s="1668">
        <f>IFERROR(VLOOKUP(Financeiros[[#This Row],[Grupo Tarifário]],RefTabGrupoTarifa[],4,FALSE),0)</f>
        <v>0</v>
      </c>
    </row>
    <row r="95" spans="3:13" ht="16.5">
      <c r="C95" s="1621" t="s">
        <v>2302</v>
      </c>
      <c r="D95" s="1652"/>
      <c r="E95" s="1622">
        <f t="shared" ca="1" si="1"/>
        <v>0</v>
      </c>
      <c r="F95" s="1666"/>
      <c r="G95" s="1666"/>
      <c r="H95" s="1668">
        <f>IFERROR(VLOOKUP(Financeiros[[#This Row],[Tipo]],RefTabTipo[],2,FALSE),0)</f>
        <v>0</v>
      </c>
      <c r="I95" s="1630">
        <f>IFERROR(VLOOKUP(Financeiros[[#This Row],[Tipo]],RefTabTipo[],3,FALSE),0)</f>
        <v>0</v>
      </c>
      <c r="J95" s="1630">
        <f>IFERROR(VLOOKUP(Financeiros[[#This Row],[Tipo]],RefTabTipo[],4,FALSE),0)</f>
        <v>0</v>
      </c>
      <c r="K95" s="1668">
        <f>IFERROR(VLOOKUP(Financeiros[[#This Row],[Grupo Tarifário]],RefTabGrupoTarifa[],2,FALSE),0)</f>
        <v>0</v>
      </c>
      <c r="L95" s="1668">
        <f>IFERROR(VLOOKUP(Financeiros[[#This Row],[Grupo Tarifário]],RefTabGrupoTarifa[],3,FALSE),0)</f>
        <v>0</v>
      </c>
      <c r="M95" s="1668">
        <f>IFERROR(VLOOKUP(Financeiros[[#This Row],[Grupo Tarifário]],RefTabGrupoTarifa[],4,FALSE),0)</f>
        <v>0</v>
      </c>
    </row>
    <row r="96" spans="3:13" ht="16.5">
      <c r="C96" s="1621" t="s">
        <v>2303</v>
      </c>
      <c r="D96" s="1652"/>
      <c r="E96" s="1622">
        <f t="shared" ca="1" si="1"/>
        <v>0</v>
      </c>
      <c r="F96" s="1666"/>
      <c r="G96" s="1666"/>
      <c r="H96" s="1668">
        <f>IFERROR(VLOOKUP(Financeiros[[#This Row],[Tipo]],RefTabTipo[],2,FALSE),0)</f>
        <v>0</v>
      </c>
      <c r="I96" s="1630">
        <f>IFERROR(VLOOKUP(Financeiros[[#This Row],[Tipo]],RefTabTipo[],3,FALSE),0)</f>
        <v>0</v>
      </c>
      <c r="J96" s="1630">
        <f>IFERROR(VLOOKUP(Financeiros[[#This Row],[Tipo]],RefTabTipo[],4,FALSE),0)</f>
        <v>0</v>
      </c>
      <c r="K96" s="1668">
        <f>IFERROR(VLOOKUP(Financeiros[[#This Row],[Grupo Tarifário]],RefTabGrupoTarifa[],2,FALSE),0)</f>
        <v>0</v>
      </c>
      <c r="L96" s="1668">
        <f>IFERROR(VLOOKUP(Financeiros[[#This Row],[Grupo Tarifário]],RefTabGrupoTarifa[],3,FALSE),0)</f>
        <v>0</v>
      </c>
      <c r="M96" s="1668">
        <f>IFERROR(VLOOKUP(Financeiros[[#This Row],[Grupo Tarifário]],RefTabGrupoTarifa[],4,FALSE),0)</f>
        <v>0</v>
      </c>
    </row>
    <row r="97" spans="3:13" ht="16.5">
      <c r="C97" s="1621" t="s">
        <v>2452</v>
      </c>
      <c r="D97" s="1652"/>
      <c r="E97" s="1622">
        <f t="shared" ca="1" si="1"/>
        <v>0</v>
      </c>
      <c r="F97" s="1666"/>
      <c r="G97" s="1666"/>
      <c r="H97" s="1668">
        <f>IFERROR(VLOOKUP(Financeiros[[#This Row],[Tipo]],RefTabTipo[],2,FALSE),0)</f>
        <v>0</v>
      </c>
      <c r="I97" s="1630">
        <f>IFERROR(VLOOKUP(Financeiros[[#This Row],[Tipo]],RefTabTipo[],3,FALSE),0)</f>
        <v>0</v>
      </c>
      <c r="J97" s="1630">
        <f>IFERROR(VLOOKUP(Financeiros[[#This Row],[Tipo]],RefTabTipo[],4,FALSE),0)</f>
        <v>0</v>
      </c>
      <c r="K97" s="1668">
        <f>IFERROR(VLOOKUP(Financeiros[[#This Row],[Grupo Tarifário]],RefTabGrupoTarifa[],2,FALSE),0)</f>
        <v>0</v>
      </c>
      <c r="L97" s="1668">
        <f>IFERROR(VLOOKUP(Financeiros[[#This Row],[Grupo Tarifário]],RefTabGrupoTarifa[],3,FALSE),0)</f>
        <v>0</v>
      </c>
      <c r="M97" s="1668">
        <f>IFERROR(VLOOKUP(Financeiros[[#This Row],[Grupo Tarifário]],RefTabGrupoTarifa[],4,FALSE),0)</f>
        <v>0</v>
      </c>
    </row>
    <row r="98" spans="3:13" ht="16.5">
      <c r="C98" s="1621"/>
      <c r="D98" s="1652"/>
      <c r="E98" s="1622">
        <f t="shared" ca="1" si="1"/>
        <v>0</v>
      </c>
      <c r="F98" s="1666"/>
      <c r="G98" s="1666"/>
      <c r="H98" s="1668">
        <f>IFERROR(VLOOKUP(Financeiros[[#This Row],[Tipo]],RefTabTipo[],2,FALSE),0)</f>
        <v>0</v>
      </c>
      <c r="I98" s="1630">
        <f>IFERROR(VLOOKUP(Financeiros[[#This Row],[Tipo]],RefTabTipo[],3,FALSE),0)</f>
        <v>0</v>
      </c>
      <c r="J98" s="1630">
        <f>IFERROR(VLOOKUP(Financeiros[[#This Row],[Tipo]],RefTabTipo[],4,FALSE),0)</f>
        <v>0</v>
      </c>
      <c r="K98" s="1668">
        <f>IFERROR(VLOOKUP(Financeiros[[#This Row],[Grupo Tarifário]],RefTabGrupoTarifa[],2,FALSE),0)</f>
        <v>0</v>
      </c>
      <c r="L98" s="1668">
        <f>IFERROR(VLOOKUP(Financeiros[[#This Row],[Grupo Tarifário]],RefTabGrupoTarifa[],3,FALSE),0)</f>
        <v>0</v>
      </c>
      <c r="M98" s="1668">
        <f>IFERROR(VLOOKUP(Financeiros[[#This Row],[Grupo Tarifário]],RefTabGrupoTarifa[],4,FALSE),0)</f>
        <v>0</v>
      </c>
    </row>
    <row r="99" spans="3:13" ht="16.5">
      <c r="C99" s="1621"/>
      <c r="D99" s="1652"/>
      <c r="E99" s="1622">
        <f t="shared" ca="1" si="1"/>
        <v>0</v>
      </c>
      <c r="F99" s="1666"/>
      <c r="G99" s="1666"/>
      <c r="H99" s="1668">
        <f>IFERROR(VLOOKUP(Financeiros[[#This Row],[Tipo]],RefTabTipo[],2,FALSE),0)</f>
        <v>0</v>
      </c>
      <c r="I99" s="1630">
        <f>IFERROR(VLOOKUP(Financeiros[[#This Row],[Tipo]],RefTabTipo[],3,FALSE),0)</f>
        <v>0</v>
      </c>
      <c r="J99" s="1630">
        <f>IFERROR(VLOOKUP(Financeiros[[#This Row],[Tipo]],RefTabTipo[],4,FALSE),0)</f>
        <v>0</v>
      </c>
      <c r="K99" s="1668">
        <f>IFERROR(VLOOKUP(Financeiros[[#This Row],[Grupo Tarifário]],RefTabGrupoTarifa[],2,FALSE),0)</f>
        <v>0</v>
      </c>
      <c r="L99" s="1668">
        <f>IFERROR(VLOOKUP(Financeiros[[#This Row],[Grupo Tarifário]],RefTabGrupoTarifa[],3,FALSE),0)</f>
        <v>0</v>
      </c>
      <c r="M99" s="1668">
        <f>IFERROR(VLOOKUP(Financeiros[[#This Row],[Grupo Tarifário]],RefTabGrupoTarifa[],4,FALSE),0)</f>
        <v>0</v>
      </c>
    </row>
    <row r="100" spans="3:13" ht="16.5">
      <c r="C100" s="1621"/>
      <c r="D100" s="1652"/>
      <c r="E100" s="1622">
        <f t="shared" ca="1" si="1"/>
        <v>0</v>
      </c>
      <c r="F100" s="1666"/>
      <c r="G100" s="1666"/>
      <c r="H100" s="1668">
        <f>IFERROR(VLOOKUP(Financeiros[[#This Row],[Tipo]],RefTabTipo[],2,FALSE),0)</f>
        <v>0</v>
      </c>
      <c r="I100" s="1630">
        <f>IFERROR(VLOOKUP(Financeiros[[#This Row],[Tipo]],RefTabTipo[],3,FALSE),0)</f>
        <v>0</v>
      </c>
      <c r="J100" s="1630">
        <f>IFERROR(VLOOKUP(Financeiros[[#This Row],[Tipo]],RefTabTipo[],4,FALSE),0)</f>
        <v>0</v>
      </c>
      <c r="K100" s="1668">
        <f>IFERROR(VLOOKUP(Financeiros[[#This Row],[Grupo Tarifário]],RefTabGrupoTarifa[],2,FALSE),0)</f>
        <v>0</v>
      </c>
      <c r="L100" s="1668">
        <f>IFERROR(VLOOKUP(Financeiros[[#This Row],[Grupo Tarifário]],RefTabGrupoTarifa[],3,FALSE),0)</f>
        <v>0</v>
      </c>
      <c r="M100" s="1668">
        <f>IFERROR(VLOOKUP(Financeiros[[#This Row],[Grupo Tarifário]],RefTabGrupoTarifa[],4,FALSE),0)</f>
        <v>0</v>
      </c>
    </row>
  </sheetData>
  <phoneticPr fontId="112" type="noConversion"/>
  <conditionalFormatting sqref="D29">
    <cfRule type="cellIs" dxfId="57" priority="1" operator="greaterThan">
      <formula>0</formula>
    </cfRule>
  </conditionalFormatting>
  <dataValidations count="3">
    <dataValidation type="list" allowBlank="1" showInputMessage="1" showErrorMessage="1" sqref="G9:G100" xr:uid="{D1E28184-C6CD-4897-8A27-7D9D3B72CDA4}">
      <formula1>$T$8:$T$46</formula1>
    </dataValidation>
    <dataValidation type="list" allowBlank="1" showInputMessage="1" showErrorMessage="1" sqref="F9:F100" xr:uid="{25D5CC76-C0FD-40D5-A105-245925EA85EF}">
      <formula1>$O$9:$O$30</formula1>
    </dataValidation>
    <dataValidation type="list" allowBlank="1" showInputMessage="1" showErrorMessage="1" sqref="G2:G6" xr:uid="{FA6FED45-D8FF-4073-BAE6-ED1C33849DC7}">
      <formula1>#REF!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legacyDrawing r:id="rId2"/>
  <tableParts count="3">
    <tablePart r:id="rId3"/>
    <tablePart r:id="rId4"/>
    <tablePart r:id="rId5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1:H41"/>
  <sheetViews>
    <sheetView showGridLines="0" workbookViewId="0">
      <selection activeCell="I11" sqref="I11"/>
    </sheetView>
  </sheetViews>
  <sheetFormatPr defaultRowHeight="15.75"/>
  <cols>
    <col min="2" max="2" width="33.42578125" customWidth="1"/>
    <col min="3" max="3" width="16.28515625" customWidth="1"/>
    <col min="4" max="4" width="25.5703125" customWidth="1"/>
    <col min="5" max="5" width="31.85546875" bestFit="1" customWidth="1"/>
    <col min="6" max="6" width="24.28515625" bestFit="1" customWidth="1"/>
    <col min="7" max="7" width="30.85546875" bestFit="1" customWidth="1"/>
    <col min="8" max="8" width="23.28515625" bestFit="1" customWidth="1"/>
    <col min="9" max="9" width="25.5703125" customWidth="1"/>
    <col min="10" max="10" width="23.7109375" customWidth="1"/>
  </cols>
  <sheetData>
    <row r="1" spans="1:8" ht="17.25">
      <c r="A1" s="930" t="s">
        <v>2285</v>
      </c>
      <c r="B1" s="1226"/>
      <c r="C1" s="1226"/>
      <c r="D1" s="1226"/>
      <c r="E1" s="931"/>
      <c r="F1" s="931"/>
      <c r="G1" s="1129" t="s">
        <v>873</v>
      </c>
      <c r="H1" s="1130">
        <f ca="1">LnkTXTIRTEco</f>
        <v>6.4000000000000001E-2</v>
      </c>
    </row>
    <row r="2" spans="1:8" ht="16.5">
      <c r="A2" s="136" t="str">
        <f>CAPA!C9</f>
        <v>Cedri</v>
      </c>
      <c r="B2" s="70"/>
      <c r="C2" s="70"/>
      <c r="D2" s="70"/>
      <c r="E2" s="70"/>
      <c r="F2" s="70"/>
      <c r="G2" s="120" t="s">
        <v>877</v>
      </c>
      <c r="H2" s="121">
        <f ca="1">LnkTXTIRTTotal</f>
        <v>-0.14050000000000001</v>
      </c>
    </row>
    <row r="7" spans="1:8">
      <c r="A7" s="1838" t="s">
        <v>2046</v>
      </c>
      <c r="B7" s="1838"/>
      <c r="C7" s="1838"/>
      <c r="D7" s="1838"/>
      <c r="E7" s="1838"/>
      <c r="F7" s="1838"/>
      <c r="G7" s="1838"/>
      <c r="H7" s="1838"/>
    </row>
    <row r="9" spans="1:8">
      <c r="A9" s="9" t="s">
        <v>2284</v>
      </c>
    </row>
    <row r="12" spans="1:8">
      <c r="A12" s="688" t="s">
        <v>192</v>
      </c>
      <c r="B12" s="296" t="s">
        <v>2041</v>
      </c>
    </row>
    <row r="13" spans="1:8">
      <c r="A13" s="688" t="s">
        <v>952</v>
      </c>
      <c r="B13" s="1726"/>
    </row>
    <row r="14" spans="1:8">
      <c r="A14" s="688" t="s">
        <v>971</v>
      </c>
      <c r="B14" s="1726"/>
    </row>
    <row r="16" spans="1:8">
      <c r="A16" s="296" t="s">
        <v>192</v>
      </c>
      <c r="B16" s="296" t="s">
        <v>2047</v>
      </c>
      <c r="C16" s="296" t="s">
        <v>2042</v>
      </c>
      <c r="D16" s="296" t="s">
        <v>2043</v>
      </c>
      <c r="E16" s="296" t="s">
        <v>769</v>
      </c>
    </row>
    <row r="17" spans="1:8">
      <c r="A17" s="688" t="s">
        <v>769</v>
      </c>
      <c r="B17" s="1727">
        <f>B18+B19</f>
        <v>0</v>
      </c>
      <c r="C17" s="1727">
        <f>Indexador!R49</f>
        <v>0</v>
      </c>
      <c r="D17" s="1727">
        <f>C17*85%</f>
        <v>0</v>
      </c>
      <c r="E17" s="1727">
        <f>SUM(B17:D17)</f>
        <v>0</v>
      </c>
    </row>
    <row r="18" spans="1:8">
      <c r="A18" s="688" t="s">
        <v>952</v>
      </c>
      <c r="B18" s="1727">
        <f>Indexador!V49</f>
        <v>0</v>
      </c>
      <c r="C18" s="1727">
        <f>IFERROR($C$17*C41,0)</f>
        <v>0</v>
      </c>
      <c r="D18" s="1727">
        <f t="shared" ref="D18:D19" si="0">C18*85%</f>
        <v>0</v>
      </c>
      <c r="E18" s="1727">
        <f t="shared" ref="E18:E19" si="1">SUM(B18:D18)</f>
        <v>0</v>
      </c>
    </row>
    <row r="19" spans="1:8">
      <c r="A19" s="688" t="s">
        <v>971</v>
      </c>
      <c r="B19" s="1727">
        <f>Indexador!T49</f>
        <v>0</v>
      </c>
      <c r="C19" s="1727">
        <f>IFERROR($C$17*D41,0)</f>
        <v>0</v>
      </c>
      <c r="D19" s="1727">
        <f t="shared" si="0"/>
        <v>0</v>
      </c>
      <c r="E19" s="1727">
        <f t="shared" si="1"/>
        <v>0</v>
      </c>
    </row>
    <row r="24" spans="1:8">
      <c r="A24" s="1838" t="s">
        <v>2200</v>
      </c>
      <c r="B24" s="1838"/>
      <c r="C24" s="1838"/>
      <c r="D24" s="1838"/>
      <c r="E24" s="1838"/>
      <c r="F24" s="1838"/>
      <c r="G24" s="1838"/>
      <c r="H24" s="1838"/>
    </row>
    <row r="26" spans="1:8">
      <c r="E26" s="232"/>
      <c r="F26" s="232"/>
      <c r="G26" s="232"/>
      <c r="H26" s="232"/>
    </row>
    <row r="27" spans="1:8">
      <c r="B27" s="296" t="s">
        <v>2201</v>
      </c>
      <c r="C27" s="296" t="s">
        <v>2199</v>
      </c>
      <c r="D27" s="296" t="s">
        <v>2197</v>
      </c>
      <c r="E27" s="232"/>
      <c r="F27" s="232"/>
      <c r="G27" s="232"/>
      <c r="H27" s="232"/>
    </row>
    <row r="28" spans="1:8">
      <c r="B28" s="8">
        <f>SAS_RA0_DataInicio</f>
        <v>44440</v>
      </c>
      <c r="C28" s="232">
        <f>SUMIF(FaturasT!$I:$I,'Tributos suprimento'!$B28,FaturasT!AA:AA)</f>
        <v>161386.5687</v>
      </c>
      <c r="D28" s="232">
        <f>SUMIF(FaturasT!$I:$I,'Tributos suprimento'!$B28,FaturasT!AB:AB)</f>
        <v>282477.84461999999</v>
      </c>
      <c r="E28" s="232"/>
      <c r="F28" s="232"/>
      <c r="G28" s="232"/>
      <c r="H28" s="232"/>
    </row>
    <row r="29" spans="1:8">
      <c r="B29" s="8">
        <f>EDATE(B28,1)</f>
        <v>44470</v>
      </c>
      <c r="C29" s="232">
        <f>SUMIF(FaturasT!$I:$I,'Tributos suprimento'!$B29,FaturasT!AA:AA)</f>
        <v>164304.49890999999</v>
      </c>
      <c r="D29" s="232">
        <f>SUMIF(FaturasT!$I:$I,'Tributos suprimento'!$B29,FaturasT!AB:AB)</f>
        <v>279453.36116999999</v>
      </c>
      <c r="E29" s="232"/>
      <c r="F29" s="232"/>
      <c r="G29" s="232"/>
      <c r="H29" s="232"/>
    </row>
    <row r="30" spans="1:8">
      <c r="B30" s="8">
        <f t="shared" ref="B30:B38" si="2">EDATE(B29,1)</f>
        <v>44501</v>
      </c>
      <c r="C30" s="232">
        <f>IF(SUMIF(FaturasT!$I:$I,'Tributos suprimento'!$B30,FaturasT!AA:AA)=0,C29,SUMIF(FaturasT!$I:$I,'Tributos suprimento'!$B30,FaturasT!AA:AA))</f>
        <v>163549.84239999999</v>
      </c>
      <c r="D30" s="232">
        <f>IF(SUMIF(FaturasT!$I:$I,'Tributos suprimento'!$B30,FaturasT!AB:AB)=0,D29,SUMIF(FaturasT!$I:$I,'Tributos suprimento'!$B30,FaturasT!AB:AB))</f>
        <v>329952.73359999998</v>
      </c>
      <c r="E30" s="232"/>
      <c r="F30" s="232"/>
      <c r="G30" s="232"/>
      <c r="H30" s="232"/>
    </row>
    <row r="31" spans="1:8">
      <c r="B31" s="8">
        <f t="shared" si="2"/>
        <v>44531</v>
      </c>
      <c r="C31" s="232">
        <f>IF(SUMIF(FaturasT!$I:$I,'Tributos suprimento'!$B31,FaturasT!AA:AA)=0,C30,SUMIF(FaturasT!$I:$I,'Tributos suprimento'!$B31,FaturasT!AA:AA))</f>
        <v>167675.12396</v>
      </c>
      <c r="D31" s="232">
        <f>IF(SUMIF(FaturasT!$I:$I,'Tributos suprimento'!$B31,FaturasT!AB:AB)=0,D30,SUMIF(FaturasT!$I:$I,'Tributos suprimento'!$B31,FaturasT!AB:AB))</f>
        <v>327224.22915999999</v>
      </c>
      <c r="E31" s="232"/>
      <c r="F31" s="232"/>
      <c r="G31" s="232"/>
      <c r="H31" s="232"/>
    </row>
    <row r="32" spans="1:8">
      <c r="B32" s="8">
        <f t="shared" si="2"/>
        <v>44562</v>
      </c>
      <c r="C32" s="232">
        <f>IF(SUMIF(FaturasT!$I:$I,'Tributos suprimento'!$B32,FaturasT!AA:AA)=0,C31,SUMIF(FaturasT!$I:$I,'Tributos suprimento'!$B32,FaturasT!AA:AA))</f>
        <v>198223.79083999997</v>
      </c>
      <c r="D32" s="232">
        <f>IF(SUMIF(FaturasT!$I:$I,'Tributos suprimento'!$B32,FaturasT!AB:AB)=0,D31,SUMIF(FaturasT!$I:$I,'Tributos suprimento'!$B32,FaturasT!AB:AB))</f>
        <v>360762.82220999995</v>
      </c>
      <c r="E32" s="232"/>
      <c r="F32" s="232"/>
      <c r="G32" s="232"/>
      <c r="H32" s="232"/>
    </row>
    <row r="33" spans="2:8">
      <c r="B33" s="8">
        <f t="shared" si="2"/>
        <v>44593</v>
      </c>
      <c r="C33" s="232">
        <f>IF(SUMIF(FaturasT!$I:$I,'Tributos suprimento'!$B33,FaturasT!AA:AA)=0,C32,SUMIF(FaturasT!$I:$I,'Tributos suprimento'!$B33,FaturasT!AA:AA))</f>
        <v>180511.94052</v>
      </c>
      <c r="D33" s="232">
        <f>IF(SUMIF(FaturasT!$I:$I,'Tributos suprimento'!$B33,FaturasT!AB:AB)=0,D32,SUMIF(FaturasT!$I:$I,'Tributos suprimento'!$B33,FaturasT!AB:AB))</f>
        <v>387385.48702</v>
      </c>
      <c r="E33" s="232"/>
      <c r="F33" s="232"/>
      <c r="G33" s="232"/>
      <c r="H33" s="232"/>
    </row>
    <row r="34" spans="2:8">
      <c r="B34" s="8">
        <f t="shared" si="2"/>
        <v>44621</v>
      </c>
      <c r="C34" s="232">
        <f>IF(SUMIF(FaturasT!$I:$I,'Tributos suprimento'!$B34,FaturasT!AA:AA)=0,C33,SUMIF(FaturasT!$I:$I,'Tributos suprimento'!$B34,FaturasT!AA:AA))</f>
        <v>181442.01809999999</v>
      </c>
      <c r="D34" s="232">
        <f>IF(SUMIF(FaturasT!$I:$I,'Tributos suprimento'!$B34,FaturasT!AB:AB)=0,D33,SUMIF(FaturasT!$I:$I,'Tributos suprimento'!$B34,FaturasT!AB:AB))</f>
        <v>333460.64480000001</v>
      </c>
      <c r="E34" s="232"/>
      <c r="F34" s="232"/>
      <c r="G34" s="232"/>
      <c r="H34" s="232"/>
    </row>
    <row r="35" spans="2:8">
      <c r="B35" s="8">
        <f t="shared" si="2"/>
        <v>44652</v>
      </c>
      <c r="C35" s="232">
        <f>IF(SUMIF(FaturasT!$I:$I,'Tributos suprimento'!$B35,FaturasT!AA:AA)=0,C34,SUMIF(FaturasT!$I:$I,'Tributos suprimento'!$B35,FaturasT!AA:AA))</f>
        <v>175242.55236000003</v>
      </c>
      <c r="D35" s="232">
        <f>IF(SUMIF(FaturasT!$I:$I,'Tributos suprimento'!$B35,FaturasT!AB:AB)=0,D34,SUMIF(FaturasT!$I:$I,'Tributos suprimento'!$B35,FaturasT!AB:AB))</f>
        <v>368732.28537</v>
      </c>
      <c r="E35" s="232"/>
      <c r="F35" s="232"/>
      <c r="G35" s="232"/>
      <c r="H35" s="232"/>
    </row>
    <row r="36" spans="2:8">
      <c r="B36" s="8">
        <f t="shared" si="2"/>
        <v>44682</v>
      </c>
      <c r="C36" s="232">
        <f>IF(SUMIF(FaturasT!$I:$I,'Tributos suprimento'!$B36,FaturasT!AA:AA)=0,C35,SUMIF(FaturasT!$I:$I,'Tributos suprimento'!$B36,FaturasT!AA:AA))</f>
        <v>171790.30729999999</v>
      </c>
      <c r="D36" s="232">
        <f>IF(SUMIF(FaturasT!$I:$I,'Tributos suprimento'!$B36,FaturasT!AB:AB)=0,D35,SUMIF(FaturasT!$I:$I,'Tributos suprimento'!$B36,FaturasT!AB:AB))</f>
        <v>328853.89783999999</v>
      </c>
      <c r="E36" s="232"/>
      <c r="F36" s="232"/>
      <c r="G36" s="232"/>
      <c r="H36" s="232"/>
    </row>
    <row r="37" spans="2:8">
      <c r="B37" s="8">
        <f>EDATE(B36,1)</f>
        <v>44713</v>
      </c>
      <c r="C37" s="232">
        <f>IF(SUMIF(FaturasT!$I:$I,'Tributos suprimento'!$B37,FaturasT!AA:AA)=0,C36,SUMIF(FaturasT!$I:$I,'Tributos suprimento'!$B37,FaturasT!AA:AA))</f>
        <v>180075.39878000002</v>
      </c>
      <c r="D37" s="232">
        <f>IF(SUMIF(FaturasT!$I:$I,'Tributos suprimento'!$B37,FaturasT!AB:AB)=0,D36,SUMIF(FaturasT!$I:$I,'Tributos suprimento'!$B37,FaturasT!AB:AB))</f>
        <v>322343.93481999997</v>
      </c>
      <c r="E37" s="232"/>
      <c r="F37" s="232"/>
      <c r="G37" s="232"/>
      <c r="H37" s="232"/>
    </row>
    <row r="38" spans="2:8">
      <c r="B38" s="8">
        <f t="shared" si="2"/>
        <v>44743</v>
      </c>
      <c r="C38" s="232">
        <f>IF(SUMIF(FaturasT!$I:$I,'Tributos suprimento'!$B38,FaturasT!AA:AA)=0,C37,SUMIF(FaturasT!$I:$I,'Tributos suprimento'!$B38,FaturasT!AA:AA))</f>
        <v>166199.19708000001</v>
      </c>
      <c r="D38" s="232">
        <f>IF(SUMIF(FaturasT!$I:$I,'Tributos suprimento'!$B38,FaturasT!AB:AB)=0,D37,SUMIF(FaturasT!$I:$I,'Tributos suprimento'!$B38,FaturasT!AB:AB))</f>
        <v>307013.95632999996</v>
      </c>
    </row>
    <row r="39" spans="2:8">
      <c r="B39" s="8">
        <f>EDATE(B38,1)</f>
        <v>44774</v>
      </c>
      <c r="C39" s="232">
        <f>IF(SUMIF(FaturasT!$I:$I,'Tributos suprimento'!$B39,FaturasT!AA:AA)=0,C38,SUMIF(FaturasT!$I:$I,'Tributos suprimento'!$B39,FaturasT!AA:AA))</f>
        <v>172093.30143999998</v>
      </c>
      <c r="D39" s="232">
        <f>IF(SUMIF(FaturasT!$I:$I,'Tributos suprimento'!$B39,FaturasT!AB:AB)=0,D38,SUMIF(FaturasT!$I:$I,'Tributos suprimento'!$B39,FaturasT!AB:AB))</f>
        <v>336074.15479999996</v>
      </c>
    </row>
    <row r="40" spans="2:8">
      <c r="B40" s="17" t="s">
        <v>769</v>
      </c>
      <c r="C40" s="748">
        <f>SUM(C28:C39)</f>
        <v>2082494.54039</v>
      </c>
      <c r="D40" s="748">
        <f>SUM(D28:D39)</f>
        <v>3963735.3517399998</v>
      </c>
    </row>
    <row r="41" spans="2:8">
      <c r="B41" s="1724" t="s">
        <v>2198</v>
      </c>
      <c r="C41" s="1725">
        <f>C40/($C$40+$D$40)</f>
        <v>0.34442860717232293</v>
      </c>
      <c r="D41" s="1725">
        <f>D40/($C$40+$D$40)</f>
        <v>0.65557139282767707</v>
      </c>
    </row>
  </sheetData>
  <mergeCells count="2">
    <mergeCell ref="A7:H7"/>
    <mergeCell ref="A24:H24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5DB11-A810-4A2E-9BE4-463D5F2D275F}">
  <sheetPr codeName="Planilha9">
    <tabColor rgb="FFFFFF00"/>
  </sheetPr>
  <dimension ref="B1:X29"/>
  <sheetViews>
    <sheetView showGridLines="0" topLeftCell="K1" workbookViewId="0">
      <selection activeCell="J12" sqref="J12"/>
    </sheetView>
  </sheetViews>
  <sheetFormatPr defaultColWidth="9.140625" defaultRowHeight="12.75"/>
  <cols>
    <col min="1" max="1" width="3.7109375" style="1522" customWidth="1"/>
    <col min="2" max="2" width="11.42578125" style="1522" bestFit="1" customWidth="1"/>
    <col min="3" max="3" width="19.28515625" style="1522" customWidth="1"/>
    <col min="4" max="4" width="17.7109375" style="1522" customWidth="1"/>
    <col min="5" max="5" width="13.7109375" style="1522" customWidth="1"/>
    <col min="6" max="8" width="14.7109375" style="1522" customWidth="1"/>
    <col min="9" max="9" width="16.42578125" style="1522" customWidth="1"/>
    <col min="10" max="10" width="19.5703125" style="1522" customWidth="1"/>
    <col min="11" max="18" width="15.7109375" style="1522" customWidth="1"/>
    <col min="19" max="40" width="9" style="1522" customWidth="1"/>
    <col min="41" max="16384" width="9.140625" style="1522"/>
  </cols>
  <sheetData>
    <row r="1" spans="2:24" ht="14.1" customHeight="1"/>
    <row r="2" spans="2:24" ht="14.1" customHeight="1"/>
    <row r="3" spans="2:24" ht="42" customHeight="1">
      <c r="B3" s="1523" t="s">
        <v>2136</v>
      </c>
      <c r="C3" s="1524"/>
      <c r="D3" s="1525" t="s">
        <v>2137</v>
      </c>
      <c r="E3" s="1526" t="s">
        <v>2138</v>
      </c>
      <c r="F3" s="1524"/>
      <c r="G3" s="1525" t="s">
        <v>2139</v>
      </c>
      <c r="H3" s="1525" t="s">
        <v>2140</v>
      </c>
      <c r="I3" s="1525" t="s">
        <v>2141</v>
      </c>
      <c r="J3" s="1525" t="s">
        <v>2142</v>
      </c>
      <c r="K3" s="1525" t="s">
        <v>2143</v>
      </c>
      <c r="L3" s="1525" t="s">
        <v>2144</v>
      </c>
      <c r="M3" s="1525" t="s">
        <v>2145</v>
      </c>
      <c r="N3" s="1525" t="s">
        <v>2146</v>
      </c>
      <c r="O3" s="1525" t="s">
        <v>2147</v>
      </c>
      <c r="P3" s="1525" t="s">
        <v>2148</v>
      </c>
      <c r="Q3" s="1525" t="s">
        <v>2149</v>
      </c>
      <c r="R3" s="1527" t="s">
        <v>2150</v>
      </c>
    </row>
    <row r="4" spans="2:24" ht="14.1" customHeight="1">
      <c r="B4" s="1528" t="s">
        <v>2151</v>
      </c>
      <c r="C4" s="1528"/>
      <c r="D4" s="1528"/>
      <c r="E4" s="1529" t="s">
        <v>114</v>
      </c>
      <c r="F4" s="1530"/>
      <c r="G4" s="1528">
        <v>0</v>
      </c>
      <c r="H4" s="1531">
        <f>D4+G4</f>
        <v>0</v>
      </c>
      <c r="I4" s="1532">
        <f>+D6</f>
        <v>0</v>
      </c>
      <c r="J4" s="1532">
        <f>+F27</f>
        <v>0</v>
      </c>
      <c r="K4" s="1533"/>
      <c r="L4" s="1534">
        <f>K4*VLOOKUP(SAS_RA0_DataFim,Índices!$B$6:$F$50000,5,0)/VLOOKUP(DATE(YEAR(SAS_RA0_DataFim)-2,MONTH(CAPA!C15),1),Índices!$B$6:$F$50000,5,0)</f>
        <v>0</v>
      </c>
      <c r="M4" s="1528"/>
      <c r="N4" s="1532">
        <f>M4*VLOOKUP(SAS_RA0_DataFim,Índices!$B$6:$F$50000,5,0)/VLOOKUP(DATE(YEAR(SAS_RA0_DataFim)-1,MONTH(SAS_RA0_DataFim),1),Índices!$B$6:$F$50000,5,0)</f>
        <v>0</v>
      </c>
      <c r="O4" s="1532">
        <f>G27</f>
        <v>0</v>
      </c>
      <c r="P4" s="1532">
        <f>J4+L4+N4-O4</f>
        <v>0</v>
      </c>
      <c r="Q4" s="1532">
        <f>IF(I4*12&gt;(D4+K4+M4-P4),D4+K4+M4-P4,I4*12)</f>
        <v>0</v>
      </c>
      <c r="R4" s="1535">
        <f>P4+Q4</f>
        <v>0</v>
      </c>
    </row>
    <row r="5" spans="2:24" ht="14.1" customHeight="1"/>
    <row r="6" spans="2:24" ht="14.1" customHeight="1">
      <c r="B6" s="1536" t="s">
        <v>2152</v>
      </c>
      <c r="C6" s="1537"/>
      <c r="D6" s="1538"/>
      <c r="N6" s="1539"/>
    </row>
    <row r="7" spans="2:24" ht="14.1" customHeight="1"/>
    <row r="8" spans="2:24" ht="42" customHeight="1">
      <c r="B8" s="1523" t="s">
        <v>34</v>
      </c>
      <c r="C8" s="1525" t="s">
        <v>2153</v>
      </c>
      <c r="D8" s="1525" t="s">
        <v>2154</v>
      </c>
      <c r="E8" s="1525" t="s">
        <v>2155</v>
      </c>
      <c r="F8" s="1525" t="s">
        <v>2156</v>
      </c>
      <c r="G8" s="1525" t="s">
        <v>2157</v>
      </c>
      <c r="H8" s="1525" t="s">
        <v>2158</v>
      </c>
    </row>
    <row r="9" spans="2:24" ht="14.1" customHeight="1">
      <c r="B9" s="1540">
        <v>44197</v>
      </c>
      <c r="C9" s="1541"/>
      <c r="D9" s="1542"/>
      <c r="E9" s="1543"/>
      <c r="F9" s="1544">
        <f>C9*VLOOKUP(SAS_RA0_DataFim,Índices!$B$6:$F$50000,5,0)/VLOOKUP(DATE(YEAR($B9),MONTH($B9)-1,1),Índices!$B$6:$F$50000,5,0)</f>
        <v>0</v>
      </c>
      <c r="G9" s="1544">
        <f>D9*VLOOKUP(SAS_RA0_DataFim,Índices!$B$6:$F$50000,5,0)/VLOOKUP(DATE(YEAR($B9),MONTH($B9)-1,1),Índices!$B$6:$F$50000,5,0)</f>
        <v>0</v>
      </c>
      <c r="H9" s="1544">
        <f>E9*VLOOKUP(SAS_RA0_DataFim,Índices!$B$6:$F$50000,5,0)/VLOOKUP(DATE(YEAR($B9),MONTH($B9)-1,1),Índices!$B$6:$F$50000,5,0)</f>
        <v>0</v>
      </c>
    </row>
    <row r="10" spans="2:24" ht="14.1" customHeight="1">
      <c r="B10" s="1540">
        <v>44228</v>
      </c>
      <c r="C10" s="1545"/>
      <c r="D10" s="1542"/>
      <c r="E10" s="1546"/>
      <c r="F10" s="1547">
        <f>C10*VLOOKUP(SAS_RA0_DataFim,Índices!$B$6:$F$50000,5,0)/VLOOKUP(DATE(YEAR($B10),MONTH($B10)-1,1),Índices!$B$6:$F$50000,5,0)</f>
        <v>0</v>
      </c>
      <c r="G10" s="1547">
        <f>D10*VLOOKUP(SAS_RA0_DataFim,Índices!$B$6:$F$50000,5,0)/VLOOKUP(DATE(YEAR($B10),MONTH($B10)-1,1),Índices!$B$6:$F$50000,5,0)</f>
        <v>0</v>
      </c>
      <c r="H10" s="1547">
        <f>E10*VLOOKUP(SAS_RA0_DataFim,Índices!$B$6:$F$50000,5,0)/VLOOKUP(DATE(YEAR($B10),MONTH($B10)-1,1),Índices!$B$6:$F$50000,5,0)</f>
        <v>0</v>
      </c>
      <c r="X10" s="1548"/>
    </row>
    <row r="11" spans="2:24" ht="14.1" customHeight="1">
      <c r="B11" s="1540">
        <v>44256</v>
      </c>
      <c r="C11" s="1545"/>
      <c r="D11" s="1542"/>
      <c r="E11" s="1546"/>
      <c r="F11" s="1547">
        <f>C11*VLOOKUP(SAS_RA0_DataFim,Índices!$B$6:$F$50000,5,0)/VLOOKUP(DATE(YEAR($B11),MONTH($B11)-1,1),Índices!$B$6:$F$50000,5,0)</f>
        <v>0</v>
      </c>
      <c r="G11" s="1547">
        <f>D11*VLOOKUP(SAS_RA0_DataFim,Índices!$B$6:$F$50000,5,0)/VLOOKUP(DATE(YEAR($B11),MONTH($B11)-1,1),Índices!$B$6:$F$50000,5,0)</f>
        <v>0</v>
      </c>
      <c r="H11" s="1547">
        <f>E11*VLOOKUP(SAS_RA0_DataFim,Índices!$B$6:$F$50000,5,0)/VLOOKUP(DATE(YEAR($B11),MONTH($B11)-1,1),Índices!$B$6:$F$50000,5,0)</f>
        <v>0</v>
      </c>
    </row>
    <row r="12" spans="2:24" ht="14.1" customHeight="1">
      <c r="B12" s="1540">
        <v>44287</v>
      </c>
      <c r="C12" s="1545"/>
      <c r="D12" s="1542"/>
      <c r="E12" s="1546"/>
      <c r="F12" s="1547">
        <f>C12*VLOOKUP(SAS_RA0_DataFim,Índices!$B$6:$F$50000,5,0)/VLOOKUP(DATE(YEAR($B12),MONTH($B12)-1,1),Índices!$B$6:$F$50000,5,0)</f>
        <v>0</v>
      </c>
      <c r="G12" s="1547">
        <f>D12*VLOOKUP(SAS_RA0_DataFim,Índices!$B$6:$F$50000,5,0)/VLOOKUP(DATE(YEAR($B12),MONTH($B12)-1,1),Índices!$B$6:$F$50000,5,0)</f>
        <v>0</v>
      </c>
      <c r="H12" s="1547">
        <f>E12*VLOOKUP(SAS_RA0_DataFim,Índices!$B$6:$F$50000,5,0)/VLOOKUP(DATE(YEAR($B12),MONTH($B12)-1,1),Índices!$B$6:$F$50000,5,0)</f>
        <v>0</v>
      </c>
    </row>
    <row r="13" spans="2:24" ht="14.1" customHeight="1">
      <c r="B13" s="1540">
        <v>44317</v>
      </c>
      <c r="C13" s="1546"/>
      <c r="D13" s="1549"/>
      <c r="E13" s="1546"/>
      <c r="F13" s="1547">
        <f>C13*VLOOKUP(SAS_RA0_DataFim,Índices!$B$6:$F$50000,5,0)/VLOOKUP(DATE(YEAR($B13),MONTH($B13)-1,1),Índices!$B$6:$F$50000,5,0)</f>
        <v>0</v>
      </c>
      <c r="G13" s="1547">
        <f>D13*VLOOKUP(SAS_RA0_DataFim,Índices!$B$6:$F$50000,5,0)/VLOOKUP(DATE(YEAR($B13),MONTH($B13)-1,1),Índices!$B$6:$F$50000,5,0)</f>
        <v>0</v>
      </c>
      <c r="H13" s="1547">
        <f>E13*VLOOKUP(SAS_RA0_DataFim,Índices!$B$6:$F$50000,5,0)/VLOOKUP(DATE(YEAR($B13),MONTH($B13)-1,1),Índices!$B$6:$F$50000,5,0)</f>
        <v>0</v>
      </c>
    </row>
    <row r="14" spans="2:24" ht="14.1" customHeight="1">
      <c r="B14" s="1540">
        <v>44348</v>
      </c>
      <c r="C14" s="1550"/>
      <c r="D14" s="1549"/>
      <c r="E14" s="1546"/>
      <c r="F14" s="1547">
        <f>C14*VLOOKUP(SAS_RA0_DataFim,Índices!$B$6:$F$50000,5,0)/VLOOKUP(DATE(YEAR($B14),MONTH($B14)-1,1),Índices!$B$6:$F$50000,5,0)</f>
        <v>0</v>
      </c>
      <c r="G14" s="1547">
        <f>D14*VLOOKUP(SAS_RA0_DataFim,Índices!$B$6:$F$50000,5,0)/VLOOKUP(DATE(YEAR($B14),MONTH($B14)-1,1),Índices!$B$6:$F$50000,5,0)</f>
        <v>0</v>
      </c>
      <c r="H14" s="1547">
        <f>E14*VLOOKUP(SAS_RA0_DataFim,Índices!$B$6:$F$50000,5,0)/VLOOKUP(DATE(YEAR($B14),MONTH($B14)-1,1),Índices!$B$6:$F$50000,5,0)</f>
        <v>0</v>
      </c>
    </row>
    <row r="15" spans="2:24" ht="14.1" customHeight="1">
      <c r="B15" s="1540">
        <v>44378</v>
      </c>
      <c r="C15" s="1550"/>
      <c r="D15" s="1549"/>
      <c r="E15" s="1546"/>
      <c r="F15" s="1547">
        <f>C15*VLOOKUP(SAS_RA0_DataFim,Índices!$B$6:$F$50000,5,0)/VLOOKUP(DATE(YEAR($B15),MONTH($B15)-1,1),Índices!$B$6:$F$50000,5,0)</f>
        <v>0</v>
      </c>
      <c r="G15" s="1547">
        <f>D15*VLOOKUP(SAS_RA0_DataFim,Índices!$B$6:$F$50000,5,0)/VLOOKUP(DATE(YEAR($B15),MONTH($B15)-1,1),Índices!$B$6:$F$50000,5,0)</f>
        <v>0</v>
      </c>
      <c r="H15" s="1547">
        <f>E15*VLOOKUP(SAS_RA0_DataFim,Índices!$B$6:$F$50000,5,0)/VLOOKUP(DATE(YEAR($B15),MONTH($B15)-1,1),Índices!$B$6:$F$50000,5,0)</f>
        <v>0</v>
      </c>
    </row>
    <row r="16" spans="2:24" ht="14.1" customHeight="1">
      <c r="B16" s="1540">
        <v>44409</v>
      </c>
      <c r="C16" s="1550"/>
      <c r="D16" s="1549"/>
      <c r="E16" s="1546"/>
      <c r="F16" s="1547">
        <f>C16*VLOOKUP(SAS_RA0_DataFim,Índices!$B$6:$F$50000,5,0)/VLOOKUP(DATE(YEAR($B16),MONTH($B16)-1,1),Índices!$B$6:$F$50000,5,0)</f>
        <v>0</v>
      </c>
      <c r="G16" s="1547">
        <f>D16*VLOOKUP(SAS_RA0_DataFim,Índices!$B$6:$F$50000,5,0)/VLOOKUP(DATE(YEAR($B16),MONTH($B16)-1,1),Índices!$B$6:$F$50000,5,0)</f>
        <v>0</v>
      </c>
      <c r="H16" s="1547">
        <f>E16*VLOOKUP(SAS_RA0_DataFim,Índices!$B$6:$F$50000,5,0)/VLOOKUP(DATE(YEAR($B16),MONTH($B16)-1,1),Índices!$B$6:$F$50000,5,0)</f>
        <v>0</v>
      </c>
    </row>
    <row r="17" spans="2:8" ht="14.1" customHeight="1">
      <c r="B17" s="1540">
        <v>44440</v>
      </c>
      <c r="C17" s="1550"/>
      <c r="D17" s="1549"/>
      <c r="E17" s="1546"/>
      <c r="F17" s="1547">
        <f>C17*VLOOKUP(SAS_RA0_DataFim,Índices!$B$6:$F$50000,5,0)/VLOOKUP(DATE(YEAR($B17),MONTH($B17)-1,1),Índices!$B$6:$F$50000,5,0)</f>
        <v>0</v>
      </c>
      <c r="G17" s="1547">
        <f>D17*VLOOKUP(SAS_RA0_DataFim,Índices!$B$6:$F$50000,5,0)/VLOOKUP(DATE(YEAR($B17),MONTH($B17)-1,1),Índices!$B$6:$F$50000,5,0)</f>
        <v>0</v>
      </c>
      <c r="H17" s="1547">
        <f>E17*VLOOKUP(SAS_RA0_DataFim,Índices!$B$6:$F$50000,5,0)/VLOOKUP(DATE(YEAR($B17),MONTH($B17)-1,1),Índices!$B$6:$F$50000,5,0)</f>
        <v>0</v>
      </c>
    </row>
    <row r="18" spans="2:8" ht="14.1" customHeight="1">
      <c r="B18" s="1540">
        <v>44470</v>
      </c>
      <c r="C18" s="1550"/>
      <c r="D18" s="1549"/>
      <c r="E18" s="1546"/>
      <c r="F18" s="1547">
        <f>C18*VLOOKUP(SAS_RA0_DataFim,Índices!$B$6:$F$50000,5,0)/VLOOKUP(DATE(YEAR($B18),MONTH($B18)-1,1),Índices!$B$6:$F$50000,5,0)</f>
        <v>0</v>
      </c>
      <c r="G18" s="1547">
        <f>D18*VLOOKUP(SAS_RA0_DataFim,Índices!$B$6:$F$50000,5,0)/VLOOKUP(DATE(YEAR($B18),MONTH($B18)-1,1),Índices!$B$6:$F$50000,5,0)</f>
        <v>0</v>
      </c>
      <c r="H18" s="1547">
        <f>E18*VLOOKUP(SAS_RA0_DataFim,Índices!$B$6:$F$50000,5,0)/VLOOKUP(DATE(YEAR($B18),MONTH($B18)-1,1),Índices!$B$6:$F$50000,5,0)</f>
        <v>0</v>
      </c>
    </row>
    <row r="19" spans="2:8" ht="14.1" customHeight="1">
      <c r="B19" s="1540">
        <v>44501</v>
      </c>
      <c r="C19" s="1550"/>
      <c r="D19" s="1549"/>
      <c r="E19" s="1546"/>
      <c r="F19" s="1547">
        <f>C19*VLOOKUP(SAS_RA0_DataFim,Índices!$B$6:$F$50000,5,0)/VLOOKUP(DATE(YEAR($B19),MONTH($B19)-1,1),Índices!$B$6:$F$50000,5,0)</f>
        <v>0</v>
      </c>
      <c r="G19" s="1547">
        <f>D19*VLOOKUP(SAS_RA0_DataFim,Índices!$B$6:$F$50000,5,0)/VLOOKUP(DATE(YEAR($B19),MONTH($B19)-1,1),Índices!$B$6:$F$50000,5,0)</f>
        <v>0</v>
      </c>
      <c r="H19" s="1547">
        <f>E19*VLOOKUP(SAS_RA0_DataFim,Índices!$B$6:$F$50000,5,0)/VLOOKUP(DATE(YEAR($B19),MONTH($B19)-1,1),Índices!$B$6:$F$50000,5,0)</f>
        <v>0</v>
      </c>
    </row>
    <row r="20" spans="2:8" ht="14.1" customHeight="1">
      <c r="B20" s="1540">
        <v>44531</v>
      </c>
      <c r="C20" s="1550"/>
      <c r="D20" s="1549"/>
      <c r="E20" s="1546"/>
      <c r="F20" s="1547">
        <f>C20*VLOOKUP(SAS_RA0_DataFim,Índices!$B$6:$F$50000,5,0)/VLOOKUP(DATE(YEAR($B20),MONTH($B20)-1,1),Índices!$B$6:$F$50000,5,0)</f>
        <v>0</v>
      </c>
      <c r="G20" s="1547">
        <f>D20*VLOOKUP(SAS_RA0_DataFim,Índices!$B$6:$F$50000,5,0)/VLOOKUP(DATE(YEAR($B20),MONTH($B20)-1,1),Índices!$B$6:$F$50000,5,0)</f>
        <v>0</v>
      </c>
      <c r="H20" s="1547">
        <f>E20*VLOOKUP(SAS_RA0_DataFim,Índices!$B$6:$F$50000,5,0)/VLOOKUP(DATE(YEAR($B20),MONTH($B20)-1,1),Índices!$B$6:$F$50000,5,0)</f>
        <v>0</v>
      </c>
    </row>
    <row r="21" spans="2:8" ht="14.1" customHeight="1">
      <c r="B21" s="1540">
        <v>44562</v>
      </c>
      <c r="C21" s="1550"/>
      <c r="D21" s="1549"/>
      <c r="E21" s="1546"/>
      <c r="F21" s="1547">
        <f>C21*VLOOKUP(SAS_RA0_DataFim,Índices!$B$6:$F$50000,5,0)/VLOOKUP(DATE(YEAR($B21),MONTH($B21)-1,1),Índices!$B$6:$F$50000,5,0)</f>
        <v>0</v>
      </c>
      <c r="G21" s="1547">
        <f>D21*VLOOKUP(SAS_RA0_DataFim,Índices!$B$6:$F$50000,5,0)/VLOOKUP(DATE(YEAR($B21),MONTH($B21)-1,1),Índices!$B$6:$F$50000,5,0)</f>
        <v>0</v>
      </c>
      <c r="H21" s="1547">
        <f>E21*VLOOKUP(SAS_RA0_DataFim,Índices!$B$6:$F$50000,5,0)/VLOOKUP(DATE(YEAR($B21),MONTH($B21)-1,1),Índices!$B$6:$F$50000,5,0)</f>
        <v>0</v>
      </c>
    </row>
    <row r="22" spans="2:8" ht="14.1" customHeight="1">
      <c r="B22" s="1540">
        <v>44593</v>
      </c>
      <c r="C22" s="1550"/>
      <c r="D22" s="1549"/>
      <c r="E22" s="1546"/>
      <c r="F22" s="1547">
        <f>C22*VLOOKUP(SAS_RA0_DataFim,Índices!$B$6:$F$50000,5,0)/VLOOKUP(DATE(YEAR($B22),MONTH($B22)-1,1),Índices!$B$6:$F$50000,5,0)</f>
        <v>0</v>
      </c>
      <c r="G22" s="1547">
        <f>D22*VLOOKUP(SAS_RA0_DataFim,Índices!$B$6:$F$50000,5,0)/VLOOKUP(DATE(YEAR($B22),MONTH($B22)-1,1),Índices!$B$6:$F$50000,5,0)</f>
        <v>0</v>
      </c>
      <c r="H22" s="1547">
        <f>E22*VLOOKUP(SAS_RA0_DataFim,Índices!$B$6:$F$50000,5,0)/VLOOKUP(DATE(YEAR($B22),MONTH($B22)-1,1),Índices!$B$6:$F$50000,5,0)</f>
        <v>0</v>
      </c>
    </row>
    <row r="23" spans="2:8" ht="14.1" customHeight="1">
      <c r="B23" s="1540">
        <v>44621</v>
      </c>
      <c r="C23" s="1550"/>
      <c r="D23" s="1549"/>
      <c r="E23" s="1546"/>
      <c r="F23" s="1547">
        <f>C23*VLOOKUP(SAS_RA0_DataFim,Índices!$B$6:$F$50000,5,0)/VLOOKUP(DATE(YEAR($B23),MONTH($B23)-1,1),Índices!$B$6:$F$50000,5,0)</f>
        <v>0</v>
      </c>
      <c r="G23" s="1547">
        <f>D23*VLOOKUP(SAS_RA0_DataFim,Índices!$B$6:$F$50000,5,0)/VLOOKUP(DATE(YEAR($B23),MONTH($B23)-1,1),Índices!$B$6:$F$50000,5,0)</f>
        <v>0</v>
      </c>
      <c r="H23" s="1547">
        <f>E23*VLOOKUP(SAS_RA0_DataFim,Índices!$B$6:$F$50000,5,0)/VLOOKUP(DATE(YEAR($B23),MONTH($B23)-1,1),Índices!$B$6:$F$50000,5,0)</f>
        <v>0</v>
      </c>
    </row>
    <row r="24" spans="2:8" ht="14.1" customHeight="1">
      <c r="B24" s="1540">
        <v>44652</v>
      </c>
      <c r="C24" s="1550"/>
      <c r="D24" s="1549"/>
      <c r="E24" s="1546"/>
      <c r="F24" s="1547">
        <f>C24*VLOOKUP(SAS_RA0_DataFim,Índices!$B$6:$F$50000,5,0)/VLOOKUP(DATE(YEAR($B24),MONTH($B24)-1,1),Índices!$B$6:$F$50000,5,0)</f>
        <v>0</v>
      </c>
      <c r="G24" s="1547">
        <f>D24*VLOOKUP(SAS_RA0_DataFim,Índices!$B$6:$F$50000,5,0)/VLOOKUP(DATE(YEAR($B24),MONTH($B24)-1,1),Índices!$B$6:$F$50000,5,0)</f>
        <v>0</v>
      </c>
      <c r="H24" s="1547">
        <f>E24*VLOOKUP(SAS_RA0_DataFim,Índices!$B$6:$F$50000,5,0)/VLOOKUP(DATE(YEAR($B24),MONTH($B24)-1,1),Índices!$B$6:$F$50000,5,0)</f>
        <v>0</v>
      </c>
    </row>
    <row r="25" spans="2:8" ht="14.1" customHeight="1">
      <c r="B25" s="1540">
        <v>44682</v>
      </c>
      <c r="C25" s="1550"/>
      <c r="D25" s="1549"/>
      <c r="E25" s="1546"/>
      <c r="F25" s="1547">
        <f>C25*VLOOKUP(SAS_RA0_DataFim,Índices!$B$6:$F$50000,5,0)/VLOOKUP(DATE(YEAR($B25),MONTH($B25)-1,1),Índices!$B$6:$F$50000,5,0)</f>
        <v>0</v>
      </c>
      <c r="G25" s="1547">
        <f>D25*VLOOKUP(SAS_RA0_DataFim,Índices!$B$6:$F$50000,5,0)/VLOOKUP(DATE(YEAR($B25),MONTH($B25)-1,1),Índices!$B$6:$F$50000,5,0)</f>
        <v>0</v>
      </c>
      <c r="H25" s="1547">
        <f>E25*VLOOKUP(SAS_RA0_DataFim,Índices!$B$6:$F$50000,5,0)/VLOOKUP(DATE(YEAR($B25),MONTH($B25)-1,1),Índices!$B$6:$F$50000,5,0)</f>
        <v>0</v>
      </c>
    </row>
    <row r="26" spans="2:8" ht="14.1" customHeight="1">
      <c r="B26" s="1540">
        <v>44713</v>
      </c>
      <c r="C26" s="1550"/>
      <c r="D26" s="1549"/>
      <c r="E26" s="1546"/>
      <c r="F26" s="1547">
        <f>C26*VLOOKUP(SAS_RA0_DataFim,Índices!$B$6:$F$50000,5,0)/VLOOKUP(DATE(YEAR($B26),MONTH($B26)-1,1),Índices!$B$6:$F$50000,5,0)</f>
        <v>0</v>
      </c>
      <c r="G26" s="1547">
        <f>D26*VLOOKUP(SAS_RA0_DataFim,Índices!$B$6:$F$50000,5,0)/VLOOKUP(DATE(YEAR($B26),MONTH($B26)-1,1),Índices!$B$6:$F$50000,5,0)</f>
        <v>0</v>
      </c>
      <c r="H26" s="1547">
        <f>E26*VLOOKUP(SAS_RA0_DataFim,Índices!$B$6:$F$50000,5,0)/VLOOKUP(DATE(YEAR($B26),MONTH($B26)-1,1),Índices!$B$6:$F$50000,5,0)</f>
        <v>0</v>
      </c>
    </row>
    <row r="27" spans="2:8" ht="14.1" customHeight="1">
      <c r="B27" s="1551" t="s">
        <v>760</v>
      </c>
      <c r="C27" s="1552">
        <f>SUM(C9:C26)</f>
        <v>0</v>
      </c>
      <c r="D27" s="1552">
        <f t="shared" ref="D27:E27" si="0">SUM(D9:D26)</f>
        <v>0</v>
      </c>
      <c r="E27" s="1552">
        <f t="shared" si="0"/>
        <v>0</v>
      </c>
      <c r="F27" s="1552">
        <f>SUM(F9:F26)</f>
        <v>0</v>
      </c>
      <c r="G27" s="1552">
        <f t="shared" ref="G27:H27" si="1">SUM(G9:G26)</f>
        <v>0</v>
      </c>
      <c r="H27" s="1552">
        <f t="shared" si="1"/>
        <v>0</v>
      </c>
    </row>
    <row r="28" spans="2:8" ht="14.1" customHeight="1"/>
    <row r="29" spans="2:8" ht="14.1" customHeight="1"/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245"/>
  <sheetViews>
    <sheetView topLeftCell="B1" workbookViewId="0">
      <selection activeCell="E7" sqref="E7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4" width="15.5703125" bestFit="1" customWidth="1"/>
    <col min="5" max="5" width="14.85546875" bestFit="1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488" t="s">
        <v>2133</v>
      </c>
    </row>
    <row r="4" spans="1:15">
      <c r="B4" s="1480" t="s">
        <v>2122</v>
      </c>
      <c r="C4" s="1482" t="s">
        <v>2123</v>
      </c>
      <c r="D4" s="1481" t="s">
        <v>2124</v>
      </c>
      <c r="E4" s="1486"/>
      <c r="F4" s="1486"/>
      <c r="G4" s="1486"/>
      <c r="N4" t="s">
        <v>34</v>
      </c>
      <c r="O4" t="s">
        <v>2125</v>
      </c>
    </row>
    <row r="5" spans="1:15">
      <c r="A5" s="796" t="s">
        <v>2074</v>
      </c>
      <c r="B5" s="845" t="s">
        <v>2131</v>
      </c>
      <c r="C5" s="1489">
        <f>IFERROR(VLOOKUP(A5,Escassez[#All],2,FALSE),0)</f>
        <v>0</v>
      </c>
      <c r="D5" s="1489" t="e">
        <f>C5/$C$8*$D$8</f>
        <v>#DIV/0!</v>
      </c>
      <c r="E5" s="1487"/>
      <c r="F5" s="1485"/>
      <c r="G5" s="1476"/>
      <c r="N5" s="8">
        <v>44690</v>
      </c>
      <c r="O5" s="232">
        <f>C8</f>
        <v>0</v>
      </c>
    </row>
    <row r="6" spans="1:15">
      <c r="A6" s="1464" t="s">
        <v>2075</v>
      </c>
      <c r="B6" s="845" t="s">
        <v>2132</v>
      </c>
      <c r="C6" s="1489">
        <f>IFERROR(VLOOKUP(A6,Escassez[#All],2,FALSE),0)</f>
        <v>0</v>
      </c>
      <c r="D6" s="1489" t="e">
        <f>C6/$C$8*$D$8</f>
        <v>#DIV/0!</v>
      </c>
      <c r="E6" s="1487"/>
      <c r="F6" s="1485"/>
      <c r="G6" s="1476"/>
      <c r="N6" s="8">
        <f>N5+1</f>
        <v>44691</v>
      </c>
      <c r="O6" s="232">
        <f>O5*VLOOKUP(N6,Índices!$K$6:$N$3249,4,FALSE)/VLOOKUP(N5,Índices!$K$6:$N$3249,4,FALSE)</f>
        <v>0</v>
      </c>
    </row>
    <row r="7" spans="1:15">
      <c r="A7" s="1464" t="s">
        <v>2076</v>
      </c>
      <c r="B7" s="845" t="s">
        <v>105</v>
      </c>
      <c r="C7" s="1489">
        <f>IFERROR(VLOOKUP(A7,Escassez[#All],2,FALSE),0)</f>
        <v>0</v>
      </c>
      <c r="D7" s="1489" t="e">
        <f>C7/$C$8*$D$8</f>
        <v>#DIV/0!</v>
      </c>
      <c r="E7" s="1764"/>
      <c r="F7" s="1485"/>
      <c r="G7" s="1476"/>
      <c r="N7" s="8">
        <f t="shared" ref="N7:N70" si="0">N6+1</f>
        <v>44692</v>
      </c>
      <c r="O7" s="232">
        <f>O6*VLOOKUP(N7,Índices!$K$6:$N$3249,4,FALSE)/VLOOKUP(N6,Índices!$K$6:$N$3249,4,FALSE)</f>
        <v>0</v>
      </c>
    </row>
    <row r="8" spans="1:15">
      <c r="B8" s="1483"/>
      <c r="C8" s="1490">
        <f>SUM(C5:C7)</f>
        <v>0</v>
      </c>
      <c r="D8" s="1490">
        <f>VLOOKUP(DataRevRea,'Financeiros Mitigação'!N4:O241,2,FALSE)</f>
        <v>0</v>
      </c>
      <c r="E8" s="845"/>
      <c r="F8" s="1477"/>
      <c r="G8" s="1477"/>
      <c r="N8" s="8">
        <f t="shared" si="0"/>
        <v>44693</v>
      </c>
      <c r="O8" s="232">
        <f>O7*VLOOKUP(N8,Índices!$K$6:$N$3249,4,FALSE)/VLOOKUP(N7,Índices!$K$6:$N$3249,4,FALSE)</f>
        <v>0</v>
      </c>
    </row>
    <row r="9" spans="1:15">
      <c r="N9" s="8">
        <f t="shared" si="0"/>
        <v>44694</v>
      </c>
      <c r="O9" s="232">
        <f>O8*VLOOKUP(N9,Índices!$K$6:$N$3249,4,FALSE)/VLOOKUP(N8,Índices!$K$6:$N$3249,4,FALSE)</f>
        <v>0</v>
      </c>
    </row>
    <row r="10" spans="1:15">
      <c r="B10" s="1495"/>
      <c r="C10" s="1495"/>
      <c r="D10" s="1495"/>
      <c r="E10" s="1495"/>
      <c r="L10" s="8">
        <f>N9+1</f>
        <v>44695</v>
      </c>
      <c r="M10" s="232"/>
      <c r="N10" s="8">
        <f t="shared" si="0"/>
        <v>44695</v>
      </c>
      <c r="O10" s="232">
        <f>O9*VLOOKUP(N10,Índices!$K$6:$N$3249,4,FALSE)/VLOOKUP(N9,Índices!$K$6:$N$3249,4,FALSE)</f>
        <v>0</v>
      </c>
    </row>
    <row r="11" spans="1:15">
      <c r="N11" s="8">
        <f>L10+1</f>
        <v>44696</v>
      </c>
      <c r="O11" s="232">
        <f>O10*VLOOKUP(N11,Índices!$K$6:$N$3249,4,FALSE)/VLOOKUP(N10,Índices!$K$6:$N$3249,4,FALSE)</f>
        <v>0</v>
      </c>
    </row>
    <row r="12" spans="1:15">
      <c r="B12" s="1491" t="s">
        <v>1306</v>
      </c>
      <c r="C12" s="1484"/>
      <c r="D12" s="1492"/>
      <c r="E12" s="1474"/>
      <c r="F12" s="1474"/>
      <c r="G12" s="1474"/>
      <c r="H12" s="1474"/>
      <c r="I12" s="1474"/>
      <c r="J12" s="1474"/>
      <c r="K12" s="1474"/>
      <c r="L12" s="1474"/>
      <c r="N12" s="8">
        <f t="shared" si="0"/>
        <v>44697</v>
      </c>
      <c r="O12" s="232">
        <f>O11*VLOOKUP(N12,Índices!$K$6:$N$3249,4,FALSE)/VLOOKUP(N11,Índices!$K$6:$N$3249,4,FALSE)</f>
        <v>0</v>
      </c>
    </row>
    <row r="13" spans="1:15">
      <c r="B13" s="1493"/>
      <c r="C13" s="1475"/>
      <c r="D13" s="1475"/>
      <c r="E13" s="1475"/>
      <c r="F13" s="1475"/>
      <c r="G13" s="1475"/>
      <c r="H13" s="1475"/>
      <c r="I13" s="1475"/>
      <c r="J13" s="1475"/>
      <c r="K13" s="1475"/>
      <c r="L13" s="1475"/>
      <c r="N13" s="8">
        <f t="shared" si="0"/>
        <v>44698</v>
      </c>
      <c r="O13" s="232">
        <f>O12*VLOOKUP(N13,Índices!$K$6:$N$3249,4,FALSE)/VLOOKUP(N12,Índices!$K$6:$N$3249,4,FALSE)</f>
        <v>0</v>
      </c>
    </row>
    <row r="14" spans="1:15">
      <c r="B14" s="1494"/>
      <c r="C14" s="1495"/>
      <c r="D14" s="1495"/>
      <c r="E14" s="1496"/>
      <c r="F14" s="1497"/>
      <c r="G14" s="1476"/>
      <c r="H14" s="1476"/>
      <c r="I14" s="1476"/>
      <c r="J14" s="1476"/>
      <c r="K14" s="1476"/>
      <c r="L14" s="1476"/>
      <c r="N14" s="8">
        <f t="shared" si="0"/>
        <v>44699</v>
      </c>
      <c r="O14" s="232">
        <f>O13*VLOOKUP(N14,Índices!$K$6:$N$3249,4,FALSE)/VLOOKUP(N13,Índices!$K$6:$N$3249,4,FALSE)</f>
        <v>0</v>
      </c>
    </row>
    <row r="15" spans="1:15">
      <c r="B15" s="1494"/>
      <c r="C15" s="1495"/>
      <c r="D15" s="1495"/>
      <c r="E15" s="1496"/>
      <c r="F15" s="1497"/>
      <c r="G15" s="1476"/>
      <c r="H15" s="1476"/>
      <c r="I15" s="1476"/>
      <c r="J15" s="1476"/>
      <c r="K15" s="1476"/>
      <c r="L15" s="1476"/>
      <c r="N15" s="8">
        <f t="shared" si="0"/>
        <v>44700</v>
      </c>
      <c r="O15" s="232">
        <f>O14*VLOOKUP(N15,Índices!$K$6:$N$3249,4,FALSE)/VLOOKUP(N14,Índices!$K$6:$N$3249,4,FALSE)</f>
        <v>0</v>
      </c>
    </row>
    <row r="16" spans="1:15">
      <c r="B16" s="1494"/>
      <c r="C16" s="1495"/>
      <c r="D16" s="1495"/>
      <c r="E16" s="1496"/>
      <c r="F16" s="1497"/>
      <c r="G16" s="1476"/>
      <c r="H16" s="1476"/>
      <c r="I16" s="1476"/>
      <c r="J16" s="1476"/>
      <c r="K16" s="1476"/>
      <c r="L16" s="1476"/>
      <c r="N16" s="8">
        <f t="shared" si="0"/>
        <v>44701</v>
      </c>
      <c r="O16" s="232">
        <f>O15*VLOOKUP(N16,Índices!$K$6:$N$3249,4,FALSE)/VLOOKUP(N15,Índices!$K$6:$N$3249,4,FALSE)</f>
        <v>0</v>
      </c>
    </row>
    <row r="17" spans="2:15">
      <c r="B17" s="1494"/>
      <c r="C17" s="1495"/>
      <c r="D17" s="1495"/>
      <c r="E17" s="1496"/>
      <c r="F17" s="1497"/>
      <c r="G17" s="1476"/>
      <c r="H17" s="1476"/>
      <c r="I17" s="1476"/>
      <c r="J17" s="1476"/>
      <c r="K17" s="1476"/>
      <c r="L17" s="1476"/>
      <c r="N17" s="8">
        <f t="shared" si="0"/>
        <v>44702</v>
      </c>
      <c r="O17" s="232">
        <f>O16*VLOOKUP(N17,Índices!$K$6:$N$3249,4,FALSE)/VLOOKUP(N16,Índices!$K$6:$N$3249,4,FALSE)</f>
        <v>0</v>
      </c>
    </row>
    <row r="18" spans="2:15">
      <c r="B18" s="1494"/>
      <c r="C18" s="1495"/>
      <c r="D18" s="1495"/>
      <c r="E18" s="1496"/>
      <c r="F18" s="1497"/>
      <c r="G18" s="1476"/>
      <c r="H18" s="1476"/>
      <c r="I18" s="1476"/>
      <c r="J18" s="1476"/>
      <c r="K18" s="1476"/>
      <c r="L18" s="1476"/>
      <c r="N18" s="8">
        <f t="shared" si="0"/>
        <v>44703</v>
      </c>
      <c r="O18" s="232">
        <f>O17*VLOOKUP(N18,Índices!$K$6:$N$3249,4,FALSE)/VLOOKUP(N17,Índices!$K$6:$N$3249,4,FALSE)</f>
        <v>0</v>
      </c>
    </row>
    <row r="19" spans="2:15">
      <c r="B19" s="1494"/>
      <c r="C19" s="1495"/>
      <c r="D19" s="1495"/>
      <c r="E19" s="1495"/>
      <c r="F19" s="1497"/>
      <c r="G19" s="1476"/>
      <c r="H19" s="1476"/>
      <c r="I19" s="1476"/>
      <c r="J19" s="1476"/>
      <c r="K19" s="1476"/>
      <c r="L19" s="1476"/>
      <c r="N19" s="8">
        <f t="shared" si="0"/>
        <v>44704</v>
      </c>
      <c r="O19" s="232">
        <f>O18*VLOOKUP(N19,Índices!$K$6:$N$3249,4,FALSE)/VLOOKUP(N18,Índices!$K$6:$N$3249,4,FALSE)</f>
        <v>0</v>
      </c>
    </row>
    <row r="20" spans="2:15">
      <c r="B20" s="1494"/>
      <c r="C20" s="1495"/>
      <c r="D20" s="1495"/>
      <c r="E20" s="1495"/>
      <c r="F20" s="1497"/>
      <c r="G20" s="1476"/>
      <c r="H20" s="1476"/>
      <c r="I20" s="1476"/>
      <c r="J20" s="1476"/>
      <c r="K20" s="1476"/>
      <c r="L20" s="1476"/>
      <c r="N20" s="8">
        <f t="shared" si="0"/>
        <v>44705</v>
      </c>
      <c r="O20" s="232">
        <f>O19*VLOOKUP(N20,Índices!$K$6:$N$3249,4,FALSE)/VLOOKUP(N19,Índices!$K$6:$N$3249,4,FALSE)</f>
        <v>0</v>
      </c>
    </row>
    <row r="21" spans="2:15">
      <c r="B21" s="1494"/>
      <c r="C21" s="1495"/>
      <c r="D21" s="1495"/>
      <c r="E21" s="1495"/>
      <c r="F21" s="1497"/>
      <c r="G21" s="1476"/>
      <c r="H21" s="1476"/>
      <c r="I21" s="1476"/>
      <c r="J21" s="1476"/>
      <c r="K21" s="1476"/>
      <c r="L21" s="1476"/>
      <c r="N21" s="8">
        <f t="shared" si="0"/>
        <v>44706</v>
      </c>
      <c r="O21" s="232">
        <f>O20*VLOOKUP(N21,Índices!$K$6:$N$3249,4,FALSE)/VLOOKUP(N20,Índices!$K$6:$N$3249,4,FALSE)</f>
        <v>0</v>
      </c>
    </row>
    <row r="22" spans="2:15">
      <c r="B22" s="1494"/>
      <c r="C22" s="1495"/>
      <c r="D22" s="1495"/>
      <c r="E22" s="1495"/>
      <c r="F22" s="1497"/>
      <c r="G22" s="1476"/>
      <c r="H22" s="1476"/>
      <c r="I22" s="1476"/>
      <c r="J22" s="1476"/>
      <c r="K22" s="1476"/>
      <c r="L22" s="1476"/>
      <c r="N22" s="8">
        <f t="shared" si="0"/>
        <v>44707</v>
      </c>
      <c r="O22" s="232">
        <f>O21*VLOOKUP(N22,Índices!$K$6:$N$3249,4,FALSE)/VLOOKUP(N21,Índices!$K$6:$N$3249,4,FALSE)</f>
        <v>0</v>
      </c>
    </row>
    <row r="23" spans="2:15">
      <c r="B23" s="1494"/>
      <c r="C23" s="1495"/>
      <c r="D23" s="1495"/>
      <c r="E23" s="1495"/>
      <c r="F23" s="1497"/>
      <c r="G23" s="1476"/>
      <c r="H23" s="1476"/>
      <c r="I23" s="1476"/>
      <c r="J23" s="1476"/>
      <c r="K23" s="1476"/>
      <c r="L23" s="1476"/>
      <c r="N23" s="8">
        <f t="shared" si="0"/>
        <v>44708</v>
      </c>
      <c r="O23" s="232">
        <f>O22*VLOOKUP(N23,Índices!$K$6:$N$3249,4,FALSE)/VLOOKUP(N22,Índices!$K$6:$N$3249,4,FALSE)</f>
        <v>0</v>
      </c>
    </row>
    <row r="24" spans="2:15">
      <c r="B24" s="1494"/>
      <c r="C24" s="1495"/>
      <c r="D24" s="1495"/>
      <c r="E24" s="1495"/>
      <c r="F24" s="1497"/>
      <c r="G24" s="1476"/>
      <c r="H24" s="1476"/>
      <c r="I24" s="1476"/>
      <c r="J24" s="1476"/>
      <c r="K24" s="1476"/>
      <c r="L24" s="1476"/>
      <c r="N24" s="8">
        <f t="shared" si="0"/>
        <v>44709</v>
      </c>
      <c r="O24" s="232">
        <f>O23*VLOOKUP(N24,Índices!$K$6:$N$3249,4,FALSE)/VLOOKUP(N23,Índices!$K$6:$N$3249,4,FALSE)</f>
        <v>0</v>
      </c>
    </row>
    <row r="25" spans="2:15">
      <c r="B25" s="1498"/>
      <c r="C25" s="1495"/>
      <c r="D25" s="1495"/>
      <c r="E25" s="1499"/>
      <c r="F25" s="1497"/>
      <c r="G25" s="1476"/>
      <c r="H25" s="1476"/>
      <c r="I25" s="1476"/>
      <c r="J25" s="1476"/>
      <c r="K25" s="1476"/>
      <c r="L25" s="1476"/>
      <c r="N25" s="8">
        <f t="shared" si="0"/>
        <v>44710</v>
      </c>
      <c r="O25" s="232">
        <f>O24*VLOOKUP(N25,Índices!$K$6:$N$3249,4,FALSE)/VLOOKUP(N24,Índices!$K$6:$N$3249,4,FALSE)</f>
        <v>0</v>
      </c>
    </row>
    <row r="26" spans="2:15">
      <c r="B26" s="1500"/>
      <c r="C26" s="845"/>
      <c r="D26" s="845"/>
      <c r="E26" s="845"/>
      <c r="F26" s="1477"/>
      <c r="G26" s="1477"/>
      <c r="H26" s="1477"/>
      <c r="I26" s="1477"/>
      <c r="J26" s="1477"/>
      <c r="K26" s="1477"/>
      <c r="L26" s="1477"/>
      <c r="N26" s="8">
        <f t="shared" si="0"/>
        <v>44711</v>
      </c>
      <c r="O26" s="232">
        <f>O25*VLOOKUP(N26,Índices!$K$6:$N$3249,4,FALSE)/VLOOKUP(N25,Índices!$K$6:$N$3249,4,FALSE)</f>
        <v>0</v>
      </c>
    </row>
    <row r="27" spans="2:15">
      <c r="N27" s="8">
        <f t="shared" si="0"/>
        <v>44712</v>
      </c>
      <c r="O27" s="232">
        <f>O26*VLOOKUP(N27,Índices!$K$6:$N$3249,4,FALSE)/VLOOKUP(N26,Índices!$K$6:$N$3249,4,FALSE)</f>
        <v>0</v>
      </c>
    </row>
    <row r="28" spans="2:15">
      <c r="N28" s="8">
        <f t="shared" si="0"/>
        <v>44713</v>
      </c>
      <c r="O28" s="232">
        <f>O27*VLOOKUP(N28,Índices!$K$6:$N$3249,4,FALSE)/VLOOKUP(N27,Índices!$K$6:$N$3249,4,FALSE)</f>
        <v>0</v>
      </c>
    </row>
    <row r="29" spans="2:15">
      <c r="N29" s="8">
        <f t="shared" si="0"/>
        <v>44714</v>
      </c>
      <c r="O29" s="232">
        <f>O28*VLOOKUP(N29,Índices!$K$6:$N$3249,4,FALSE)/VLOOKUP(N28,Índices!$K$6:$N$3249,4,FALSE)</f>
        <v>0</v>
      </c>
    </row>
    <row r="30" spans="2:15">
      <c r="N30" s="8">
        <f t="shared" si="0"/>
        <v>44715</v>
      </c>
      <c r="O30" s="232">
        <f>O29*VLOOKUP(N30,Índices!$K$6:$N$3249,4,FALSE)/VLOOKUP(N29,Índices!$K$6:$N$3249,4,FALSE)</f>
        <v>0</v>
      </c>
    </row>
    <row r="31" spans="2:15">
      <c r="N31" s="8">
        <f t="shared" si="0"/>
        <v>44716</v>
      </c>
      <c r="O31" s="232">
        <f>O30*VLOOKUP(N31,Índices!$K$6:$N$3249,4,FALSE)/VLOOKUP(N30,Índices!$K$6:$N$3249,4,FALSE)</f>
        <v>0</v>
      </c>
    </row>
    <row r="32" spans="2:15">
      <c r="N32" s="8">
        <f t="shared" si="0"/>
        <v>44717</v>
      </c>
      <c r="O32" s="232">
        <f>O31*VLOOKUP(N32,Índices!$K$6:$N$3249,4,FALSE)/VLOOKUP(N31,Índices!$K$6:$N$3249,4,FALSE)</f>
        <v>0</v>
      </c>
    </row>
    <row r="33" spans="14:15">
      <c r="N33" s="8">
        <f t="shared" si="0"/>
        <v>44718</v>
      </c>
      <c r="O33" s="232">
        <f>O32*VLOOKUP(N33,Índices!$K$6:$N$3249,4,FALSE)/VLOOKUP(N32,Índices!$K$6:$N$3249,4,FALSE)</f>
        <v>0</v>
      </c>
    </row>
    <row r="34" spans="14:15">
      <c r="N34" s="8">
        <f t="shared" si="0"/>
        <v>44719</v>
      </c>
      <c r="O34" s="232">
        <f>O33*VLOOKUP(N34,Índices!$K$6:$N$3249,4,FALSE)/VLOOKUP(N33,Índices!$K$6:$N$3249,4,FALSE)</f>
        <v>0</v>
      </c>
    </row>
    <row r="35" spans="14:15">
      <c r="N35" s="8">
        <f t="shared" si="0"/>
        <v>44720</v>
      </c>
      <c r="O35" s="232">
        <f>O34*VLOOKUP(N35,Índices!$K$6:$N$3249,4,FALSE)/VLOOKUP(N34,Índices!$K$6:$N$3249,4,FALSE)</f>
        <v>0</v>
      </c>
    </row>
    <row r="36" spans="14:15">
      <c r="N36" s="8">
        <f t="shared" si="0"/>
        <v>44721</v>
      </c>
      <c r="O36" s="232">
        <f>O35*VLOOKUP(N36,Índices!$K$6:$N$3249,4,FALSE)/VLOOKUP(N35,Índices!$K$6:$N$3249,4,FALSE)</f>
        <v>0</v>
      </c>
    </row>
    <row r="37" spans="14:15">
      <c r="N37" s="8">
        <f t="shared" si="0"/>
        <v>44722</v>
      </c>
      <c r="O37" s="232">
        <f>O36*VLOOKUP(N37,Índices!$K$6:$N$3249,4,FALSE)/VLOOKUP(N36,Índices!$K$6:$N$3249,4,FALSE)</f>
        <v>0</v>
      </c>
    </row>
    <row r="38" spans="14:15">
      <c r="N38" s="8">
        <f t="shared" si="0"/>
        <v>44723</v>
      </c>
      <c r="O38" s="232">
        <f>O37*VLOOKUP(N38,Índices!$K$6:$N$3249,4,FALSE)/VLOOKUP(N37,Índices!$K$6:$N$3249,4,FALSE)</f>
        <v>0</v>
      </c>
    </row>
    <row r="39" spans="14:15">
      <c r="N39" s="8">
        <f t="shared" si="0"/>
        <v>44724</v>
      </c>
      <c r="O39" s="232">
        <f>O38*VLOOKUP(N39,Índices!$K$6:$N$3249,4,FALSE)/VLOOKUP(N38,Índices!$K$6:$N$3249,4,FALSE)</f>
        <v>0</v>
      </c>
    </row>
    <row r="40" spans="14:15">
      <c r="N40" s="8">
        <f t="shared" si="0"/>
        <v>44725</v>
      </c>
      <c r="O40" s="232">
        <f>O39*VLOOKUP(N40,Índices!$K$6:$N$3249,4,FALSE)/VLOOKUP(N39,Índices!$K$6:$N$3249,4,FALSE)</f>
        <v>0</v>
      </c>
    </row>
    <row r="41" spans="14:15">
      <c r="N41" s="8">
        <f t="shared" si="0"/>
        <v>44726</v>
      </c>
      <c r="O41" s="232">
        <f>O40*VLOOKUP(N41,Índices!$K$6:$N$3249,4,FALSE)/VLOOKUP(N40,Índices!$K$6:$N$3249,4,FALSE)</f>
        <v>0</v>
      </c>
    </row>
    <row r="42" spans="14:15">
      <c r="N42" s="8">
        <f t="shared" si="0"/>
        <v>44727</v>
      </c>
      <c r="O42" s="232">
        <f>O41*VLOOKUP(N42,Índices!$K$6:$N$3249,4,FALSE)/VLOOKUP(N41,Índices!$K$6:$N$3249,4,FALSE)</f>
        <v>0</v>
      </c>
    </row>
    <row r="43" spans="14:15">
      <c r="N43" s="8">
        <f t="shared" si="0"/>
        <v>44728</v>
      </c>
      <c r="O43" s="232">
        <f>O42*VLOOKUP(N43,Índices!$K$6:$N$3249,4,FALSE)/VLOOKUP(N42,Índices!$K$6:$N$3249,4,FALSE)</f>
        <v>0</v>
      </c>
    </row>
    <row r="44" spans="14:15">
      <c r="N44" s="8">
        <f t="shared" si="0"/>
        <v>44729</v>
      </c>
      <c r="O44" s="232">
        <f>O43*VLOOKUP(N44,Índices!$K$6:$N$3249,4,FALSE)/VLOOKUP(N43,Índices!$K$6:$N$3249,4,FALSE)</f>
        <v>0</v>
      </c>
    </row>
    <row r="45" spans="14:15">
      <c r="N45" s="8">
        <f t="shared" si="0"/>
        <v>44730</v>
      </c>
      <c r="O45" s="232">
        <f>O44*VLOOKUP(N45,Índices!$K$6:$N$3249,4,FALSE)/VLOOKUP(N44,Índices!$K$6:$N$3249,4,FALSE)</f>
        <v>0</v>
      </c>
    </row>
    <row r="46" spans="14:15">
      <c r="N46" s="8">
        <f t="shared" si="0"/>
        <v>44731</v>
      </c>
      <c r="O46" s="232">
        <f>O45*VLOOKUP(N46,Índices!$K$6:$N$3249,4,FALSE)/VLOOKUP(N45,Índices!$K$6:$N$3249,4,FALSE)</f>
        <v>0</v>
      </c>
    </row>
    <row r="47" spans="14:15">
      <c r="N47" s="8">
        <f t="shared" si="0"/>
        <v>44732</v>
      </c>
      <c r="O47" s="232">
        <f>O46*VLOOKUP(N47,Índices!$K$6:$N$3249,4,FALSE)/VLOOKUP(N46,Índices!$K$6:$N$3249,4,FALSE)</f>
        <v>0</v>
      </c>
    </row>
    <row r="48" spans="14:15">
      <c r="N48" s="8">
        <f t="shared" si="0"/>
        <v>44733</v>
      </c>
      <c r="O48" s="232">
        <f>O47*VLOOKUP(N48,Índices!$K$6:$N$3249,4,FALSE)/VLOOKUP(N47,Índices!$K$6:$N$3249,4,FALSE)</f>
        <v>0</v>
      </c>
    </row>
    <row r="49" spans="14:15">
      <c r="N49" s="8">
        <f t="shared" si="0"/>
        <v>44734</v>
      </c>
      <c r="O49" s="232">
        <f>O48*VLOOKUP(N49,Índices!$K$6:$N$3249,4,FALSE)/VLOOKUP(N48,Índices!$K$6:$N$3249,4,FALSE)</f>
        <v>0</v>
      </c>
    </row>
    <row r="50" spans="14:15">
      <c r="N50" s="8">
        <f t="shared" si="0"/>
        <v>44735</v>
      </c>
      <c r="O50" s="232">
        <f>O49*VLOOKUP(N50,Índices!$K$6:$N$3249,4,FALSE)/VLOOKUP(N49,Índices!$K$6:$N$3249,4,FALSE)</f>
        <v>0</v>
      </c>
    </row>
    <row r="51" spans="14:15">
      <c r="N51" s="8">
        <f t="shared" si="0"/>
        <v>44736</v>
      </c>
      <c r="O51" s="232">
        <f>O50*VLOOKUP(N51,Índices!$K$6:$N$3249,4,FALSE)/VLOOKUP(N50,Índices!$K$6:$N$3249,4,FALSE)</f>
        <v>0</v>
      </c>
    </row>
    <row r="52" spans="14:15">
      <c r="N52" s="8">
        <f t="shared" si="0"/>
        <v>44737</v>
      </c>
      <c r="O52" s="232">
        <f>O51*VLOOKUP(N52,Índices!$K$6:$N$3249,4,FALSE)/VLOOKUP(N51,Índices!$K$6:$N$3249,4,FALSE)</f>
        <v>0</v>
      </c>
    </row>
    <row r="53" spans="14:15">
      <c r="N53" s="8">
        <f t="shared" si="0"/>
        <v>44738</v>
      </c>
      <c r="O53" s="232">
        <f>O52*VLOOKUP(N53,Índices!$K$6:$N$3249,4,FALSE)/VLOOKUP(N52,Índices!$K$6:$N$3249,4,FALSE)</f>
        <v>0</v>
      </c>
    </row>
    <row r="54" spans="14:15">
      <c r="N54" s="8">
        <f t="shared" si="0"/>
        <v>44739</v>
      </c>
      <c r="O54" s="232">
        <f>O53*VLOOKUP(N54,Índices!$K$6:$N$3249,4,FALSE)/VLOOKUP(N53,Índices!$K$6:$N$3249,4,FALSE)</f>
        <v>0</v>
      </c>
    </row>
    <row r="55" spans="14:15">
      <c r="N55" s="8">
        <f t="shared" si="0"/>
        <v>44740</v>
      </c>
      <c r="O55" s="232">
        <f>O54*VLOOKUP(N55,Índices!$K$6:$N$3249,4,FALSE)/VLOOKUP(N54,Índices!$K$6:$N$3249,4,FALSE)</f>
        <v>0</v>
      </c>
    </row>
    <row r="56" spans="14:15">
      <c r="N56" s="8">
        <f t="shared" si="0"/>
        <v>44741</v>
      </c>
      <c r="O56" s="232">
        <f>O55*VLOOKUP(N56,Índices!$K$6:$N$3249,4,FALSE)/VLOOKUP(N55,Índices!$K$6:$N$3249,4,FALSE)</f>
        <v>0</v>
      </c>
    </row>
    <row r="57" spans="14:15">
      <c r="N57" s="8">
        <f t="shared" si="0"/>
        <v>44742</v>
      </c>
      <c r="O57" s="232">
        <f>O56*VLOOKUP(N57,Índices!$K$6:$N$3249,4,FALSE)/VLOOKUP(N56,Índices!$K$6:$N$3249,4,FALSE)</f>
        <v>0</v>
      </c>
    </row>
    <row r="58" spans="14:15">
      <c r="N58" s="8">
        <f t="shared" si="0"/>
        <v>44743</v>
      </c>
      <c r="O58" s="232">
        <f>O57*VLOOKUP(N58,Índices!$K$6:$N$3249,4,FALSE)/VLOOKUP(N57,Índices!$K$6:$N$3249,4,FALSE)</f>
        <v>0</v>
      </c>
    </row>
    <row r="59" spans="14:15">
      <c r="N59" s="8">
        <f t="shared" si="0"/>
        <v>44744</v>
      </c>
      <c r="O59" s="232">
        <f>O58*VLOOKUP(N59,Índices!$K$6:$N$3249,4,FALSE)/VLOOKUP(N58,Índices!$K$6:$N$3249,4,FALSE)</f>
        <v>0</v>
      </c>
    </row>
    <row r="60" spans="14:15">
      <c r="N60" s="8">
        <f t="shared" si="0"/>
        <v>44745</v>
      </c>
      <c r="O60" s="232">
        <f>O59*VLOOKUP(N60,Índices!$K$6:$N$3249,4,FALSE)/VLOOKUP(N59,Índices!$K$6:$N$3249,4,FALSE)</f>
        <v>0</v>
      </c>
    </row>
    <row r="61" spans="14:15">
      <c r="N61" s="8">
        <f t="shared" si="0"/>
        <v>44746</v>
      </c>
      <c r="O61" s="232">
        <f>O60*VLOOKUP(N61,Índices!$K$6:$N$3249,4,FALSE)/VLOOKUP(N60,Índices!$K$6:$N$3249,4,FALSE)</f>
        <v>0</v>
      </c>
    </row>
    <row r="62" spans="14:15">
      <c r="N62" s="8">
        <f t="shared" si="0"/>
        <v>44747</v>
      </c>
      <c r="O62" s="232">
        <f>O61*VLOOKUP(N62,Índices!$K$6:$N$3249,4,FALSE)/VLOOKUP(N61,Índices!$K$6:$N$3249,4,FALSE)</f>
        <v>0</v>
      </c>
    </row>
    <row r="63" spans="14:15">
      <c r="N63" s="8">
        <f t="shared" si="0"/>
        <v>44748</v>
      </c>
      <c r="O63" s="232">
        <f>O62*VLOOKUP(N63,Índices!$K$6:$N$3249,4,FALSE)/VLOOKUP(N62,Índices!$K$6:$N$3249,4,FALSE)</f>
        <v>0</v>
      </c>
    </row>
    <row r="64" spans="14:15">
      <c r="N64" s="8">
        <f t="shared" si="0"/>
        <v>44749</v>
      </c>
      <c r="O64" s="232">
        <f>O63*VLOOKUP(N64,Índices!$K$6:$N$3249,4,FALSE)/VLOOKUP(N63,Índices!$K$6:$N$3249,4,FALSE)</f>
        <v>0</v>
      </c>
    </row>
    <row r="65" spans="14:15">
      <c r="N65" s="8">
        <f t="shared" si="0"/>
        <v>44750</v>
      </c>
      <c r="O65" s="232">
        <f>O64*VLOOKUP(N65,Índices!$K$6:$N$3249,4,FALSE)/VLOOKUP(N64,Índices!$K$6:$N$3249,4,FALSE)</f>
        <v>0</v>
      </c>
    </row>
    <row r="66" spans="14:15">
      <c r="N66" s="8">
        <f t="shared" si="0"/>
        <v>44751</v>
      </c>
      <c r="O66" s="232">
        <f>O65*VLOOKUP(N66,Índices!$K$6:$N$3249,4,FALSE)/VLOOKUP(N65,Índices!$K$6:$N$3249,4,FALSE)</f>
        <v>0</v>
      </c>
    </row>
    <row r="67" spans="14:15">
      <c r="N67" s="8">
        <f t="shared" si="0"/>
        <v>44752</v>
      </c>
      <c r="O67" s="232">
        <f>O66*VLOOKUP(N67,Índices!$K$6:$N$3249,4,FALSE)/VLOOKUP(N66,Índices!$K$6:$N$3249,4,FALSE)</f>
        <v>0</v>
      </c>
    </row>
    <row r="68" spans="14:15">
      <c r="N68" s="8">
        <f t="shared" si="0"/>
        <v>44753</v>
      </c>
      <c r="O68" s="232">
        <f>O67*VLOOKUP(N68,Índices!$K$6:$N$3249,4,FALSE)/VLOOKUP(N67,Índices!$K$6:$N$3249,4,FALSE)</f>
        <v>0</v>
      </c>
    </row>
    <row r="69" spans="14:15">
      <c r="N69" s="8">
        <f t="shared" si="0"/>
        <v>44754</v>
      </c>
      <c r="O69" s="232">
        <f>O68*VLOOKUP(N69,Índices!$K$6:$N$3249,4,FALSE)/VLOOKUP(N68,Índices!$K$6:$N$3249,4,FALSE)</f>
        <v>0</v>
      </c>
    </row>
    <row r="70" spans="14:15">
      <c r="N70" s="8">
        <f t="shared" si="0"/>
        <v>44755</v>
      </c>
      <c r="O70" s="232">
        <f>O69*VLOOKUP(N70,Índices!$K$6:$N$3249,4,FALSE)/VLOOKUP(N69,Índices!$K$6:$N$3249,4,FALSE)</f>
        <v>0</v>
      </c>
    </row>
    <row r="71" spans="14:15">
      <c r="N71" s="8">
        <f t="shared" ref="N71:N134" si="1">N70+1</f>
        <v>44756</v>
      </c>
      <c r="O71" s="232">
        <f>O70*VLOOKUP(N71,Índices!$K$6:$N$3249,4,FALSE)/VLOOKUP(N70,Índices!$K$6:$N$3249,4,FALSE)</f>
        <v>0</v>
      </c>
    </row>
    <row r="72" spans="14:15">
      <c r="N72" s="8">
        <f t="shared" si="1"/>
        <v>44757</v>
      </c>
      <c r="O72" s="232">
        <f>O71*VLOOKUP(N72,Índices!$K$6:$N$3249,4,FALSE)/VLOOKUP(N71,Índices!$K$6:$N$3249,4,FALSE)</f>
        <v>0</v>
      </c>
    </row>
    <row r="73" spans="14:15">
      <c r="N73" s="8">
        <f t="shared" si="1"/>
        <v>44758</v>
      </c>
      <c r="O73" s="232">
        <f>O72*VLOOKUP(N73,Índices!$K$6:$N$3249,4,FALSE)/VLOOKUP(N72,Índices!$K$6:$N$3249,4,FALSE)</f>
        <v>0</v>
      </c>
    </row>
    <row r="74" spans="14:15">
      <c r="N74" s="8">
        <f t="shared" si="1"/>
        <v>44759</v>
      </c>
      <c r="O74" s="232">
        <f>O73*VLOOKUP(N74,Índices!$K$6:$N$3249,4,FALSE)/VLOOKUP(N73,Índices!$K$6:$N$3249,4,FALSE)</f>
        <v>0</v>
      </c>
    </row>
    <row r="75" spans="14:15">
      <c r="N75" s="8">
        <f t="shared" si="1"/>
        <v>44760</v>
      </c>
      <c r="O75" s="232">
        <f>O74*VLOOKUP(N75,Índices!$K$6:$N$3249,4,FALSE)/VLOOKUP(N74,Índices!$K$6:$N$3249,4,FALSE)</f>
        <v>0</v>
      </c>
    </row>
    <row r="76" spans="14:15">
      <c r="N76" s="8">
        <f t="shared" si="1"/>
        <v>44761</v>
      </c>
      <c r="O76" s="232">
        <f>O75*VLOOKUP(N76,Índices!$K$6:$N$3249,4,FALSE)/VLOOKUP(N75,Índices!$K$6:$N$3249,4,FALSE)</f>
        <v>0</v>
      </c>
    </row>
    <row r="77" spans="14:15">
      <c r="N77" s="8">
        <f t="shared" si="1"/>
        <v>44762</v>
      </c>
      <c r="O77" s="232">
        <f>O76*VLOOKUP(N77,Índices!$K$6:$N$3249,4,FALSE)/VLOOKUP(N76,Índices!$K$6:$N$3249,4,FALSE)</f>
        <v>0</v>
      </c>
    </row>
    <row r="78" spans="14:15">
      <c r="N78" s="8">
        <f t="shared" si="1"/>
        <v>44763</v>
      </c>
      <c r="O78" s="232">
        <f>O77*VLOOKUP(N78,Índices!$K$6:$N$3249,4,FALSE)/VLOOKUP(N77,Índices!$K$6:$N$3249,4,FALSE)</f>
        <v>0</v>
      </c>
    </row>
    <row r="79" spans="14:15">
      <c r="N79" s="8">
        <f t="shared" si="1"/>
        <v>44764</v>
      </c>
      <c r="O79" s="232">
        <f>O78*VLOOKUP(N79,Índices!$K$6:$N$3249,4,FALSE)/VLOOKUP(N78,Índices!$K$6:$N$3249,4,FALSE)</f>
        <v>0</v>
      </c>
    </row>
    <row r="80" spans="14:15">
      <c r="N80" s="8">
        <f t="shared" si="1"/>
        <v>44765</v>
      </c>
      <c r="O80" s="232">
        <f>O79*VLOOKUP(N80,Índices!$K$6:$N$3249,4,FALSE)/VLOOKUP(N79,Índices!$K$6:$N$3249,4,FALSE)</f>
        <v>0</v>
      </c>
    </row>
    <row r="81" spans="14:15">
      <c r="N81" s="8">
        <f t="shared" si="1"/>
        <v>44766</v>
      </c>
      <c r="O81" s="232">
        <f>O80*VLOOKUP(N81,Índices!$K$6:$N$3249,4,FALSE)/VLOOKUP(N80,Índices!$K$6:$N$3249,4,FALSE)</f>
        <v>0</v>
      </c>
    </row>
    <row r="82" spans="14:15">
      <c r="N82" s="8">
        <f t="shared" si="1"/>
        <v>44767</v>
      </c>
      <c r="O82" s="232">
        <f>O81*VLOOKUP(N82,Índices!$K$6:$N$3249,4,FALSE)/VLOOKUP(N81,Índices!$K$6:$N$3249,4,FALSE)</f>
        <v>0</v>
      </c>
    </row>
    <row r="83" spans="14:15">
      <c r="N83" s="8">
        <f t="shared" si="1"/>
        <v>44768</v>
      </c>
      <c r="O83" s="232">
        <f>O82*VLOOKUP(N83,Índices!$K$6:$N$3249,4,FALSE)/VLOOKUP(N82,Índices!$K$6:$N$3249,4,FALSE)</f>
        <v>0</v>
      </c>
    </row>
    <row r="84" spans="14:15">
      <c r="N84" s="8">
        <f t="shared" si="1"/>
        <v>44769</v>
      </c>
      <c r="O84" s="232">
        <f>O83*VLOOKUP(N84,Índices!$K$6:$N$3249,4,FALSE)/VLOOKUP(N83,Índices!$K$6:$N$3249,4,FALSE)</f>
        <v>0</v>
      </c>
    </row>
    <row r="85" spans="14:15">
      <c r="N85" s="8">
        <f t="shared" si="1"/>
        <v>44770</v>
      </c>
      <c r="O85" s="232">
        <f>O84*VLOOKUP(N85,Índices!$K$6:$N$3249,4,FALSE)/VLOOKUP(N84,Índices!$K$6:$N$3249,4,FALSE)</f>
        <v>0</v>
      </c>
    </row>
    <row r="86" spans="14:15">
      <c r="N86" s="8">
        <f t="shared" si="1"/>
        <v>44771</v>
      </c>
      <c r="O86" s="232">
        <f>O85*VLOOKUP(N86,Índices!$K$6:$N$3249,4,FALSE)/VLOOKUP(N85,Índices!$K$6:$N$3249,4,FALSE)</f>
        <v>0</v>
      </c>
    </row>
    <row r="87" spans="14:15">
      <c r="N87" s="8">
        <f t="shared" si="1"/>
        <v>44772</v>
      </c>
      <c r="O87" s="232">
        <f>O86*VLOOKUP(N87,Índices!$K$6:$N$3249,4,FALSE)/VLOOKUP(N86,Índices!$K$6:$N$3249,4,FALSE)</f>
        <v>0</v>
      </c>
    </row>
    <row r="88" spans="14:15">
      <c r="N88" s="8">
        <f t="shared" si="1"/>
        <v>44773</v>
      </c>
      <c r="O88" s="232">
        <f>O87*VLOOKUP(N88,Índices!$K$6:$N$3249,4,FALSE)/VLOOKUP(N87,Índices!$K$6:$N$3249,4,FALSE)</f>
        <v>0</v>
      </c>
    </row>
    <row r="89" spans="14:15">
      <c r="N89" s="8">
        <f t="shared" si="1"/>
        <v>44774</v>
      </c>
      <c r="O89" s="232">
        <f>O88*VLOOKUP(N89,Índices!$K$6:$N$3249,4,FALSE)/VLOOKUP(N88,Índices!$K$6:$N$3249,4,FALSE)</f>
        <v>0</v>
      </c>
    </row>
    <row r="90" spans="14:15">
      <c r="N90" s="8">
        <f t="shared" si="1"/>
        <v>44775</v>
      </c>
      <c r="O90" s="232">
        <f>O89*VLOOKUP(N90,Índices!$K$6:$N$3249,4,FALSE)/VLOOKUP(N89,Índices!$K$6:$N$3249,4,FALSE)</f>
        <v>0</v>
      </c>
    </row>
    <row r="91" spans="14:15">
      <c r="N91" s="8">
        <f t="shared" si="1"/>
        <v>44776</v>
      </c>
      <c r="O91" s="232">
        <f>O90*VLOOKUP(N91,Índices!$K$6:$N$3249,4,FALSE)/VLOOKUP(N90,Índices!$K$6:$N$3249,4,FALSE)</f>
        <v>0</v>
      </c>
    </row>
    <row r="92" spans="14:15">
      <c r="N92" s="8">
        <f t="shared" si="1"/>
        <v>44777</v>
      </c>
      <c r="O92" s="232">
        <f>O91*VLOOKUP(N92,Índices!$K$6:$N$3249,4,FALSE)/VLOOKUP(N91,Índices!$K$6:$N$3249,4,FALSE)</f>
        <v>0</v>
      </c>
    </row>
    <row r="93" spans="14:15">
      <c r="N93" s="8">
        <f t="shared" si="1"/>
        <v>44778</v>
      </c>
      <c r="O93" s="232">
        <f>O92*VLOOKUP(N93,Índices!$K$6:$N$3249,4,FALSE)/VLOOKUP(N92,Índices!$K$6:$N$3249,4,FALSE)</f>
        <v>0</v>
      </c>
    </row>
    <row r="94" spans="14:15">
      <c r="N94" s="8">
        <f t="shared" si="1"/>
        <v>44779</v>
      </c>
      <c r="O94" s="232">
        <f>O93*VLOOKUP(N94,Índices!$K$6:$N$3249,4,FALSE)/VLOOKUP(N93,Índices!$K$6:$N$3249,4,FALSE)</f>
        <v>0</v>
      </c>
    </row>
    <row r="95" spans="14:15">
      <c r="N95" s="8">
        <f t="shared" si="1"/>
        <v>44780</v>
      </c>
      <c r="O95" s="232">
        <f>O94*VLOOKUP(N95,Índices!$K$6:$N$3249,4,FALSE)/VLOOKUP(N94,Índices!$K$6:$N$3249,4,FALSE)</f>
        <v>0</v>
      </c>
    </row>
    <row r="96" spans="14:15">
      <c r="N96" s="8">
        <f t="shared" si="1"/>
        <v>44781</v>
      </c>
      <c r="O96" s="232">
        <f>O95*VLOOKUP(N96,Índices!$K$6:$N$3249,4,FALSE)/VLOOKUP(N95,Índices!$K$6:$N$3249,4,FALSE)</f>
        <v>0</v>
      </c>
    </row>
    <row r="97" spans="14:15">
      <c r="N97" s="8">
        <f t="shared" si="1"/>
        <v>44782</v>
      </c>
      <c r="O97" s="232">
        <f>O96*VLOOKUP(N97,Índices!$K$6:$N$3249,4,FALSE)/VLOOKUP(N96,Índices!$K$6:$N$3249,4,FALSE)</f>
        <v>0</v>
      </c>
    </row>
    <row r="98" spans="14:15">
      <c r="N98" s="8">
        <f t="shared" si="1"/>
        <v>44783</v>
      </c>
      <c r="O98" s="232">
        <f>O97*VLOOKUP(N98,Índices!$K$6:$N$3249,4,FALSE)/VLOOKUP(N97,Índices!$K$6:$N$3249,4,FALSE)</f>
        <v>0</v>
      </c>
    </row>
    <row r="99" spans="14:15">
      <c r="N99" s="8">
        <f t="shared" si="1"/>
        <v>44784</v>
      </c>
      <c r="O99" s="232">
        <f>O98*VLOOKUP(N99,Índices!$K$6:$N$3249,4,FALSE)/VLOOKUP(N98,Índices!$K$6:$N$3249,4,FALSE)</f>
        <v>0</v>
      </c>
    </row>
    <row r="100" spans="14:15">
      <c r="N100" s="8">
        <f t="shared" si="1"/>
        <v>44785</v>
      </c>
      <c r="O100" s="232">
        <f>O99*VLOOKUP(N100,Índices!$K$6:$N$3249,4,FALSE)/VLOOKUP(N99,Índices!$K$6:$N$3249,4,FALSE)</f>
        <v>0</v>
      </c>
    </row>
    <row r="101" spans="14:15">
      <c r="N101" s="8">
        <f t="shared" si="1"/>
        <v>44786</v>
      </c>
      <c r="O101" s="232">
        <f>O100*VLOOKUP(N101,Índices!$K$6:$N$3249,4,FALSE)/VLOOKUP(N100,Índices!$K$6:$N$3249,4,FALSE)</f>
        <v>0</v>
      </c>
    </row>
    <row r="102" spans="14:15">
      <c r="N102" s="8">
        <f t="shared" si="1"/>
        <v>44787</v>
      </c>
      <c r="O102" s="232">
        <f>O101*VLOOKUP(N102,Índices!$K$6:$N$3249,4,FALSE)/VLOOKUP(N101,Índices!$K$6:$N$3249,4,FALSE)</f>
        <v>0</v>
      </c>
    </row>
    <row r="103" spans="14:15">
      <c r="N103" s="8">
        <f t="shared" si="1"/>
        <v>44788</v>
      </c>
      <c r="O103" s="232">
        <f>O102*VLOOKUP(N103,Índices!$K$6:$N$3249,4,FALSE)/VLOOKUP(N102,Índices!$K$6:$N$3249,4,FALSE)</f>
        <v>0</v>
      </c>
    </row>
    <row r="104" spans="14:15">
      <c r="N104" s="8">
        <f t="shared" si="1"/>
        <v>44789</v>
      </c>
      <c r="O104" s="232">
        <f>O103*VLOOKUP(N104,Índices!$K$6:$N$3249,4,FALSE)/VLOOKUP(N103,Índices!$K$6:$N$3249,4,FALSE)</f>
        <v>0</v>
      </c>
    </row>
    <row r="105" spans="14:15">
      <c r="N105" s="8">
        <f t="shared" si="1"/>
        <v>44790</v>
      </c>
      <c r="O105" s="232">
        <f>O104*VLOOKUP(N105,Índices!$K$6:$N$3249,4,FALSE)/VLOOKUP(N104,Índices!$K$6:$N$3249,4,FALSE)</f>
        <v>0</v>
      </c>
    </row>
    <row r="106" spans="14:15">
      <c r="N106" s="8">
        <f t="shared" si="1"/>
        <v>44791</v>
      </c>
      <c r="O106" s="232">
        <f>O105*VLOOKUP(N106,Índices!$K$6:$N$3249,4,FALSE)/VLOOKUP(N105,Índices!$K$6:$N$3249,4,FALSE)</f>
        <v>0</v>
      </c>
    </row>
    <row r="107" spans="14:15">
      <c r="N107" s="8">
        <f t="shared" si="1"/>
        <v>44792</v>
      </c>
      <c r="O107" s="232">
        <f>O106*VLOOKUP(N107,Índices!$K$6:$N$3249,4,FALSE)/VLOOKUP(N106,Índices!$K$6:$N$3249,4,FALSE)</f>
        <v>0</v>
      </c>
    </row>
    <row r="108" spans="14:15">
      <c r="N108" s="8">
        <f t="shared" si="1"/>
        <v>44793</v>
      </c>
      <c r="O108" s="232">
        <f>O107*VLOOKUP(N108,Índices!$K$6:$N$3249,4,FALSE)/VLOOKUP(N107,Índices!$K$6:$N$3249,4,FALSE)</f>
        <v>0</v>
      </c>
    </row>
    <row r="109" spans="14:15">
      <c r="N109" s="8">
        <f t="shared" si="1"/>
        <v>44794</v>
      </c>
      <c r="O109" s="232">
        <f>O108*VLOOKUP(N109,Índices!$K$6:$N$3249,4,FALSE)/VLOOKUP(N108,Índices!$K$6:$N$3249,4,FALSE)</f>
        <v>0</v>
      </c>
    </row>
    <row r="110" spans="14:15">
      <c r="N110" s="8">
        <f t="shared" si="1"/>
        <v>44795</v>
      </c>
      <c r="O110" s="232">
        <f>O109*VLOOKUP(N110,Índices!$K$6:$N$3249,4,FALSE)/VLOOKUP(N109,Índices!$K$6:$N$3249,4,FALSE)</f>
        <v>0</v>
      </c>
    </row>
    <row r="111" spans="14:15">
      <c r="N111" s="8">
        <f t="shared" si="1"/>
        <v>44796</v>
      </c>
      <c r="O111" s="232">
        <f>O110*VLOOKUP(N111,Índices!$K$6:$N$3249,4,FALSE)/VLOOKUP(N110,Índices!$K$6:$N$3249,4,FALSE)</f>
        <v>0</v>
      </c>
    </row>
    <row r="112" spans="14:15">
      <c r="N112" s="8">
        <f t="shared" si="1"/>
        <v>44797</v>
      </c>
      <c r="O112" s="232">
        <f>O111*VLOOKUP(N112,Índices!$K$6:$N$3249,4,FALSE)/VLOOKUP(N111,Índices!$K$6:$N$3249,4,FALSE)</f>
        <v>0</v>
      </c>
    </row>
    <row r="113" spans="14:15">
      <c r="N113" s="8">
        <f t="shared" si="1"/>
        <v>44798</v>
      </c>
      <c r="O113" s="232">
        <f>O112*VLOOKUP(N113,Índices!$K$6:$N$3249,4,FALSE)/VLOOKUP(N112,Índices!$K$6:$N$3249,4,FALSE)</f>
        <v>0</v>
      </c>
    </row>
    <row r="114" spans="14:15">
      <c r="N114" s="8">
        <f t="shared" si="1"/>
        <v>44799</v>
      </c>
      <c r="O114" s="232">
        <f>O113*VLOOKUP(N114,Índices!$K$6:$N$3249,4,FALSE)/VLOOKUP(N113,Índices!$K$6:$N$3249,4,FALSE)</f>
        <v>0</v>
      </c>
    </row>
    <row r="115" spans="14:15">
      <c r="N115" s="8">
        <f t="shared" si="1"/>
        <v>44800</v>
      </c>
      <c r="O115" s="232">
        <f>O114*VLOOKUP(N115,Índices!$K$6:$N$3249,4,FALSE)/VLOOKUP(N114,Índices!$K$6:$N$3249,4,FALSE)</f>
        <v>0</v>
      </c>
    </row>
    <row r="116" spans="14:15">
      <c r="N116" s="8">
        <f t="shared" si="1"/>
        <v>44801</v>
      </c>
      <c r="O116" s="232">
        <f>O115*VLOOKUP(N116,Índices!$K$6:$N$3249,4,FALSE)/VLOOKUP(N115,Índices!$K$6:$N$3249,4,FALSE)</f>
        <v>0</v>
      </c>
    </row>
    <row r="117" spans="14:15">
      <c r="N117" s="8">
        <f t="shared" si="1"/>
        <v>44802</v>
      </c>
      <c r="O117" s="232">
        <f>O116*VLOOKUP(N117,Índices!$K$6:$N$3249,4,FALSE)/VLOOKUP(N116,Índices!$K$6:$N$3249,4,FALSE)</f>
        <v>0</v>
      </c>
    </row>
    <row r="118" spans="14:15">
      <c r="N118" s="8">
        <f t="shared" si="1"/>
        <v>44803</v>
      </c>
      <c r="O118" s="232">
        <f>O117*VLOOKUP(N118,Índices!$K$6:$N$3249,4,FALSE)/VLOOKUP(N117,Índices!$K$6:$N$3249,4,FALSE)</f>
        <v>0</v>
      </c>
    </row>
    <row r="119" spans="14:15">
      <c r="N119" s="8">
        <f t="shared" si="1"/>
        <v>44804</v>
      </c>
      <c r="O119" s="232">
        <f>O118*VLOOKUP(N119,Índices!$K$6:$N$3249,4,FALSE)/VLOOKUP(N118,Índices!$K$6:$N$3249,4,FALSE)</f>
        <v>0</v>
      </c>
    </row>
    <row r="120" spans="14:15">
      <c r="N120" s="8">
        <f t="shared" si="1"/>
        <v>44805</v>
      </c>
      <c r="O120" s="232">
        <f>O119*VLOOKUP(N120,Índices!$K$6:$N$3249,4,FALSE)/VLOOKUP(N119,Índices!$K$6:$N$3249,4,FALSE)</f>
        <v>0</v>
      </c>
    </row>
    <row r="121" spans="14:15">
      <c r="N121" s="8">
        <f t="shared" si="1"/>
        <v>44806</v>
      </c>
      <c r="O121" s="232">
        <f>O120*VLOOKUP(N121,Índices!$K$6:$N$3249,4,FALSE)/VLOOKUP(N120,Índices!$K$6:$N$3249,4,FALSE)</f>
        <v>0</v>
      </c>
    </row>
    <row r="122" spans="14:15">
      <c r="N122" s="8">
        <f t="shared" si="1"/>
        <v>44807</v>
      </c>
      <c r="O122" s="232">
        <f>O121*VLOOKUP(N122,Índices!$K$6:$N$3249,4,FALSE)/VLOOKUP(N121,Índices!$K$6:$N$3249,4,FALSE)</f>
        <v>0</v>
      </c>
    </row>
    <row r="123" spans="14:15">
      <c r="N123" s="8">
        <f t="shared" si="1"/>
        <v>44808</v>
      </c>
      <c r="O123" s="232">
        <f>O122*VLOOKUP(N123,Índices!$K$6:$N$3249,4,FALSE)/VLOOKUP(N122,Índices!$K$6:$N$3249,4,FALSE)</f>
        <v>0</v>
      </c>
    </row>
    <row r="124" spans="14:15">
      <c r="N124" s="8">
        <f t="shared" si="1"/>
        <v>44809</v>
      </c>
      <c r="O124" s="232">
        <f>O123*VLOOKUP(N124,Índices!$K$6:$N$3249,4,FALSE)/VLOOKUP(N123,Índices!$K$6:$N$3249,4,FALSE)</f>
        <v>0</v>
      </c>
    </row>
    <row r="125" spans="14:15">
      <c r="N125" s="8">
        <f t="shared" si="1"/>
        <v>44810</v>
      </c>
      <c r="O125" s="232">
        <f>O124*VLOOKUP(N125,Índices!$K$6:$N$3249,4,FALSE)/VLOOKUP(N124,Índices!$K$6:$N$3249,4,FALSE)</f>
        <v>0</v>
      </c>
    </row>
    <row r="126" spans="14:15">
      <c r="N126" s="8">
        <f t="shared" si="1"/>
        <v>44811</v>
      </c>
      <c r="O126" s="232">
        <f>O125*VLOOKUP(N126,Índices!$K$6:$N$3249,4,FALSE)/VLOOKUP(N125,Índices!$K$6:$N$3249,4,FALSE)</f>
        <v>0</v>
      </c>
    </row>
    <row r="127" spans="14:15">
      <c r="N127" s="8">
        <f t="shared" si="1"/>
        <v>44812</v>
      </c>
      <c r="O127" s="232">
        <f>O126*VLOOKUP(N127,Índices!$K$6:$N$3249,4,FALSE)/VLOOKUP(N126,Índices!$K$6:$N$3249,4,FALSE)</f>
        <v>0</v>
      </c>
    </row>
    <row r="128" spans="14:15">
      <c r="N128" s="8">
        <f t="shared" si="1"/>
        <v>44813</v>
      </c>
      <c r="O128" s="232">
        <f>O127*VLOOKUP(N128,Índices!$K$6:$N$3249,4,FALSE)/VLOOKUP(N127,Índices!$K$6:$N$3249,4,FALSE)</f>
        <v>0</v>
      </c>
    </row>
    <row r="129" spans="14:15">
      <c r="N129" s="8">
        <f t="shared" si="1"/>
        <v>44814</v>
      </c>
      <c r="O129" s="232">
        <f>O128*VLOOKUP(N129,Índices!$K$6:$N$3249,4,FALSE)/VLOOKUP(N128,Índices!$K$6:$N$3249,4,FALSE)</f>
        <v>0</v>
      </c>
    </row>
    <row r="130" spans="14:15">
      <c r="N130" s="8">
        <f t="shared" si="1"/>
        <v>44815</v>
      </c>
      <c r="O130" s="232">
        <f>O129*VLOOKUP(N130,Índices!$K$6:$N$3249,4,FALSE)/VLOOKUP(N129,Índices!$K$6:$N$3249,4,FALSE)</f>
        <v>0</v>
      </c>
    </row>
    <row r="131" spans="14:15">
      <c r="N131" s="8">
        <f t="shared" si="1"/>
        <v>44816</v>
      </c>
      <c r="O131" s="232">
        <f>O130*VLOOKUP(N131,Índices!$K$6:$N$3249,4,FALSE)/VLOOKUP(N130,Índices!$K$6:$N$3249,4,FALSE)</f>
        <v>0</v>
      </c>
    </row>
    <row r="132" spans="14:15">
      <c r="N132" s="8">
        <f t="shared" si="1"/>
        <v>44817</v>
      </c>
      <c r="O132" s="232">
        <f>O131*VLOOKUP(N132,Índices!$K$6:$N$3249,4,FALSE)/VLOOKUP(N131,Índices!$K$6:$N$3249,4,FALSE)</f>
        <v>0</v>
      </c>
    </row>
    <row r="133" spans="14:15">
      <c r="N133" s="8">
        <f t="shared" si="1"/>
        <v>44818</v>
      </c>
      <c r="O133" s="232">
        <f>O132*VLOOKUP(N133,Índices!$K$6:$N$3249,4,FALSE)/VLOOKUP(N132,Índices!$K$6:$N$3249,4,FALSE)</f>
        <v>0</v>
      </c>
    </row>
    <row r="134" spans="14:15">
      <c r="N134" s="8">
        <f t="shared" si="1"/>
        <v>44819</v>
      </c>
      <c r="O134" s="232">
        <f>O133*VLOOKUP(N134,Índices!$K$6:$N$3249,4,FALSE)/VLOOKUP(N133,Índices!$K$6:$N$3249,4,FALSE)</f>
        <v>0</v>
      </c>
    </row>
    <row r="135" spans="14:15">
      <c r="N135" s="8">
        <f t="shared" ref="N135:N198" si="2">N134+1</f>
        <v>44820</v>
      </c>
      <c r="O135" s="232">
        <f>O134*VLOOKUP(N135,Índices!$K$6:$N$3249,4,FALSE)/VLOOKUP(N134,Índices!$K$6:$N$3249,4,FALSE)</f>
        <v>0</v>
      </c>
    </row>
    <row r="136" spans="14:15">
      <c r="N136" s="8">
        <f t="shared" si="2"/>
        <v>44821</v>
      </c>
      <c r="O136" s="232">
        <f>O135*VLOOKUP(N136,Índices!$K$6:$N$3249,4,FALSE)/VLOOKUP(N135,Índices!$K$6:$N$3249,4,FALSE)</f>
        <v>0</v>
      </c>
    </row>
    <row r="137" spans="14:15">
      <c r="N137" s="8">
        <f t="shared" si="2"/>
        <v>44822</v>
      </c>
      <c r="O137" s="232">
        <f>O136*VLOOKUP(N137,Índices!$K$6:$N$3249,4,FALSE)/VLOOKUP(N136,Índices!$K$6:$N$3249,4,FALSE)</f>
        <v>0</v>
      </c>
    </row>
    <row r="138" spans="14:15">
      <c r="N138" s="8">
        <f t="shared" si="2"/>
        <v>44823</v>
      </c>
      <c r="O138" s="232">
        <f>O137*VLOOKUP(N138,Índices!$K$6:$N$3249,4,FALSE)/VLOOKUP(N137,Índices!$K$6:$N$3249,4,FALSE)</f>
        <v>0</v>
      </c>
    </row>
    <row r="139" spans="14:15">
      <c r="N139" s="8">
        <f t="shared" si="2"/>
        <v>44824</v>
      </c>
      <c r="O139" s="232">
        <f>O138*VLOOKUP(N139,Índices!$K$6:$N$3249,4,FALSE)/VLOOKUP(N138,Índices!$K$6:$N$3249,4,FALSE)</f>
        <v>0</v>
      </c>
    </row>
    <row r="140" spans="14:15">
      <c r="N140" s="8">
        <f t="shared" si="2"/>
        <v>44825</v>
      </c>
      <c r="O140" s="232">
        <f>O139*VLOOKUP(N140,Índices!$K$6:$N$3249,4,FALSE)/VLOOKUP(N139,Índices!$K$6:$N$3249,4,FALSE)</f>
        <v>0</v>
      </c>
    </row>
    <row r="141" spans="14:15">
      <c r="N141" s="8">
        <f t="shared" si="2"/>
        <v>44826</v>
      </c>
      <c r="O141" s="232">
        <f>O140*VLOOKUP(N141,Índices!$K$6:$N$3249,4,FALSE)/VLOOKUP(N140,Índices!$K$6:$N$3249,4,FALSE)</f>
        <v>0</v>
      </c>
    </row>
    <row r="142" spans="14:15">
      <c r="N142" s="8">
        <f t="shared" si="2"/>
        <v>44827</v>
      </c>
      <c r="O142" s="232">
        <f>O141*VLOOKUP(N142,Índices!$K$6:$N$3249,4,FALSE)/VLOOKUP(N141,Índices!$K$6:$N$3249,4,FALSE)</f>
        <v>0</v>
      </c>
    </row>
    <row r="143" spans="14:15">
      <c r="N143" s="8">
        <f t="shared" si="2"/>
        <v>44828</v>
      </c>
      <c r="O143" s="232">
        <f>O142*VLOOKUP(N143,Índices!$K$6:$N$3249,4,FALSE)/VLOOKUP(N142,Índices!$K$6:$N$3249,4,FALSE)</f>
        <v>0</v>
      </c>
    </row>
    <row r="144" spans="14:15">
      <c r="N144" s="8">
        <f t="shared" si="2"/>
        <v>44829</v>
      </c>
      <c r="O144" s="232">
        <f>O143*VLOOKUP(N144,Índices!$K$6:$N$3249,4,FALSE)/VLOOKUP(N143,Índices!$K$6:$N$3249,4,FALSE)</f>
        <v>0</v>
      </c>
    </row>
    <row r="145" spans="14:15">
      <c r="N145" s="8">
        <f t="shared" si="2"/>
        <v>44830</v>
      </c>
      <c r="O145" s="232">
        <f>O144*VLOOKUP(N145,Índices!$K$6:$N$3249,4,FALSE)/VLOOKUP(N144,Índices!$K$6:$N$3249,4,FALSE)</f>
        <v>0</v>
      </c>
    </row>
    <row r="146" spans="14:15">
      <c r="N146" s="8">
        <f t="shared" si="2"/>
        <v>44831</v>
      </c>
      <c r="O146" s="232">
        <f>O145*VLOOKUP(N146,Índices!$K$6:$N$3249,4,FALSE)/VLOOKUP(N145,Índices!$K$6:$N$3249,4,FALSE)</f>
        <v>0</v>
      </c>
    </row>
    <row r="147" spans="14:15">
      <c r="N147" s="8">
        <f t="shared" si="2"/>
        <v>44832</v>
      </c>
      <c r="O147" s="232">
        <f>O146*VLOOKUP(N147,Índices!$K$6:$N$3249,4,FALSE)/VLOOKUP(N146,Índices!$K$6:$N$3249,4,FALSE)</f>
        <v>0</v>
      </c>
    </row>
    <row r="148" spans="14:15">
      <c r="N148" s="8">
        <f t="shared" si="2"/>
        <v>44833</v>
      </c>
      <c r="O148" s="232">
        <f>O147*VLOOKUP(N148,Índices!$K$6:$N$3249,4,FALSE)/VLOOKUP(N147,Índices!$K$6:$N$3249,4,FALSE)</f>
        <v>0</v>
      </c>
    </row>
    <row r="149" spans="14:15">
      <c r="N149" s="8">
        <f t="shared" si="2"/>
        <v>44834</v>
      </c>
      <c r="O149" s="232">
        <f>O148*VLOOKUP(N149,Índices!$K$6:$N$3249,4,FALSE)/VLOOKUP(N148,Índices!$K$6:$N$3249,4,FALSE)</f>
        <v>0</v>
      </c>
    </row>
    <row r="150" spans="14:15">
      <c r="N150" s="8">
        <f t="shared" si="2"/>
        <v>44835</v>
      </c>
      <c r="O150" s="232">
        <f>O149*VLOOKUP(N150,Índices!$K$6:$N$3249,4,FALSE)/VLOOKUP(N149,Índices!$K$6:$N$3249,4,FALSE)</f>
        <v>0</v>
      </c>
    </row>
    <row r="151" spans="14:15">
      <c r="N151" s="8">
        <f t="shared" si="2"/>
        <v>44836</v>
      </c>
      <c r="O151" s="232">
        <f>O150*VLOOKUP(N151,Índices!$K$6:$N$3249,4,FALSE)/VLOOKUP(N150,Índices!$K$6:$N$3249,4,FALSE)</f>
        <v>0</v>
      </c>
    </row>
    <row r="152" spans="14:15">
      <c r="N152" s="8">
        <f t="shared" si="2"/>
        <v>44837</v>
      </c>
      <c r="O152" s="232">
        <f>O151*VLOOKUP(N152,Índices!$K$6:$N$3249,4,FALSE)/VLOOKUP(N151,Índices!$K$6:$N$3249,4,FALSE)</f>
        <v>0</v>
      </c>
    </row>
    <row r="153" spans="14:15">
      <c r="N153" s="8">
        <f t="shared" si="2"/>
        <v>44838</v>
      </c>
      <c r="O153" s="232">
        <f>O152*VLOOKUP(N153,Índices!$K$6:$N$3249,4,FALSE)/VLOOKUP(N152,Índices!$K$6:$N$3249,4,FALSE)</f>
        <v>0</v>
      </c>
    </row>
    <row r="154" spans="14:15">
      <c r="N154" s="8">
        <f t="shared" si="2"/>
        <v>44839</v>
      </c>
      <c r="O154" s="232">
        <f>O153*VLOOKUP(N154,Índices!$K$6:$N$3249,4,FALSE)/VLOOKUP(N153,Índices!$K$6:$N$3249,4,FALSE)</f>
        <v>0</v>
      </c>
    </row>
    <row r="155" spans="14:15">
      <c r="N155" s="8">
        <f t="shared" si="2"/>
        <v>44840</v>
      </c>
      <c r="O155" s="232">
        <f>O154*VLOOKUP(N155,Índices!$K$6:$N$3249,4,FALSE)/VLOOKUP(N154,Índices!$K$6:$N$3249,4,FALSE)</f>
        <v>0</v>
      </c>
    </row>
    <row r="156" spans="14:15">
      <c r="N156" s="8">
        <f t="shared" si="2"/>
        <v>44841</v>
      </c>
      <c r="O156" s="232">
        <f>O155*VLOOKUP(N156,Índices!$K$6:$N$3249,4,FALSE)/VLOOKUP(N155,Índices!$K$6:$N$3249,4,FALSE)</f>
        <v>0</v>
      </c>
    </row>
    <row r="157" spans="14:15">
      <c r="N157" s="8">
        <f t="shared" si="2"/>
        <v>44842</v>
      </c>
      <c r="O157" s="232">
        <f>O156*VLOOKUP(N157,Índices!$K$6:$N$3249,4,FALSE)/VLOOKUP(N156,Índices!$K$6:$N$3249,4,FALSE)</f>
        <v>0</v>
      </c>
    </row>
    <row r="158" spans="14:15">
      <c r="N158" s="8">
        <f t="shared" si="2"/>
        <v>44843</v>
      </c>
      <c r="O158" s="232">
        <f>O157*VLOOKUP(N158,Índices!$K$6:$N$3249,4,FALSE)/VLOOKUP(N157,Índices!$K$6:$N$3249,4,FALSE)</f>
        <v>0</v>
      </c>
    </row>
    <row r="159" spans="14:15">
      <c r="N159" s="8">
        <f t="shared" si="2"/>
        <v>44844</v>
      </c>
      <c r="O159" s="232">
        <f>O158*VLOOKUP(N159,Índices!$K$6:$N$3249,4,FALSE)/VLOOKUP(N158,Índices!$K$6:$N$3249,4,FALSE)</f>
        <v>0</v>
      </c>
    </row>
    <row r="160" spans="14:15">
      <c r="N160" s="8">
        <f t="shared" si="2"/>
        <v>44845</v>
      </c>
      <c r="O160" s="232">
        <f>O159*VLOOKUP(N160,Índices!$K$6:$N$3249,4,FALSE)/VLOOKUP(N159,Índices!$K$6:$N$3249,4,FALSE)</f>
        <v>0</v>
      </c>
    </row>
    <row r="161" spans="14:15">
      <c r="N161" s="8">
        <f t="shared" si="2"/>
        <v>44846</v>
      </c>
      <c r="O161" s="232">
        <f>O160*VLOOKUP(N161,Índices!$K$6:$N$3249,4,FALSE)/VLOOKUP(N160,Índices!$K$6:$N$3249,4,FALSE)</f>
        <v>0</v>
      </c>
    </row>
    <row r="162" spans="14:15">
      <c r="N162" s="8">
        <f t="shared" si="2"/>
        <v>44847</v>
      </c>
      <c r="O162" s="232">
        <f>O161*VLOOKUP(N162,Índices!$K$6:$N$3249,4,FALSE)/VLOOKUP(N161,Índices!$K$6:$N$3249,4,FALSE)</f>
        <v>0</v>
      </c>
    </row>
    <row r="163" spans="14:15">
      <c r="N163" s="8">
        <f t="shared" si="2"/>
        <v>44848</v>
      </c>
      <c r="O163" s="232">
        <f>O162*VLOOKUP(N163,Índices!$K$6:$N$3249,4,FALSE)/VLOOKUP(N162,Índices!$K$6:$N$3249,4,FALSE)</f>
        <v>0</v>
      </c>
    </row>
    <row r="164" spans="14:15">
      <c r="N164" s="8">
        <f t="shared" si="2"/>
        <v>44849</v>
      </c>
      <c r="O164" s="232">
        <f>O163*VLOOKUP(N164,Índices!$K$6:$N$3249,4,FALSE)/VLOOKUP(N163,Índices!$K$6:$N$3249,4,FALSE)</f>
        <v>0</v>
      </c>
    </row>
    <row r="165" spans="14:15">
      <c r="N165" s="8">
        <f t="shared" si="2"/>
        <v>44850</v>
      </c>
      <c r="O165" s="232">
        <f>O164*VLOOKUP(N165,Índices!$K$6:$N$3249,4,FALSE)/VLOOKUP(N164,Índices!$K$6:$N$3249,4,FALSE)</f>
        <v>0</v>
      </c>
    </row>
    <row r="166" spans="14:15">
      <c r="N166" s="8">
        <f t="shared" si="2"/>
        <v>44851</v>
      </c>
      <c r="O166" s="232">
        <f>O165*VLOOKUP(N166,Índices!$K$6:$N$3249,4,FALSE)/VLOOKUP(N165,Índices!$K$6:$N$3249,4,FALSE)</f>
        <v>0</v>
      </c>
    </row>
    <row r="167" spans="14:15">
      <c r="N167" s="8">
        <f t="shared" si="2"/>
        <v>44852</v>
      </c>
      <c r="O167" s="232">
        <f>O166*VLOOKUP(N167,Índices!$K$6:$N$3249,4,FALSE)/VLOOKUP(N166,Índices!$K$6:$N$3249,4,FALSE)</f>
        <v>0</v>
      </c>
    </row>
    <row r="168" spans="14:15">
      <c r="N168" s="8">
        <f t="shared" si="2"/>
        <v>44853</v>
      </c>
      <c r="O168" s="232">
        <f>O167*VLOOKUP(N168,Índices!$K$6:$N$3249,4,FALSE)/VLOOKUP(N167,Índices!$K$6:$N$3249,4,FALSE)</f>
        <v>0</v>
      </c>
    </row>
    <row r="169" spans="14:15">
      <c r="N169" s="8">
        <f t="shared" si="2"/>
        <v>44854</v>
      </c>
      <c r="O169" s="232">
        <f>O168*VLOOKUP(N169,Índices!$K$6:$N$3249,4,FALSE)/VLOOKUP(N168,Índices!$K$6:$N$3249,4,FALSE)</f>
        <v>0</v>
      </c>
    </row>
    <row r="170" spans="14:15">
      <c r="N170" s="8">
        <f t="shared" si="2"/>
        <v>44855</v>
      </c>
      <c r="O170" s="232">
        <f>O169*VLOOKUP(N170,Índices!$K$6:$N$3249,4,FALSE)/VLOOKUP(N169,Índices!$K$6:$N$3249,4,FALSE)</f>
        <v>0</v>
      </c>
    </row>
    <row r="171" spans="14:15">
      <c r="N171" s="8">
        <f t="shared" si="2"/>
        <v>44856</v>
      </c>
      <c r="O171" s="232">
        <f>O170*VLOOKUP(N171,Índices!$K$6:$N$3249,4,FALSE)/VLOOKUP(N170,Índices!$K$6:$N$3249,4,FALSE)</f>
        <v>0</v>
      </c>
    </row>
    <row r="172" spans="14:15">
      <c r="N172" s="8">
        <f t="shared" si="2"/>
        <v>44857</v>
      </c>
      <c r="O172" s="232">
        <f>O171*VLOOKUP(N172,Índices!$K$6:$N$3249,4,FALSE)/VLOOKUP(N171,Índices!$K$6:$N$3249,4,FALSE)</f>
        <v>0</v>
      </c>
    </row>
    <row r="173" spans="14:15">
      <c r="N173" s="8">
        <f t="shared" si="2"/>
        <v>44858</v>
      </c>
      <c r="O173" s="232">
        <f>O172*VLOOKUP(N173,Índices!$K$6:$N$3249,4,FALSE)/VLOOKUP(N172,Índices!$K$6:$N$3249,4,FALSE)</f>
        <v>0</v>
      </c>
    </row>
    <row r="174" spans="14:15">
      <c r="N174" s="8">
        <f t="shared" si="2"/>
        <v>44859</v>
      </c>
      <c r="O174" s="232">
        <f>O173*VLOOKUP(N174,Índices!$K$6:$N$3249,4,FALSE)/VLOOKUP(N173,Índices!$K$6:$N$3249,4,FALSE)</f>
        <v>0</v>
      </c>
    </row>
    <row r="175" spans="14:15">
      <c r="N175" s="8">
        <f t="shared" si="2"/>
        <v>44860</v>
      </c>
      <c r="O175" s="232">
        <f>O174*VLOOKUP(N175,Índices!$K$6:$N$3249,4,FALSE)/VLOOKUP(N174,Índices!$K$6:$N$3249,4,FALSE)</f>
        <v>0</v>
      </c>
    </row>
    <row r="176" spans="14:15">
      <c r="N176" s="8">
        <f t="shared" si="2"/>
        <v>44861</v>
      </c>
      <c r="O176" s="232">
        <f>O175*VLOOKUP(N176,Índices!$K$6:$N$3249,4,FALSE)/VLOOKUP(N175,Índices!$K$6:$N$3249,4,FALSE)</f>
        <v>0</v>
      </c>
    </row>
    <row r="177" spans="14:15">
      <c r="N177" s="8">
        <f t="shared" si="2"/>
        <v>44862</v>
      </c>
      <c r="O177" s="232">
        <f>O176*VLOOKUP(N177,Índices!$K$6:$N$3249,4,FALSE)/VLOOKUP(N176,Índices!$K$6:$N$3249,4,FALSE)</f>
        <v>0</v>
      </c>
    </row>
    <row r="178" spans="14:15">
      <c r="N178" s="8">
        <f t="shared" si="2"/>
        <v>44863</v>
      </c>
      <c r="O178" s="232">
        <f>O177*VLOOKUP(N178,Índices!$K$6:$N$3249,4,FALSE)/VLOOKUP(N177,Índices!$K$6:$N$3249,4,FALSE)</f>
        <v>0</v>
      </c>
    </row>
    <row r="179" spans="14:15">
      <c r="N179" s="8">
        <f t="shared" si="2"/>
        <v>44864</v>
      </c>
      <c r="O179" s="232">
        <f>O178*VLOOKUP(N179,Índices!$K$6:$N$3249,4,FALSE)/VLOOKUP(N178,Índices!$K$6:$N$3249,4,FALSE)</f>
        <v>0</v>
      </c>
    </row>
    <row r="180" spans="14:15">
      <c r="N180" s="8">
        <f t="shared" si="2"/>
        <v>44865</v>
      </c>
      <c r="O180" s="232">
        <f>O179*VLOOKUP(N180,Índices!$K$6:$N$3249,4,FALSE)/VLOOKUP(N179,Índices!$K$6:$N$3249,4,FALSE)</f>
        <v>0</v>
      </c>
    </row>
    <row r="181" spans="14:15">
      <c r="N181" s="8">
        <f t="shared" si="2"/>
        <v>44866</v>
      </c>
      <c r="O181" s="232">
        <f>O180*VLOOKUP(N181,Índices!$K$6:$N$3249,4,FALSE)/VLOOKUP(N180,Índices!$K$6:$N$3249,4,FALSE)</f>
        <v>0</v>
      </c>
    </row>
    <row r="182" spans="14:15">
      <c r="N182" s="8">
        <f t="shared" si="2"/>
        <v>44867</v>
      </c>
      <c r="O182" s="232">
        <f>O181*VLOOKUP(N182,Índices!$K$6:$N$3249,4,FALSE)/VLOOKUP(N181,Índices!$K$6:$N$3249,4,FALSE)</f>
        <v>0</v>
      </c>
    </row>
    <row r="183" spans="14:15">
      <c r="N183" s="8">
        <f t="shared" si="2"/>
        <v>44868</v>
      </c>
      <c r="O183" s="232">
        <f>O182*VLOOKUP(N183,Índices!$K$6:$N$3249,4,FALSE)/VLOOKUP(N182,Índices!$K$6:$N$3249,4,FALSE)</f>
        <v>0</v>
      </c>
    </row>
    <row r="184" spans="14:15">
      <c r="N184" s="8">
        <f t="shared" si="2"/>
        <v>44869</v>
      </c>
      <c r="O184" s="232">
        <f>O183*VLOOKUP(N184,Índices!$K$6:$N$3249,4,FALSE)/VLOOKUP(N183,Índices!$K$6:$N$3249,4,FALSE)</f>
        <v>0</v>
      </c>
    </row>
    <row r="185" spans="14:15">
      <c r="N185" s="8">
        <f t="shared" si="2"/>
        <v>44870</v>
      </c>
      <c r="O185" s="232">
        <f>O184*VLOOKUP(N185,Índices!$K$6:$N$3249,4,FALSE)/VLOOKUP(N184,Índices!$K$6:$N$3249,4,FALSE)</f>
        <v>0</v>
      </c>
    </row>
    <row r="186" spans="14:15">
      <c r="N186" s="8">
        <f t="shared" si="2"/>
        <v>44871</v>
      </c>
      <c r="O186" s="232">
        <f>O185*VLOOKUP(N186,Índices!$K$6:$N$3249,4,FALSE)/VLOOKUP(N185,Índices!$K$6:$N$3249,4,FALSE)</f>
        <v>0</v>
      </c>
    </row>
    <row r="187" spans="14:15">
      <c r="N187" s="8">
        <f t="shared" si="2"/>
        <v>44872</v>
      </c>
      <c r="O187" s="232">
        <f>O186*VLOOKUP(N187,Índices!$K$6:$N$3249,4,FALSE)/VLOOKUP(N186,Índices!$K$6:$N$3249,4,FALSE)</f>
        <v>0</v>
      </c>
    </row>
    <row r="188" spans="14:15">
      <c r="N188" s="8">
        <f t="shared" si="2"/>
        <v>44873</v>
      </c>
      <c r="O188" s="232">
        <f>O187*VLOOKUP(N188,Índices!$K$6:$N$3249,4,FALSE)/VLOOKUP(N187,Índices!$K$6:$N$3249,4,FALSE)</f>
        <v>0</v>
      </c>
    </row>
    <row r="189" spans="14:15">
      <c r="N189" s="8">
        <f t="shared" si="2"/>
        <v>44874</v>
      </c>
      <c r="O189" s="232">
        <f>O188*VLOOKUP(N189,Índices!$K$6:$N$3249,4,FALSE)/VLOOKUP(N188,Índices!$K$6:$N$3249,4,FALSE)</f>
        <v>0</v>
      </c>
    </row>
    <row r="190" spans="14:15">
      <c r="N190" s="8">
        <f t="shared" si="2"/>
        <v>44875</v>
      </c>
      <c r="O190" s="232">
        <f>O189*VLOOKUP(N190,Índices!$K$6:$N$3249,4,FALSE)/VLOOKUP(N189,Índices!$K$6:$N$3249,4,FALSE)</f>
        <v>0</v>
      </c>
    </row>
    <row r="191" spans="14:15">
      <c r="N191" s="8">
        <f t="shared" si="2"/>
        <v>44876</v>
      </c>
      <c r="O191" s="232">
        <f>O190*VLOOKUP(N191,Índices!$K$6:$N$3249,4,FALSE)/VLOOKUP(N190,Índices!$K$6:$N$3249,4,FALSE)</f>
        <v>0</v>
      </c>
    </row>
    <row r="192" spans="14:15">
      <c r="N192" s="8">
        <f t="shared" si="2"/>
        <v>44877</v>
      </c>
      <c r="O192" s="232">
        <f>O191*VLOOKUP(N192,Índices!$K$6:$N$3249,4,FALSE)/VLOOKUP(N191,Índices!$K$6:$N$3249,4,FALSE)</f>
        <v>0</v>
      </c>
    </row>
    <row r="193" spans="14:15">
      <c r="N193" s="8">
        <f t="shared" si="2"/>
        <v>44878</v>
      </c>
      <c r="O193" s="232">
        <f>O192*VLOOKUP(N193,Índices!$K$6:$N$3249,4,FALSE)/VLOOKUP(N192,Índices!$K$6:$N$3249,4,FALSE)</f>
        <v>0</v>
      </c>
    </row>
    <row r="194" spans="14:15">
      <c r="N194" s="8">
        <f t="shared" si="2"/>
        <v>44879</v>
      </c>
      <c r="O194" s="232">
        <f>O193*VLOOKUP(N194,Índices!$K$6:$N$3249,4,FALSE)/VLOOKUP(N193,Índices!$K$6:$N$3249,4,FALSE)</f>
        <v>0</v>
      </c>
    </row>
    <row r="195" spans="14:15">
      <c r="N195" s="8">
        <f t="shared" si="2"/>
        <v>44880</v>
      </c>
      <c r="O195" s="232">
        <f>O194*VLOOKUP(N195,Índices!$K$6:$N$3249,4,FALSE)/VLOOKUP(N194,Índices!$K$6:$N$3249,4,FALSE)</f>
        <v>0</v>
      </c>
    </row>
    <row r="196" spans="14:15">
      <c r="N196" s="8">
        <f t="shared" si="2"/>
        <v>44881</v>
      </c>
      <c r="O196" s="232">
        <f>O195*VLOOKUP(N196,Índices!$K$6:$N$3249,4,FALSE)/VLOOKUP(N195,Índices!$K$6:$N$3249,4,FALSE)</f>
        <v>0</v>
      </c>
    </row>
    <row r="197" spans="14:15">
      <c r="N197" s="8">
        <f t="shared" si="2"/>
        <v>44882</v>
      </c>
      <c r="O197" s="232">
        <f>O196*VLOOKUP(N197,Índices!$K$6:$N$3249,4,FALSE)/VLOOKUP(N196,Índices!$K$6:$N$3249,4,FALSE)</f>
        <v>0</v>
      </c>
    </row>
    <row r="198" spans="14:15">
      <c r="N198" s="8">
        <f t="shared" si="2"/>
        <v>44883</v>
      </c>
      <c r="O198" s="232">
        <f>O197*VLOOKUP(N198,Índices!$K$6:$N$3249,4,FALSE)/VLOOKUP(N197,Índices!$K$6:$N$3249,4,FALSE)</f>
        <v>0</v>
      </c>
    </row>
    <row r="199" spans="14:15">
      <c r="N199" s="8">
        <f t="shared" ref="N199:N245" si="3">N198+1</f>
        <v>44884</v>
      </c>
      <c r="O199" s="232">
        <f>O198*VLOOKUP(N199,Índices!$K$6:$N$3249,4,FALSE)/VLOOKUP(N198,Índices!$K$6:$N$3249,4,FALSE)</f>
        <v>0</v>
      </c>
    </row>
    <row r="200" spans="14:15">
      <c r="N200" s="8">
        <f t="shared" si="3"/>
        <v>44885</v>
      </c>
      <c r="O200" s="232">
        <f>O199*VLOOKUP(N200,Índices!$K$6:$N$3249,4,FALSE)/VLOOKUP(N199,Índices!$K$6:$N$3249,4,FALSE)</f>
        <v>0</v>
      </c>
    </row>
    <row r="201" spans="14:15">
      <c r="N201" s="8">
        <f t="shared" si="3"/>
        <v>44886</v>
      </c>
      <c r="O201" s="232">
        <f>O200*VLOOKUP(N201,Índices!$K$6:$N$3249,4,FALSE)/VLOOKUP(N200,Índices!$K$6:$N$3249,4,FALSE)</f>
        <v>0</v>
      </c>
    </row>
    <row r="202" spans="14:15">
      <c r="N202" s="8">
        <f t="shared" si="3"/>
        <v>44887</v>
      </c>
      <c r="O202" s="232">
        <f>O201*VLOOKUP(N202,Índices!$K$6:$N$3249,4,FALSE)/VLOOKUP(N201,Índices!$K$6:$N$3249,4,FALSE)</f>
        <v>0</v>
      </c>
    </row>
    <row r="203" spans="14:15">
      <c r="N203" s="8">
        <f t="shared" si="3"/>
        <v>44888</v>
      </c>
      <c r="O203" s="232">
        <f>O202*VLOOKUP(N203,Índices!$K$6:$N$3249,4,FALSE)/VLOOKUP(N202,Índices!$K$6:$N$3249,4,FALSE)</f>
        <v>0</v>
      </c>
    </row>
    <row r="204" spans="14:15">
      <c r="N204" s="8">
        <f t="shared" si="3"/>
        <v>44889</v>
      </c>
      <c r="O204" s="232">
        <f>O203*VLOOKUP(N204,Índices!$K$6:$N$3249,4,FALSE)/VLOOKUP(N203,Índices!$K$6:$N$3249,4,FALSE)</f>
        <v>0</v>
      </c>
    </row>
    <row r="205" spans="14:15">
      <c r="N205" s="8">
        <f t="shared" si="3"/>
        <v>44890</v>
      </c>
      <c r="O205" s="232">
        <f>O204*VLOOKUP(N205,Índices!$K$6:$N$3249,4,FALSE)/VLOOKUP(N204,Índices!$K$6:$N$3249,4,FALSE)</f>
        <v>0</v>
      </c>
    </row>
    <row r="206" spans="14:15">
      <c r="N206" s="8">
        <f t="shared" si="3"/>
        <v>44891</v>
      </c>
      <c r="O206" s="232">
        <f>O205*VLOOKUP(N206,Índices!$K$6:$N$3249,4,FALSE)/VLOOKUP(N205,Índices!$K$6:$N$3249,4,FALSE)</f>
        <v>0</v>
      </c>
    </row>
    <row r="207" spans="14:15">
      <c r="N207" s="8">
        <f t="shared" si="3"/>
        <v>44892</v>
      </c>
      <c r="O207" s="232">
        <f>O206*VLOOKUP(N207,Índices!$K$6:$N$3249,4,FALSE)/VLOOKUP(N206,Índices!$K$6:$N$3249,4,FALSE)</f>
        <v>0</v>
      </c>
    </row>
    <row r="208" spans="14:15">
      <c r="N208" s="8">
        <f t="shared" si="3"/>
        <v>44893</v>
      </c>
      <c r="O208" s="232">
        <f>O207*VLOOKUP(N208,Índices!$K$6:$N$3249,4,FALSE)/VLOOKUP(N207,Índices!$K$6:$N$3249,4,FALSE)</f>
        <v>0</v>
      </c>
    </row>
    <row r="209" spans="14:15">
      <c r="N209" s="8">
        <f t="shared" si="3"/>
        <v>44894</v>
      </c>
      <c r="O209" s="232">
        <f>O208*VLOOKUP(N209,Índices!$K$6:$N$3249,4,FALSE)/VLOOKUP(N208,Índices!$K$6:$N$3249,4,FALSE)</f>
        <v>0</v>
      </c>
    </row>
    <row r="210" spans="14:15">
      <c r="N210" s="8">
        <f t="shared" si="3"/>
        <v>44895</v>
      </c>
      <c r="O210" s="232">
        <f>O209*VLOOKUP(N210,Índices!$K$6:$N$3249,4,FALSE)/VLOOKUP(N209,Índices!$K$6:$N$3249,4,FALSE)</f>
        <v>0</v>
      </c>
    </row>
    <row r="211" spans="14:15">
      <c r="N211" s="8">
        <f t="shared" si="3"/>
        <v>44896</v>
      </c>
      <c r="O211" s="232">
        <f>O210*VLOOKUP(N211,Índices!$K$6:$N$3249,4,FALSE)/VLOOKUP(N210,Índices!$K$6:$N$3249,4,FALSE)</f>
        <v>0</v>
      </c>
    </row>
    <row r="212" spans="14:15">
      <c r="N212" s="8">
        <f t="shared" si="3"/>
        <v>44897</v>
      </c>
      <c r="O212" s="232">
        <f>O211*VLOOKUP(N212,Índices!$K$6:$N$3249,4,FALSE)/VLOOKUP(N211,Índices!$K$6:$N$3249,4,FALSE)</f>
        <v>0</v>
      </c>
    </row>
    <row r="213" spans="14:15">
      <c r="N213" s="8">
        <f t="shared" si="3"/>
        <v>44898</v>
      </c>
      <c r="O213" s="232">
        <f>O212*VLOOKUP(N213,Índices!$K$6:$N$3249,4,FALSE)/VLOOKUP(N212,Índices!$K$6:$N$3249,4,FALSE)</f>
        <v>0</v>
      </c>
    </row>
    <row r="214" spans="14:15">
      <c r="N214" s="8">
        <f t="shared" si="3"/>
        <v>44899</v>
      </c>
      <c r="O214" s="232">
        <f>O213*VLOOKUP(N214,Índices!$K$6:$N$3249,4,FALSE)/VLOOKUP(N213,Índices!$K$6:$N$3249,4,FALSE)</f>
        <v>0</v>
      </c>
    </row>
    <row r="215" spans="14:15">
      <c r="N215" s="8">
        <f t="shared" si="3"/>
        <v>44900</v>
      </c>
      <c r="O215" s="232">
        <f>O214*VLOOKUP(N215,Índices!$K$6:$N$3249,4,FALSE)/VLOOKUP(N214,Índices!$K$6:$N$3249,4,FALSE)</f>
        <v>0</v>
      </c>
    </row>
    <row r="216" spans="14:15">
      <c r="N216" s="8">
        <f t="shared" si="3"/>
        <v>44901</v>
      </c>
      <c r="O216" s="232">
        <f>O215*VLOOKUP(N216,Índices!$K$6:$N$3249,4,FALSE)/VLOOKUP(N215,Índices!$K$6:$N$3249,4,FALSE)</f>
        <v>0</v>
      </c>
    </row>
    <row r="217" spans="14:15">
      <c r="N217" s="8">
        <f t="shared" si="3"/>
        <v>44902</v>
      </c>
      <c r="O217" s="232">
        <f>O216*VLOOKUP(N217,Índices!$K$6:$N$3249,4,FALSE)/VLOOKUP(N216,Índices!$K$6:$N$3249,4,FALSE)</f>
        <v>0</v>
      </c>
    </row>
    <row r="218" spans="14:15">
      <c r="N218" s="8">
        <f t="shared" si="3"/>
        <v>44903</v>
      </c>
      <c r="O218" s="232">
        <f>O217*VLOOKUP(N218,Índices!$K$6:$N$3249,4,FALSE)/VLOOKUP(N217,Índices!$K$6:$N$3249,4,FALSE)</f>
        <v>0</v>
      </c>
    </row>
    <row r="219" spans="14:15">
      <c r="N219" s="8">
        <f t="shared" si="3"/>
        <v>44904</v>
      </c>
      <c r="O219" s="232">
        <f>O218*VLOOKUP(N219,Índices!$K$6:$N$3249,4,FALSE)/VLOOKUP(N218,Índices!$K$6:$N$3249,4,FALSE)</f>
        <v>0</v>
      </c>
    </row>
    <row r="220" spans="14:15">
      <c r="N220" s="8">
        <f t="shared" si="3"/>
        <v>44905</v>
      </c>
      <c r="O220" s="232">
        <f>O219*VLOOKUP(N220,Índices!$K$6:$N$3249,4,FALSE)/VLOOKUP(N219,Índices!$K$6:$N$3249,4,FALSE)</f>
        <v>0</v>
      </c>
    </row>
    <row r="221" spans="14:15">
      <c r="N221" s="8">
        <f t="shared" si="3"/>
        <v>44906</v>
      </c>
      <c r="O221" s="232">
        <f>O220*VLOOKUP(N221,Índices!$K$6:$N$3249,4,FALSE)/VLOOKUP(N220,Índices!$K$6:$N$3249,4,FALSE)</f>
        <v>0</v>
      </c>
    </row>
    <row r="222" spans="14:15">
      <c r="N222" s="8">
        <f t="shared" si="3"/>
        <v>44907</v>
      </c>
      <c r="O222" s="232">
        <f>O221*VLOOKUP(N222,Índices!$K$6:$N$3249,4,FALSE)/VLOOKUP(N221,Índices!$K$6:$N$3249,4,FALSE)</f>
        <v>0</v>
      </c>
    </row>
    <row r="223" spans="14:15">
      <c r="N223" s="8">
        <f t="shared" si="3"/>
        <v>44908</v>
      </c>
      <c r="O223" s="232">
        <f>O222*VLOOKUP(N223,Índices!$K$6:$N$3249,4,FALSE)/VLOOKUP(N222,Índices!$K$6:$N$3249,4,FALSE)</f>
        <v>0</v>
      </c>
    </row>
    <row r="224" spans="14:15">
      <c r="N224" s="8">
        <f t="shared" si="3"/>
        <v>44909</v>
      </c>
      <c r="O224" s="232">
        <f>O223*VLOOKUP(N224,Índices!$K$6:$N$3249,4,FALSE)/VLOOKUP(N223,Índices!$K$6:$N$3249,4,FALSE)</f>
        <v>0</v>
      </c>
    </row>
    <row r="225" spans="14:15">
      <c r="N225" s="8">
        <f t="shared" si="3"/>
        <v>44910</v>
      </c>
      <c r="O225" s="232">
        <f>O224*VLOOKUP(N225,Índices!$K$6:$N$3249,4,FALSE)/VLOOKUP(N224,Índices!$K$6:$N$3249,4,FALSE)</f>
        <v>0</v>
      </c>
    </row>
    <row r="226" spans="14:15">
      <c r="N226" s="8">
        <f t="shared" si="3"/>
        <v>44911</v>
      </c>
      <c r="O226" s="232">
        <f>O225*VLOOKUP(N226,Índices!$K$6:$N$3249,4,FALSE)/VLOOKUP(N225,Índices!$K$6:$N$3249,4,FALSE)</f>
        <v>0</v>
      </c>
    </row>
    <row r="227" spans="14:15">
      <c r="N227" s="8">
        <f t="shared" si="3"/>
        <v>44912</v>
      </c>
      <c r="O227" s="232">
        <f>O226*VLOOKUP(N227,Índices!$K$6:$N$3249,4,FALSE)/VLOOKUP(N226,Índices!$K$6:$N$3249,4,FALSE)</f>
        <v>0</v>
      </c>
    </row>
    <row r="228" spans="14:15">
      <c r="N228" s="8">
        <f t="shared" si="3"/>
        <v>44913</v>
      </c>
      <c r="O228" s="232">
        <f>O227*VLOOKUP(N228,Índices!$K$6:$N$3249,4,FALSE)/VLOOKUP(N227,Índices!$K$6:$N$3249,4,FALSE)</f>
        <v>0</v>
      </c>
    </row>
    <row r="229" spans="14:15">
      <c r="N229" s="8">
        <f t="shared" si="3"/>
        <v>44914</v>
      </c>
      <c r="O229" s="232">
        <f>O228*VLOOKUP(N229,Índices!$K$6:$N$3249,4,FALSE)/VLOOKUP(N228,Índices!$K$6:$N$3249,4,FALSE)</f>
        <v>0</v>
      </c>
    </row>
    <row r="230" spans="14:15">
      <c r="N230" s="8">
        <f t="shared" si="3"/>
        <v>44915</v>
      </c>
      <c r="O230" s="232">
        <f>O229*VLOOKUP(N230,Índices!$K$6:$N$3249,4,FALSE)/VLOOKUP(N229,Índices!$K$6:$N$3249,4,FALSE)</f>
        <v>0</v>
      </c>
    </row>
    <row r="231" spans="14:15">
      <c r="N231" s="8">
        <f t="shared" si="3"/>
        <v>44916</v>
      </c>
      <c r="O231" s="232">
        <f>O230*VLOOKUP(N231,Índices!$K$6:$N$3249,4,FALSE)/VLOOKUP(N230,Índices!$K$6:$N$3249,4,FALSE)</f>
        <v>0</v>
      </c>
    </row>
    <row r="232" spans="14:15">
      <c r="N232" s="8">
        <f t="shared" si="3"/>
        <v>44917</v>
      </c>
      <c r="O232" s="232">
        <f>O231*VLOOKUP(N232,Índices!$K$6:$N$3249,4,FALSE)/VLOOKUP(N231,Índices!$K$6:$N$3249,4,FALSE)</f>
        <v>0</v>
      </c>
    </row>
    <row r="233" spans="14:15">
      <c r="N233" s="8">
        <f t="shared" si="3"/>
        <v>44918</v>
      </c>
      <c r="O233" s="232">
        <f>O232*VLOOKUP(N233,Índices!$K$6:$N$3249,4,FALSE)/VLOOKUP(N232,Índices!$K$6:$N$3249,4,FALSE)</f>
        <v>0</v>
      </c>
    </row>
    <row r="234" spans="14:15">
      <c r="N234" s="8">
        <f t="shared" si="3"/>
        <v>44919</v>
      </c>
      <c r="O234" s="232">
        <f>O233*VLOOKUP(N234,Índices!$K$6:$N$3249,4,FALSE)/VLOOKUP(N233,Índices!$K$6:$N$3249,4,FALSE)</f>
        <v>0</v>
      </c>
    </row>
    <row r="235" spans="14:15">
      <c r="N235" s="8">
        <f t="shared" si="3"/>
        <v>44920</v>
      </c>
      <c r="O235" s="232">
        <f>O234*VLOOKUP(N235,Índices!$K$6:$N$3249,4,FALSE)/VLOOKUP(N234,Índices!$K$6:$N$3249,4,FALSE)</f>
        <v>0</v>
      </c>
    </row>
    <row r="236" spans="14:15">
      <c r="N236" s="8">
        <f t="shared" si="3"/>
        <v>44921</v>
      </c>
      <c r="O236" s="232">
        <f>O235*VLOOKUP(N236,Índices!$K$6:$N$3249,4,FALSE)/VLOOKUP(N235,Índices!$K$6:$N$3249,4,FALSE)</f>
        <v>0</v>
      </c>
    </row>
    <row r="237" spans="14:15">
      <c r="N237" s="8">
        <f t="shared" si="3"/>
        <v>44922</v>
      </c>
      <c r="O237" s="232">
        <f>O236*VLOOKUP(N237,Índices!$K$6:$N$3249,4,FALSE)/VLOOKUP(N236,Índices!$K$6:$N$3249,4,FALSE)</f>
        <v>0</v>
      </c>
    </row>
    <row r="238" spans="14:15">
      <c r="N238" s="8">
        <f t="shared" si="3"/>
        <v>44923</v>
      </c>
      <c r="O238" s="232">
        <f>O237*VLOOKUP(N238,Índices!$K$6:$N$3249,4,FALSE)/VLOOKUP(N237,Índices!$K$6:$N$3249,4,FALSE)</f>
        <v>0</v>
      </c>
    </row>
    <row r="239" spans="14:15">
      <c r="N239" s="8">
        <f t="shared" si="3"/>
        <v>44924</v>
      </c>
      <c r="O239" s="232">
        <f>O238*VLOOKUP(N239,Índices!$K$6:$N$3249,4,FALSE)/VLOOKUP(N238,Índices!$K$6:$N$3249,4,FALSE)</f>
        <v>0</v>
      </c>
    </row>
    <row r="240" spans="14:15">
      <c r="N240" s="8">
        <f t="shared" si="3"/>
        <v>44925</v>
      </c>
      <c r="O240" s="232">
        <f>O239*VLOOKUP(N240,Índices!$K$6:$N$3249,4,FALSE)/VLOOKUP(N239,Índices!$K$6:$N$3249,4,FALSE)</f>
        <v>0</v>
      </c>
    </row>
    <row r="241" spans="14:15">
      <c r="N241" s="8">
        <f t="shared" si="3"/>
        <v>44926</v>
      </c>
      <c r="O241" s="232">
        <f>O240*VLOOKUP(N241,Índices!$K$6:$N$3249,4,FALSE)/VLOOKUP(N240,Índices!$K$6:$N$3249,4,FALSE)</f>
        <v>0</v>
      </c>
    </row>
    <row r="242" spans="14:15">
      <c r="N242" s="8">
        <f t="shared" si="3"/>
        <v>44927</v>
      </c>
    </row>
    <row r="243" spans="14:15">
      <c r="N243" s="8">
        <f t="shared" si="3"/>
        <v>44928</v>
      </c>
    </row>
    <row r="244" spans="14:15">
      <c r="N244" s="8">
        <f t="shared" si="3"/>
        <v>44929</v>
      </c>
    </row>
    <row r="245" spans="14:15">
      <c r="N245" s="8">
        <f t="shared" si="3"/>
        <v>44930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D82"/>
  <sheetViews>
    <sheetView showGridLines="0" zoomScale="85" zoomScaleNormal="85" workbookViewId="0">
      <selection activeCell="H35" sqref="H35"/>
    </sheetView>
  </sheetViews>
  <sheetFormatPr defaultColWidth="9.140625" defaultRowHeight="15" customHeight="1"/>
  <cols>
    <col min="1" max="1" width="4.42578125" style="854" customWidth="1"/>
    <col min="2" max="2" width="27.28515625" style="854" customWidth="1"/>
    <col min="3" max="5" width="17.7109375" style="855" customWidth="1"/>
    <col min="6" max="7" width="17.7109375" style="854" customWidth="1"/>
    <col min="8" max="8" width="46.42578125" style="854" customWidth="1"/>
    <col min="9" max="9" width="14.7109375" style="854" customWidth="1"/>
    <col min="10" max="13" width="12.7109375" style="854" customWidth="1"/>
    <col min="14" max="17" width="9.140625" style="854"/>
    <col min="18" max="18" width="17" style="854" customWidth="1"/>
    <col min="19" max="19" width="14.28515625" style="854" customWidth="1"/>
    <col min="20" max="20" width="15.42578125" style="854" customWidth="1"/>
    <col min="21" max="21" width="13.85546875" style="854" customWidth="1"/>
    <col min="22" max="22" width="17.140625" style="854" customWidth="1"/>
    <col min="23" max="23" width="13" style="854" customWidth="1"/>
    <col min="24" max="24" width="14.140625" style="854" customWidth="1"/>
    <col min="25" max="25" width="17.7109375" style="854" customWidth="1"/>
    <col min="26" max="26" width="17" style="854" customWidth="1"/>
    <col min="27" max="27" width="14" style="854" customWidth="1"/>
    <col min="28" max="28" width="14.85546875" style="854" customWidth="1"/>
    <col min="29" max="16384" width="9.140625" style="854"/>
  </cols>
  <sheetData>
    <row r="1" spans="1:18" ht="14.45" customHeight="1"/>
    <row r="2" spans="1:18" ht="14.45" customHeight="1">
      <c r="B2" s="856" t="s">
        <v>1308</v>
      </c>
      <c r="C2" s="857"/>
      <c r="D2" s="857"/>
      <c r="E2" s="857"/>
      <c r="F2" s="858"/>
      <c r="G2" s="858"/>
      <c r="H2" s="859" t="s">
        <v>13</v>
      </c>
      <c r="I2" s="860">
        <f>Resultado!$D$6</f>
        <v>0</v>
      </c>
      <c r="J2" s="861"/>
      <c r="K2" s="861"/>
    </row>
    <row r="3" spans="1:18" ht="14.45" customHeight="1">
      <c r="B3" s="862"/>
      <c r="C3" s="863"/>
      <c r="D3" s="863"/>
      <c r="E3" s="863"/>
      <c r="H3" s="864" t="s">
        <v>14</v>
      </c>
      <c r="I3" s="865">
        <f>Resultado!$D$8</f>
        <v>0</v>
      </c>
      <c r="J3" s="861"/>
      <c r="K3" s="861"/>
    </row>
    <row r="4" spans="1:18" ht="14.45" customHeight="1">
      <c r="B4" s="861"/>
      <c r="C4" s="863"/>
      <c r="D4" s="863"/>
      <c r="E4" s="863"/>
      <c r="F4" s="866"/>
      <c r="G4" s="861"/>
      <c r="H4" s="861"/>
      <c r="I4" s="861"/>
      <c r="J4" s="861"/>
      <c r="K4" s="861"/>
    </row>
    <row r="5" spans="1:18" ht="15" customHeight="1">
      <c r="B5" s="861"/>
      <c r="C5" s="867"/>
      <c r="D5" s="863"/>
      <c r="E5" s="863"/>
      <c r="F5" s="866"/>
      <c r="G5" s="861"/>
      <c r="H5" s="861"/>
      <c r="I5" s="861"/>
      <c r="J5" s="861"/>
      <c r="K5" s="861"/>
      <c r="R5" s="1316" t="s">
        <v>874</v>
      </c>
    </row>
    <row r="6" spans="1:18" s="871" customFormat="1" ht="15" customHeight="1">
      <c r="A6" s="868"/>
      <c r="B6" s="869"/>
      <c r="C6" s="870"/>
      <c r="D6" s="870"/>
      <c r="E6" s="870"/>
      <c r="F6" s="869"/>
      <c r="G6" s="869"/>
      <c r="H6" s="869"/>
      <c r="I6" s="869"/>
      <c r="J6" s="869"/>
      <c r="K6" s="869"/>
      <c r="R6" s="889" t="e">
        <f>DATE(YEAR(R8),MONTH(R8)-1,1)</f>
        <v>#NUM!</v>
      </c>
    </row>
    <row r="7" spans="1:18" s="871" customFormat="1" ht="15" customHeight="1">
      <c r="A7" s="868"/>
      <c r="B7" s="872" t="s">
        <v>2135</v>
      </c>
      <c r="C7" s="870"/>
      <c r="D7" s="873"/>
      <c r="E7" s="873"/>
      <c r="F7" s="874"/>
      <c r="G7" s="869"/>
      <c r="H7" s="869"/>
      <c r="I7" s="869"/>
      <c r="J7" s="869"/>
      <c r="K7" s="869"/>
      <c r="R7" s="1316" t="s">
        <v>874</v>
      </c>
    </row>
    <row r="8" spans="1:18" ht="27.95" customHeight="1">
      <c r="B8" s="875" t="s">
        <v>778</v>
      </c>
      <c r="C8" s="875" t="s">
        <v>1309</v>
      </c>
      <c r="D8" s="875" t="s">
        <v>1310</v>
      </c>
      <c r="E8" s="1513"/>
      <c r="F8" s="861"/>
      <c r="G8" s="861"/>
      <c r="H8" s="861"/>
      <c r="I8" s="876"/>
      <c r="R8" s="889" t="e">
        <f>DATE(YEAR(R10),MONTH(R10)-1,1)</f>
        <v>#NUM!</v>
      </c>
    </row>
    <row r="9" spans="1:18" ht="14.45" customHeight="1">
      <c r="B9" s="1317" t="s">
        <v>1311</v>
      </c>
      <c r="C9" s="1318"/>
      <c r="D9" s="1318"/>
      <c r="E9" s="1520"/>
      <c r="F9" s="861"/>
      <c r="G9" s="436"/>
      <c r="H9" s="1319" t="s">
        <v>1312</v>
      </c>
      <c r="I9" s="1563"/>
      <c r="R9" s="1316" t="s">
        <v>874</v>
      </c>
    </row>
    <row r="10" spans="1:18" ht="14.45" customHeight="1">
      <c r="B10" s="877" t="s">
        <v>41</v>
      </c>
      <c r="C10" s="878"/>
      <c r="D10" s="878"/>
      <c r="E10" s="1520"/>
      <c r="F10" s="861"/>
      <c r="G10" s="436"/>
      <c r="H10" s="879" t="s">
        <v>1313</v>
      </c>
      <c r="I10" s="880">
        <f>Indexador!F173</f>
        <v>0</v>
      </c>
      <c r="R10" s="889" t="e">
        <f>DATE(YEAR(R12),MONTH(R12)-1,1)</f>
        <v>#NUM!</v>
      </c>
    </row>
    <row r="11" spans="1:18" ht="14.45" customHeight="1">
      <c r="B11" s="877" t="s">
        <v>1314</v>
      </c>
      <c r="C11" s="878"/>
      <c r="D11" s="878"/>
      <c r="E11" s="1520"/>
      <c r="F11" s="861"/>
      <c r="G11" s="861"/>
      <c r="H11" s="879" t="s">
        <v>1315</v>
      </c>
      <c r="I11" s="1562"/>
      <c r="R11" s="1316" t="s">
        <v>874</v>
      </c>
    </row>
    <row r="12" spans="1:18" ht="14.45" customHeight="1">
      <c r="B12" s="877" t="s">
        <v>635</v>
      </c>
      <c r="C12" s="878"/>
      <c r="D12" s="878"/>
      <c r="E12" s="1520"/>
      <c r="F12" s="861"/>
      <c r="G12" s="436"/>
      <c r="H12" s="879" t="s">
        <v>1316</v>
      </c>
      <c r="I12" s="1562"/>
      <c r="R12" s="889" t="e">
        <f>DATE(YEAR(R14),MONTH(R14)-1,1)</f>
        <v>#NUM!</v>
      </c>
    </row>
    <row r="13" spans="1:18" ht="14.45" customHeight="1">
      <c r="B13" s="877" t="s">
        <v>1317</v>
      </c>
      <c r="C13" s="878"/>
      <c r="D13" s="878"/>
      <c r="E13" s="1520"/>
      <c r="F13" s="861"/>
      <c r="G13" s="436"/>
      <c r="H13" s="879" t="s">
        <v>1318</v>
      </c>
      <c r="I13" s="1320"/>
      <c r="R13" s="1316" t="s">
        <v>874</v>
      </c>
    </row>
    <row r="14" spans="1:18" ht="14.45" customHeight="1">
      <c r="B14" s="877" t="s">
        <v>112</v>
      </c>
      <c r="C14" s="878"/>
      <c r="D14" s="878"/>
      <c r="E14" s="1520"/>
      <c r="F14" s="861"/>
      <c r="G14" s="436"/>
      <c r="H14" s="1319" t="s">
        <v>1319</v>
      </c>
      <c r="I14" s="1564">
        <v>0</v>
      </c>
      <c r="J14" s="861"/>
      <c r="K14" s="861"/>
      <c r="R14" s="889" t="e">
        <f>DATE(YEAR(R16),MONTH(R16)-1,1)</f>
        <v>#NUM!</v>
      </c>
    </row>
    <row r="15" spans="1:18" ht="14.45" customHeight="1">
      <c r="B15" s="877" t="s">
        <v>1320</v>
      </c>
      <c r="C15" s="878"/>
      <c r="D15" s="878"/>
      <c r="E15" s="1520"/>
      <c r="F15" s="861"/>
      <c r="G15" s="436"/>
      <c r="H15" s="1321" t="s">
        <v>1321</v>
      </c>
      <c r="I15" s="1322">
        <f>-Indexador!$N$49</f>
        <v>0</v>
      </c>
      <c r="J15" s="861"/>
      <c r="K15" s="861"/>
      <c r="R15" s="1316" t="s">
        <v>874</v>
      </c>
    </row>
    <row r="16" spans="1:18" ht="14.45" customHeight="1">
      <c r="B16" s="877" t="s">
        <v>109</v>
      </c>
      <c r="C16" s="878"/>
      <c r="D16" s="878"/>
      <c r="E16" s="1520"/>
      <c r="F16" s="862"/>
      <c r="G16" s="436"/>
      <c r="H16" s="861"/>
      <c r="I16" s="876"/>
      <c r="J16" s="861"/>
      <c r="K16" s="861"/>
      <c r="R16" s="889" t="e">
        <f>DATE(YEAR(R18),MONTH(R18)-1,1)</f>
        <v>#NUM!</v>
      </c>
    </row>
    <row r="17" spans="1:18" ht="14.45" customHeight="1">
      <c r="B17" s="877" t="s">
        <v>46</v>
      </c>
      <c r="C17" s="878"/>
      <c r="D17" s="878"/>
      <c r="E17" s="1520"/>
      <c r="F17" s="861"/>
      <c r="G17" s="436"/>
      <c r="H17" s="861"/>
      <c r="I17" s="861"/>
      <c r="J17" s="861"/>
      <c r="K17" s="861"/>
      <c r="R17" s="1316" t="s">
        <v>874</v>
      </c>
    </row>
    <row r="18" spans="1:18" ht="14.45" customHeight="1">
      <c r="B18" s="881" t="s">
        <v>769</v>
      </c>
      <c r="C18" s="882">
        <f>SUM(C9:C17)</f>
        <v>0</v>
      </c>
      <c r="D18" s="882">
        <f t="shared" ref="D18" si="0">SUM(D9:D17)</f>
        <v>0</v>
      </c>
      <c r="E18" s="1521"/>
      <c r="F18" s="861"/>
      <c r="G18" s="861"/>
      <c r="H18" s="861"/>
      <c r="I18" s="861"/>
      <c r="J18" s="861"/>
      <c r="K18" s="861"/>
      <c r="R18" s="889" t="e">
        <f>DATE(YEAR(R20),MONTH(R20)-1,1)</f>
        <v>#NUM!</v>
      </c>
    </row>
    <row r="19" spans="1:18" ht="14.45" hidden="1" customHeight="1">
      <c r="B19" s="861"/>
      <c r="C19" s="863"/>
      <c r="D19" s="863"/>
      <c r="E19" s="863"/>
      <c r="F19" s="861"/>
      <c r="G19" s="861"/>
      <c r="R19" s="1316" t="s">
        <v>874</v>
      </c>
    </row>
    <row r="20" spans="1:18" ht="14.45" customHeight="1">
      <c r="B20" s="861"/>
      <c r="C20" s="863"/>
      <c r="D20" s="863"/>
      <c r="E20" s="863"/>
      <c r="F20" s="861"/>
      <c r="G20" s="861"/>
      <c r="R20" s="889" t="e">
        <f>DATE(YEAR(R22),MONTH(R22)-1,1)</f>
        <v>#NUM!</v>
      </c>
    </row>
    <row r="21" spans="1:18" s="871" customFormat="1" ht="14.45" customHeight="1">
      <c r="A21" s="1505"/>
      <c r="B21" s="1506"/>
      <c r="C21" s="1507"/>
      <c r="D21" s="1507"/>
      <c r="E21" s="1507"/>
      <c r="F21" s="1506"/>
      <c r="G21" s="1506"/>
      <c r="H21" s="1508"/>
      <c r="R21" s="1316" t="s">
        <v>874</v>
      </c>
    </row>
    <row r="22" spans="1:18" ht="14.45" customHeight="1">
      <c r="A22" s="1509"/>
      <c r="B22" s="1510"/>
      <c r="C22" s="1511"/>
      <c r="D22" s="1511"/>
      <c r="E22" s="1511"/>
      <c r="F22" s="1512"/>
      <c r="G22" s="1512"/>
      <c r="H22" s="1509"/>
      <c r="R22" s="889" t="e">
        <f>DATE(YEAR(R24),MONTH(R24)-1,1)</f>
        <v>#NUM!</v>
      </c>
    </row>
    <row r="23" spans="1:18" ht="42" customHeight="1">
      <c r="A23" s="1509"/>
      <c r="B23" s="1513"/>
      <c r="C23" s="1513"/>
      <c r="D23" s="1513"/>
      <c r="E23" s="1513"/>
      <c r="F23" s="1513"/>
      <c r="G23" s="1513"/>
      <c r="H23" s="1509"/>
      <c r="R23" s="1316" t="s">
        <v>874</v>
      </c>
    </row>
    <row r="24" spans="1:18" ht="14.45" customHeight="1">
      <c r="A24" s="1509"/>
      <c r="B24" s="877"/>
      <c r="C24" s="884"/>
      <c r="D24" s="1501"/>
      <c r="E24" s="884"/>
      <c r="F24" s="885"/>
      <c r="G24" s="885"/>
      <c r="H24" s="1514"/>
      <c r="I24" s="883"/>
      <c r="J24" s="883"/>
      <c r="K24" s="891"/>
      <c r="R24" s="889" t="e">
        <f>DATE(YEAR(R26),MONTH(R26)-1,1)</f>
        <v>#NUM!</v>
      </c>
    </row>
    <row r="25" spans="1:18" ht="14.45" customHeight="1">
      <c r="A25" s="1509"/>
      <c r="B25" s="877"/>
      <c r="C25" s="884"/>
      <c r="D25" s="1502"/>
      <c r="E25" s="884"/>
      <c r="F25" s="885"/>
      <c r="G25" s="892"/>
      <c r="H25" s="1514"/>
      <c r="I25" s="883"/>
      <c r="J25" s="883"/>
      <c r="K25" s="876"/>
      <c r="R25" s="1316" t="s">
        <v>874</v>
      </c>
    </row>
    <row r="26" spans="1:18" ht="14.45" customHeight="1">
      <c r="A26" s="1509"/>
      <c r="B26" s="877"/>
      <c r="C26" s="884"/>
      <c r="D26" s="1502"/>
      <c r="E26" s="884"/>
      <c r="F26" s="885"/>
      <c r="G26" s="892"/>
      <c r="H26" s="1514"/>
      <c r="I26" s="883"/>
      <c r="J26" s="883"/>
      <c r="K26" s="876"/>
      <c r="R26" s="889" t="e">
        <f>DATE(YEAR(R28),MONTH(R28)-1,1)</f>
        <v>#NUM!</v>
      </c>
    </row>
    <row r="27" spans="1:18" ht="14.45" customHeight="1">
      <c r="A27" s="1509"/>
      <c r="B27" s="877"/>
      <c r="C27" s="884"/>
      <c r="D27" s="1502"/>
      <c r="E27" s="884"/>
      <c r="F27" s="885"/>
      <c r="G27" s="892"/>
      <c r="H27" s="1514"/>
      <c r="I27" s="885"/>
      <c r="J27" s="885"/>
      <c r="K27" s="876"/>
      <c r="R27" s="1316" t="s">
        <v>874</v>
      </c>
    </row>
    <row r="28" spans="1:18" ht="14.45" customHeight="1">
      <c r="A28" s="1509"/>
      <c r="B28" s="877"/>
      <c r="C28" s="884"/>
      <c r="D28" s="1502"/>
      <c r="E28" s="884"/>
      <c r="F28" s="885"/>
      <c r="G28" s="892"/>
      <c r="H28" s="1514"/>
      <c r="I28" s="885"/>
      <c r="J28" s="885"/>
      <c r="K28" s="876"/>
      <c r="R28" s="889">
        <f>B65</f>
        <v>0</v>
      </c>
    </row>
    <row r="29" spans="1:18" ht="14.45" customHeight="1">
      <c r="A29" s="1509"/>
      <c r="B29" s="877"/>
      <c r="C29" s="884"/>
      <c r="D29" s="1502"/>
      <c r="E29" s="884"/>
      <c r="F29" s="885"/>
      <c r="G29" s="892"/>
      <c r="H29" s="1514"/>
      <c r="I29" s="885"/>
      <c r="J29" s="885"/>
      <c r="K29" s="876"/>
    </row>
    <row r="30" spans="1:18" ht="14.45" customHeight="1">
      <c r="A30" s="1509"/>
      <c r="B30" s="877"/>
      <c r="C30" s="884"/>
      <c r="D30" s="1502"/>
      <c r="E30" s="884"/>
      <c r="F30" s="885"/>
      <c r="G30" s="892"/>
      <c r="H30" s="1512"/>
      <c r="I30" s="885"/>
      <c r="J30" s="885"/>
      <c r="K30" s="876"/>
    </row>
    <row r="31" spans="1:18" ht="14.45" customHeight="1">
      <c r="A31" s="1509"/>
      <c r="B31" s="877"/>
      <c r="C31" s="884"/>
      <c r="D31" s="1502"/>
      <c r="E31" s="884"/>
      <c r="F31" s="885"/>
      <c r="G31" s="892"/>
      <c r="H31" s="1509"/>
      <c r="I31" s="885"/>
      <c r="J31" s="885"/>
      <c r="K31" s="861"/>
    </row>
    <row r="32" spans="1:18" ht="14.45" customHeight="1">
      <c r="A32" s="1509"/>
      <c r="B32" s="877"/>
      <c r="C32" s="884"/>
      <c r="D32" s="1502"/>
      <c r="E32" s="884"/>
      <c r="F32" s="885"/>
      <c r="G32" s="892"/>
      <c r="H32" s="1509"/>
      <c r="I32" s="885"/>
      <c r="J32" s="885"/>
      <c r="K32" s="861"/>
    </row>
    <row r="33" spans="1:11" ht="14.45" customHeight="1">
      <c r="A33" s="1509"/>
      <c r="B33" s="1515"/>
      <c r="C33" s="1516"/>
      <c r="D33" s="1516"/>
      <c r="E33" s="1516"/>
      <c r="F33" s="1517"/>
      <c r="G33" s="1517"/>
      <c r="H33" s="1509"/>
      <c r="I33" s="890"/>
      <c r="J33" s="890"/>
      <c r="K33" s="861"/>
    </row>
    <row r="34" spans="1:11" ht="14.45" customHeight="1">
      <c r="A34" s="1509"/>
      <c r="B34" s="1512"/>
      <c r="C34" s="1518"/>
      <c r="D34" s="1511"/>
      <c r="E34" s="1511"/>
      <c r="F34" s="1512"/>
      <c r="G34" s="1512"/>
      <c r="H34" s="1509"/>
      <c r="K34" s="861"/>
    </row>
    <row r="35" spans="1:11" ht="14.45" customHeight="1">
      <c r="A35" s="1509"/>
      <c r="B35" s="1512"/>
      <c r="C35" s="1511"/>
      <c r="D35" s="1511"/>
      <c r="E35" s="1511"/>
      <c r="F35" s="436"/>
      <c r="G35" s="1512"/>
      <c r="H35" s="1509"/>
      <c r="K35" s="861"/>
    </row>
    <row r="36" spans="1:11" ht="14.45" customHeight="1">
      <c r="A36" s="1509"/>
      <c r="B36" s="1510"/>
      <c r="C36" s="1518"/>
      <c r="D36" s="1511"/>
      <c r="E36" s="1511"/>
      <c r="F36" s="1512"/>
      <c r="G36" s="1519"/>
      <c r="H36" s="1509"/>
      <c r="K36" s="861"/>
    </row>
    <row r="37" spans="1:11" ht="43.5" customHeight="1">
      <c r="A37" s="1509"/>
      <c r="B37" s="1513"/>
      <c r="C37" s="1513"/>
      <c r="D37" s="1513"/>
      <c r="E37" s="886"/>
      <c r="F37" s="436"/>
      <c r="G37" s="1512"/>
      <c r="H37" s="1512"/>
      <c r="I37" s="861"/>
      <c r="J37" s="861"/>
      <c r="K37" s="861"/>
    </row>
    <row r="38" spans="1:11" ht="14.45" customHeight="1">
      <c r="A38" s="1509"/>
      <c r="B38" s="877"/>
      <c r="C38" s="1511"/>
      <c r="D38" s="886"/>
      <c r="E38" s="886"/>
      <c r="F38" s="436"/>
      <c r="G38" s="1512"/>
      <c r="H38" s="1512"/>
      <c r="I38" s="861"/>
      <c r="J38" s="861"/>
      <c r="K38" s="861"/>
    </row>
    <row r="39" spans="1:11" ht="14.45" customHeight="1">
      <c r="A39" s="1509"/>
      <c r="B39" s="877"/>
      <c r="C39" s="1511"/>
      <c r="D39" s="1503"/>
      <c r="E39" s="886"/>
      <c r="F39" s="436"/>
      <c r="G39" s="436"/>
      <c r="H39" s="1512"/>
      <c r="I39" s="861"/>
      <c r="J39" s="861"/>
      <c r="K39" s="861"/>
    </row>
    <row r="40" spans="1:11" ht="14.45" customHeight="1">
      <c r="A40" s="1509"/>
      <c r="B40" s="877"/>
      <c r="C40" s="886"/>
      <c r="D40" s="1503"/>
      <c r="E40" s="886"/>
      <c r="F40" s="436"/>
      <c r="G40" s="1512"/>
      <c r="H40" s="1512"/>
      <c r="I40" s="861"/>
      <c r="J40" s="861"/>
      <c r="K40" s="861"/>
    </row>
    <row r="41" spans="1:11" ht="14.45" customHeight="1">
      <c r="A41" s="1509"/>
      <c r="B41" s="877"/>
      <c r="C41" s="886"/>
      <c r="D41" s="1503"/>
      <c r="E41" s="886"/>
      <c r="F41" s="436"/>
      <c r="G41" s="1512"/>
      <c r="H41" s="1512"/>
      <c r="I41" s="861"/>
      <c r="J41" s="861"/>
      <c r="K41" s="861"/>
    </row>
    <row r="42" spans="1:11" ht="14.45" customHeight="1">
      <c r="A42" s="1509"/>
      <c r="B42" s="877"/>
      <c r="C42" s="1504"/>
      <c r="D42" s="1503"/>
      <c r="E42" s="886"/>
      <c r="F42" s="436"/>
      <c r="G42" s="1512"/>
      <c r="H42" s="1512"/>
      <c r="I42" s="861"/>
      <c r="J42" s="861"/>
      <c r="K42" s="861"/>
    </row>
    <row r="43" spans="1:11" ht="14.45" customHeight="1">
      <c r="A43" s="1509"/>
      <c r="B43" s="877"/>
      <c r="C43" s="886"/>
      <c r="D43" s="886"/>
      <c r="E43" s="886"/>
      <c r="F43" s="436"/>
      <c r="G43" s="1512"/>
      <c r="H43" s="1512"/>
      <c r="I43" s="861"/>
      <c r="J43" s="861"/>
      <c r="K43" s="861"/>
    </row>
    <row r="44" spans="1:11" ht="14.45" customHeight="1">
      <c r="A44" s="1509"/>
      <c r="B44" s="877"/>
      <c r="C44" s="886"/>
      <c r="D44" s="886"/>
      <c r="E44" s="886"/>
      <c r="F44" s="436"/>
      <c r="G44" s="1512"/>
      <c r="H44" s="1512"/>
      <c r="I44" s="861"/>
      <c r="J44" s="861"/>
      <c r="K44" s="861"/>
    </row>
    <row r="45" spans="1:11" ht="14.45" customHeight="1">
      <c r="A45" s="1509"/>
      <c r="B45" s="877"/>
      <c r="C45" s="886"/>
      <c r="D45" s="886"/>
      <c r="E45" s="886"/>
      <c r="F45" s="436"/>
      <c r="G45" s="1512"/>
      <c r="H45" s="1512"/>
      <c r="I45" s="861"/>
      <c r="J45" s="861"/>
      <c r="K45" s="861"/>
    </row>
    <row r="46" spans="1:11" ht="14.45" customHeight="1">
      <c r="A46" s="1509"/>
      <c r="B46" s="877"/>
      <c r="C46" s="886"/>
      <c r="D46" s="886"/>
      <c r="E46" s="886"/>
      <c r="F46" s="436"/>
      <c r="G46" s="1512"/>
      <c r="H46" s="1512"/>
      <c r="I46" s="861"/>
      <c r="J46" s="861"/>
      <c r="K46" s="861"/>
    </row>
    <row r="47" spans="1:11" ht="14.45" customHeight="1">
      <c r="B47" s="436"/>
      <c r="C47" s="886"/>
      <c r="D47" s="886"/>
      <c r="E47" s="886"/>
      <c r="F47" s="436"/>
      <c r="G47" s="861"/>
      <c r="H47" s="861"/>
      <c r="I47" s="861"/>
      <c r="J47" s="861"/>
      <c r="K47" s="861"/>
    </row>
    <row r="48" spans="1:11" ht="14.45" customHeight="1">
      <c r="B48" s="65"/>
      <c r="C48" s="887"/>
      <c r="D48" s="887"/>
      <c r="E48" s="887"/>
      <c r="F48" s="65"/>
    </row>
    <row r="49" spans="2:30" ht="14.45" customHeight="1">
      <c r="B49" s="65"/>
      <c r="C49" s="887"/>
      <c r="D49" s="887"/>
      <c r="E49" s="887"/>
      <c r="F49" s="65"/>
    </row>
    <row r="50" spans="2:30" ht="14.45" customHeight="1"/>
    <row r="52" spans="2:30" ht="15" customHeight="1">
      <c r="B52" s="845"/>
      <c r="C52" s="845"/>
      <c r="D52" s="845"/>
      <c r="E52" s="845"/>
      <c r="F52" s="845"/>
      <c r="G52" s="845"/>
      <c r="H52" s="845"/>
      <c r="I52" s="845"/>
      <c r="J52" s="845"/>
      <c r="K52" s="888"/>
      <c r="L52" s="888"/>
      <c r="M52" s="888"/>
      <c r="N52" s="888"/>
      <c r="O52" s="888"/>
      <c r="P52" s="888"/>
      <c r="Q52" s="888"/>
      <c r="R52" s="888"/>
      <c r="S52" s="888"/>
      <c r="T52" s="888"/>
      <c r="U52" s="888"/>
      <c r="V52" s="888"/>
      <c r="W52" s="888"/>
      <c r="X52" s="888"/>
      <c r="Y52" s="888"/>
      <c r="Z52" s="888"/>
      <c r="AA52" s="888"/>
      <c r="AB52" s="888"/>
      <c r="AC52" s="1509"/>
      <c r="AD52" s="1509"/>
    </row>
    <row r="53" spans="2:30" ht="15" customHeight="1">
      <c r="B53" s="1566"/>
      <c r="C53" s="1566"/>
      <c r="D53" s="1566"/>
      <c r="E53" s="1566"/>
      <c r="F53" s="1566"/>
      <c r="G53" s="1566"/>
      <c r="H53" s="1566"/>
      <c r="I53" s="1566"/>
      <c r="J53" s="1566"/>
      <c r="K53" s="1566"/>
      <c r="L53" s="1566"/>
      <c r="M53" s="1566"/>
      <c r="N53" s="1566"/>
      <c r="O53" s="1566"/>
      <c r="P53" s="1566"/>
      <c r="Q53" s="1566"/>
      <c r="R53" s="1566"/>
      <c r="S53" s="1566"/>
      <c r="T53" s="1566"/>
      <c r="U53" s="1566"/>
      <c r="V53" s="1566"/>
      <c r="W53" s="1566"/>
      <c r="X53" s="1566"/>
      <c r="Y53" s="1566"/>
      <c r="Z53" s="1566"/>
      <c r="AA53" s="1566"/>
      <c r="AB53" s="1566"/>
      <c r="AC53" s="1509"/>
      <c r="AD53" s="1509"/>
    </row>
    <row r="54" spans="2:30" ht="15" customHeight="1">
      <c r="B54" s="1567"/>
      <c r="C54" s="1565"/>
      <c r="D54" s="885"/>
      <c r="E54" s="885"/>
      <c r="F54" s="885"/>
      <c r="G54" s="885"/>
      <c r="H54" s="885"/>
      <c r="I54" s="885"/>
      <c r="J54" s="885"/>
      <c r="K54" s="885"/>
      <c r="L54" s="885"/>
      <c r="M54" s="885"/>
      <c r="N54" s="885"/>
      <c r="O54" s="885"/>
      <c r="P54" s="885"/>
      <c r="Q54" s="885"/>
      <c r="R54" s="1568"/>
      <c r="S54" s="885"/>
      <c r="T54" s="885"/>
      <c r="U54" s="885"/>
      <c r="V54" s="885"/>
      <c r="W54" s="885"/>
      <c r="X54" s="885"/>
      <c r="Y54" s="885"/>
      <c r="Z54" s="885"/>
      <c r="AA54" s="885"/>
      <c r="AB54" s="885"/>
      <c r="AC54" s="1509"/>
      <c r="AD54" s="1509"/>
    </row>
    <row r="55" spans="2:30" ht="15" customHeight="1">
      <c r="B55" s="1567"/>
      <c r="C55" s="1565"/>
      <c r="D55" s="885"/>
      <c r="E55" s="885"/>
      <c r="F55" s="885"/>
      <c r="G55" s="885"/>
      <c r="H55" s="885"/>
      <c r="I55" s="885"/>
      <c r="J55" s="885"/>
      <c r="K55" s="885"/>
      <c r="L55" s="885"/>
      <c r="M55" s="885"/>
      <c r="N55" s="885"/>
      <c r="O55" s="885"/>
      <c r="P55" s="885"/>
      <c r="Q55" s="885"/>
      <c r="R55" s="1568"/>
      <c r="S55" s="885"/>
      <c r="T55" s="885"/>
      <c r="U55" s="885"/>
      <c r="V55" s="885"/>
      <c r="W55" s="885"/>
      <c r="X55" s="885"/>
      <c r="Y55" s="885"/>
      <c r="Z55" s="885"/>
      <c r="AA55" s="885"/>
      <c r="AB55" s="885"/>
      <c r="AC55" s="1509"/>
      <c r="AD55" s="1509"/>
    </row>
    <row r="56" spans="2:30" ht="15" customHeight="1">
      <c r="B56" s="1567"/>
      <c r="C56" s="1565"/>
      <c r="D56" s="885"/>
      <c r="E56" s="885"/>
      <c r="F56" s="885"/>
      <c r="G56" s="885"/>
      <c r="H56" s="885"/>
      <c r="I56" s="885"/>
      <c r="J56" s="885"/>
      <c r="K56" s="885"/>
      <c r="L56" s="885"/>
      <c r="M56" s="885"/>
      <c r="N56" s="885"/>
      <c r="O56" s="885"/>
      <c r="P56" s="885"/>
      <c r="Q56" s="885"/>
      <c r="R56" s="1568"/>
      <c r="S56" s="885"/>
      <c r="T56" s="885"/>
      <c r="U56" s="885"/>
      <c r="V56" s="885"/>
      <c r="W56" s="885"/>
      <c r="X56" s="885"/>
      <c r="Y56" s="885"/>
      <c r="Z56" s="885"/>
      <c r="AA56" s="885"/>
      <c r="AB56" s="885"/>
      <c r="AC56" s="1509"/>
      <c r="AD56" s="1509"/>
    </row>
    <row r="57" spans="2:30" ht="15" customHeight="1">
      <c r="B57" s="1567"/>
      <c r="C57" s="1565"/>
      <c r="D57" s="885"/>
      <c r="E57" s="885"/>
      <c r="F57" s="885"/>
      <c r="G57" s="885"/>
      <c r="H57" s="885"/>
      <c r="I57" s="885"/>
      <c r="J57" s="885"/>
      <c r="K57" s="885"/>
      <c r="L57" s="885"/>
      <c r="M57" s="885"/>
      <c r="N57" s="885"/>
      <c r="O57" s="885"/>
      <c r="P57" s="885"/>
      <c r="Q57" s="885"/>
      <c r="R57" s="1568"/>
      <c r="S57" s="885"/>
      <c r="T57" s="885"/>
      <c r="U57" s="885"/>
      <c r="V57" s="885"/>
      <c r="W57" s="885"/>
      <c r="X57" s="885"/>
      <c r="Y57" s="885"/>
      <c r="Z57" s="885"/>
      <c r="AA57" s="885"/>
      <c r="AB57" s="885"/>
      <c r="AC57" s="1509"/>
      <c r="AD57" s="1509"/>
    </row>
    <row r="58" spans="2:30" ht="15" customHeight="1">
      <c r="B58" s="1567"/>
      <c r="C58" s="1565"/>
      <c r="D58" s="885"/>
      <c r="E58" s="885"/>
      <c r="F58" s="885"/>
      <c r="G58" s="885"/>
      <c r="H58" s="885"/>
      <c r="I58" s="885"/>
      <c r="J58" s="885"/>
      <c r="K58" s="885"/>
      <c r="L58" s="885"/>
      <c r="M58" s="885"/>
      <c r="N58" s="885"/>
      <c r="O58" s="885"/>
      <c r="P58" s="885"/>
      <c r="Q58" s="885"/>
      <c r="R58" s="1568"/>
      <c r="S58" s="885"/>
      <c r="T58" s="885"/>
      <c r="U58" s="885"/>
      <c r="V58" s="885"/>
      <c r="W58" s="885"/>
      <c r="X58" s="885"/>
      <c r="Y58" s="885"/>
      <c r="Z58" s="885"/>
      <c r="AA58" s="885"/>
      <c r="AB58" s="885"/>
      <c r="AC58" s="1509"/>
      <c r="AD58" s="1509"/>
    </row>
    <row r="59" spans="2:30" ht="15" customHeight="1">
      <c r="B59" s="1567"/>
      <c r="C59" s="1565"/>
      <c r="D59" s="885"/>
      <c r="E59" s="885"/>
      <c r="F59" s="885"/>
      <c r="G59" s="885"/>
      <c r="H59" s="885"/>
      <c r="I59" s="885"/>
      <c r="J59" s="885"/>
      <c r="K59" s="885"/>
      <c r="L59" s="885"/>
      <c r="M59" s="885"/>
      <c r="N59" s="885"/>
      <c r="O59" s="885"/>
      <c r="P59" s="885"/>
      <c r="Q59" s="885"/>
      <c r="R59" s="1568"/>
      <c r="S59" s="885"/>
      <c r="T59" s="885"/>
      <c r="U59" s="885"/>
      <c r="V59" s="885"/>
      <c r="W59" s="885"/>
      <c r="X59" s="885"/>
      <c r="Y59" s="885"/>
      <c r="Z59" s="885"/>
      <c r="AA59" s="885"/>
      <c r="AB59" s="885"/>
      <c r="AC59" s="1509"/>
      <c r="AD59" s="1509"/>
    </row>
    <row r="60" spans="2:30" ht="15" customHeight="1">
      <c r="B60" s="1567"/>
      <c r="C60" s="1565"/>
      <c r="D60" s="885"/>
      <c r="E60" s="885"/>
      <c r="F60" s="885"/>
      <c r="G60" s="885"/>
      <c r="H60" s="885"/>
      <c r="I60" s="885"/>
      <c r="J60" s="885"/>
      <c r="K60" s="885"/>
      <c r="L60" s="885"/>
      <c r="M60" s="885"/>
      <c r="N60" s="885"/>
      <c r="O60" s="885"/>
      <c r="P60" s="885"/>
      <c r="Q60" s="885"/>
      <c r="R60" s="1568"/>
      <c r="S60" s="885"/>
      <c r="T60" s="885"/>
      <c r="U60" s="885"/>
      <c r="V60" s="885"/>
      <c r="W60" s="885"/>
      <c r="X60" s="885"/>
      <c r="Y60" s="885"/>
      <c r="Z60" s="885"/>
      <c r="AA60" s="885"/>
      <c r="AB60" s="885"/>
      <c r="AC60" s="1509"/>
      <c r="AD60" s="1509"/>
    </row>
    <row r="61" spans="2:30" ht="15" customHeight="1">
      <c r="B61" s="1567"/>
      <c r="C61" s="1565"/>
      <c r="D61" s="885"/>
      <c r="E61" s="885"/>
      <c r="F61" s="885"/>
      <c r="G61" s="885"/>
      <c r="H61" s="885"/>
      <c r="I61" s="885"/>
      <c r="J61" s="885"/>
      <c r="K61" s="885"/>
      <c r="L61" s="885"/>
      <c r="M61" s="885"/>
      <c r="N61" s="885"/>
      <c r="O61" s="885"/>
      <c r="P61" s="885"/>
      <c r="Q61" s="885"/>
      <c r="R61" s="1568"/>
      <c r="S61" s="885"/>
      <c r="T61" s="885"/>
      <c r="U61" s="885"/>
      <c r="V61" s="885"/>
      <c r="W61" s="885"/>
      <c r="X61" s="885"/>
      <c r="Y61" s="885"/>
      <c r="Z61" s="885"/>
      <c r="AA61" s="885"/>
      <c r="AB61" s="885"/>
      <c r="AC61" s="1509"/>
      <c r="AD61" s="1509"/>
    </row>
    <row r="62" spans="2:30" ht="15" customHeight="1">
      <c r="B62" s="1567"/>
      <c r="C62" s="1565"/>
      <c r="D62" s="885"/>
      <c r="E62" s="885"/>
      <c r="F62" s="885"/>
      <c r="G62" s="885"/>
      <c r="H62" s="885"/>
      <c r="I62" s="885"/>
      <c r="J62" s="885"/>
      <c r="K62" s="885"/>
      <c r="L62" s="885"/>
      <c r="M62" s="885"/>
      <c r="N62" s="885"/>
      <c r="O62" s="885"/>
      <c r="P62" s="885"/>
      <c r="Q62" s="885"/>
      <c r="R62" s="1568"/>
      <c r="S62" s="885"/>
      <c r="T62" s="885"/>
      <c r="U62" s="885"/>
      <c r="V62" s="885"/>
      <c r="W62" s="885"/>
      <c r="X62" s="885"/>
      <c r="Y62" s="885"/>
      <c r="Z62" s="885"/>
      <c r="AA62" s="885"/>
      <c r="AB62" s="885"/>
      <c r="AC62" s="1509"/>
      <c r="AD62" s="1509"/>
    </row>
    <row r="63" spans="2:30" ht="15" customHeight="1">
      <c r="B63" s="1567"/>
      <c r="C63" s="1565"/>
      <c r="D63" s="885"/>
      <c r="E63" s="885"/>
      <c r="F63" s="885"/>
      <c r="G63" s="885"/>
      <c r="H63" s="885"/>
      <c r="I63" s="885"/>
      <c r="J63" s="885"/>
      <c r="K63" s="885"/>
      <c r="L63" s="885"/>
      <c r="M63" s="885"/>
      <c r="N63" s="885"/>
      <c r="O63" s="885"/>
      <c r="P63" s="885"/>
      <c r="Q63" s="885"/>
      <c r="R63" s="1568"/>
      <c r="S63" s="885"/>
      <c r="T63" s="885"/>
      <c r="U63" s="885"/>
      <c r="V63" s="885"/>
      <c r="W63" s="885"/>
      <c r="X63" s="885"/>
      <c r="Y63" s="885"/>
      <c r="Z63" s="885"/>
      <c r="AA63" s="885"/>
      <c r="AB63" s="885"/>
      <c r="AC63" s="1509"/>
      <c r="AD63" s="1509"/>
    </row>
    <row r="64" spans="2:30" ht="15" customHeight="1">
      <c r="B64" s="1567"/>
      <c r="C64" s="1565"/>
      <c r="D64" s="885"/>
      <c r="E64" s="885"/>
      <c r="F64" s="885"/>
      <c r="G64" s="885"/>
      <c r="H64" s="885"/>
      <c r="I64" s="885"/>
      <c r="J64" s="885"/>
      <c r="K64" s="885"/>
      <c r="L64" s="885"/>
      <c r="M64" s="885"/>
      <c r="N64" s="885"/>
      <c r="O64" s="885"/>
      <c r="P64" s="885"/>
      <c r="Q64" s="885"/>
      <c r="R64" s="1568"/>
      <c r="S64" s="885"/>
      <c r="T64" s="885"/>
      <c r="U64" s="885"/>
      <c r="V64" s="885"/>
      <c r="W64" s="885"/>
      <c r="X64" s="885"/>
      <c r="Y64" s="885"/>
      <c r="Z64" s="885"/>
      <c r="AA64" s="885"/>
      <c r="AB64" s="885"/>
      <c r="AC64" s="1509"/>
      <c r="AD64" s="1509"/>
    </row>
    <row r="65" spans="2:30" ht="15" customHeight="1">
      <c r="B65" s="1567"/>
      <c r="C65" s="1565"/>
      <c r="D65" s="885"/>
      <c r="E65" s="885"/>
      <c r="F65" s="885"/>
      <c r="G65" s="885"/>
      <c r="H65" s="885"/>
      <c r="I65" s="885"/>
      <c r="J65" s="885"/>
      <c r="K65" s="885"/>
      <c r="L65" s="885"/>
      <c r="M65" s="885"/>
      <c r="N65" s="885"/>
      <c r="O65" s="885"/>
      <c r="P65" s="885"/>
      <c r="Q65" s="885"/>
      <c r="R65" s="1568"/>
      <c r="S65" s="885"/>
      <c r="T65" s="885"/>
      <c r="U65" s="885"/>
      <c r="V65" s="885"/>
      <c r="W65" s="885"/>
      <c r="X65" s="885"/>
      <c r="Y65" s="885"/>
      <c r="Z65" s="885"/>
      <c r="AA65" s="885"/>
      <c r="AB65" s="885"/>
      <c r="AC65" s="1509"/>
      <c r="AD65" s="1509"/>
    </row>
    <row r="66" spans="2:30" ht="15" customHeight="1">
      <c r="B66" s="1457"/>
      <c r="C66" s="1569"/>
      <c r="D66" s="885"/>
      <c r="E66" s="885"/>
      <c r="F66" s="885"/>
      <c r="G66" s="885"/>
      <c r="H66" s="885"/>
      <c r="I66" s="885"/>
      <c r="J66" s="885"/>
      <c r="K66" s="885"/>
      <c r="L66" s="885"/>
      <c r="M66" s="885"/>
      <c r="N66" s="885"/>
      <c r="O66" s="885"/>
      <c r="P66" s="885"/>
      <c r="Q66" s="885"/>
      <c r="R66" s="885"/>
      <c r="S66" s="885"/>
      <c r="T66" s="885"/>
      <c r="U66" s="885"/>
      <c r="V66" s="885"/>
      <c r="W66" s="885"/>
      <c r="X66" s="885"/>
      <c r="Y66" s="885"/>
      <c r="Z66" s="885"/>
      <c r="AA66" s="885"/>
      <c r="AB66" s="885"/>
      <c r="AC66" s="1509"/>
      <c r="AD66" s="1509"/>
    </row>
    <row r="67" spans="2:30" ht="15" customHeight="1">
      <c r="B67" s="1570"/>
      <c r="C67" s="1570"/>
      <c r="D67" s="1517"/>
      <c r="E67" s="1517"/>
      <c r="F67" s="1517"/>
      <c r="G67" s="1517"/>
      <c r="H67" s="1517"/>
      <c r="I67" s="1517"/>
      <c r="J67" s="1517"/>
      <c r="K67" s="1517"/>
      <c r="L67" s="1517"/>
      <c r="M67" s="1517"/>
      <c r="N67" s="1517"/>
      <c r="O67" s="1517"/>
      <c r="P67" s="1517"/>
      <c r="Q67" s="1517"/>
      <c r="R67" s="1517"/>
      <c r="S67" s="1517"/>
      <c r="T67" s="1517"/>
      <c r="U67" s="1517"/>
      <c r="V67" s="1517"/>
      <c r="W67" s="1517"/>
      <c r="X67" s="1517"/>
      <c r="Y67" s="1517"/>
      <c r="Z67" s="1517"/>
      <c r="AA67" s="1517"/>
      <c r="AB67" s="1517"/>
      <c r="AC67" s="1509"/>
      <c r="AD67" s="1509"/>
    </row>
    <row r="68" spans="2:30" ht="15" customHeight="1">
      <c r="B68" s="1509"/>
      <c r="C68" s="1571"/>
      <c r="D68" s="1571"/>
      <c r="E68" s="1571"/>
      <c r="F68" s="1509"/>
      <c r="G68" s="1509"/>
      <c r="H68" s="1509"/>
      <c r="I68" s="1509"/>
      <c r="J68" s="1509"/>
      <c r="K68" s="1509"/>
      <c r="L68" s="1509"/>
      <c r="M68" s="1509"/>
      <c r="N68" s="1509"/>
      <c r="O68" s="1509"/>
      <c r="P68" s="1509"/>
      <c r="Q68" s="1509"/>
      <c r="R68" s="1509"/>
      <c r="S68" s="1509"/>
      <c r="T68" s="1509"/>
      <c r="U68" s="1509"/>
      <c r="V68" s="1509"/>
      <c r="W68" s="1509"/>
      <c r="X68" s="1509"/>
      <c r="Y68" s="1509"/>
      <c r="Z68" s="1509"/>
      <c r="AA68" s="1509"/>
      <c r="AB68" s="1509"/>
      <c r="AC68" s="1509"/>
      <c r="AD68" s="1509"/>
    </row>
    <row r="69" spans="2:30" ht="15" customHeight="1">
      <c r="B69" s="1509"/>
      <c r="C69" s="1571"/>
      <c r="D69" s="1571"/>
      <c r="E69" s="1571"/>
      <c r="F69" s="1509"/>
      <c r="G69" s="1509"/>
      <c r="H69" s="1509"/>
      <c r="I69" s="1509"/>
      <c r="J69" s="1509"/>
      <c r="K69" s="1509"/>
      <c r="L69" s="1509"/>
      <c r="M69" s="1509"/>
      <c r="N69" s="1509"/>
      <c r="O69" s="1509"/>
      <c r="P69" s="1509"/>
      <c r="Q69" s="1509"/>
      <c r="R69" s="1509"/>
      <c r="S69" s="1509"/>
      <c r="T69" s="1509"/>
      <c r="U69" s="1509"/>
      <c r="V69" s="1509"/>
      <c r="W69" s="1509"/>
      <c r="X69" s="1509"/>
      <c r="Y69" s="1509"/>
      <c r="Z69" s="1509"/>
      <c r="AA69" s="1509"/>
      <c r="AB69" s="1509"/>
      <c r="AC69" s="1509"/>
      <c r="AD69" s="1509"/>
    </row>
    <row r="71" spans="2:30" ht="15" customHeight="1">
      <c r="H71" s="893"/>
      <c r="J71" s="893"/>
    </row>
    <row r="72" spans="2:30" ht="15" customHeight="1">
      <c r="H72" s="893"/>
      <c r="J72" s="893"/>
    </row>
    <row r="73" spans="2:30" ht="15" customHeight="1">
      <c r="H73" s="893"/>
      <c r="J73" s="893"/>
    </row>
    <row r="74" spans="2:30" ht="15" customHeight="1">
      <c r="H74" s="893"/>
      <c r="J74" s="893"/>
    </row>
    <row r="75" spans="2:30" ht="15" customHeight="1">
      <c r="H75" s="893"/>
      <c r="J75" s="893"/>
    </row>
    <row r="76" spans="2:30" ht="15" customHeight="1">
      <c r="H76" s="893"/>
      <c r="J76" s="893"/>
    </row>
    <row r="77" spans="2:30" ht="15" customHeight="1">
      <c r="H77" s="893"/>
      <c r="J77" s="893"/>
    </row>
    <row r="78" spans="2:30" ht="15" customHeight="1">
      <c r="H78" s="893"/>
      <c r="J78" s="893"/>
    </row>
    <row r="79" spans="2:30" ht="15" customHeight="1">
      <c r="H79" s="893"/>
      <c r="J79" s="893"/>
    </row>
    <row r="80" spans="2:30" ht="15" customHeight="1">
      <c r="H80" s="893"/>
      <c r="J80" s="893"/>
    </row>
    <row r="81" spans="8:10" ht="15" customHeight="1">
      <c r="H81" s="893"/>
      <c r="J81" s="893"/>
    </row>
    <row r="82" spans="8:10" ht="15" customHeight="1">
      <c r="H82" s="893"/>
      <c r="J82" s="893"/>
    </row>
  </sheetData>
  <pageMargins left="0.3" right="0.35" top="1" bottom="1" header="0.49212598499999999" footer="0.49212598499999999"/>
  <pageSetup paperSize="9" scale="40" orientation="landscape" r:id="rId1"/>
  <headerFooter alignWithMargins="0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topLeftCell="A21" workbookViewId="0">
      <selection activeCell="F18" sqref="F18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66" t="s">
        <v>1323</v>
      </c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353"/>
      <c r="P1" s="353"/>
      <c r="Q1" s="353"/>
      <c r="R1" s="9"/>
      <c r="S1" s="9"/>
      <c r="T1" s="9"/>
      <c r="U1" s="9"/>
      <c r="V1" s="9"/>
    </row>
    <row r="2" spans="1:22">
      <c r="A2" s="665"/>
      <c r="B2" s="665"/>
      <c r="C2" s="665"/>
      <c r="D2" s="665"/>
      <c r="E2" s="665"/>
      <c r="F2" s="665"/>
      <c r="G2" s="665"/>
      <c r="H2" s="665"/>
      <c r="I2" s="665"/>
      <c r="J2" s="665"/>
      <c r="K2" s="665"/>
      <c r="L2" s="665"/>
      <c r="M2" s="665"/>
      <c r="N2" s="665"/>
      <c r="O2" s="353"/>
      <c r="P2" s="353"/>
      <c r="Q2" s="353"/>
      <c r="R2" s="9"/>
      <c r="S2" s="9"/>
      <c r="T2" s="9"/>
      <c r="U2" s="9"/>
      <c r="V2" s="9"/>
    </row>
    <row r="3" spans="1:22">
      <c r="A3" s="667" t="s">
        <v>1324</v>
      </c>
      <c r="B3" s="65"/>
      <c r="C3" s="65"/>
      <c r="D3" s="65"/>
      <c r="E3" s="65"/>
      <c r="F3" s="665"/>
      <c r="G3" s="353"/>
      <c r="H3" s="353"/>
      <c r="I3" s="667" t="s">
        <v>1325</v>
      </c>
      <c r="J3" s="353"/>
      <c r="K3" s="668"/>
      <c r="L3" s="9"/>
      <c r="M3" s="9"/>
      <c r="N3" s="665"/>
      <c r="O3" s="353"/>
      <c r="P3" s="353"/>
      <c r="Q3" s="353"/>
      <c r="R3" s="9"/>
      <c r="S3" s="9"/>
      <c r="T3" s="9"/>
      <c r="U3" s="9"/>
      <c r="V3" s="9"/>
    </row>
    <row r="4" spans="1:22" ht="25.5">
      <c r="A4" s="1324" t="s">
        <v>22</v>
      </c>
      <c r="B4" s="1325"/>
      <c r="C4" s="669" t="s">
        <v>850</v>
      </c>
      <c r="D4" s="669" t="s">
        <v>1326</v>
      </c>
      <c r="E4" s="669" t="s">
        <v>1327</v>
      </c>
      <c r="F4" s="669" t="s">
        <v>8</v>
      </c>
      <c r="G4" s="670" t="s">
        <v>1328</v>
      </c>
      <c r="H4" s="353"/>
      <c r="I4" s="1324" t="s">
        <v>22</v>
      </c>
      <c r="J4" s="1324"/>
      <c r="K4" s="1324"/>
      <c r="L4" s="669" t="s">
        <v>1327</v>
      </c>
      <c r="M4" s="669" t="s">
        <v>8</v>
      </c>
      <c r="N4" s="670" t="str">
        <f>G4</f>
        <v>Repasse CDE</v>
      </c>
      <c r="P4" s="353"/>
      <c r="Q4" s="353"/>
      <c r="R4" s="9"/>
      <c r="S4" s="9"/>
      <c r="T4" s="9"/>
      <c r="U4" s="9"/>
      <c r="V4" s="9"/>
    </row>
    <row r="5" spans="1:22">
      <c r="A5" s="1326" t="s">
        <v>697</v>
      </c>
      <c r="B5" s="1327"/>
      <c r="C5" s="1328">
        <f>SUMPRODUCT(C16:Q16,$C$22:$Q$22)</f>
        <v>934995.0131013504</v>
      </c>
      <c r="D5" s="674">
        <f>SUMPRODUCT(C28:Q28,$C$34:$Q$34)</f>
        <v>518680.32820687408</v>
      </c>
      <c r="E5" s="1329">
        <f>C5-D5</f>
        <v>416314.68489447632</v>
      </c>
      <c r="F5" s="1330">
        <f>Resultado!M9</f>
        <v>981589.01383372699</v>
      </c>
      <c r="G5" s="671">
        <f>F5+E5</f>
        <v>1397903.6987282033</v>
      </c>
      <c r="H5" s="353"/>
      <c r="I5" s="1326" t="s">
        <v>697</v>
      </c>
      <c r="J5" s="1326"/>
      <c r="K5" s="1326"/>
      <c r="L5" s="1330">
        <f t="shared" ref="L5:N10" si="0">E5/12</f>
        <v>34692.890407873027</v>
      </c>
      <c r="M5" s="1330">
        <f t="shared" si="0"/>
        <v>81799.084486143911</v>
      </c>
      <c r="N5" s="1328">
        <f t="shared" si="0"/>
        <v>116491.97489401694</v>
      </c>
      <c r="P5" s="353"/>
      <c r="Q5" s="353"/>
      <c r="R5" s="9"/>
      <c r="S5" s="9"/>
      <c r="T5" s="9"/>
      <c r="U5" s="9"/>
      <c r="V5" s="9"/>
    </row>
    <row r="6" spans="1:22">
      <c r="A6" s="65" t="s">
        <v>699</v>
      </c>
      <c r="B6" s="672"/>
      <c r="C6" s="673">
        <f t="shared" ref="C6:C10" si="1">SUMPRODUCT(C17:Q17,$C$22:$Q$22)</f>
        <v>0</v>
      </c>
      <c r="D6" s="674">
        <f t="shared" ref="D6:D10" si="2">SUMPRODUCT(C29:Q29,$C$34:$Q$34)</f>
        <v>0</v>
      </c>
      <c r="E6" s="692">
        <f t="shared" ref="E6:E10" si="3">C6-D6</f>
        <v>0</v>
      </c>
      <c r="F6" s="674">
        <f>Resultado!M10</f>
        <v>0</v>
      </c>
      <c r="G6" s="671">
        <f t="shared" ref="G6:G10" si="4">F6+E6</f>
        <v>0</v>
      </c>
      <c r="H6" s="353"/>
      <c r="I6" s="65" t="s">
        <v>699</v>
      </c>
      <c r="J6" s="65"/>
      <c r="K6" s="65"/>
      <c r="L6" s="674">
        <f t="shared" si="0"/>
        <v>0</v>
      </c>
      <c r="M6" s="674">
        <f t="shared" si="0"/>
        <v>0</v>
      </c>
      <c r="N6" s="673">
        <f t="shared" si="0"/>
        <v>0</v>
      </c>
      <c r="P6" s="353"/>
      <c r="Q6" s="353"/>
      <c r="R6" s="9"/>
      <c r="S6" s="9"/>
      <c r="T6" s="9"/>
      <c r="U6" s="9"/>
      <c r="V6" s="9"/>
    </row>
    <row r="7" spans="1:22">
      <c r="A7" s="65" t="s">
        <v>701</v>
      </c>
      <c r="B7" s="672"/>
      <c r="C7" s="673">
        <f t="shared" si="1"/>
        <v>0</v>
      </c>
      <c r="D7" s="674">
        <f t="shared" si="2"/>
        <v>0</v>
      </c>
      <c r="E7" s="692">
        <f t="shared" si="3"/>
        <v>0</v>
      </c>
      <c r="F7" s="674">
        <f>-Financeiros!D34+Resultado!M11</f>
        <v>0</v>
      </c>
      <c r="G7" s="671">
        <f t="shared" si="4"/>
        <v>0</v>
      </c>
      <c r="H7" s="353"/>
      <c r="I7" s="65" t="s">
        <v>701</v>
      </c>
      <c r="J7" s="65"/>
      <c r="K7" s="65"/>
      <c r="L7" s="674">
        <f t="shared" si="0"/>
        <v>0</v>
      </c>
      <c r="M7" s="674">
        <f t="shared" si="0"/>
        <v>0</v>
      </c>
      <c r="N7" s="673">
        <f t="shared" si="0"/>
        <v>0</v>
      </c>
      <c r="P7" s="353"/>
      <c r="Q7" s="353"/>
      <c r="R7" s="9"/>
      <c r="S7" s="9"/>
      <c r="T7" s="9"/>
      <c r="U7" s="9"/>
      <c r="V7" s="9"/>
    </row>
    <row r="8" spans="1:22">
      <c r="A8" s="65" t="s">
        <v>702</v>
      </c>
      <c r="B8" s="672"/>
      <c r="C8" s="673">
        <f t="shared" si="1"/>
        <v>119458.38317393373</v>
      </c>
      <c r="D8" s="674">
        <f t="shared" si="2"/>
        <v>129858.67231405783</v>
      </c>
      <c r="E8" s="692">
        <f t="shared" si="3"/>
        <v>-10400.289140124092</v>
      </c>
      <c r="F8" s="674">
        <f>Resultado!M12</f>
        <v>65860.872533711139</v>
      </c>
      <c r="G8" s="671">
        <f t="shared" si="4"/>
        <v>55460.583393587047</v>
      </c>
      <c r="H8" s="353"/>
      <c r="I8" s="65" t="s">
        <v>702</v>
      </c>
      <c r="J8" s="65"/>
      <c r="K8" s="65"/>
      <c r="L8" s="674">
        <f t="shared" si="0"/>
        <v>-866.69076167700769</v>
      </c>
      <c r="M8" s="674">
        <f t="shared" si="0"/>
        <v>5488.406044475928</v>
      </c>
      <c r="N8" s="673">
        <f t="shared" si="0"/>
        <v>4621.7152827989203</v>
      </c>
      <c r="P8" s="353"/>
      <c r="Q8" s="353"/>
      <c r="R8" s="9"/>
      <c r="S8" s="9"/>
      <c r="T8" s="9"/>
      <c r="U8" s="9"/>
      <c r="V8" s="9"/>
    </row>
    <row r="9" spans="1:22">
      <c r="A9" s="65" t="s">
        <v>705</v>
      </c>
      <c r="B9" s="672"/>
      <c r="C9" s="673">
        <f t="shared" si="1"/>
        <v>118802.95288878647</v>
      </c>
      <c r="D9" s="674">
        <f t="shared" si="2"/>
        <v>119383.3718124805</v>
      </c>
      <c r="E9" s="692">
        <f>C9-D9</f>
        <v>-580.41892369402922</v>
      </c>
      <c r="F9" s="674">
        <f>Resultado!M13</f>
        <v>62652.322926356268</v>
      </c>
      <c r="G9" s="671">
        <f t="shared" si="4"/>
        <v>62071.904002662239</v>
      </c>
      <c r="H9" s="353"/>
      <c r="I9" s="65" t="s">
        <v>705</v>
      </c>
      <c r="J9" s="65"/>
      <c r="K9" s="65"/>
      <c r="L9" s="674">
        <f t="shared" si="0"/>
        <v>-48.368243641169101</v>
      </c>
      <c r="M9" s="674">
        <f t="shared" si="0"/>
        <v>5221.0269105296893</v>
      </c>
      <c r="N9" s="673">
        <f t="shared" si="0"/>
        <v>5172.6586668885202</v>
      </c>
      <c r="P9" s="353"/>
      <c r="Q9" s="353"/>
      <c r="R9" s="9"/>
      <c r="S9" s="9"/>
      <c r="T9" s="9"/>
      <c r="U9" s="9"/>
      <c r="V9" s="9"/>
    </row>
    <row r="10" spans="1:22">
      <c r="A10" s="1064" t="s">
        <v>707</v>
      </c>
      <c r="B10" s="675"/>
      <c r="C10" s="673">
        <f t="shared" si="1"/>
        <v>0</v>
      </c>
      <c r="D10" s="674">
        <f t="shared" si="2"/>
        <v>0</v>
      </c>
      <c r="E10" s="1331">
        <f t="shared" si="3"/>
        <v>0</v>
      </c>
      <c r="F10" s="1332">
        <f>Resultado!M14</f>
        <v>0</v>
      </c>
      <c r="G10" s="671">
        <f t="shared" si="4"/>
        <v>0</v>
      </c>
      <c r="H10" s="353"/>
      <c r="I10" s="1064" t="s">
        <v>707</v>
      </c>
      <c r="J10" s="1064"/>
      <c r="K10" s="1064"/>
      <c r="L10" s="1332">
        <f t="shared" si="0"/>
        <v>0</v>
      </c>
      <c r="M10" s="1332">
        <f t="shared" si="0"/>
        <v>0</v>
      </c>
      <c r="N10" s="676">
        <f t="shared" si="0"/>
        <v>0</v>
      </c>
      <c r="P10" s="353"/>
      <c r="Q10" s="353"/>
      <c r="R10" s="9"/>
      <c r="S10" s="9"/>
      <c r="T10" s="9"/>
      <c r="U10" s="9"/>
      <c r="V10" s="9"/>
    </row>
    <row r="11" spans="1:22">
      <c r="A11" s="1333" t="s">
        <v>769</v>
      </c>
      <c r="B11" s="1333"/>
      <c r="C11" s="1334">
        <f>SUM(C5:C10)</f>
        <v>1173256.3491640708</v>
      </c>
      <c r="D11" s="1334">
        <f>SUM(D5:D10)</f>
        <v>767922.37233341241</v>
      </c>
      <c r="E11" s="1334">
        <f t="shared" ref="E11" si="5">SUM(E5:E10)</f>
        <v>405333.97683065815</v>
      </c>
      <c r="F11" s="1334">
        <f>SUM(F5:F10)</f>
        <v>1110102.2092937944</v>
      </c>
      <c r="G11" s="1335">
        <f>SUM(G5:G10)</f>
        <v>1515436.1861244526</v>
      </c>
      <c r="H11" s="353"/>
      <c r="I11" s="1333" t="s">
        <v>769</v>
      </c>
      <c r="J11" s="1333"/>
      <c r="K11" s="1333"/>
      <c r="L11" s="1334">
        <f>SUM(L5:L10)</f>
        <v>33777.831402554853</v>
      </c>
      <c r="M11" s="1334">
        <f>SUM(M5:M10)</f>
        <v>92508.517441149525</v>
      </c>
      <c r="N11" s="1335">
        <f>SUM(N5:N10)</f>
        <v>126286.34884370437</v>
      </c>
      <c r="P11" s="353"/>
      <c r="Q11" s="353"/>
      <c r="R11" s="9"/>
      <c r="S11" s="9"/>
      <c r="T11" s="9"/>
      <c r="U11" s="9"/>
      <c r="V11" s="9"/>
    </row>
    <row r="12" spans="1:22">
      <c r="A12" s="665"/>
      <c r="B12" s="665"/>
      <c r="C12" s="665"/>
      <c r="D12" s="665"/>
      <c r="E12" s="665"/>
      <c r="F12" s="665"/>
      <c r="G12" s="665"/>
      <c r="H12" s="665"/>
      <c r="I12" s="9"/>
      <c r="J12" s="665"/>
      <c r="K12" s="665"/>
      <c r="L12" s="353"/>
      <c r="M12" s="353"/>
      <c r="N12" s="353"/>
      <c r="O12" s="353"/>
      <c r="P12" s="353"/>
      <c r="Q12" s="353"/>
      <c r="R12" s="9"/>
      <c r="S12" s="9"/>
      <c r="T12" s="9"/>
      <c r="U12" s="9"/>
      <c r="V12" s="9"/>
    </row>
    <row r="13" spans="1:22">
      <c r="A13" s="667" t="s">
        <v>1329</v>
      </c>
      <c r="B13" s="665"/>
      <c r="C13" s="353"/>
      <c r="D13" s="353"/>
      <c r="E13" s="353"/>
      <c r="F13" s="665"/>
      <c r="G13" s="665"/>
      <c r="H13" s="665"/>
      <c r="I13" s="665"/>
      <c r="J13" s="665"/>
      <c r="K13" s="665"/>
      <c r="L13" s="665"/>
      <c r="M13" s="665"/>
      <c r="N13" s="665"/>
      <c r="O13" s="353"/>
      <c r="P13" s="353"/>
      <c r="Q13" s="353"/>
      <c r="R13" s="9"/>
      <c r="S13" s="9"/>
      <c r="T13" s="9"/>
      <c r="U13" s="9"/>
      <c r="V13" s="9"/>
    </row>
    <row r="14" spans="1:22">
      <c r="A14" s="1839" t="s">
        <v>22</v>
      </c>
      <c r="B14" s="1840" t="s">
        <v>1330</v>
      </c>
      <c r="C14" s="353"/>
      <c r="D14" s="353"/>
      <c r="E14" s="353"/>
      <c r="F14" s="677" t="s">
        <v>874</v>
      </c>
      <c r="G14" s="677" t="s">
        <v>874</v>
      </c>
      <c r="H14" s="677" t="s">
        <v>874</v>
      </c>
      <c r="I14" s="677" t="s">
        <v>874</v>
      </c>
      <c r="J14" s="677" t="s">
        <v>874</v>
      </c>
      <c r="K14" s="677" t="s">
        <v>874</v>
      </c>
      <c r="L14" s="677" t="s">
        <v>874</v>
      </c>
      <c r="M14" s="677" t="s">
        <v>874</v>
      </c>
      <c r="N14" s="677" t="s">
        <v>874</v>
      </c>
      <c r="O14" s="677" t="s">
        <v>874</v>
      </c>
      <c r="P14" s="677" t="s">
        <v>874</v>
      </c>
      <c r="Q14" s="677" t="s">
        <v>874</v>
      </c>
      <c r="R14" s="9"/>
      <c r="S14" s="9"/>
      <c r="T14" s="9"/>
      <c r="U14" s="9"/>
      <c r="V14" s="9"/>
    </row>
    <row r="15" spans="1:22">
      <c r="A15" s="1839"/>
      <c r="B15" s="1840"/>
      <c r="C15" s="678">
        <f t="shared" ref="C15:P15" si="6">EDATE(D15,-1)</f>
        <v>44348</v>
      </c>
      <c r="D15" s="678">
        <f>EDATE(E15,-1)</f>
        <v>44378</v>
      </c>
      <c r="E15" s="678">
        <f>EDATE(F15,-1)</f>
        <v>44409</v>
      </c>
      <c r="F15" s="679">
        <f>EDATE(G15,-1)</f>
        <v>44440</v>
      </c>
      <c r="G15" s="679">
        <f t="shared" si="6"/>
        <v>44470</v>
      </c>
      <c r="H15" s="679">
        <f t="shared" si="6"/>
        <v>44501</v>
      </c>
      <c r="I15" s="679">
        <f t="shared" si="6"/>
        <v>44531</v>
      </c>
      <c r="J15" s="679">
        <f t="shared" si="6"/>
        <v>44562</v>
      </c>
      <c r="K15" s="679">
        <f t="shared" si="6"/>
        <v>44593</v>
      </c>
      <c r="L15" s="679">
        <f t="shared" si="6"/>
        <v>44621</v>
      </c>
      <c r="M15" s="679">
        <f t="shared" si="6"/>
        <v>44652</v>
      </c>
      <c r="N15" s="679">
        <f t="shared" si="6"/>
        <v>44682</v>
      </c>
      <c r="O15" s="679">
        <f t="shared" si="6"/>
        <v>44713</v>
      </c>
      <c r="P15" s="679">
        <f t="shared" si="6"/>
        <v>44743</v>
      </c>
      <c r="Q15" s="679">
        <f>DATE(YEAR(DataRevRea),MONTH(DataRevRea)-1,1)</f>
        <v>44774</v>
      </c>
      <c r="R15" s="9"/>
      <c r="S15" s="9"/>
      <c r="T15" s="9"/>
      <c r="U15" s="9"/>
      <c r="V15" s="9"/>
    </row>
    <row r="16" spans="1:22">
      <c r="A16" s="680" t="s">
        <v>1331</v>
      </c>
      <c r="B16" s="681" t="s">
        <v>926</v>
      </c>
      <c r="C16" s="682">
        <f>C40</f>
        <v>0</v>
      </c>
      <c r="D16" s="682">
        <f t="shared" ref="D16:E16" si="7">D40</f>
        <v>0</v>
      </c>
      <c r="E16" s="682">
        <f t="shared" si="7"/>
        <v>0</v>
      </c>
      <c r="F16" s="682">
        <f t="shared" ref="F16:Q21" si="8">DSUM(MercadoBase,$B16,F$14:F$15)</f>
        <v>0</v>
      </c>
      <c r="G16" s="682">
        <f t="shared" si="8"/>
        <v>0</v>
      </c>
      <c r="H16" s="682">
        <f t="shared" si="8"/>
        <v>0</v>
      </c>
      <c r="I16" s="682">
        <f t="shared" si="8"/>
        <v>0</v>
      </c>
      <c r="J16" s="682">
        <f t="shared" si="8"/>
        <v>0</v>
      </c>
      <c r="K16" s="682">
        <f t="shared" si="8"/>
        <v>120658.26686958644</v>
      </c>
      <c r="L16" s="682">
        <f t="shared" si="8"/>
        <v>135076.94243020166</v>
      </c>
      <c r="M16" s="682">
        <f t="shared" si="8"/>
        <v>129066.96457696373</v>
      </c>
      <c r="N16" s="682">
        <f t="shared" si="8"/>
        <v>129860.73445514057</v>
      </c>
      <c r="O16" s="682">
        <f t="shared" si="8"/>
        <v>130574.4658057763</v>
      </c>
      <c r="P16" s="682">
        <f t="shared" si="8"/>
        <v>138450.03325353673</v>
      </c>
      <c r="Q16" s="682">
        <f t="shared" si="8"/>
        <v>137388.60728401644</v>
      </c>
      <c r="R16" s="9"/>
      <c r="S16" s="9"/>
      <c r="T16" s="9"/>
      <c r="U16" s="9"/>
      <c r="V16" s="9"/>
    </row>
    <row r="17" spans="1:22">
      <c r="A17" s="680" t="s">
        <v>1332</v>
      </c>
      <c r="B17" s="681" t="s">
        <v>927</v>
      </c>
      <c r="C17" s="682">
        <f t="shared" ref="C17:E21" si="9">C41</f>
        <v>0</v>
      </c>
      <c r="D17" s="682">
        <f t="shared" si="9"/>
        <v>0</v>
      </c>
      <c r="E17" s="682">
        <f t="shared" si="9"/>
        <v>0</v>
      </c>
      <c r="F17" s="682">
        <f t="shared" si="8"/>
        <v>0</v>
      </c>
      <c r="G17" s="682">
        <f t="shared" si="8"/>
        <v>0</v>
      </c>
      <c r="H17" s="682">
        <f t="shared" si="8"/>
        <v>0</v>
      </c>
      <c r="I17" s="682">
        <f t="shared" si="8"/>
        <v>0</v>
      </c>
      <c r="J17" s="682">
        <f t="shared" si="8"/>
        <v>0</v>
      </c>
      <c r="K17" s="682">
        <f t="shared" si="8"/>
        <v>0</v>
      </c>
      <c r="L17" s="682">
        <f t="shared" si="8"/>
        <v>0</v>
      </c>
      <c r="M17" s="682">
        <f t="shared" si="8"/>
        <v>0</v>
      </c>
      <c r="N17" s="682">
        <f t="shared" si="8"/>
        <v>0</v>
      </c>
      <c r="O17" s="682">
        <f t="shared" si="8"/>
        <v>0</v>
      </c>
      <c r="P17" s="682">
        <f t="shared" si="8"/>
        <v>0</v>
      </c>
      <c r="Q17" s="682">
        <f t="shared" si="8"/>
        <v>0</v>
      </c>
      <c r="R17" s="9"/>
      <c r="S17" s="9"/>
      <c r="T17" s="9"/>
      <c r="U17" s="9"/>
      <c r="V17" s="9"/>
    </row>
    <row r="18" spans="1:22">
      <c r="A18" s="680" t="s">
        <v>1333</v>
      </c>
      <c r="B18" s="681" t="s">
        <v>928</v>
      </c>
      <c r="C18" s="682">
        <f t="shared" si="9"/>
        <v>0</v>
      </c>
      <c r="D18" s="682">
        <f t="shared" si="9"/>
        <v>0</v>
      </c>
      <c r="E18" s="682">
        <f t="shared" si="9"/>
        <v>0</v>
      </c>
      <c r="F18" s="682">
        <f t="shared" si="8"/>
        <v>0</v>
      </c>
      <c r="G18" s="682">
        <f t="shared" si="8"/>
        <v>0</v>
      </c>
      <c r="H18" s="682">
        <f t="shared" si="8"/>
        <v>0</v>
      </c>
      <c r="I18" s="682">
        <f t="shared" si="8"/>
        <v>0</v>
      </c>
      <c r="J18" s="682">
        <f t="shared" si="8"/>
        <v>0</v>
      </c>
      <c r="K18" s="682">
        <f t="shared" si="8"/>
        <v>0</v>
      </c>
      <c r="L18" s="682">
        <f t="shared" si="8"/>
        <v>0</v>
      </c>
      <c r="M18" s="682">
        <f t="shared" si="8"/>
        <v>0</v>
      </c>
      <c r="N18" s="682">
        <f t="shared" si="8"/>
        <v>0</v>
      </c>
      <c r="O18" s="682">
        <f t="shared" si="8"/>
        <v>0</v>
      </c>
      <c r="P18" s="682">
        <f t="shared" si="8"/>
        <v>0</v>
      </c>
      <c r="Q18" s="682">
        <f t="shared" si="8"/>
        <v>0</v>
      </c>
      <c r="R18" s="9"/>
      <c r="S18" s="9"/>
      <c r="T18" s="9"/>
      <c r="U18" s="9"/>
      <c r="V18" s="9"/>
    </row>
    <row r="19" spans="1:22">
      <c r="A19" s="680" t="s">
        <v>1334</v>
      </c>
      <c r="B19" s="681" t="s">
        <v>929</v>
      </c>
      <c r="C19" s="682">
        <f t="shared" si="9"/>
        <v>0</v>
      </c>
      <c r="D19" s="682">
        <f t="shared" si="9"/>
        <v>0</v>
      </c>
      <c r="E19" s="682">
        <f t="shared" si="9"/>
        <v>0</v>
      </c>
      <c r="F19" s="682">
        <f t="shared" si="8"/>
        <v>10034.452844399999</v>
      </c>
      <c r="G19" s="682">
        <f t="shared" si="8"/>
        <v>10095.494582400002</v>
      </c>
      <c r="H19" s="682">
        <f t="shared" si="8"/>
        <v>9852.4340273999951</v>
      </c>
      <c r="I19" s="682">
        <f t="shared" si="8"/>
        <v>10475.127152999996</v>
      </c>
      <c r="J19" s="682">
        <f t="shared" si="8"/>
        <v>9430.8489708000088</v>
      </c>
      <c r="K19" s="682">
        <f t="shared" si="8"/>
        <v>8801.6577648000075</v>
      </c>
      <c r="L19" s="682">
        <f t="shared" si="8"/>
        <v>8819.9645885999998</v>
      </c>
      <c r="M19" s="682">
        <f t="shared" si="8"/>
        <v>9130.3374636000008</v>
      </c>
      <c r="N19" s="682">
        <f t="shared" si="8"/>
        <v>9679.9781178000012</v>
      </c>
      <c r="O19" s="682">
        <f t="shared" si="8"/>
        <v>8884.9449329999989</v>
      </c>
      <c r="P19" s="682">
        <f t="shared" si="8"/>
        <v>9416.845998599998</v>
      </c>
      <c r="Q19" s="682">
        <f t="shared" si="8"/>
        <v>9596.4972204000114</v>
      </c>
      <c r="R19" s="9"/>
      <c r="S19" s="9"/>
      <c r="T19" s="9"/>
      <c r="U19" s="9"/>
      <c r="V19" s="9"/>
    </row>
    <row r="20" spans="1:22">
      <c r="A20" s="680" t="s">
        <v>1335</v>
      </c>
      <c r="B20" s="681" t="s">
        <v>930</v>
      </c>
      <c r="C20" s="682">
        <f t="shared" si="9"/>
        <v>0</v>
      </c>
      <c r="D20" s="682">
        <f t="shared" si="9"/>
        <v>0</v>
      </c>
      <c r="E20" s="682">
        <f t="shared" si="9"/>
        <v>0</v>
      </c>
      <c r="F20" s="682">
        <f t="shared" si="8"/>
        <v>8942.1009899999954</v>
      </c>
      <c r="G20" s="682">
        <f t="shared" si="8"/>
        <v>8725.107909999997</v>
      </c>
      <c r="H20" s="682">
        <f t="shared" si="8"/>
        <v>9134.2268599999952</v>
      </c>
      <c r="I20" s="682">
        <f t="shared" si="8"/>
        <v>9558.610829999996</v>
      </c>
      <c r="J20" s="682">
        <f t="shared" si="8"/>
        <v>11108.010359999997</v>
      </c>
      <c r="K20" s="682">
        <f t="shared" si="8"/>
        <v>10568.810459999993</v>
      </c>
      <c r="L20" s="682">
        <f t="shared" si="8"/>
        <v>10881.333019999996</v>
      </c>
      <c r="M20" s="682">
        <f t="shared" si="8"/>
        <v>10271.963269999995</v>
      </c>
      <c r="N20" s="682">
        <f t="shared" si="8"/>
        <v>9659.5569299999952</v>
      </c>
      <c r="O20" s="682">
        <f t="shared" si="8"/>
        <v>7870.7592099999974</v>
      </c>
      <c r="P20" s="682">
        <f t="shared" si="8"/>
        <v>8300.1494499999972</v>
      </c>
      <c r="Q20" s="682">
        <f t="shared" si="8"/>
        <v>8561.5423999999966</v>
      </c>
      <c r="R20" s="9"/>
      <c r="S20" s="9"/>
      <c r="T20" s="9"/>
      <c r="U20" s="9"/>
      <c r="V20" s="9"/>
    </row>
    <row r="21" spans="1:22">
      <c r="A21" s="680" t="s">
        <v>1336</v>
      </c>
      <c r="B21" s="681" t="s">
        <v>931</v>
      </c>
      <c r="C21" s="682">
        <f t="shared" si="9"/>
        <v>0</v>
      </c>
      <c r="D21" s="682">
        <f t="shared" si="9"/>
        <v>0</v>
      </c>
      <c r="E21" s="682">
        <f t="shared" si="9"/>
        <v>0</v>
      </c>
      <c r="F21" s="682">
        <f t="shared" si="8"/>
        <v>0</v>
      </c>
      <c r="G21" s="682">
        <f t="shared" si="8"/>
        <v>0</v>
      </c>
      <c r="H21" s="682">
        <f t="shared" si="8"/>
        <v>0</v>
      </c>
      <c r="I21" s="682">
        <f t="shared" si="8"/>
        <v>0</v>
      </c>
      <c r="J21" s="682">
        <f t="shared" si="8"/>
        <v>0</v>
      </c>
      <c r="K21" s="682">
        <f t="shared" si="8"/>
        <v>0</v>
      </c>
      <c r="L21" s="682">
        <f t="shared" si="8"/>
        <v>0</v>
      </c>
      <c r="M21" s="682">
        <f t="shared" si="8"/>
        <v>0</v>
      </c>
      <c r="N21" s="682">
        <f t="shared" si="8"/>
        <v>0</v>
      </c>
      <c r="O21" s="682">
        <f t="shared" si="8"/>
        <v>0</v>
      </c>
      <c r="P21" s="682">
        <f>DSUM(MercadoBase,$B21,P$14:P$15)</f>
        <v>0</v>
      </c>
      <c r="Q21" s="682">
        <f t="shared" si="8"/>
        <v>0</v>
      </c>
      <c r="R21" s="9"/>
      <c r="S21" s="9"/>
      <c r="T21" s="9"/>
      <c r="U21" s="9"/>
      <c r="V21" s="9"/>
    </row>
    <row r="22" spans="1:22">
      <c r="A22" s="1336" t="s">
        <v>1337</v>
      </c>
      <c r="B22" s="1337" t="s">
        <v>1194</v>
      </c>
      <c r="C22" s="1338">
        <f>VLOOKUP($Q$15,Índices!$B:$F,2,FALSE)/VLOOKUP(EDATE(C15,-1),Índices!$B:$F,2,FALSE)</f>
        <v>1.1082167683385875</v>
      </c>
      <c r="D22" s="1338">
        <f>VLOOKUP($Q$15,Índices!$B:$F,2,FALSE)/VLOOKUP(EDATE(D15,-1),Índices!$B:$F,2,FALSE)</f>
        <v>1.1015781797155986</v>
      </c>
      <c r="E22" s="1338">
        <f>VLOOKUP($Q$15,Índices!$B:$F,2,FALSE)/VLOOKUP(EDATE(E15,-1),Índices!$B:$F,2,FALSE)</f>
        <v>1.0930813258985603</v>
      </c>
      <c r="F22" s="1338">
        <f>VLOOKUP($Q$15,Índices!$B:$F,2,FALSE)/VLOOKUP(EDATE(F15,-1),Índices!$B:$F,2,FALSE)</f>
        <v>1.0858745154816776</v>
      </c>
      <c r="G22" s="1338">
        <f>VLOOKUP($Q$15,Índices!$B:$F,2,FALSE)/VLOOKUP(EDATE(G15,-1),Índices!$B:$F,2,FALSE)</f>
        <v>1.0928625709205468</v>
      </c>
      <c r="H22" s="1338">
        <f>VLOOKUP($Q$15,Índices!$B:$F,2,FALSE)/VLOOKUP(EDATE(H15,-1),Índices!$B:$F,2,FALSE)</f>
        <v>1.0858814807891262</v>
      </c>
      <c r="I22" s="1338">
        <f>VLOOKUP($Q$15,Índices!$B:$F,2,FALSE)/VLOOKUP(EDATE(I15,-1),Índices!$B:$F,2,FALSE)</f>
        <v>1.0856825071943401</v>
      </c>
      <c r="J22" s="1338">
        <f>VLOOKUP($Q$15,Índices!$B:$F,2,FALSE)/VLOOKUP(EDATE(J15,-1),Índices!$B:$F,2,FALSE)</f>
        <v>1.0763096418852884</v>
      </c>
      <c r="K22" s="1338">
        <f>VLOOKUP($Q$15,Índices!$B:$F,2,FALSE)/VLOOKUP(EDATE(K15,-1),Índices!$B:$F,2,FALSE)</f>
        <v>1.0570963934847399</v>
      </c>
      <c r="L22" s="1338">
        <f>VLOOKUP($Q$15,Índices!$B:$F,2,FALSE)/VLOOKUP(EDATE(L15,-1),Índices!$B:$F,2,FALSE)</f>
        <v>1.0380694251480009</v>
      </c>
      <c r="M22" s="1338">
        <f>VLOOKUP($Q$15,Índices!$B:$F,2,FALSE)/VLOOKUP(EDATE(M15,-1),Índices!$B:$F,2,FALSE)</f>
        <v>1.0203079339221537</v>
      </c>
      <c r="N22" s="1338">
        <f>VLOOKUP($Q$15,Índices!$B:$F,2,FALSE)/VLOOKUP(EDATE(N15,-1),Índices!$B:$F,2,FALSE)</f>
        <v>1.0061088003233121</v>
      </c>
      <c r="O22" s="1338">
        <f>VLOOKUP($Q$15,Índices!$B:$F,2,FALSE)/VLOOKUP(EDATE(O15,-1),Índices!$B:$F,2,FALSE)</f>
        <v>1.0008877041571751</v>
      </c>
      <c r="P22" s="1338">
        <f>VLOOKUP($Q$15,Índices!$B:$F,2,FALSE)/VLOOKUP(EDATE(P15,-1),Índices!$B:$F,2,FALSE)</f>
        <v>0.99506416252827723</v>
      </c>
      <c r="Q22" s="1338">
        <f>VLOOKUP($Q$15,Índices!$B:$F,2,FALSE)/VLOOKUP(EDATE(Q15,-1),Índices!$B:$F,2,FALSE)</f>
        <v>0.99301706056210437</v>
      </c>
      <c r="R22" s="9"/>
      <c r="S22" s="9"/>
      <c r="T22" s="9"/>
      <c r="U22" s="9"/>
      <c r="V22" s="9"/>
    </row>
    <row r="23" spans="1:22">
      <c r="A23" s="1339" t="s">
        <v>1338</v>
      </c>
      <c r="B23" s="1340"/>
      <c r="C23" s="1341">
        <f t="shared" ref="C23:Q23" si="10">SUM(C16:C21)*C22</f>
        <v>0</v>
      </c>
      <c r="D23" s="1341">
        <f t="shared" si="10"/>
        <v>0</v>
      </c>
      <c r="E23" s="1341">
        <f t="shared" si="10"/>
        <v>0</v>
      </c>
      <c r="F23" s="1342">
        <f>SUM(F16:F21)*F22</f>
        <v>20606.156200441066</v>
      </c>
      <c r="G23" s="1342">
        <f t="shared" si="10"/>
        <v>20568.332026117918</v>
      </c>
      <c r="H23" s="1342">
        <f t="shared" si="10"/>
        <v>20617.263439650887</v>
      </c>
      <c r="I23" s="1342">
        <f t="shared" si="10"/>
        <v>21750.278881857914</v>
      </c>
      <c r="J23" s="1342">
        <f t="shared" si="10"/>
        <v>22106.172331065667</v>
      </c>
      <c r="K23" s="1342">
        <f t="shared" si="10"/>
        <v>148023.87085250593</v>
      </c>
      <c r="L23" s="1342">
        <f t="shared" si="10"/>
        <v>160670.55866249814</v>
      </c>
      <c r="M23" s="1342">
        <f t="shared" si="10"/>
        <v>151484.36933996135</v>
      </c>
      <c r="N23" s="1342">
        <f t="shared" si="10"/>
        <v>150111.70415751837</v>
      </c>
      <c r="O23" s="1342">
        <f t="shared" si="10"/>
        <v>147460.95555311712</v>
      </c>
      <c r="P23" s="1342">
        <f t="shared" si="10"/>
        <v>155396.21363002114</v>
      </c>
      <c r="Q23" s="1342">
        <f t="shared" si="10"/>
        <v>154460.47408931519</v>
      </c>
      <c r="R23" s="9"/>
      <c r="S23" s="9"/>
      <c r="T23" s="9"/>
      <c r="U23" s="9"/>
      <c r="V23" s="9"/>
    </row>
    <row r="24" spans="1:22">
      <c r="A24" s="9"/>
      <c r="B24" s="9"/>
      <c r="C24" s="9" t="s">
        <v>1339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67" t="s">
        <v>1340</v>
      </c>
      <c r="B25" s="665"/>
      <c r="C25" s="665"/>
      <c r="D25" s="665"/>
      <c r="E25" s="665"/>
      <c r="F25" s="665"/>
      <c r="G25" s="665"/>
      <c r="H25" s="665"/>
      <c r="I25" s="665"/>
      <c r="J25" s="665"/>
      <c r="K25" s="665"/>
      <c r="L25" s="665"/>
      <c r="M25" s="665"/>
      <c r="N25" s="665"/>
      <c r="O25" s="353"/>
      <c r="P25" s="353"/>
      <c r="Q25" s="353"/>
      <c r="R25" s="9"/>
      <c r="S25" s="9"/>
      <c r="T25" s="9"/>
      <c r="U25" s="9"/>
      <c r="V25" s="9"/>
    </row>
    <row r="26" spans="1:22">
      <c r="A26" s="1839" t="s">
        <v>22</v>
      </c>
      <c r="B26" s="1840" t="s">
        <v>1330</v>
      </c>
      <c r="C26" s="677" t="s">
        <v>874</v>
      </c>
      <c r="D26" s="677" t="s">
        <v>874</v>
      </c>
      <c r="E26" s="677" t="s">
        <v>874</v>
      </c>
      <c r="F26" s="677" t="s">
        <v>874</v>
      </c>
      <c r="G26" s="677" t="s">
        <v>874</v>
      </c>
      <c r="H26" s="677" t="s">
        <v>874</v>
      </c>
      <c r="I26" s="677" t="s">
        <v>874</v>
      </c>
      <c r="J26" s="677" t="s">
        <v>874</v>
      </c>
      <c r="K26" s="677" t="s">
        <v>874</v>
      </c>
      <c r="L26" s="677" t="s">
        <v>874</v>
      </c>
      <c r="M26" s="677" t="s">
        <v>874</v>
      </c>
      <c r="N26" s="677" t="s">
        <v>874</v>
      </c>
      <c r="O26" s="677" t="s">
        <v>874</v>
      </c>
      <c r="P26" s="677" t="s">
        <v>874</v>
      </c>
      <c r="Q26" s="677" t="s">
        <v>874</v>
      </c>
      <c r="R26" s="9"/>
      <c r="S26" s="9"/>
      <c r="T26" s="9"/>
      <c r="U26" s="9"/>
      <c r="V26" s="9"/>
    </row>
    <row r="27" spans="1:22">
      <c r="A27" s="1839"/>
      <c r="B27" s="1840"/>
      <c r="C27" s="678">
        <f t="shared" ref="C27:Q27" si="11">C15</f>
        <v>44348</v>
      </c>
      <c r="D27" s="678">
        <f t="shared" si="11"/>
        <v>44378</v>
      </c>
      <c r="E27" s="678">
        <f t="shared" si="11"/>
        <v>44409</v>
      </c>
      <c r="F27" s="679">
        <f>F15</f>
        <v>44440</v>
      </c>
      <c r="G27" s="679">
        <f t="shared" si="11"/>
        <v>44470</v>
      </c>
      <c r="H27" s="679">
        <f t="shared" si="11"/>
        <v>44501</v>
      </c>
      <c r="I27" s="679">
        <f t="shared" si="11"/>
        <v>44531</v>
      </c>
      <c r="J27" s="679">
        <f t="shared" si="11"/>
        <v>44562</v>
      </c>
      <c r="K27" s="679">
        <f t="shared" si="11"/>
        <v>44593</v>
      </c>
      <c r="L27" s="679">
        <f t="shared" si="11"/>
        <v>44621</v>
      </c>
      <c r="M27" s="679">
        <f t="shared" si="11"/>
        <v>44652</v>
      </c>
      <c r="N27" s="679">
        <f t="shared" si="11"/>
        <v>44682</v>
      </c>
      <c r="O27" s="679">
        <f t="shared" si="11"/>
        <v>44713</v>
      </c>
      <c r="P27" s="679">
        <f t="shared" si="11"/>
        <v>44743</v>
      </c>
      <c r="Q27" s="679">
        <f t="shared" si="11"/>
        <v>44774</v>
      </c>
      <c r="S27" s="9"/>
      <c r="T27" s="9"/>
      <c r="U27" s="9"/>
      <c r="V27" s="9"/>
    </row>
    <row r="28" spans="1:22">
      <c r="A28" s="680" t="s">
        <v>1331</v>
      </c>
      <c r="B28" s="681" t="s">
        <v>697</v>
      </c>
      <c r="C28" s="682">
        <f>IF(C40=0,0,VLOOKUP($B28,BD!$B$61:$C$66,2,FALSE))</f>
        <v>0</v>
      </c>
      <c r="D28" s="682">
        <f>IF(D40=0,0,VLOOKUP($B28,BD!$B$61:$C$66,2,FALSE))</f>
        <v>0</v>
      </c>
      <c r="E28" s="682">
        <f>IF(E40=0,0,VLOOKUP($B28,BD!$B$61:$C$66,2,FALSE))</f>
        <v>0</v>
      </c>
      <c r="F28" s="682">
        <f>VLOOKUP($B28,BD!$B$61:$C$66,2,FALSE)</f>
        <v>41371.43</v>
      </c>
      <c r="G28" s="682">
        <f>VLOOKUP($B28,BD!$B$61:$C$66,2,FALSE)</f>
        <v>41371.43</v>
      </c>
      <c r="H28" s="682">
        <f>VLOOKUP($B28,BD!$B$61:$C$66,2,FALSE)</f>
        <v>41371.43</v>
      </c>
      <c r="I28" s="682">
        <f>VLOOKUP($B28,BD!$B$61:$C$66,2,FALSE)</f>
        <v>41371.43</v>
      </c>
      <c r="J28" s="682">
        <f>VLOOKUP($B28,BD!$B$61:$C$66,2,FALSE)</f>
        <v>41371.43</v>
      </c>
      <c r="K28" s="682">
        <f>VLOOKUP($B28,BD!$B$61:$C$66,2,FALSE)</f>
        <v>41371.43</v>
      </c>
      <c r="L28" s="682">
        <f>VLOOKUP($B28,BD!$B$61:$C$66,2,FALSE)</f>
        <v>41371.43</v>
      </c>
      <c r="M28" s="682">
        <f>VLOOKUP($B28,BD!$B$61:$C$66,2,FALSE)</f>
        <v>41371.43</v>
      </c>
      <c r="N28" s="682">
        <f>VLOOKUP($B28,BD!$B$61:$C$66,2,FALSE)</f>
        <v>41371.43</v>
      </c>
      <c r="O28" s="682">
        <f>VLOOKUP($B28,BD!$B$61:$C$66,2,FALSE)</f>
        <v>41371.43</v>
      </c>
      <c r="P28" s="682">
        <f>VLOOKUP($B28,BD!$B$61:$C$66,2,FALSE)</f>
        <v>41371.43</v>
      </c>
      <c r="Q28" s="682">
        <f>VLOOKUP($B28,BD!$B$61:$C$66,2,FALSE)</f>
        <v>41371.43</v>
      </c>
      <c r="S28" s="9"/>
      <c r="T28" s="9"/>
      <c r="U28" s="9"/>
      <c r="V28" s="9"/>
    </row>
    <row r="29" spans="1:22">
      <c r="A29" s="680" t="s">
        <v>1332</v>
      </c>
      <c r="B29" s="681" t="s">
        <v>699</v>
      </c>
      <c r="C29" s="682">
        <f>IF(C41=0,0,VLOOKUP($B29,BD!$B$61:$C$66,2,FALSE))</f>
        <v>0</v>
      </c>
      <c r="D29" s="682">
        <f>IF(D41=0,0,VLOOKUP($B29,BD!$B$61:$C$66,2,FALSE))</f>
        <v>0</v>
      </c>
      <c r="E29" s="682">
        <f>IF(E41=0,0,VLOOKUP($B29,BD!$B$61:$C$66,2,FALSE))</f>
        <v>0</v>
      </c>
      <c r="F29" s="682">
        <f>VLOOKUP($B29,BD!$B$61:$C$66,2,FALSE)</f>
        <v>0</v>
      </c>
      <c r="G29" s="682">
        <f>VLOOKUP($B29,BD!$B$61:$C$66,2,FALSE)</f>
        <v>0</v>
      </c>
      <c r="H29" s="682">
        <f>VLOOKUP($B29,BD!$B$61:$C$66,2,FALSE)</f>
        <v>0</v>
      </c>
      <c r="I29" s="682">
        <f>VLOOKUP($B29,BD!$B$61:$C$66,2,FALSE)</f>
        <v>0</v>
      </c>
      <c r="J29" s="682">
        <f>VLOOKUP($B29,BD!$B$61:$C$66,2,FALSE)</f>
        <v>0</v>
      </c>
      <c r="K29" s="682">
        <f>VLOOKUP($B29,BD!$B$61:$C$66,2,FALSE)</f>
        <v>0</v>
      </c>
      <c r="L29" s="682">
        <f>VLOOKUP($B29,BD!$B$61:$C$66,2,FALSE)</f>
        <v>0</v>
      </c>
      <c r="M29" s="682">
        <f>VLOOKUP($B29,BD!$B$61:$C$66,2,FALSE)</f>
        <v>0</v>
      </c>
      <c r="N29" s="682">
        <f>VLOOKUP($B29,BD!$B$61:$C$66,2,FALSE)</f>
        <v>0</v>
      </c>
      <c r="O29" s="682">
        <f>VLOOKUP($B29,BD!$B$61:$C$66,2,FALSE)</f>
        <v>0</v>
      </c>
      <c r="P29" s="682">
        <f>VLOOKUP($B29,BD!$B$61:$C$66,2,FALSE)</f>
        <v>0</v>
      </c>
      <c r="Q29" s="682">
        <f>VLOOKUP($B29,BD!$B$61:$C$66,2,FALSE)</f>
        <v>0</v>
      </c>
      <c r="S29" s="9"/>
      <c r="T29" s="9"/>
      <c r="U29" s="9"/>
      <c r="V29" s="9"/>
    </row>
    <row r="30" spans="1:22">
      <c r="A30" s="680" t="s">
        <v>1333</v>
      </c>
      <c r="B30" s="681" t="s">
        <v>701</v>
      </c>
      <c r="C30" s="682">
        <f>IF(C42=0,0,VLOOKUP($B30,BD!$B$61:$C$66,2,FALSE))</f>
        <v>0</v>
      </c>
      <c r="D30" s="682">
        <f>IF(D42=0,0,VLOOKUP($B30,BD!$B$61:$C$66,2,FALSE))</f>
        <v>0</v>
      </c>
      <c r="E30" s="682">
        <f>IF(E42=0,0,VLOOKUP($B30,BD!$B$61:$C$66,2,FALSE))</f>
        <v>0</v>
      </c>
      <c r="F30" s="682">
        <f>VLOOKUP($B30,BD!$B$61:$C$66,2,FALSE)</f>
        <v>0</v>
      </c>
      <c r="G30" s="682">
        <f>VLOOKUP($B30,BD!$B$61:$C$66,2,FALSE)</f>
        <v>0</v>
      </c>
      <c r="H30" s="682">
        <f>VLOOKUP($B30,BD!$B$61:$C$66,2,FALSE)</f>
        <v>0</v>
      </c>
      <c r="I30" s="682">
        <f>VLOOKUP($B30,BD!$B$61:$C$66,2,FALSE)</f>
        <v>0</v>
      </c>
      <c r="J30" s="682">
        <f>VLOOKUP($B30,BD!$B$61:$C$66,2,FALSE)</f>
        <v>0</v>
      </c>
      <c r="K30" s="682">
        <f>VLOOKUP($B30,BD!$B$61:$C$66,2,FALSE)</f>
        <v>0</v>
      </c>
      <c r="L30" s="682">
        <f>VLOOKUP($B30,BD!$B$61:$C$66,2,FALSE)</f>
        <v>0</v>
      </c>
      <c r="M30" s="682">
        <f>VLOOKUP($B30,BD!$B$61:$C$66,2,FALSE)</f>
        <v>0</v>
      </c>
      <c r="N30" s="682">
        <f>VLOOKUP($B30,BD!$B$61:$C$66,2,FALSE)</f>
        <v>0</v>
      </c>
      <c r="O30" s="682">
        <f>VLOOKUP($B30,BD!$B$61:$C$66,2,FALSE)</f>
        <v>0</v>
      </c>
      <c r="P30" s="682">
        <f>VLOOKUP($B30,BD!$B$61:$C$66,2,FALSE)</f>
        <v>0</v>
      </c>
      <c r="Q30" s="682">
        <f>VLOOKUP($B30,BD!$B$61:$C$66,2,FALSE)</f>
        <v>0</v>
      </c>
      <c r="S30" s="9"/>
      <c r="T30" s="9"/>
      <c r="U30" s="9"/>
      <c r="V30" s="9"/>
    </row>
    <row r="31" spans="1:22">
      <c r="A31" s="680" t="s">
        <v>1334</v>
      </c>
      <c r="B31" s="681" t="s">
        <v>702</v>
      </c>
      <c r="C31" s="682">
        <f>IF(C43=0,0,VLOOKUP($B31,BD!$B$61:$C$66,2,FALSE))</f>
        <v>0</v>
      </c>
      <c r="D31" s="682">
        <f>IF(D43=0,0,VLOOKUP($B31,BD!$B$61:$C$66,2,FALSE))</f>
        <v>0</v>
      </c>
      <c r="E31" s="682">
        <f>IF(E43=0,0,VLOOKUP($B31,BD!$B$61:$C$66,2,FALSE))</f>
        <v>0</v>
      </c>
      <c r="F31" s="682">
        <f>VLOOKUP($B31,BD!$B$61:$C$66,2,FALSE)</f>
        <v>10357.9</v>
      </c>
      <c r="G31" s="682">
        <f>VLOOKUP($B31,BD!$B$61:$C$66,2,FALSE)</f>
        <v>10357.9</v>
      </c>
      <c r="H31" s="682">
        <f>VLOOKUP($B31,BD!$B$61:$C$66,2,FALSE)</f>
        <v>10357.9</v>
      </c>
      <c r="I31" s="682">
        <f>VLOOKUP($B31,BD!$B$61:$C$66,2,FALSE)</f>
        <v>10357.9</v>
      </c>
      <c r="J31" s="682">
        <f>VLOOKUP($B31,BD!$B$61:$C$66,2,FALSE)</f>
        <v>10357.9</v>
      </c>
      <c r="K31" s="682">
        <f>VLOOKUP($B31,BD!$B$61:$C$66,2,FALSE)</f>
        <v>10357.9</v>
      </c>
      <c r="L31" s="682">
        <f>VLOOKUP($B31,BD!$B$61:$C$66,2,FALSE)</f>
        <v>10357.9</v>
      </c>
      <c r="M31" s="682">
        <f>VLOOKUP($B31,BD!$B$61:$C$66,2,FALSE)</f>
        <v>10357.9</v>
      </c>
      <c r="N31" s="682">
        <f>VLOOKUP($B31,BD!$B$61:$C$66,2,FALSE)</f>
        <v>10357.9</v>
      </c>
      <c r="O31" s="682">
        <f>VLOOKUP($B31,BD!$B$61:$C$66,2,FALSE)</f>
        <v>10357.9</v>
      </c>
      <c r="P31" s="682">
        <f>VLOOKUP($B31,BD!$B$61:$C$66,2,FALSE)</f>
        <v>10357.9</v>
      </c>
      <c r="Q31" s="682">
        <f>VLOOKUP($B31,BD!$B$61:$C$66,2,FALSE)</f>
        <v>10357.9</v>
      </c>
      <c r="S31" s="9"/>
      <c r="T31" s="9"/>
      <c r="U31" s="9"/>
      <c r="V31" s="9"/>
    </row>
    <row r="32" spans="1:22">
      <c r="A32" s="680" t="s">
        <v>1335</v>
      </c>
      <c r="B32" s="681" t="s">
        <v>705</v>
      </c>
      <c r="C32" s="682">
        <f>IF(C44=0,0,VLOOKUP($B32,BD!$B$61:$C$66,2,FALSE))</f>
        <v>0</v>
      </c>
      <c r="D32" s="682">
        <f>IF(D44=0,0,VLOOKUP($B32,BD!$B$61:$C$66,2,FALSE))</f>
        <v>0</v>
      </c>
      <c r="E32" s="682">
        <f>IF(E44=0,0,VLOOKUP($B32,BD!$B$61:$C$66,2,FALSE))</f>
        <v>0</v>
      </c>
      <c r="F32" s="682">
        <f>VLOOKUP($B32,BD!$B$61:$C$66,2,FALSE)</f>
        <v>9522.36</v>
      </c>
      <c r="G32" s="682">
        <f>VLOOKUP($B32,BD!$B$61:$C$66,2,FALSE)</f>
        <v>9522.36</v>
      </c>
      <c r="H32" s="682">
        <f>VLOOKUP($B32,BD!$B$61:$C$66,2,FALSE)</f>
        <v>9522.36</v>
      </c>
      <c r="I32" s="682">
        <f>VLOOKUP($B32,BD!$B$61:$C$66,2,FALSE)</f>
        <v>9522.36</v>
      </c>
      <c r="J32" s="682">
        <f>VLOOKUP($B32,BD!$B$61:$C$66,2,FALSE)</f>
        <v>9522.36</v>
      </c>
      <c r="K32" s="682">
        <f>VLOOKUP($B32,BD!$B$61:$C$66,2,FALSE)</f>
        <v>9522.36</v>
      </c>
      <c r="L32" s="682">
        <f>VLOOKUP($B32,BD!$B$61:$C$66,2,FALSE)</f>
        <v>9522.36</v>
      </c>
      <c r="M32" s="682">
        <f>VLOOKUP($B32,BD!$B$61:$C$66,2,FALSE)</f>
        <v>9522.36</v>
      </c>
      <c r="N32" s="682">
        <f>VLOOKUP($B32,BD!$B$61:$C$66,2,FALSE)</f>
        <v>9522.36</v>
      </c>
      <c r="O32" s="682">
        <f>VLOOKUP($B32,BD!$B$61:$C$66,2,FALSE)</f>
        <v>9522.36</v>
      </c>
      <c r="P32" s="682">
        <f>VLOOKUP($B32,BD!$B$61:$C$66,2,FALSE)</f>
        <v>9522.36</v>
      </c>
      <c r="Q32" s="682">
        <f>VLOOKUP($B32,BD!$B$61:$C$66,2,FALSE)</f>
        <v>9522.36</v>
      </c>
      <c r="S32" s="9"/>
      <c r="T32" s="9"/>
      <c r="U32" s="9"/>
      <c r="V32" s="9"/>
    </row>
    <row r="33" spans="1:22">
      <c r="A33" s="683" t="s">
        <v>1336</v>
      </c>
      <c r="B33" s="681" t="s">
        <v>707</v>
      </c>
      <c r="C33" s="682">
        <f>IF(C45=0,0,VLOOKUP($B33,BD!$B$61:$C$66,2,FALSE))</f>
        <v>0</v>
      </c>
      <c r="D33" s="682">
        <f>IF(D45=0,0,VLOOKUP($B33,BD!$B$61:$C$66,2,FALSE))</f>
        <v>0</v>
      </c>
      <c r="E33" s="682">
        <f>IF(E45=0,0,VLOOKUP($B33,BD!$B$61:$C$66,2,FALSE))</f>
        <v>0</v>
      </c>
      <c r="F33" s="682">
        <f>VLOOKUP($B33,BD!$B$61:$C$66,2,FALSE)</f>
        <v>0</v>
      </c>
      <c r="G33" s="682">
        <f>VLOOKUP($B33,BD!$B$61:$C$66,2,FALSE)</f>
        <v>0</v>
      </c>
      <c r="H33" s="682">
        <f>VLOOKUP($B33,BD!$B$61:$C$66,2,FALSE)</f>
        <v>0</v>
      </c>
      <c r="I33" s="682">
        <f>VLOOKUP($B33,BD!$B$61:$C$66,2,FALSE)</f>
        <v>0</v>
      </c>
      <c r="J33" s="682">
        <f>VLOOKUP($B33,BD!$B$61:$C$66,2,FALSE)</f>
        <v>0</v>
      </c>
      <c r="K33" s="682">
        <f>VLOOKUP($B33,BD!$B$61:$C$66,2,FALSE)</f>
        <v>0</v>
      </c>
      <c r="L33" s="682">
        <f>VLOOKUP($B33,BD!$B$61:$C$66,2,FALSE)</f>
        <v>0</v>
      </c>
      <c r="M33" s="682">
        <f>VLOOKUP($B33,BD!$B$61:$C$66,2,FALSE)</f>
        <v>0</v>
      </c>
      <c r="N33" s="682">
        <f>VLOOKUP($B33,BD!$B$61:$C$66,2,FALSE)</f>
        <v>0</v>
      </c>
      <c r="O33" s="682">
        <f>VLOOKUP($B33,BD!$B$61:$C$66,2,FALSE)</f>
        <v>0</v>
      </c>
      <c r="P33" s="682">
        <f>VLOOKUP($B33,BD!$B$61:$C$66,2,FALSE)</f>
        <v>0</v>
      </c>
      <c r="Q33" s="682">
        <f>VLOOKUP($B33,BD!$B$61:$C$66,2,FALSE)</f>
        <v>0</v>
      </c>
      <c r="S33" s="9"/>
      <c r="T33" s="9"/>
      <c r="U33" s="9"/>
      <c r="V33" s="9"/>
    </row>
    <row r="34" spans="1:22">
      <c r="A34" s="1336" t="s">
        <v>1337</v>
      </c>
      <c r="B34" s="1337" t="s">
        <v>1194</v>
      </c>
      <c r="C34" s="1343">
        <f t="shared" ref="C34:Q34" si="12">C22</f>
        <v>1.1082167683385875</v>
      </c>
      <c r="D34" s="1343">
        <f t="shared" si="12"/>
        <v>1.1015781797155986</v>
      </c>
      <c r="E34" s="1343">
        <f t="shared" si="12"/>
        <v>1.0930813258985603</v>
      </c>
      <c r="F34" s="1338">
        <f t="shared" si="12"/>
        <v>1.0858745154816776</v>
      </c>
      <c r="G34" s="1338">
        <f t="shared" si="12"/>
        <v>1.0928625709205468</v>
      </c>
      <c r="H34" s="1338">
        <f t="shared" si="12"/>
        <v>1.0858814807891262</v>
      </c>
      <c r="I34" s="1338">
        <f t="shared" si="12"/>
        <v>1.0856825071943401</v>
      </c>
      <c r="J34" s="1338">
        <f t="shared" si="12"/>
        <v>1.0763096418852884</v>
      </c>
      <c r="K34" s="1338">
        <f t="shared" si="12"/>
        <v>1.0570963934847399</v>
      </c>
      <c r="L34" s="1338">
        <f t="shared" si="12"/>
        <v>1.0380694251480009</v>
      </c>
      <c r="M34" s="1338">
        <f t="shared" si="12"/>
        <v>1.0203079339221537</v>
      </c>
      <c r="N34" s="1338">
        <f t="shared" si="12"/>
        <v>1.0061088003233121</v>
      </c>
      <c r="O34" s="1338">
        <f t="shared" si="12"/>
        <v>1.0008877041571751</v>
      </c>
      <c r="P34" s="1338">
        <f t="shared" si="12"/>
        <v>0.99506416252827723</v>
      </c>
      <c r="Q34" s="1338">
        <f t="shared" si="12"/>
        <v>0.99301706056210437</v>
      </c>
      <c r="S34" s="9"/>
      <c r="T34" s="9"/>
      <c r="U34" s="9"/>
      <c r="V34" s="9"/>
    </row>
    <row r="35" spans="1:22">
      <c r="A35" s="1339" t="s">
        <v>1338</v>
      </c>
      <c r="B35" s="1340"/>
      <c r="C35" s="1341">
        <f>SUM(C28:C33)*C34</f>
        <v>0</v>
      </c>
      <c r="D35" s="1341">
        <f t="shared" ref="D35:Q35" si="13">SUM(D28:D33)*D34</f>
        <v>0</v>
      </c>
      <c r="E35" s="1341">
        <f t="shared" si="13"/>
        <v>0</v>
      </c>
      <c r="F35" s="1342">
        <f t="shared" si="13"/>
        <v>66511.649201183915</v>
      </c>
      <c r="G35" s="1342">
        <f t="shared" si="13"/>
        <v>66939.679406628347</v>
      </c>
      <c r="H35" s="1342">
        <f t="shared" si="13"/>
        <v>66512.075838036515</v>
      </c>
      <c r="I35" s="1342">
        <f t="shared" si="13"/>
        <v>66499.888369090491</v>
      </c>
      <c r="J35" s="1342">
        <f t="shared" si="13"/>
        <v>65925.784528768709</v>
      </c>
      <c r="K35" s="1342">
        <f t="shared" si="13"/>
        <v>64748.940593845313</v>
      </c>
      <c r="L35" s="1342">
        <f t="shared" si="13"/>
        <v>63583.506627643561</v>
      </c>
      <c r="M35" s="1342">
        <f t="shared" si="13"/>
        <v>62495.585273140241</v>
      </c>
      <c r="N35" s="1342">
        <f t="shared" si="13"/>
        <v>61625.864343675414</v>
      </c>
      <c r="O35" s="1342">
        <f t="shared" si="13"/>
        <v>61306.063379847001</v>
      </c>
      <c r="P35" s="1342">
        <f t="shared" si="13"/>
        <v>60949.361613291658</v>
      </c>
      <c r="Q35" s="1342">
        <f t="shared" si="13"/>
        <v>60823.973158261244</v>
      </c>
      <c r="R35" s="9"/>
      <c r="S35" s="9"/>
      <c r="T35" s="9"/>
      <c r="U35" s="9"/>
      <c r="V35" s="9"/>
    </row>
    <row r="36" spans="1:22">
      <c r="A36" s="1344"/>
      <c r="B36" s="1326"/>
      <c r="C36" s="1344"/>
      <c r="D36" s="353"/>
      <c r="E36" s="353"/>
      <c r="F36" s="65"/>
      <c r="G36" s="353"/>
      <c r="H36" s="353"/>
      <c r="I36" s="353"/>
      <c r="J36" s="353"/>
      <c r="K36" s="353"/>
      <c r="L36" s="353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67" t="s">
        <v>1341</v>
      </c>
      <c r="B37" s="681"/>
      <c r="C37" s="353"/>
      <c r="D37" s="353"/>
      <c r="E37" s="353"/>
      <c r="F37" s="65"/>
      <c r="G37" s="353"/>
      <c r="H37" s="353"/>
      <c r="I37" s="353"/>
      <c r="J37" s="353"/>
      <c r="K37" s="353"/>
      <c r="L37" s="353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839" t="s">
        <v>22</v>
      </c>
      <c r="B38" s="1840" t="s">
        <v>1330</v>
      </c>
      <c r="C38" s="353"/>
      <c r="D38" s="353"/>
      <c r="E38" s="353"/>
      <c r="F38" s="9"/>
      <c r="G38" s="353"/>
      <c r="H38" s="353"/>
      <c r="I38" s="353"/>
      <c r="J38" s="353"/>
      <c r="K38" s="353"/>
      <c r="L38" s="353"/>
      <c r="M38" s="353"/>
      <c r="N38" s="353"/>
      <c r="O38" s="65"/>
      <c r="P38" s="65"/>
      <c r="Q38" s="65"/>
      <c r="R38" s="9"/>
      <c r="S38" s="9"/>
      <c r="T38" s="9"/>
      <c r="U38" s="9"/>
      <c r="V38" s="9"/>
    </row>
    <row r="39" spans="1:22">
      <c r="A39" s="1839"/>
      <c r="B39" s="1841"/>
      <c r="C39" s="1345">
        <f>C27</f>
        <v>44348</v>
      </c>
      <c r="D39" s="1345">
        <f t="shared" ref="D39:E39" si="14">D27</f>
        <v>44378</v>
      </c>
      <c r="E39" s="1345">
        <f t="shared" si="14"/>
        <v>44409</v>
      </c>
      <c r="G39" s="837"/>
      <c r="H39" s="837"/>
      <c r="I39" s="837"/>
      <c r="J39" s="837"/>
      <c r="K39" s="837"/>
      <c r="L39" s="840"/>
      <c r="M39" s="353"/>
      <c r="N39" s="353"/>
      <c r="O39" s="65"/>
      <c r="P39" s="65"/>
      <c r="Q39" s="65"/>
      <c r="R39" s="9"/>
      <c r="S39" s="9"/>
      <c r="T39" s="9"/>
      <c r="U39" s="9"/>
      <c r="V39" s="9"/>
    </row>
    <row r="40" spans="1:22">
      <c r="A40" s="680" t="s">
        <v>1331</v>
      </c>
      <c r="B40" s="684"/>
      <c r="C40" s="685"/>
      <c r="D40" s="686"/>
      <c r="E40" s="686"/>
      <c r="F40" s="65"/>
      <c r="G40" s="841"/>
      <c r="H40" s="682"/>
      <c r="I40" s="682"/>
      <c r="J40" s="682"/>
      <c r="K40" s="682"/>
      <c r="L40" s="353"/>
      <c r="M40" s="353"/>
      <c r="N40" s="353"/>
      <c r="O40" s="65"/>
      <c r="P40" s="65"/>
      <c r="Q40" s="65"/>
      <c r="R40" s="9"/>
      <c r="S40" s="9"/>
      <c r="T40" s="9"/>
      <c r="U40" s="9"/>
      <c r="V40" s="9"/>
    </row>
    <row r="41" spans="1:22">
      <c r="A41" s="680" t="s">
        <v>1332</v>
      </c>
      <c r="B41" s="684"/>
      <c r="C41" s="685"/>
      <c r="D41" s="686"/>
      <c r="E41" s="686"/>
      <c r="F41" s="65"/>
      <c r="G41" s="841"/>
      <c r="H41" s="682"/>
      <c r="I41" s="682"/>
      <c r="J41" s="682"/>
      <c r="K41" s="682"/>
      <c r="L41" s="353"/>
      <c r="M41" s="353"/>
      <c r="N41" s="353"/>
      <c r="O41" s="65"/>
      <c r="P41" s="65"/>
      <c r="Q41" s="65"/>
      <c r="R41" s="9"/>
      <c r="S41" s="9"/>
      <c r="T41" s="9"/>
      <c r="U41" s="9"/>
      <c r="V41" s="9"/>
    </row>
    <row r="42" spans="1:22">
      <c r="A42" s="680" t="s">
        <v>1333</v>
      </c>
      <c r="B42" s="684"/>
      <c r="C42" s="685"/>
      <c r="D42" s="686"/>
      <c r="E42" s="686"/>
      <c r="F42" s="65"/>
      <c r="G42" s="841"/>
      <c r="H42" s="682"/>
      <c r="I42" s="682"/>
      <c r="J42" s="682"/>
      <c r="K42" s="682"/>
      <c r="L42" s="842"/>
      <c r="M42" s="353"/>
      <c r="N42" s="353"/>
      <c r="O42" s="65"/>
      <c r="P42" s="65"/>
      <c r="Q42" s="65"/>
      <c r="R42" s="9"/>
      <c r="S42" s="9"/>
      <c r="T42" s="9"/>
      <c r="U42" s="9"/>
      <c r="V42" s="9"/>
    </row>
    <row r="43" spans="1:22">
      <c r="A43" s="680" t="s">
        <v>1334</v>
      </c>
      <c r="B43" s="684"/>
      <c r="C43" s="685"/>
      <c r="D43" s="686"/>
      <c r="E43" s="686"/>
      <c r="F43" s="65"/>
      <c r="G43" s="841"/>
      <c r="H43" s="682"/>
      <c r="I43" s="682"/>
      <c r="J43" s="682"/>
      <c r="K43" s="682"/>
      <c r="L43" s="842"/>
      <c r="M43" s="353"/>
      <c r="N43" s="353"/>
      <c r="O43" s="65"/>
      <c r="P43" s="65"/>
      <c r="Q43" s="65"/>
      <c r="R43" s="9"/>
      <c r="S43" s="9"/>
      <c r="T43" s="9"/>
      <c r="U43" s="9"/>
      <c r="V43" s="9"/>
    </row>
    <row r="44" spans="1:22">
      <c r="A44" s="680" t="s">
        <v>1335</v>
      </c>
      <c r="B44" s="684"/>
      <c r="C44" s="685"/>
      <c r="D44" s="686"/>
      <c r="E44" s="686"/>
      <c r="F44" s="65"/>
      <c r="G44" s="841"/>
      <c r="H44" s="682"/>
      <c r="I44" s="682"/>
      <c r="J44" s="682"/>
      <c r="K44" s="682"/>
      <c r="L44" s="842"/>
      <c r="M44" s="353"/>
      <c r="N44" s="353"/>
      <c r="O44" s="65"/>
      <c r="P44" s="65"/>
      <c r="Q44" s="65"/>
      <c r="R44" s="9"/>
      <c r="S44" s="9"/>
      <c r="T44" s="9"/>
      <c r="U44" s="9"/>
      <c r="V44" s="9"/>
    </row>
    <row r="45" spans="1:22">
      <c r="A45" s="683" t="s">
        <v>1336</v>
      </c>
      <c r="B45" s="684"/>
      <c r="C45" s="687"/>
      <c r="D45" s="839"/>
      <c r="E45" s="839"/>
      <c r="F45" s="65"/>
      <c r="G45" s="841"/>
      <c r="H45" s="682"/>
      <c r="I45" s="682"/>
      <c r="J45" s="682"/>
      <c r="K45" s="682"/>
      <c r="L45" s="842"/>
      <c r="M45" s="353"/>
      <c r="N45" s="353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3"/>
      <c r="I46" s="353"/>
      <c r="J46" s="353"/>
      <c r="K46" s="843"/>
      <c r="L46" s="844"/>
      <c r="M46" s="353"/>
      <c r="N46" s="353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346" t="s">
        <v>8</v>
      </c>
      <c r="B49" s="1347"/>
      <c r="C49" s="1346"/>
      <c r="D49" s="9"/>
    </row>
    <row r="50" spans="1:10">
      <c r="A50" s="1347" t="s">
        <v>2</v>
      </c>
      <c r="B50" s="1347"/>
      <c r="C50" s="1323"/>
    </row>
    <row r="51" spans="1:10">
      <c r="A51" s="1347" t="s">
        <v>3</v>
      </c>
      <c r="B51" s="1347"/>
      <c r="C51" s="1323"/>
      <c r="D51" s="232"/>
    </row>
    <row r="52" spans="1:10">
      <c r="A52" s="1347" t="s">
        <v>4</v>
      </c>
      <c r="B52" s="1347"/>
      <c r="C52" s="1323"/>
      <c r="D52" s="232"/>
    </row>
    <row r="53" spans="1:10">
      <c r="A53" s="1347" t="s">
        <v>5</v>
      </c>
      <c r="B53" s="1347"/>
      <c r="C53" s="1323"/>
      <c r="D53" s="232"/>
    </row>
    <row r="54" spans="1:10">
      <c r="A54" s="1347" t="s">
        <v>6</v>
      </c>
      <c r="B54" s="1347"/>
      <c r="C54" s="1323"/>
      <c r="D54" s="232"/>
      <c r="H54" s="1348"/>
      <c r="I54" s="1349"/>
      <c r="J54" s="1350"/>
    </row>
    <row r="55" spans="1:10">
      <c r="A55" s="1347" t="s">
        <v>7</v>
      </c>
      <c r="B55" s="1347"/>
      <c r="C55" s="1323"/>
      <c r="D55" s="232"/>
      <c r="H55" s="232"/>
      <c r="I55" s="232"/>
      <c r="J55" s="232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topLeftCell="C1" zoomScale="85" zoomScaleNormal="85" workbookViewId="0">
      <pane ySplit="3" topLeftCell="A4" activePane="bottomLeft" state="frozen"/>
      <selection activeCell="D36" sqref="D36"/>
      <selection pane="bottomLeft" activeCell="G15" sqref="G15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08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930" t="s">
        <v>1342</v>
      </c>
      <c r="C1" s="258"/>
      <c r="D1" s="258"/>
      <c r="E1" s="204"/>
      <c r="F1" s="1351"/>
      <c r="G1" s="1129" t="s">
        <v>873</v>
      </c>
      <c r="H1" s="1130">
        <f ca="1">LnkTXTIRTEco</f>
        <v>6.4000000000000001E-2</v>
      </c>
    </row>
    <row r="2" spans="2:26" ht="14.25">
      <c r="B2" s="136" t="str">
        <f>CAPA!C9</f>
        <v>Cedri</v>
      </c>
      <c r="C2" s="1352"/>
      <c r="D2" s="1352"/>
      <c r="E2" s="1352"/>
      <c r="F2" s="1353"/>
      <c r="G2" s="120" t="s">
        <v>877</v>
      </c>
      <c r="H2" s="121">
        <f ca="1">LnkTXTIRTTotal</f>
        <v>-0.14050000000000001</v>
      </c>
      <c r="N2" s="210"/>
    </row>
    <row r="3" spans="2:26" ht="14.25"/>
    <row r="4" spans="2:26" ht="14.25">
      <c r="B4" s="205"/>
      <c r="C4" s="204"/>
      <c r="D4" s="204"/>
      <c r="E4" s="204"/>
      <c r="F4" s="211"/>
      <c r="G4" s="209"/>
      <c r="O4" s="1850"/>
      <c r="P4" s="1850"/>
      <c r="Z4" s="68"/>
    </row>
    <row r="5" spans="2:26" ht="14.25" customHeight="1">
      <c r="E5" s="208"/>
      <c r="G5" s="208"/>
      <c r="I5" s="208"/>
      <c r="K5" s="208"/>
      <c r="O5" s="267"/>
      <c r="P5" s="287"/>
      <c r="Z5" s="68"/>
    </row>
    <row r="6" spans="2:26" ht="14.25">
      <c r="L6" s="1354" t="s">
        <v>1343</v>
      </c>
      <c r="M6" s="1355"/>
      <c r="O6" s="267"/>
      <c r="P6" s="287"/>
      <c r="Z6" s="68"/>
    </row>
    <row r="7" spans="2:26" ht="14.25">
      <c r="C7" s="71"/>
      <c r="L7" s="212" t="s">
        <v>1194</v>
      </c>
      <c r="M7" s="213">
        <v>1</v>
      </c>
      <c r="O7" s="267"/>
      <c r="P7" s="287"/>
      <c r="Z7" s="68"/>
    </row>
    <row r="8" spans="2:26" ht="14.25">
      <c r="L8" s="212" t="s">
        <v>772</v>
      </c>
      <c r="M8" s="213">
        <v>2</v>
      </c>
      <c r="O8" s="267"/>
      <c r="P8" s="287"/>
      <c r="Z8" s="68"/>
    </row>
    <row r="9" spans="2:26" ht="14.25">
      <c r="B9" s="288" t="s">
        <v>1344</v>
      </c>
      <c r="D9" s="289" t="s">
        <v>1345</v>
      </c>
      <c r="L9" s="212" t="s">
        <v>1346</v>
      </c>
      <c r="M9" s="213">
        <v>4</v>
      </c>
      <c r="O9" s="267"/>
      <c r="P9" s="287"/>
      <c r="Z9" s="68"/>
    </row>
    <row r="10" spans="2:26" ht="14.25">
      <c r="L10" s="212" t="s">
        <v>1347</v>
      </c>
      <c r="M10" s="214">
        <f>CAPA!K16</f>
        <v>8.5874515481677571E-2</v>
      </c>
      <c r="O10" s="267"/>
      <c r="P10" s="287"/>
      <c r="Z10" s="68"/>
    </row>
    <row r="11" spans="2:26" ht="14.25">
      <c r="B11" s="1853" t="s">
        <v>1348</v>
      </c>
      <c r="C11" s="1854"/>
      <c r="D11" s="1356" t="s">
        <v>1349</v>
      </c>
      <c r="E11" s="1357" t="s">
        <v>1350</v>
      </c>
      <c r="F11" s="1358" t="s">
        <v>1351</v>
      </c>
      <c r="G11" s="1357" t="s">
        <v>2438</v>
      </c>
      <c r="H11" s="1357"/>
      <c r="I11" s="1357"/>
      <c r="J11" s="1357"/>
      <c r="L11" s="212" t="s">
        <v>1352</v>
      </c>
      <c r="M11" s="214">
        <f>CAPA!K17</f>
        <v>8.727291292620043E-2</v>
      </c>
      <c r="O11" s="267"/>
      <c r="P11" s="287"/>
      <c r="Z11" s="68"/>
    </row>
    <row r="12" spans="2:26" ht="14.25">
      <c r="B12" s="1859" t="s">
        <v>1353</v>
      </c>
      <c r="C12" s="1854"/>
      <c r="D12" s="1359" t="s">
        <v>1346</v>
      </c>
      <c r="E12" s="1359" t="s">
        <v>772</v>
      </c>
      <c r="F12" s="1359" t="s">
        <v>772</v>
      </c>
      <c r="G12" s="1359" t="s">
        <v>772</v>
      </c>
      <c r="H12" s="1359" t="s">
        <v>772</v>
      </c>
      <c r="I12" s="1359" t="s">
        <v>772</v>
      </c>
      <c r="J12" s="1359" t="s">
        <v>772</v>
      </c>
      <c r="L12" s="1360" t="s">
        <v>1354</v>
      </c>
      <c r="M12" s="1361">
        <v>41275</v>
      </c>
      <c r="O12" s="267"/>
      <c r="P12" s="287"/>
      <c r="Z12" s="68"/>
    </row>
    <row r="13" spans="2:26" ht="14.25">
      <c r="B13" s="1860" t="s">
        <v>1355</v>
      </c>
      <c r="C13" s="1861"/>
      <c r="D13" s="1362">
        <v>43617</v>
      </c>
      <c r="E13" s="1362">
        <v>43617</v>
      </c>
      <c r="F13" s="1362">
        <v>43617</v>
      </c>
      <c r="G13" s="1362">
        <v>44774</v>
      </c>
      <c r="H13" s="1362">
        <f t="shared" ref="H13:J14" si="0">G13</f>
        <v>44774</v>
      </c>
      <c r="I13" s="1362">
        <f t="shared" si="0"/>
        <v>44774</v>
      </c>
      <c r="J13" s="1362">
        <f t="shared" si="0"/>
        <v>44774</v>
      </c>
      <c r="L13" s="197"/>
      <c r="M13" s="215">
        <v>41306</v>
      </c>
      <c r="O13" s="267"/>
      <c r="P13" s="287"/>
      <c r="Z13" s="68"/>
    </row>
    <row r="14" spans="2:26" ht="14.25">
      <c r="B14" s="1851" t="s">
        <v>1356</v>
      </c>
      <c r="C14" s="1852"/>
      <c r="D14" s="1362">
        <v>42887</v>
      </c>
      <c r="E14" s="1362">
        <v>43252</v>
      </c>
      <c r="F14" s="1362">
        <v>43252</v>
      </c>
      <c r="G14" s="1362">
        <v>44409</v>
      </c>
      <c r="H14" s="1362">
        <f t="shared" si="0"/>
        <v>44409</v>
      </c>
      <c r="I14" s="1362">
        <f t="shared" si="0"/>
        <v>44409</v>
      </c>
      <c r="J14" s="1362">
        <f t="shared" si="0"/>
        <v>44409</v>
      </c>
      <c r="L14" s="1363"/>
      <c r="M14" s="1364">
        <v>41334</v>
      </c>
      <c r="O14" s="267"/>
      <c r="P14" s="287"/>
      <c r="Z14" s="68"/>
    </row>
    <row r="15" spans="2:26" ht="14.25">
      <c r="B15" s="1851" t="s">
        <v>1357</v>
      </c>
      <c r="C15" s="1852"/>
      <c r="D15" s="1365">
        <f>VLOOKUP(D13,Índices!$B$6:$F$500,VLOOKUP(D12,$L$7:$M$9,2,FALSE)+1,FALSE)/VLOOKUP(D14,Índices!$B$6:$F$500,VLOOKUP(D12,$L$7:$M$9,2,FALSE)+1,FALSE)</f>
        <v>1.1414978440075982</v>
      </c>
      <c r="E15" s="1365">
        <f>VLOOKUP(E13,Índices!$B$6:$F$500,VLOOKUP(E12,$L$7:$M$9,2,FALSE)+1,FALSE)/VLOOKUP(E14,Índices!$B$6:$F$500,VLOOKUP(E12,$L$7:$M$9,2,FALSE)+1,FALSE)</f>
        <v>1.0336626715248016</v>
      </c>
      <c r="F15" s="1365">
        <f>VLOOKUP(F13,Índices!$B$6:$F$500,VLOOKUP(F12,$L$7:$M$9,2,FALSE)+1,FALSE)/VLOOKUP(F14,Índices!$B$6:$F$500,VLOOKUP(F12,$L$7:$M$9,2,FALSE)+1,FALSE)</f>
        <v>1.0336626715248016</v>
      </c>
      <c r="G15" s="1365">
        <f>VLOOKUP(G13,Índices!$B$6:$F$500,VLOOKUP(G12,$L$7:$M$9,2,FALSE)+1,FALSE)/VLOOKUP(G14,Índices!$B$6:$F$500,VLOOKUP(G12,$L$7:$M$9,2,FALSE)+1,FALSE)</f>
        <v>1.0872729129262004</v>
      </c>
      <c r="H15" s="1365">
        <f>VLOOKUP(H13,Índices!$B$6:$F$500,VLOOKUP(H12,$L$7:$M$9,2,FALSE)+1,FALSE)/VLOOKUP(H14,Índices!$B$6:$F$500,VLOOKUP(H12,$L$7:$M$9,2,FALSE)+1,FALSE)</f>
        <v>1.0872729129262004</v>
      </c>
      <c r="I15" s="1365">
        <f>VLOOKUP(I13,Índices!$B$6:$F$500,VLOOKUP(I12,$L$7:$M$9,2,FALSE)+1,FALSE)/VLOOKUP(I14,Índices!$B$6:$F$500,VLOOKUP(I12,$L$7:$M$9,2,FALSE)+1,FALSE)</f>
        <v>1.0872729129262004</v>
      </c>
      <c r="J15" s="1365">
        <f>VLOOKUP(J13,Índices!$B$6:$F$500,VLOOKUP(J12,$L$7:$M$9,2,FALSE)+1,FALSE)/VLOOKUP(J14,Índices!$B$6:$F$500,VLOOKUP(J12,$L$7:$M$9,2,FALSE)+1,FALSE)</f>
        <v>1.0872729129262004</v>
      </c>
      <c r="O15" s="267"/>
      <c r="P15" s="287"/>
      <c r="Z15" s="68"/>
    </row>
    <row r="16" spans="2:26" ht="14.25">
      <c r="B16" s="1851" t="s">
        <v>1358</v>
      </c>
      <c r="C16" s="1852"/>
      <c r="D16" s="1366"/>
      <c r="E16" s="1366"/>
      <c r="F16" s="1366"/>
      <c r="G16" s="1366">
        <v>1000000</v>
      </c>
      <c r="H16" s="1366"/>
      <c r="I16" s="1366"/>
      <c r="J16" s="1366"/>
      <c r="O16" s="267"/>
      <c r="P16" s="287"/>
      <c r="Z16" s="68"/>
    </row>
    <row r="17" spans="1:26" ht="14.25">
      <c r="B17" s="1857" t="s">
        <v>1359</v>
      </c>
      <c r="C17" s="1858"/>
      <c r="D17" s="1367">
        <f t="shared" ref="D17:E17" si="1">D16*D15</f>
        <v>0</v>
      </c>
      <c r="E17" s="1367">
        <f t="shared" si="1"/>
        <v>0</v>
      </c>
      <c r="F17" s="1367">
        <f>F16*F15</f>
        <v>0</v>
      </c>
      <c r="G17" s="1367">
        <f>G16*G15</f>
        <v>1087272.9129262005</v>
      </c>
      <c r="H17" s="1367">
        <f>H16*H15</f>
        <v>0</v>
      </c>
      <c r="I17" s="1367">
        <f>I16*I15</f>
        <v>0</v>
      </c>
      <c r="J17" s="1367">
        <f>J16*J15</f>
        <v>0</v>
      </c>
      <c r="O17" s="267"/>
      <c r="P17" s="92"/>
      <c r="Z17" s="68"/>
    </row>
    <row r="18" spans="1:26" ht="14.25">
      <c r="E18" s="290" t="s">
        <v>1360</v>
      </c>
      <c r="F18" s="492"/>
      <c r="M18" s="177"/>
      <c r="N18" s="217"/>
      <c r="O18" s="218"/>
      <c r="P18" s="206"/>
      <c r="Q18" s="216"/>
      <c r="R18" s="216"/>
      <c r="S18" s="216"/>
      <c r="T18" s="216"/>
      <c r="U18" s="216"/>
      <c r="V18" s="216"/>
      <c r="W18" s="216"/>
      <c r="X18" s="216"/>
    </row>
    <row r="19" spans="1:26" ht="14.25">
      <c r="E19" s="291" t="s">
        <v>1361</v>
      </c>
      <c r="F19" s="198">
        <f>F17*(1-F18)</f>
        <v>0</v>
      </c>
      <c r="M19" s="72"/>
      <c r="N19" s="72"/>
      <c r="O19" s="219"/>
      <c r="P19" s="107"/>
      <c r="Q19" s="209"/>
      <c r="R19" s="209"/>
      <c r="S19" s="209"/>
      <c r="T19" s="209"/>
      <c r="U19" s="209"/>
      <c r="V19" s="209"/>
      <c r="W19" s="209"/>
      <c r="X19" s="209"/>
    </row>
    <row r="20" spans="1:26" ht="16.5">
      <c r="B20" s="288" t="s">
        <v>1362</v>
      </c>
      <c r="E20" s="291" t="s">
        <v>1363</v>
      </c>
      <c r="F20" s="141">
        <f>F17-F19</f>
        <v>0</v>
      </c>
      <c r="J20" s="399">
        <v>426068.95</v>
      </c>
      <c r="M20" s="177"/>
      <c r="N20" s="217"/>
      <c r="O20" s="219"/>
      <c r="P20" s="69"/>
      <c r="Z20" s="68"/>
    </row>
    <row r="21" spans="1:26" ht="14.25">
      <c r="B21" s="288"/>
      <c r="E21" s="292"/>
      <c r="M21" s="72"/>
      <c r="N21" s="220"/>
      <c r="O21" s="219"/>
      <c r="P21" s="107"/>
      <c r="Z21" s="68"/>
    </row>
    <row r="22" spans="1:26" ht="14.25" customHeight="1">
      <c r="B22" s="1368" t="s">
        <v>1348</v>
      </c>
      <c r="C22" s="1855" t="s">
        <v>2281</v>
      </c>
      <c r="D22" s="1856"/>
      <c r="E22" s="1844" t="s">
        <v>1364</v>
      </c>
      <c r="F22" s="1845"/>
      <c r="G22" s="1844" t="str">
        <f>Financeiros!C25</f>
        <v>Ajuste CUST RB Fronteira + PIS Cofins RB Fronteira</v>
      </c>
      <c r="H22" s="1845"/>
      <c r="I22" s="1846" t="s">
        <v>1176</v>
      </c>
      <c r="J22" s="1847"/>
      <c r="K22" s="1862" t="s">
        <v>1365</v>
      </c>
      <c r="L22" s="1863"/>
      <c r="M22" s="1864" t="s">
        <v>2159</v>
      </c>
      <c r="N22" s="1865"/>
      <c r="O22" s="1842" t="s">
        <v>1366</v>
      </c>
      <c r="P22" s="1843"/>
      <c r="Q22" s="1842" t="s">
        <v>192</v>
      </c>
      <c r="R22" s="1843"/>
      <c r="S22" s="1842" t="s">
        <v>2044</v>
      </c>
      <c r="T22" s="1843"/>
      <c r="U22" s="1842" t="s">
        <v>2045</v>
      </c>
      <c r="V22" s="1843"/>
      <c r="Z22" s="68"/>
    </row>
    <row r="23" spans="1:26" ht="14.25">
      <c r="B23" s="1369" t="s">
        <v>925</v>
      </c>
      <c r="C23" s="1370" t="s">
        <v>1367</v>
      </c>
      <c r="D23" s="1371" t="s">
        <v>772</v>
      </c>
      <c r="E23" s="1370" t="s">
        <v>1367</v>
      </c>
      <c r="F23" s="1371" t="s">
        <v>772</v>
      </c>
      <c r="G23" s="1370" t="s">
        <v>1367</v>
      </c>
      <c r="H23" s="1371" t="s">
        <v>772</v>
      </c>
      <c r="I23" s="1370" t="s">
        <v>1367</v>
      </c>
      <c r="J23" s="1371" t="s">
        <v>772</v>
      </c>
      <c r="K23" s="1370" t="s">
        <v>1367</v>
      </c>
      <c r="L23" s="1371" t="s">
        <v>1346</v>
      </c>
      <c r="M23" s="1372" t="s">
        <v>1367</v>
      </c>
      <c r="N23" s="1373" t="s">
        <v>1346</v>
      </c>
      <c r="O23" s="1372" t="s">
        <v>1367</v>
      </c>
      <c r="P23" s="1373" t="s">
        <v>772</v>
      </c>
      <c r="Q23" s="1372" t="s">
        <v>1367</v>
      </c>
      <c r="R23" s="1373" t="s">
        <v>772</v>
      </c>
      <c r="S23" s="1372" t="s">
        <v>1367</v>
      </c>
      <c r="T23" s="1373" t="s">
        <v>772</v>
      </c>
      <c r="U23" s="1372" t="s">
        <v>1367</v>
      </c>
      <c r="V23" s="1373" t="s">
        <v>772</v>
      </c>
      <c r="Z23" s="68"/>
    </row>
    <row r="24" spans="1:26" ht="14.25">
      <c r="B24" s="1374">
        <f>DATE(YEAR(B25),MONTH(B25)-1,1)</f>
        <v>44044</v>
      </c>
      <c r="C24" s="482"/>
      <c r="D24" s="483"/>
      <c r="E24" s="482"/>
      <c r="F24" s="483"/>
      <c r="G24" s="224"/>
      <c r="H24" s="225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4"/>
      <c r="L24" s="225">
        <f>VLOOKUP($B$48,Índices!$B$6:$F$500,VLOOKUP(L$23,$L$7:$M$9,2,FALSE)+1,FALSE)/VLOOKUP(DATE(YEAR($B24),MONTH($B24)-1,1),Índices!$B$6:$F$500,VLOOKUP(L$23,$L$7:$M$9,2,FALSE)+1,FALSE)*K24</f>
        <v>0</v>
      </c>
      <c r="M24" s="407"/>
      <c r="N24" s="99">
        <f>VLOOKUP($B$48,Índices!$B$6:$F$500,VLOOKUP(N$23,$L$7:$M$9,2,FALSE)+1,FALSE)/VLOOKUP(DATE(YEAR($B24),MONTH($B24)-1,1),Índices!$B$6:$F$500,VLOOKUP(N$23,$L$7:$M$9,2,FALSE)+1,FALSE)*M24</f>
        <v>0</v>
      </c>
      <c r="O24" s="407"/>
      <c r="P24" s="99">
        <f>VLOOKUP($B$48,Índices!$B$6:$F$500,VLOOKUP(P$23,$L$7:$M$9,2,FALSE)+1,FALSE)/VLOOKUP(DATE(YEAR($B24),MONTH($B24)-1,1),Índices!$B$6:$F$500,VLOOKUP(P$23,$L$7:$M$9,2,FALSE)+1,FALSE)*O24</f>
        <v>0</v>
      </c>
      <c r="Q24" s="224"/>
      <c r="R24" s="99">
        <f>VLOOKUP($B$48,Índices!$B$6:$F$500,VLOOKUP(R$23,$L$7:$M$9,2,FALSE)+1,FALSE)/VLOOKUP(DATE(YEAR($B24),MONTH($B24)-1,1),Índices!$B$6:$F$500,VLOOKUP(R$23,$L$7:$M$9,2,FALSE)+1,FALSE)*Q24</f>
        <v>0</v>
      </c>
      <c r="S24" s="224"/>
      <c r="T24" s="99">
        <f>VLOOKUP($B$48,Índices!$B$6:$F$500,VLOOKUP(T$23,$L$7:$M$9,2,FALSE)+1,FALSE)/VLOOKUP(DATE(YEAR($B24),MONTH($B24)-1,1),Índices!$B$6:$F$500,VLOOKUP(T$23,$L$7:$M$9,2,FALSE)+1,FALSE)*S24</f>
        <v>0</v>
      </c>
      <c r="U24" s="224"/>
      <c r="V24" s="99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08"/>
      <c r="B25" s="267">
        <f>DATE(YEAR(B26),MONTH(B26)-1,1)</f>
        <v>44075</v>
      </c>
      <c r="C25" s="293"/>
      <c r="D25" s="225">
        <f>VLOOKUP($B$48,Índices!$B$6:$F$500,VLOOKUP(D$23,$L$7:$M$9,2,FALSE)+1,FALSE)/VLOOKUP(DATE(YEAR($B25),MONTH($B25)-1,1),Índices!$B$6:$F$500,VLOOKUP(D$23,$L$7:$M$9,2,FALSE)+1,FALSE)*C25</f>
        <v>0</v>
      </c>
      <c r="E25" s="224"/>
      <c r="F25" s="225"/>
      <c r="G25" s="224"/>
      <c r="H25" s="225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4"/>
      <c r="L25" s="225">
        <f>VLOOKUP($B$48,Índices!$B$6:$F$500,VLOOKUP(L$23,$L$7:$M$9,2,FALSE)+1,FALSE)/VLOOKUP(DATE(YEAR($B25),MONTH($B25)-1,1),Índices!$B$6:$F$500,VLOOKUP(L$23,$L$7:$M$9,2,FALSE)+1,FALSE)*K25</f>
        <v>0</v>
      </c>
      <c r="M25" s="407"/>
      <c r="N25" s="99">
        <f>VLOOKUP($B$48,Índices!$B$6:$F$500,VLOOKUP(N$23,$L$7:$M$9,2,FALSE)+1,FALSE)/VLOOKUP(DATE(YEAR($B25),MONTH($B25)-1,1),Índices!$B$6:$F$500,VLOOKUP(N$23,$L$7:$M$9,2,FALSE)+1,FALSE)*M25</f>
        <v>0</v>
      </c>
      <c r="O25" s="407"/>
      <c r="P25" s="99">
        <f>VLOOKUP($B$48,Índices!$B$6:$F$500,VLOOKUP(P$23,$L$7:$M$9,2,FALSE)+1,FALSE)/VLOOKUP(DATE(YEAR($B25),MONTH($B25)-1,1),Índices!$B$6:$F$500,VLOOKUP(P$23,$L$7:$M$9,2,FALSE)+1,FALSE)*O25</f>
        <v>0</v>
      </c>
      <c r="Q25" s="224"/>
      <c r="R25" s="99">
        <f>VLOOKUP($B$48,Índices!$B$6:$F$500,VLOOKUP(R$23,$L$7:$M$9,2,FALSE)+1,FALSE)/VLOOKUP(DATE(YEAR($B25),MONTH($B25)-1,1),Índices!$B$6:$F$500,VLOOKUP(R$23,$L$7:$M$9,2,FALSE)+1,FALSE)*Q25</f>
        <v>0</v>
      </c>
      <c r="S25" s="224"/>
      <c r="T25" s="99">
        <f>VLOOKUP($B$48,Índices!$B$6:$F$500,VLOOKUP(T$23,$L$7:$M$9,2,FALSE)+1,FALSE)/VLOOKUP(DATE(YEAR($B25),MONTH($B25)-1,1),Índices!$B$6:$F$500,VLOOKUP(T$23,$L$7:$M$9,2,FALSE)+1,FALSE)*S25</f>
        <v>0</v>
      </c>
      <c r="U25" s="224"/>
      <c r="V25" s="99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08"/>
      <c r="B26" s="267">
        <f t="shared" ref="B26:B47" si="2">DATE(YEAR(B27),MONTH(B27)-1,1)</f>
        <v>44105</v>
      </c>
      <c r="C26" s="293"/>
      <c r="D26" s="225">
        <f>VLOOKUP($B$48,Índices!$B$6:$F$500,VLOOKUP(D$23,$L$7:$M$9,2,FALSE)+1,FALSE)/VLOOKUP(DATE(YEAR($B26),MONTH($B26)-1,1),Índices!$B$6:$F$500,VLOOKUP(D$23,$L$7:$M$9,2,FALSE)+1,FALSE)*C26</f>
        <v>0</v>
      </c>
      <c r="E26" s="224"/>
      <c r="F26" s="225"/>
      <c r="G26" s="224"/>
      <c r="H26" s="225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4"/>
      <c r="L26" s="225">
        <f>VLOOKUP($B$48,Índices!$B$6:$F$500,VLOOKUP(L$23,$L$7:$M$9,2,FALSE)+1,FALSE)/VLOOKUP(DATE(YEAR($B26),MONTH($B26)-1,1),Índices!$B$6:$F$500,VLOOKUP(L$23,$L$7:$M$9,2,FALSE)+1,FALSE)*K26</f>
        <v>0</v>
      </c>
      <c r="M26" s="407"/>
      <c r="N26" s="99">
        <f>VLOOKUP($B$48,Índices!$B$6:$F$500,VLOOKUP(N$23,$L$7:$M$9,2,FALSE)+1,FALSE)/VLOOKUP(DATE(YEAR($B26),MONTH($B26)-1,1),Índices!$B$6:$F$500,VLOOKUP(N$23,$L$7:$M$9,2,FALSE)+1,FALSE)*M26</f>
        <v>0</v>
      </c>
      <c r="O26" s="407"/>
      <c r="P26" s="99">
        <f>VLOOKUP($B$48,Índices!$B$6:$F$500,VLOOKUP(P$23,$L$7:$M$9,2,FALSE)+1,FALSE)/VLOOKUP(DATE(YEAR($B26),MONTH($B26)-1,1),Índices!$B$6:$F$500,VLOOKUP(P$23,$L$7:$M$9,2,FALSE)+1,FALSE)*O26</f>
        <v>0</v>
      </c>
      <c r="Q26" s="224"/>
      <c r="R26" s="99">
        <f>VLOOKUP($B$48,Índices!$B$6:$F$500,VLOOKUP(R$23,$L$7:$M$9,2,FALSE)+1,FALSE)/VLOOKUP(DATE(YEAR($B26),MONTH($B26)-1,1),Índices!$B$6:$F$500,VLOOKUP(R$23,$L$7:$M$9,2,FALSE)+1,FALSE)*Q26</f>
        <v>0</v>
      </c>
      <c r="S26" s="224"/>
      <c r="T26" s="99">
        <f>VLOOKUP($B$48,Índices!$B$6:$F$500,VLOOKUP(T$23,$L$7:$M$9,2,FALSE)+1,FALSE)/VLOOKUP(DATE(YEAR($B26),MONTH($B26)-1,1),Índices!$B$6:$F$500,VLOOKUP(T$23,$L$7:$M$9,2,FALSE)+1,FALSE)*S26</f>
        <v>0</v>
      </c>
      <c r="U26" s="224"/>
      <c r="V26" s="99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08"/>
      <c r="B27" s="267">
        <f t="shared" si="2"/>
        <v>44136</v>
      </c>
      <c r="C27" s="293"/>
      <c r="D27" s="225">
        <f>VLOOKUP($B$48,Índices!$B$6:$F$500,VLOOKUP(D$23,$L$7:$M$9,2,FALSE)+1,FALSE)/VLOOKUP(DATE(YEAR($B27),MONTH($B27)-1,1),Índices!$B$6:$F$500,VLOOKUP(D$23,$L$7:$M$9,2,FALSE)+1,FALSE)*C27</f>
        <v>0</v>
      </c>
      <c r="E27" s="224"/>
      <c r="F27" s="225"/>
      <c r="G27" s="224"/>
      <c r="H27" s="225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4"/>
      <c r="L27" s="225">
        <f>VLOOKUP($B$48,Índices!$B$6:$F$500,VLOOKUP(L$23,$L$7:$M$9,2,FALSE)+1,FALSE)/VLOOKUP(DATE(YEAR($B27),MONTH($B27)-1,1),Índices!$B$6:$F$500,VLOOKUP(L$23,$L$7:$M$9,2,FALSE)+1,FALSE)*K27</f>
        <v>0</v>
      </c>
      <c r="M27" s="407"/>
      <c r="N27" s="99">
        <f>VLOOKUP($B$48,Índices!$B$6:$F$500,VLOOKUP(N$23,$L$7:$M$9,2,FALSE)+1,FALSE)/VLOOKUP(DATE(YEAR($B27),MONTH($B27)-1,1),Índices!$B$6:$F$500,VLOOKUP(N$23,$L$7:$M$9,2,FALSE)+1,FALSE)*M27</f>
        <v>0</v>
      </c>
      <c r="O27" s="407"/>
      <c r="P27" s="99">
        <f>VLOOKUP($B$48,Índices!$B$6:$F$500,VLOOKUP(P$23,$L$7:$M$9,2,FALSE)+1,FALSE)/VLOOKUP(DATE(YEAR($B27),MONTH($B27)-1,1),Índices!$B$6:$F$500,VLOOKUP(P$23,$L$7:$M$9,2,FALSE)+1,FALSE)*O27</f>
        <v>0</v>
      </c>
      <c r="Q27" s="224"/>
      <c r="R27" s="99">
        <f>VLOOKUP($B$48,Índices!$B$6:$F$500,VLOOKUP(R$23,$L$7:$M$9,2,FALSE)+1,FALSE)/VLOOKUP(DATE(YEAR($B27),MONTH($B27)-1,1),Índices!$B$6:$F$500,VLOOKUP(R$23,$L$7:$M$9,2,FALSE)+1,FALSE)*Q27</f>
        <v>0</v>
      </c>
      <c r="S27" s="224"/>
      <c r="T27" s="99">
        <f>VLOOKUP($B$48,Índices!$B$6:$F$500,VLOOKUP(T$23,$L$7:$M$9,2,FALSE)+1,FALSE)/VLOOKUP(DATE(YEAR($B27),MONTH($B27)-1,1),Índices!$B$6:$F$500,VLOOKUP(T$23,$L$7:$M$9,2,FALSE)+1,FALSE)*S27</f>
        <v>0</v>
      </c>
      <c r="U27" s="224"/>
      <c r="V27" s="99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08"/>
      <c r="B28" s="267">
        <f t="shared" si="2"/>
        <v>44166</v>
      </c>
      <c r="C28" s="293"/>
      <c r="D28" s="225">
        <f>VLOOKUP($B$48,Índices!$B$6:$F$500,VLOOKUP(D$23,$L$7:$M$9,2,FALSE)+1,FALSE)/VLOOKUP(DATE(YEAR($B28),MONTH($B28)-1,1),Índices!$B$6:$F$500,VLOOKUP(D$23,$L$7:$M$9,2,FALSE)+1,FALSE)*C28</f>
        <v>0</v>
      </c>
      <c r="E28" s="224"/>
      <c r="F28" s="225"/>
      <c r="G28" s="224"/>
      <c r="H28" s="225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4"/>
      <c r="L28" s="225">
        <f>VLOOKUP($B$48,Índices!$B$6:$F$500,VLOOKUP(L$23,$L$7:$M$9,2,FALSE)+1,FALSE)/VLOOKUP(DATE(YEAR($B28),MONTH($B28)-1,1),Índices!$B$6:$F$500,VLOOKUP(L$23,$L$7:$M$9,2,FALSE)+1,FALSE)*K28</f>
        <v>0</v>
      </c>
      <c r="M28" s="407"/>
      <c r="N28" s="99">
        <f>VLOOKUP($B$48,Índices!$B$6:$F$500,VLOOKUP(N$23,$L$7:$M$9,2,FALSE)+1,FALSE)/VLOOKUP(DATE(YEAR($B28),MONTH($B28)-1,1),Índices!$B$6:$F$500,VLOOKUP(N$23,$L$7:$M$9,2,FALSE)+1,FALSE)*M28</f>
        <v>0</v>
      </c>
      <c r="O28" s="407"/>
      <c r="P28" s="99">
        <f>VLOOKUP($B$48,Índices!$B$6:$F$500,VLOOKUP(P$23,$L$7:$M$9,2,FALSE)+1,FALSE)/VLOOKUP(DATE(YEAR($B28),MONTH($B28)-1,1),Índices!$B$6:$F$500,VLOOKUP(P$23,$L$7:$M$9,2,FALSE)+1,FALSE)*O28</f>
        <v>0</v>
      </c>
      <c r="Q28" s="224"/>
      <c r="R28" s="99">
        <f>VLOOKUP($B$48,Índices!$B$6:$F$500,VLOOKUP(R$23,$L$7:$M$9,2,FALSE)+1,FALSE)/VLOOKUP(DATE(YEAR($B28),MONTH($B28)-1,1),Índices!$B$6:$F$500,VLOOKUP(R$23,$L$7:$M$9,2,FALSE)+1,FALSE)*Q28</f>
        <v>0</v>
      </c>
      <c r="S28" s="224"/>
      <c r="T28" s="99">
        <f>VLOOKUP($B$48,Índices!$B$6:$F$500,VLOOKUP(T$23,$L$7:$M$9,2,FALSE)+1,FALSE)/VLOOKUP(DATE(YEAR($B28),MONTH($B28)-1,1),Índices!$B$6:$F$500,VLOOKUP(T$23,$L$7:$M$9,2,FALSE)+1,FALSE)*S28</f>
        <v>0</v>
      </c>
      <c r="U28" s="224"/>
      <c r="V28" s="99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08"/>
      <c r="B29" s="267">
        <f t="shared" si="2"/>
        <v>44197</v>
      </c>
      <c r="C29" s="293"/>
      <c r="D29" s="225">
        <f>VLOOKUP($B$48,Índices!$B$6:$F$500,VLOOKUP(D$23,$L$7:$M$9,2,FALSE)+1,FALSE)/VLOOKUP(DATE(YEAR($B29),MONTH($B29)-1,1),Índices!$B$6:$F$500,VLOOKUP(D$23,$L$7:$M$9,2,FALSE)+1,FALSE)*C29</f>
        <v>0</v>
      </c>
      <c r="E29" s="224"/>
      <c r="F29" s="225"/>
      <c r="G29" s="224"/>
      <c r="H29" s="225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4"/>
      <c r="L29" s="225">
        <f>VLOOKUP($B$48,Índices!$B$6:$F$500,VLOOKUP(L$23,$L$7:$M$9,2,FALSE)+1,FALSE)/VLOOKUP(DATE(YEAR($B29),MONTH($B29)-1,1),Índices!$B$6:$F$500,VLOOKUP(L$23,$L$7:$M$9,2,FALSE)+1,FALSE)*K29</f>
        <v>0</v>
      </c>
      <c r="M29" s="407"/>
      <c r="N29" s="99">
        <f>VLOOKUP($B$48,Índices!$B$6:$F$500,VLOOKUP(N$23,$L$7:$M$9,2,FALSE)+1,FALSE)/VLOOKUP(DATE(YEAR($B29),MONTH($B29)-1,1),Índices!$B$6:$F$500,VLOOKUP(N$23,$L$7:$M$9,2,FALSE)+1,FALSE)*M29</f>
        <v>0</v>
      </c>
      <c r="O29" s="407"/>
      <c r="P29" s="99">
        <f>VLOOKUP($B$48,Índices!$B$6:$F$500,VLOOKUP(P$23,$L$7:$M$9,2,FALSE)+1,FALSE)/VLOOKUP(DATE(YEAR($B29),MONTH($B29)-1,1),Índices!$B$6:$F$500,VLOOKUP(P$23,$L$7:$M$9,2,FALSE)+1,FALSE)*O29</f>
        <v>0</v>
      </c>
      <c r="Q29" s="224"/>
      <c r="R29" s="99">
        <f>VLOOKUP($B$48,Índices!$B$6:$F$500,VLOOKUP(R$23,$L$7:$M$9,2,FALSE)+1,FALSE)/VLOOKUP(DATE(YEAR($B29),MONTH($B29)-1,1),Índices!$B$6:$F$500,VLOOKUP(R$23,$L$7:$M$9,2,FALSE)+1,FALSE)*Q29</f>
        <v>0</v>
      </c>
      <c r="S29" s="224"/>
      <c r="T29" s="99">
        <f>VLOOKUP($B$48,Índices!$B$6:$F$500,VLOOKUP(T$23,$L$7:$M$9,2,FALSE)+1,FALSE)/VLOOKUP(DATE(YEAR($B29),MONTH($B29)-1,1),Índices!$B$6:$F$500,VLOOKUP(T$23,$L$7:$M$9,2,FALSE)+1,FALSE)*S29</f>
        <v>0</v>
      </c>
      <c r="U29" s="224"/>
      <c r="V29" s="99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08"/>
      <c r="B30" s="267">
        <f t="shared" si="2"/>
        <v>44228</v>
      </c>
      <c r="C30" s="293"/>
      <c r="D30" s="225">
        <f>VLOOKUP($B$48,Índices!$B$6:$F$500,VLOOKUP(D$23,$L$7:$M$9,2,FALSE)+1,FALSE)/VLOOKUP(DATE(YEAR($B30),MONTH($B30)-1,1),Índices!$B$6:$F$500,VLOOKUP(D$23,$L$7:$M$9,2,FALSE)+1,FALSE)*C30</f>
        <v>0</v>
      </c>
      <c r="E30" s="224"/>
      <c r="F30" s="225"/>
      <c r="G30" s="224"/>
      <c r="H30" s="225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4"/>
      <c r="L30" s="225">
        <f>VLOOKUP($B$48,Índices!$B$6:$F$500,VLOOKUP(L$23,$L$7:$M$9,2,FALSE)+1,FALSE)/VLOOKUP(DATE(YEAR($B30),MONTH($B30)-1,1),Índices!$B$6:$F$500,VLOOKUP(L$23,$L$7:$M$9,2,FALSE)+1,FALSE)*K30</f>
        <v>0</v>
      </c>
      <c r="M30" s="407"/>
      <c r="N30" s="99">
        <f>VLOOKUP($B$48,Índices!$B$6:$F$500,VLOOKUP(N$23,$L$7:$M$9,2,FALSE)+1,FALSE)/VLOOKUP(DATE(YEAR($B30),MONTH($B30)-1,1),Índices!$B$6:$F$500,VLOOKUP(N$23,$L$7:$M$9,2,FALSE)+1,FALSE)*M30</f>
        <v>0</v>
      </c>
      <c r="O30" s="407"/>
      <c r="P30" s="99">
        <f>VLOOKUP($B$48,Índices!$B$6:$F$500,VLOOKUP(P$23,$L$7:$M$9,2,FALSE)+1,FALSE)/VLOOKUP(DATE(YEAR($B30),MONTH($B30)-1,1),Índices!$B$6:$F$500,VLOOKUP(P$23,$L$7:$M$9,2,FALSE)+1,FALSE)*O30</f>
        <v>0</v>
      </c>
      <c r="Q30" s="224"/>
      <c r="R30" s="99">
        <f>VLOOKUP($B$48,Índices!$B$6:$F$500,VLOOKUP(R$23,$L$7:$M$9,2,FALSE)+1,FALSE)/VLOOKUP(DATE(YEAR($B30),MONTH($B30)-1,1),Índices!$B$6:$F$500,VLOOKUP(R$23,$L$7:$M$9,2,FALSE)+1,FALSE)*Q30</f>
        <v>0</v>
      </c>
      <c r="S30" s="224"/>
      <c r="T30" s="99">
        <f>VLOOKUP($B$48,Índices!$B$6:$F$500,VLOOKUP(T$23,$L$7:$M$9,2,FALSE)+1,FALSE)/VLOOKUP(DATE(YEAR($B30),MONTH($B30)-1,1),Índices!$B$6:$F$500,VLOOKUP(T$23,$L$7:$M$9,2,FALSE)+1,FALSE)*S30</f>
        <v>0</v>
      </c>
      <c r="U30" s="224"/>
      <c r="V30" s="99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08"/>
      <c r="B31" s="267">
        <f t="shared" si="2"/>
        <v>44256</v>
      </c>
      <c r="C31" s="293"/>
      <c r="D31" s="225">
        <f>VLOOKUP($B$48,Índices!$B$6:$F$500,VLOOKUP(D$23,$L$7:$M$9,2,FALSE)+1,FALSE)/VLOOKUP(DATE(YEAR($B31),MONTH($B31)-1,1),Índices!$B$6:$F$500,VLOOKUP(D$23,$L$7:$M$9,2,FALSE)+1,FALSE)*C31</f>
        <v>0</v>
      </c>
      <c r="E31" s="224"/>
      <c r="F31" s="225"/>
      <c r="G31" s="224"/>
      <c r="H31" s="225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4"/>
      <c r="L31" s="225">
        <f>VLOOKUP($B$48,Índices!$B$6:$F$500,VLOOKUP(L$23,$L$7:$M$9,2,FALSE)+1,FALSE)/VLOOKUP(DATE(YEAR($B31),MONTH($B31)-1,1),Índices!$B$6:$F$500,VLOOKUP(L$23,$L$7:$M$9,2,FALSE)+1,FALSE)*K31</f>
        <v>0</v>
      </c>
      <c r="M31" s="407"/>
      <c r="N31" s="99">
        <f>VLOOKUP($B$48,Índices!$B$6:$F$500,VLOOKUP(N$23,$L$7:$M$9,2,FALSE)+1,FALSE)/VLOOKUP(DATE(YEAR($B31),MONTH($B31)-1,1),Índices!$B$6:$F$500,VLOOKUP(N$23,$L$7:$M$9,2,FALSE)+1,FALSE)*M31</f>
        <v>0</v>
      </c>
      <c r="O31" s="407"/>
      <c r="P31" s="99">
        <f>VLOOKUP($B$48,Índices!$B$6:$F$500,VLOOKUP(P$23,$L$7:$M$9,2,FALSE)+1,FALSE)/VLOOKUP(DATE(YEAR($B31),MONTH($B31)-1,1),Índices!$B$6:$F$500,VLOOKUP(P$23,$L$7:$M$9,2,FALSE)+1,FALSE)*O31</f>
        <v>0</v>
      </c>
      <c r="Q31" s="224"/>
      <c r="R31" s="99">
        <f>VLOOKUP($B$48,Índices!$B$6:$F$500,VLOOKUP(R$23,$L$7:$M$9,2,FALSE)+1,FALSE)/VLOOKUP(DATE(YEAR($B31),MONTH($B31)-1,1),Índices!$B$6:$F$500,VLOOKUP(R$23,$L$7:$M$9,2,FALSE)+1,FALSE)*Q31</f>
        <v>0</v>
      </c>
      <c r="S31" s="224"/>
      <c r="T31" s="99">
        <f>VLOOKUP($B$48,Índices!$B$6:$F$500,VLOOKUP(T$23,$L$7:$M$9,2,FALSE)+1,FALSE)/VLOOKUP(DATE(YEAR($B31),MONTH($B31)-1,1),Índices!$B$6:$F$500,VLOOKUP(T$23,$L$7:$M$9,2,FALSE)+1,FALSE)*S31</f>
        <v>0</v>
      </c>
      <c r="U31" s="224"/>
      <c r="V31" s="99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08"/>
      <c r="B32" s="267">
        <f t="shared" si="2"/>
        <v>44287</v>
      </c>
      <c r="C32" s="293"/>
      <c r="D32" s="225">
        <f>VLOOKUP($B$48,Índices!$B$6:$F$500,VLOOKUP(D$23,$L$7:$M$9,2,FALSE)+1,FALSE)/VLOOKUP(DATE(YEAR($B32),MONTH($B32)-1,1),Índices!$B$6:$F$500,VLOOKUP(D$23,$L$7:$M$9,2,FALSE)+1,FALSE)*C32</f>
        <v>0</v>
      </c>
      <c r="E32" s="224"/>
      <c r="F32" s="225"/>
      <c r="G32" s="224"/>
      <c r="H32" s="225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4"/>
      <c r="L32" s="225">
        <f>VLOOKUP($B$48,Índices!$B$6:$F$500,VLOOKUP(L$23,$L$7:$M$9,2,FALSE)+1,FALSE)/VLOOKUP(DATE(YEAR($B32),MONTH($B32)-1,1),Índices!$B$6:$F$500,VLOOKUP(L$23,$L$7:$M$9,2,FALSE)+1,FALSE)*K32</f>
        <v>0</v>
      </c>
      <c r="M32" s="407"/>
      <c r="N32" s="99">
        <f>VLOOKUP($B$48,Índices!$B$6:$F$500,VLOOKUP(N$23,$L$7:$M$9,2,FALSE)+1,FALSE)/VLOOKUP(DATE(YEAR($B32),MONTH($B32)-1,1),Índices!$B$6:$F$500,VLOOKUP(N$23,$L$7:$M$9,2,FALSE)+1,FALSE)*M32</f>
        <v>0</v>
      </c>
      <c r="O32" s="407"/>
      <c r="P32" s="99">
        <f>VLOOKUP($B$48,Índices!$B$6:$F$500,VLOOKUP(P$23,$L$7:$M$9,2,FALSE)+1,FALSE)/VLOOKUP(DATE(YEAR($B32),MONTH($B32)-1,1),Índices!$B$6:$F$500,VLOOKUP(P$23,$L$7:$M$9,2,FALSE)+1,FALSE)*O32</f>
        <v>0</v>
      </c>
      <c r="Q32" s="224"/>
      <c r="R32" s="99">
        <f>VLOOKUP($B$48,Índices!$B$6:$F$500,VLOOKUP(R$23,$L$7:$M$9,2,FALSE)+1,FALSE)/VLOOKUP(DATE(YEAR($B32),MONTH($B32)-1,1),Índices!$B$6:$F$500,VLOOKUP(R$23,$L$7:$M$9,2,FALSE)+1,FALSE)*Q32</f>
        <v>0</v>
      </c>
      <c r="S32" s="224"/>
      <c r="T32" s="99">
        <f>VLOOKUP($B$48,Índices!$B$6:$F$500,VLOOKUP(T$23,$L$7:$M$9,2,FALSE)+1,FALSE)/VLOOKUP(DATE(YEAR($B32),MONTH($B32)-1,1),Índices!$B$6:$F$500,VLOOKUP(T$23,$L$7:$M$9,2,FALSE)+1,FALSE)*S32</f>
        <v>0</v>
      </c>
      <c r="U32" s="224"/>
      <c r="V32" s="99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08"/>
      <c r="B33" s="267">
        <f t="shared" si="2"/>
        <v>44317</v>
      </c>
      <c r="C33" s="293"/>
      <c r="D33" s="225">
        <f>VLOOKUP($B$48,Índices!$B$6:$F$500,VLOOKUP(D$23,$L$7:$M$9,2,FALSE)+1,FALSE)/VLOOKUP(DATE(YEAR($B33),MONTH($B33)-1,1),Índices!$B$6:$F$500,VLOOKUP(D$23,$L$7:$M$9,2,FALSE)+1,FALSE)*C33</f>
        <v>0</v>
      </c>
      <c r="E33" s="224"/>
      <c r="F33" s="225"/>
      <c r="G33" s="224"/>
      <c r="H33" s="225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4"/>
      <c r="L33" s="225">
        <f>VLOOKUP($B$48,Índices!$B$6:$F$500,VLOOKUP(L$23,$L$7:$M$9,2,FALSE)+1,FALSE)/VLOOKUP(DATE(YEAR($B33),MONTH($B33)-1,1),Índices!$B$6:$F$500,VLOOKUP(L$23,$L$7:$M$9,2,FALSE)+1,FALSE)*K33</f>
        <v>0</v>
      </c>
      <c r="M33" s="407"/>
      <c r="N33" s="99">
        <f>VLOOKUP($B$48,Índices!$B$6:$F$500,VLOOKUP(N$23,$L$7:$M$9,2,FALSE)+1,FALSE)/VLOOKUP(DATE(YEAR($B33),MONTH($B33)-1,1),Índices!$B$6:$F$500,VLOOKUP(N$23,$L$7:$M$9,2,FALSE)+1,FALSE)*M33</f>
        <v>0</v>
      </c>
      <c r="O33" s="407"/>
      <c r="P33" s="99">
        <f>VLOOKUP($B$48,Índices!$B$6:$F$500,VLOOKUP(P$23,$L$7:$M$9,2,FALSE)+1,FALSE)/VLOOKUP(DATE(YEAR($B33),MONTH($B33)-1,1),Índices!$B$6:$F$500,VLOOKUP(P$23,$L$7:$M$9,2,FALSE)+1,FALSE)*O33</f>
        <v>0</v>
      </c>
      <c r="Q33" s="224"/>
      <c r="R33" s="99">
        <f>VLOOKUP($B$48,Índices!$B$6:$F$500,VLOOKUP(R$23,$L$7:$M$9,2,FALSE)+1,FALSE)/VLOOKUP(DATE(YEAR($B33),MONTH($B33)-1,1),Índices!$B$6:$F$500,VLOOKUP(R$23,$L$7:$M$9,2,FALSE)+1,FALSE)*Q33</f>
        <v>0</v>
      </c>
      <c r="S33" s="224"/>
      <c r="T33" s="99">
        <f>VLOOKUP($B$48,Índices!$B$6:$F$500,VLOOKUP(T$23,$L$7:$M$9,2,FALSE)+1,FALSE)/VLOOKUP(DATE(YEAR($B33),MONTH($B33)-1,1),Índices!$B$6:$F$500,VLOOKUP(T$23,$L$7:$M$9,2,FALSE)+1,FALSE)*S33</f>
        <v>0</v>
      </c>
      <c r="U33" s="830"/>
      <c r="V33" s="99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08"/>
      <c r="B34" s="267">
        <f t="shared" si="2"/>
        <v>44348</v>
      </c>
      <c r="C34" s="293">
        <f>CAPA!C63</f>
        <v>0</v>
      </c>
      <c r="D34" s="225">
        <f>VLOOKUP($B$48,Índices!$B$6:$F$500,VLOOKUP(D$23,$L$7:$M$9,2,FALSE)+1,FALSE)/VLOOKUP(DATE(YEAR($B34),MONTH($B34)-1,1),Índices!$B$6:$F$500,VLOOKUP(D$23,$L$7:$M$9,2,FALSE)+1,FALSE)*C34</f>
        <v>0</v>
      </c>
      <c r="E34" s="224"/>
      <c r="F34" s="225"/>
      <c r="G34" s="224">
        <f>CAPA!E63</f>
        <v>0</v>
      </c>
      <c r="H34" s="225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4"/>
      <c r="L34" s="225">
        <f>VLOOKUP($B$48,Índices!$B$6:$F$500,VLOOKUP(L$23,$L$7:$M$9,2,FALSE)+1,FALSE)/VLOOKUP(DATE(YEAR($B34),MONTH($B34)-1,1),Índices!$B$6:$F$500,VLOOKUP(L$23,$L$7:$M$9,2,FALSE)+1,FALSE)*K34</f>
        <v>0</v>
      </c>
      <c r="M34" s="407"/>
      <c r="N34" s="99">
        <f>VLOOKUP($B$48,Índices!$B$6:$F$500,VLOOKUP(N$23,$L$7:$M$9,2,FALSE)+1,FALSE)/VLOOKUP(DATE(YEAR($B34),MONTH($B34)-1,1),Índices!$B$6:$F$500,VLOOKUP(N$23,$L$7:$M$9,2,FALSE)+1,FALSE)*M34</f>
        <v>0</v>
      </c>
      <c r="O34" s="407">
        <f>CAPA!G63</f>
        <v>0</v>
      </c>
      <c r="P34" s="99">
        <f>VLOOKUP($B$48,Índices!$B$6:$F$500,VLOOKUP(P$23,$L$7:$M$9,2,FALSE)+1,FALSE)/VLOOKUP(DATE(YEAR($B34),MONTH($B34)-1,1),Índices!$B$6:$F$500,VLOOKUP(P$23,$L$7:$M$9,2,FALSE)+1,FALSE)*O34</f>
        <v>0</v>
      </c>
      <c r="Q34" s="224">
        <f>CAPA!D63</f>
        <v>0</v>
      </c>
      <c r="R34" s="99">
        <f>VLOOKUP($B$48,Índices!$B$6:$F$500,VLOOKUP(R$23,$L$7:$M$9,2,FALSE)+1,FALSE)/VLOOKUP(DATE(YEAR($B34),MONTH($B34)-1,1),Índices!$B$6:$F$500,VLOOKUP(R$23,$L$7:$M$9,2,FALSE)+1,FALSE)*Q34</f>
        <v>0</v>
      </c>
      <c r="S34" s="224"/>
      <c r="T34" s="99">
        <f>VLOOKUP($B$48,Índices!$B$6:$F$500,VLOOKUP(T$23,$L$7:$M$9,2,FALSE)+1,FALSE)/VLOOKUP(DATE(YEAR($B34),MONTH($B34)-1,1),Índices!$B$6:$F$500,VLOOKUP(T$23,$L$7:$M$9,2,FALSE)+1,FALSE)*S34</f>
        <v>0</v>
      </c>
      <c r="U34" s="830"/>
      <c r="V34" s="99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08"/>
      <c r="B35" s="267">
        <f t="shared" si="2"/>
        <v>44378</v>
      </c>
      <c r="C35" s="293">
        <f>CAPA!C64</f>
        <v>0</v>
      </c>
      <c r="D35" s="225">
        <f>VLOOKUP($B$48,Índices!$B$6:$F$500,VLOOKUP(D$23,$L$7:$M$9,2,FALSE)+1,FALSE)/VLOOKUP(DATE(YEAR($B35),MONTH($B35)-1,1),Índices!$B$6:$F$500,VLOOKUP(D$23,$L$7:$M$9,2,FALSE)+1,FALSE)*C35</f>
        <v>0</v>
      </c>
      <c r="E35" s="224"/>
      <c r="F35" s="225"/>
      <c r="G35" s="224">
        <f>CAPA!E64</f>
        <v>0</v>
      </c>
      <c r="H35" s="225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4">
        <f>CAPA!H64</f>
        <v>0</v>
      </c>
      <c r="L35" s="225">
        <f>VLOOKUP($B$48,Índices!$B$6:$F$500,VLOOKUP(L$23,$L$7:$M$9,2,FALSE)+1,FALSE)/VLOOKUP(DATE(YEAR($B35),MONTH($B35)-1,1),Índices!$B$6:$F$500,VLOOKUP(L$23,$L$7:$M$9,2,FALSE)+1,FALSE)*K35</f>
        <v>0</v>
      </c>
      <c r="M35" s="407"/>
      <c r="N35" s="99">
        <f>VLOOKUP($B$48,Índices!$B$6:$F$500,VLOOKUP(N$23,$L$7:$M$9,2,FALSE)+1,FALSE)/VLOOKUP(DATE(YEAR($B35),MONTH($B35)-1,1),Índices!$B$6:$F$500,VLOOKUP(N$23,$L$7:$M$9,2,FALSE)+1,FALSE)*M35</f>
        <v>0</v>
      </c>
      <c r="O35" s="407">
        <f>CAPA!G64</f>
        <v>0</v>
      </c>
      <c r="P35" s="99">
        <f>VLOOKUP($B$48,Índices!$B$6:$F$500,VLOOKUP(P$23,$L$7:$M$9,2,FALSE)+1,FALSE)/VLOOKUP(DATE(YEAR($B35),MONTH($B35)-1,1),Índices!$B$6:$F$500,VLOOKUP(P$23,$L$7:$M$9,2,FALSE)+1,FALSE)*O35</f>
        <v>0</v>
      </c>
      <c r="Q35" s="224">
        <f>CAPA!D64</f>
        <v>0</v>
      </c>
      <c r="R35" s="99">
        <f>VLOOKUP($B$48,Índices!$B$6:$F$500,VLOOKUP(R$23,$L$7:$M$9,2,FALSE)+1,FALSE)/VLOOKUP(DATE(YEAR($B35),MONTH($B35)-1,1),Índices!$B$6:$F$500,VLOOKUP(R$23,$L$7:$M$9,2,FALSE)+1,FALSE)*Q35</f>
        <v>0</v>
      </c>
      <c r="S35" s="224"/>
      <c r="T35" s="99">
        <f>VLOOKUP($B$48,Índices!$B$6:$F$500,VLOOKUP(T$23,$L$7:$M$9,2,FALSE)+1,FALSE)/VLOOKUP(DATE(YEAR($B35),MONTH($B35)-1,1),Índices!$B$6:$F$500,VLOOKUP(T$23,$L$7:$M$9,2,FALSE)+1,FALSE)*S35</f>
        <v>0</v>
      </c>
      <c r="U35" s="830"/>
      <c r="V35" s="99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08"/>
      <c r="B36" s="267">
        <f t="shared" si="2"/>
        <v>44409</v>
      </c>
      <c r="C36" s="293">
        <f>CAPA!C65</f>
        <v>0</v>
      </c>
      <c r="D36" s="225">
        <f>VLOOKUP($B$48,Índices!$B$6:$F$500,VLOOKUP(D$23,$L$7:$M$9,2,FALSE)+1,FALSE)/VLOOKUP(DATE(YEAR($B36),MONTH($B36)-1,1),Índices!$B$6:$F$500,VLOOKUP(D$23,$L$7:$M$9,2,FALSE)+1,FALSE)*C36</f>
        <v>0</v>
      </c>
      <c r="E36" s="224"/>
      <c r="F36" s="225"/>
      <c r="G36" s="224">
        <f>CAPA!E65</f>
        <v>0</v>
      </c>
      <c r="H36" s="225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4">
        <f>CAPA!H65</f>
        <v>0</v>
      </c>
      <c r="L36" s="225">
        <f>VLOOKUP($B$48,Índices!$B$6:$F$500,VLOOKUP(L$23,$L$7:$M$9,2,FALSE)+1,FALSE)/VLOOKUP(DATE(YEAR($B36),MONTH($B36)-1,1),Índices!$B$6:$F$500,VLOOKUP(L$23,$L$7:$M$9,2,FALSE)+1,FALSE)*K36</f>
        <v>0</v>
      </c>
      <c r="M36" s="407"/>
      <c r="N36" s="99">
        <f>VLOOKUP($B$48,Índices!$B$6:$F$500,VLOOKUP(N$23,$L$7:$M$9,2,FALSE)+1,FALSE)/VLOOKUP(DATE(YEAR($B36),MONTH($B36)-1,1),Índices!$B$6:$F$500,VLOOKUP(N$23,$L$7:$M$9,2,FALSE)+1,FALSE)*M36</f>
        <v>0</v>
      </c>
      <c r="O36" s="407">
        <f>CAPA!G65</f>
        <v>0</v>
      </c>
      <c r="P36" s="99">
        <f>VLOOKUP($B$48,Índices!$B$6:$F$500,VLOOKUP(P$23,$L$7:$M$9,2,FALSE)+1,FALSE)/VLOOKUP(DATE(YEAR($B36),MONTH($B36)-1,1),Índices!$B$6:$F$500,VLOOKUP(P$23,$L$7:$M$9,2,FALSE)+1,FALSE)*O36</f>
        <v>0</v>
      </c>
      <c r="Q36" s="224">
        <f>CAPA!D65</f>
        <v>0</v>
      </c>
      <c r="R36" s="99">
        <f>VLOOKUP($B$48,Índices!$B$6:$F$500,VLOOKUP(R$23,$L$7:$M$9,2,FALSE)+1,FALSE)/VLOOKUP(DATE(YEAR($B36),MONTH($B36)-1,1),Índices!$B$6:$F$500,VLOOKUP(R$23,$L$7:$M$9,2,FALSE)+1,FALSE)*Q36</f>
        <v>0</v>
      </c>
      <c r="S36" s="224"/>
      <c r="T36" s="99">
        <f>VLOOKUP($B$48,Índices!$B$6:$F$500,VLOOKUP(T$23,$L$7:$M$9,2,FALSE)+1,FALSE)/VLOOKUP(DATE(YEAR($B36),MONTH($B36)-1,1),Índices!$B$6:$F$500,VLOOKUP(T$23,$L$7:$M$9,2,FALSE)+1,FALSE)*S36</f>
        <v>0</v>
      </c>
      <c r="U36" s="830"/>
      <c r="V36" s="99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32" customFormat="1" ht="14.25">
      <c r="A37" s="826"/>
      <c r="B37" s="827">
        <f t="shared" si="2"/>
        <v>44440</v>
      </c>
      <c r="C37" s="828">
        <f>CAPA!C66</f>
        <v>17411.560000000001</v>
      </c>
      <c r="D37" s="829">
        <f>VLOOKUP($B$48,Índices!$B$6:$F$500,VLOOKUP(D$23,$L$7:$M$9,2,FALSE)+1,FALSE)/VLOOKUP(DATE(YEAR($B37),MONTH($B37)-1,1),Índices!$B$6:$F$500,VLOOKUP(D$23,$L$7:$M$9,2,FALSE)+1,FALSE)*C37</f>
        <v>18931.117559789316</v>
      </c>
      <c r="E37" s="830"/>
      <c r="F37" s="829">
        <f>VLOOKUP($B$48,Índices!$B$6:$F$500,VLOOKUP(F$23,$L$7:$M$9,2,FALSE)+1,FALSE)/VLOOKUP(DATE(YEAR($B37),MONTH($B37)-1,1),Índices!$B$6:$F$500,VLOOKUP(H$23,$L$7:$M$9,2,FALSE)+1,FALSE)*E37</f>
        <v>0</v>
      </c>
      <c r="G37" s="830">
        <f>CAPA!E66</f>
        <v>0</v>
      </c>
      <c r="H37" s="829">
        <f>VLOOKUP($B$48,Índices!$B$6:$F$500,VLOOKUP(H$23,$L$7:$M$9,2,FALSE)+1,FALSE)/VLOOKUP(DATE(YEAR($B37),MONTH($B37)-1,1),Índices!$B$6:$F$500,VLOOKUP(H$23,$L$7:$M$9,2,FALSE)+1,FALSE)*G37</f>
        <v>0</v>
      </c>
      <c r="I37" s="831">
        <f>IFERROR(HLOOKUP(B37,'Rede Básica + Ajuste'!$E$70:$P$71,2,FALSE),0)</f>
        <v>0</v>
      </c>
      <c r="J37" s="831">
        <f>VLOOKUP($B$48,Índices!$B$6:$F$500,VLOOKUP(J$23,$L$7:$M$9,2,FALSE)+1,FALSE)/VLOOKUP(DATE(YEAR($B37),MONTH($B37)-1,1),Índices!$B$6:$F$500,VLOOKUP(J$23,$L$7:$M$9,2,FALSE)+1,FALSE)*I37</f>
        <v>0</v>
      </c>
      <c r="K37" s="830">
        <f>CAPA!H66</f>
        <v>0</v>
      </c>
      <c r="L37" s="829">
        <f>VLOOKUP($B$48,Índices!$B$6:$F$500,VLOOKUP(L$23,$L$7:$M$9,2,FALSE)+1,FALSE)/VLOOKUP(DATE(YEAR($B37),MONTH($B37)-1,1),Índices!$B$6:$F$500,VLOOKUP(L$23,$L$7:$M$9,2,FALSE)+1,FALSE)*K37</f>
        <v>0</v>
      </c>
      <c r="M37" s="830">
        <f>CVE!$I$14/12</f>
        <v>0</v>
      </c>
      <c r="N37" s="829">
        <f>VLOOKUP($B$48,Índices!$B$6:$F$500,VLOOKUP(N$23,$L$7:$M$9,2,FALSE)+1,FALSE)/VLOOKUP(DATE(YEAR($B37),MONTH($B37)-1,1),Índices!$B$6:$F$500,VLOOKUP(N$23,$L$7:$M$9,2,FALSE)+1,FALSE)*M37</f>
        <v>0</v>
      </c>
      <c r="O37" s="407">
        <f>CAPA!G66</f>
        <v>0</v>
      </c>
      <c r="P37" s="829">
        <f>VLOOKUP($B$48,Índices!$B$6:$F$500,VLOOKUP(P$23,$L$7:$M$9,2,FALSE)+1,FALSE)/VLOOKUP(DATE(YEAR($B37),MONTH($B37)-1,1),Índices!$B$6:$F$500,VLOOKUP(P$23,$L$7:$M$9,2,FALSE)+1,FALSE)*O37</f>
        <v>0</v>
      </c>
      <c r="Q37" s="830">
        <f>CAPA!D66</f>
        <v>0</v>
      </c>
      <c r="R37" s="829">
        <f>VLOOKUP($B$48,Índices!$B$6:$F$500,VLOOKUP(R$23,$L$7:$M$9,2,FALSE)+1,FALSE)/VLOOKUP(DATE(YEAR($B37),MONTH($B37)-1,1),Índices!$B$6:$F$500,VLOOKUP(R$23,$L$7:$M$9,2,FALSE)+1,FALSE)*Q37</f>
        <v>0</v>
      </c>
      <c r="S37" s="830">
        <f>'Tributos suprimento'!$B$14/12</f>
        <v>0</v>
      </c>
      <c r="T37" s="829">
        <f>VLOOKUP($B$48,Índices!$B$6:$F$500,VLOOKUP(T$23,$L$7:$M$9,2,FALSE)+1,FALSE)/VLOOKUP(DATE(YEAR($B37),MONTH($B37)-1,1),Índices!$B$6:$F$500,VLOOKUP(T$23,$L$7:$M$9,2,FALSE)+1,FALSE)*S37</f>
        <v>0</v>
      </c>
      <c r="U37" s="830">
        <f>'Tributos suprimento'!$B$13/12</f>
        <v>0</v>
      </c>
      <c r="V37" s="829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08"/>
      <c r="B38" s="267">
        <f>DATE(YEAR(B39),MONTH(B39)-1,1)</f>
        <v>44470</v>
      </c>
      <c r="C38" s="293">
        <f>CAPA!C67</f>
        <v>10205.619999999999</v>
      </c>
      <c r="D38" s="225">
        <f>VLOOKUP($B$48,Índices!$B$6:$F$500,VLOOKUP(D$23,$L$7:$M$9,2,FALSE)+1,FALSE)/VLOOKUP(DATE(YEAR($B38),MONTH($B38)-1,1),Índices!$B$6:$F$500,VLOOKUP(D$23,$L$7:$M$9,2,FALSE)+1,FALSE)*C38</f>
        <v>10969.057191687371</v>
      </c>
      <c r="E38" s="224"/>
      <c r="F38" s="225">
        <f>VLOOKUP($B$48,Índices!$B$6:$F$500,VLOOKUP(F$23,$L$7:$M$9,2,FALSE)+1,FALSE)/VLOOKUP(DATE(YEAR($B38),MONTH($B38)-1,1),Índices!$B$6:$F$500,VLOOKUP(H$23,$L$7:$M$9,2,FALSE)+1,FALSE)*E38</f>
        <v>0</v>
      </c>
      <c r="G38" s="224">
        <f>CAPA!E67</f>
        <v>-390.95</v>
      </c>
      <c r="H38" s="225">
        <f>VLOOKUP($B$48,Índices!$B$6:$F$500,VLOOKUP(H$23,$L$7:$M$9,2,FALSE)+1,FALSE)/VLOOKUP(DATE(YEAR($B38),MONTH($B38)-1,1),Índices!$B$6:$F$500,VLOOKUP(H$23,$L$7:$M$9,2,FALSE)+1,FALSE)*G38</f>
        <v>-420.19523645698916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4">
        <f>CAPA!H67</f>
        <v>0</v>
      </c>
      <c r="L38" s="225">
        <f>VLOOKUP($B$48,Índices!$B$6:$F$500,VLOOKUP(L$23,$L$7:$M$9,2,FALSE)+1,FALSE)/VLOOKUP(DATE(YEAR($B38),MONTH($B38)-1,1),Índices!$B$6:$F$500,VLOOKUP(L$23,$L$7:$M$9,2,FALSE)+1,FALSE)*K38</f>
        <v>0</v>
      </c>
      <c r="M38" s="407">
        <f>CVE!$I$14/12</f>
        <v>0</v>
      </c>
      <c r="N38" s="99">
        <f>VLOOKUP($B$48,Índices!$B$6:$F$500,VLOOKUP(N$23,$L$7:$M$9,2,FALSE)+1,FALSE)/VLOOKUP(DATE(YEAR($B38),MONTH($B38)-1,1),Índices!$B$6:$F$500,VLOOKUP(N$23,$L$7:$M$9,2,FALSE)+1,FALSE)*M38</f>
        <v>0</v>
      </c>
      <c r="O38" s="407">
        <f>CAPA!G67</f>
        <v>0</v>
      </c>
      <c r="P38" s="99">
        <f>VLOOKUP($B$48,Índices!$B$6:$F$500,VLOOKUP(P$23,$L$7:$M$9,2,FALSE)+1,FALSE)/VLOOKUP(DATE(YEAR($B38),MONTH($B38)-1,1),Índices!$B$6:$F$500,VLOOKUP(P$23,$L$7:$M$9,2,FALSE)+1,FALSE)*O38</f>
        <v>0</v>
      </c>
      <c r="Q38" s="224">
        <f>CAPA!D67</f>
        <v>0</v>
      </c>
      <c r="R38" s="99">
        <f>VLOOKUP($B$48,Índices!$B$6:$F$500,VLOOKUP(R$23,$L$7:$M$9,2,FALSE)+1,FALSE)/VLOOKUP(DATE(YEAR($B38),MONTH($B38)-1,1),Índices!$B$6:$F$500,VLOOKUP(R$23,$L$7:$M$9,2,FALSE)+1,FALSE)*Q38</f>
        <v>0</v>
      </c>
      <c r="S38" s="830">
        <f>'Tributos suprimento'!$B$14/12</f>
        <v>0</v>
      </c>
      <c r="T38" s="99">
        <f>VLOOKUP($B$48,Índices!$B$6:$F$500,VLOOKUP(T$23,$L$7:$M$9,2,FALSE)+1,FALSE)/VLOOKUP(DATE(YEAR($B38),MONTH($B38)-1,1),Índices!$B$6:$F$500,VLOOKUP(T$23,$L$7:$M$9,2,FALSE)+1,FALSE)*S38</f>
        <v>0</v>
      </c>
      <c r="U38" s="830">
        <f>'Tributos suprimento'!$B$13/12</f>
        <v>0</v>
      </c>
      <c r="V38" s="99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08"/>
      <c r="B39" s="267">
        <f t="shared" si="2"/>
        <v>44501</v>
      </c>
      <c r="C39" s="293">
        <f>CAPA!C68</f>
        <v>11809.65</v>
      </c>
      <c r="D39" s="225">
        <f>VLOOKUP($B$48,Índices!$B$6:$F$500,VLOOKUP(D$23,$L$7:$M$9,2,FALSE)+1,FALSE)/VLOOKUP(DATE(YEAR($B39),MONTH($B39)-1,1),Índices!$B$6:$F$500,VLOOKUP(D$23,$L$7:$M$9,2,FALSE)+1,FALSE)*C39</f>
        <v>12536.378371972463</v>
      </c>
      <c r="E39" s="224"/>
      <c r="F39" s="225">
        <f>VLOOKUP($B$48,Índices!$B$6:$F$500,VLOOKUP(F$23,$L$7:$M$9,2,FALSE)+1,FALSE)/VLOOKUP(DATE(YEAR($B39),MONTH($B39)-1,1),Índices!$B$6:$F$500,VLOOKUP(H$23,$L$7:$M$9,2,FALSE)+1,FALSE)*E39</f>
        <v>0</v>
      </c>
      <c r="G39" s="224">
        <f>CAPA!E68</f>
        <v>0</v>
      </c>
      <c r="H39" s="225">
        <f>VLOOKUP($B$48,Índices!$B$6:$F$500,VLOOKUP(H$23,$L$7:$M$9,2,FALSE)+1,FALSE)/VLOOKUP(DATE(YEAR($B39),MONTH($B39)-1,1),Índices!$B$6:$F$500,VLOOKUP(H$23,$L$7:$M$9,2,FALSE)+1,FALSE)*G39</f>
        <v>0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4">
        <f>CAPA!H68</f>
        <v>0</v>
      </c>
      <c r="L39" s="225">
        <f>VLOOKUP($B$48,Índices!$B$6:$F$500,VLOOKUP(L$23,$L$7:$M$9,2,FALSE)+1,FALSE)/VLOOKUP(DATE(YEAR($B39),MONTH($B39)-1,1),Índices!$B$6:$F$500,VLOOKUP(L$23,$L$7:$M$9,2,FALSE)+1,FALSE)*K39</f>
        <v>0</v>
      </c>
      <c r="M39" s="407">
        <f>CVE!$I$14/12</f>
        <v>0</v>
      </c>
      <c r="N39" s="99">
        <f>VLOOKUP($B$48,Índices!$B$6:$F$500,VLOOKUP(N$23,$L$7:$M$9,2,FALSE)+1,FALSE)/VLOOKUP(DATE(YEAR($B39),MONTH($B39)-1,1),Índices!$B$6:$F$500,VLOOKUP(N$23,$L$7:$M$9,2,FALSE)+1,FALSE)*M39</f>
        <v>0</v>
      </c>
      <c r="O39" s="407">
        <f>CAPA!G68</f>
        <v>0</v>
      </c>
      <c r="P39" s="99">
        <f>VLOOKUP($B$48,Índices!$B$6:$F$500,VLOOKUP(P$23,$L$7:$M$9,2,FALSE)+1,FALSE)/VLOOKUP(DATE(YEAR($B39),MONTH($B39)-1,1),Índices!$B$6:$F$500,VLOOKUP(P$23,$L$7:$M$9,2,FALSE)+1,FALSE)*O39</f>
        <v>0</v>
      </c>
      <c r="Q39" s="224">
        <f>CAPA!D68</f>
        <v>0</v>
      </c>
      <c r="R39" s="99">
        <f>VLOOKUP($B$48,Índices!$B$6:$F$500,VLOOKUP(R$23,$L$7:$M$9,2,FALSE)+1,FALSE)/VLOOKUP(DATE(YEAR($B39),MONTH($B39)-1,1),Índices!$B$6:$F$500,VLOOKUP(R$23,$L$7:$M$9,2,FALSE)+1,FALSE)*Q39</f>
        <v>0</v>
      </c>
      <c r="S39" s="830">
        <f>'Tributos suprimento'!$B$14/12</f>
        <v>0</v>
      </c>
      <c r="T39" s="99">
        <f>VLOOKUP($B$48,Índices!$B$6:$F$500,VLOOKUP(T$23,$L$7:$M$9,2,FALSE)+1,FALSE)/VLOOKUP(DATE(YEAR($B39),MONTH($B39)-1,1),Índices!$B$6:$F$500,VLOOKUP(T$23,$L$7:$M$9,2,FALSE)+1,FALSE)*S39</f>
        <v>0</v>
      </c>
      <c r="U39" s="830">
        <f>'Tributos suprimento'!$B$13/12</f>
        <v>0</v>
      </c>
      <c r="V39" s="99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08"/>
      <c r="B40" s="267">
        <f t="shared" si="2"/>
        <v>44531</v>
      </c>
      <c r="C40" s="293">
        <f>CAPA!C69</f>
        <v>21484.6</v>
      </c>
      <c r="D40" s="225">
        <f>VLOOKUP($B$48,Índices!$B$6:$F$500,VLOOKUP(D$23,$L$7:$M$9,2,FALSE)+1,FALSE)/VLOOKUP(DATE(YEAR($B40),MONTH($B40)-1,1),Índices!$B$6:$F$500,VLOOKUP(D$23,$L$7:$M$9,2,FALSE)+1,FALSE)*C40</f>
        <v>22592.053972799797</v>
      </c>
      <c r="E40" s="224"/>
      <c r="F40" s="225">
        <f>VLOOKUP($B$48,Índices!$B$6:$F$500,VLOOKUP(F$23,$L$7:$M$9,2,FALSE)+1,FALSE)/VLOOKUP(DATE(YEAR($B40),MONTH($B40)-1,1),Índices!$B$6:$F$500,VLOOKUP(H$23,$L$7:$M$9,2,FALSE)+1,FALSE)*E40</f>
        <v>0</v>
      </c>
      <c r="G40" s="224">
        <f>CAPA!E69</f>
        <v>-250.72</v>
      </c>
      <c r="H40" s="225">
        <f>VLOOKUP($B$48,Índices!$B$6:$F$500,VLOOKUP(H$23,$L$7:$M$9,2,FALSE)+1,FALSE)/VLOOKUP(DATE(YEAR($B40),MONTH($B40)-1,1),Índices!$B$6:$F$500,VLOOKUP(H$23,$L$7:$M$9,2,FALSE)+1,FALSE)*G40</f>
        <v>-263.64371559444277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4">
        <f>CAPA!H69</f>
        <v>0</v>
      </c>
      <c r="L40" s="225">
        <f>VLOOKUP($B$48,Índices!$B$6:$F$500,VLOOKUP(L$23,$L$7:$M$9,2,FALSE)+1,FALSE)/VLOOKUP(DATE(YEAR($B40),MONTH($B40)-1,1),Índices!$B$6:$F$500,VLOOKUP(L$23,$L$7:$M$9,2,FALSE)+1,FALSE)*K40</f>
        <v>0</v>
      </c>
      <c r="M40" s="407">
        <f>CVE!$I$14/12</f>
        <v>0</v>
      </c>
      <c r="N40" s="99">
        <f>VLOOKUP($B$48,Índices!$B$6:$F$500,VLOOKUP(N$23,$L$7:$M$9,2,FALSE)+1,FALSE)/VLOOKUP(DATE(YEAR($B40),MONTH($B40)-1,1),Índices!$B$6:$F$500,VLOOKUP(N$23,$L$7:$M$9,2,FALSE)+1,FALSE)*M40</f>
        <v>0</v>
      </c>
      <c r="O40" s="407">
        <f>CAPA!G69</f>
        <v>0</v>
      </c>
      <c r="P40" s="99">
        <f>VLOOKUP($B$48,Índices!$B$6:$F$500,VLOOKUP(P$23,$L$7:$M$9,2,FALSE)+1,FALSE)/VLOOKUP(DATE(YEAR($B40),MONTH($B40)-1,1),Índices!$B$6:$F$500,VLOOKUP(P$23,$L$7:$M$9,2,FALSE)+1,FALSE)*O40</f>
        <v>0</v>
      </c>
      <c r="Q40" s="224">
        <f>CAPA!D69</f>
        <v>0</v>
      </c>
      <c r="R40" s="99">
        <f>VLOOKUP($B$48,Índices!$B$6:$F$500,VLOOKUP(R$23,$L$7:$M$9,2,FALSE)+1,FALSE)/VLOOKUP(DATE(YEAR($B40),MONTH($B40)-1,1),Índices!$B$6:$F$500,VLOOKUP(R$23,$L$7:$M$9,2,FALSE)+1,FALSE)*Q40</f>
        <v>0</v>
      </c>
      <c r="S40" s="830">
        <f>'Tributos suprimento'!$B$14/12</f>
        <v>0</v>
      </c>
      <c r="T40" s="99">
        <f>VLOOKUP($B$48,Índices!$B$6:$F$500,VLOOKUP(T$23,$L$7:$M$9,2,FALSE)+1,FALSE)/VLOOKUP(DATE(YEAR($B40),MONTH($B40)-1,1),Índices!$B$6:$F$500,VLOOKUP(T$23,$L$7:$M$9,2,FALSE)+1,FALSE)*S40</f>
        <v>0</v>
      </c>
      <c r="U40" s="830">
        <f>'Tributos suprimento'!$B$13/12</f>
        <v>0</v>
      </c>
      <c r="V40" s="99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08"/>
      <c r="B41" s="267">
        <f t="shared" si="2"/>
        <v>44562</v>
      </c>
      <c r="C41" s="293">
        <f>CAPA!C70</f>
        <v>26994.91</v>
      </c>
      <c r="D41" s="225">
        <f>VLOOKUP($B$48,Índices!$B$6:$F$500,VLOOKUP(D$23,$L$7:$M$9,2,FALSE)+1,FALSE)/VLOOKUP(DATE(YEAR($B41),MONTH($B41)-1,1),Índices!$B$6:$F$500,VLOOKUP(D$23,$L$7:$M$9,2,FALSE)+1,FALSE)*C41</f>
        <v>28180.693369928955</v>
      </c>
      <c r="E41" s="224"/>
      <c r="F41" s="225">
        <f>VLOOKUP($B$48,Índices!$B$6:$F$500,VLOOKUP(F$23,$L$7:$M$9,2,FALSE)+1,FALSE)/VLOOKUP(DATE(YEAR($B41),MONTH($B41)-1,1),Índices!$B$6:$F$500,VLOOKUP(H$23,$L$7:$M$9,2,FALSE)+1,FALSE)*E41</f>
        <v>0</v>
      </c>
      <c r="G41" s="224">
        <f>CAPA!E70</f>
        <v>0</v>
      </c>
      <c r="H41" s="225">
        <f>VLOOKUP($B$48,Índices!$B$6:$F$500,VLOOKUP(H$23,$L$7:$M$9,2,FALSE)+1,FALSE)/VLOOKUP(DATE(YEAR($B41),MONTH($B41)-1,1),Índices!$B$6:$F$500,VLOOKUP(H$23,$L$7:$M$9,2,FALSE)+1,FALSE)*G41</f>
        <v>0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4">
        <f>CAPA!H70</f>
        <v>0</v>
      </c>
      <c r="L41" s="225">
        <f>VLOOKUP($B$48,Índices!$B$6:$F$500,VLOOKUP(L$23,$L$7:$M$9,2,FALSE)+1,FALSE)/VLOOKUP(DATE(YEAR($B41),MONTH($B41)-1,1),Índices!$B$6:$F$500,VLOOKUP(L$23,$L$7:$M$9,2,FALSE)+1,FALSE)*K41</f>
        <v>0</v>
      </c>
      <c r="M41" s="407">
        <f>CVE!$I$14/12</f>
        <v>0</v>
      </c>
      <c r="N41" s="99">
        <f>VLOOKUP($B$48,Índices!$B$6:$F$500,VLOOKUP(N$23,$L$7:$M$9,2,FALSE)+1,FALSE)/VLOOKUP(DATE(YEAR($B41),MONTH($B41)-1,1),Índices!$B$6:$F$500,VLOOKUP(N$23,$L$7:$M$9,2,FALSE)+1,FALSE)*M41</f>
        <v>0</v>
      </c>
      <c r="O41" s="407">
        <f>CAPA!G70</f>
        <v>0</v>
      </c>
      <c r="P41" s="99">
        <f>VLOOKUP($B$48,Índices!$B$6:$F$500,VLOOKUP(P$23,$L$7:$M$9,2,FALSE)+1,FALSE)/VLOOKUP(DATE(YEAR($B41),MONTH($B41)-1,1),Índices!$B$6:$F$500,VLOOKUP(P$23,$L$7:$M$9,2,FALSE)+1,FALSE)*O41</f>
        <v>0</v>
      </c>
      <c r="Q41" s="224">
        <f>CAPA!D70</f>
        <v>0</v>
      </c>
      <c r="R41" s="99">
        <f>VLOOKUP($B$48,Índices!$B$6:$F$500,VLOOKUP(R$23,$L$7:$M$9,2,FALSE)+1,FALSE)/VLOOKUP(DATE(YEAR($B41),MONTH($B41)-1,1),Índices!$B$6:$F$500,VLOOKUP(R$23,$L$7:$M$9,2,FALSE)+1,FALSE)*Q41</f>
        <v>0</v>
      </c>
      <c r="S41" s="830">
        <f>'Tributos suprimento'!$B$14/12</f>
        <v>0</v>
      </c>
      <c r="T41" s="99">
        <f>VLOOKUP($B$48,Índices!$B$6:$F$500,VLOOKUP(T$23,$L$7:$M$9,2,FALSE)+1,FALSE)/VLOOKUP(DATE(YEAR($B41),MONTH($B41)-1,1),Índices!$B$6:$F$500,VLOOKUP(T$23,$L$7:$M$9,2,FALSE)+1,FALSE)*S41</f>
        <v>0</v>
      </c>
      <c r="U41" s="830">
        <f>'Tributos suprimento'!$B$13/12</f>
        <v>0</v>
      </c>
      <c r="V41" s="99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08"/>
      <c r="B42" s="267">
        <f t="shared" si="2"/>
        <v>44593</v>
      </c>
      <c r="C42" s="293">
        <f>CAPA!C71</f>
        <v>30731.9</v>
      </c>
      <c r="D42" s="225">
        <f>VLOOKUP($B$48,Índices!$B$6:$F$500,VLOOKUP(D$23,$L$7:$M$9,2,FALSE)+1,FALSE)/VLOOKUP(DATE(YEAR($B42),MONTH($B42)-1,1),Índices!$B$6:$F$500,VLOOKUP(D$23,$L$7:$M$9,2,FALSE)+1,FALSE)*C42</f>
        <v>31909.514398944269</v>
      </c>
      <c r="E42" s="224"/>
      <c r="F42" s="225">
        <f>VLOOKUP($B$48,Índices!$B$6:$F$500,VLOOKUP(F$23,$L$7:$M$9,2,FALSE)+1,FALSE)/VLOOKUP(DATE(YEAR($B42),MONTH($B42)-1,1),Índices!$B$6:$F$500,VLOOKUP(H$23,$L$7:$M$9,2,FALSE)+1,FALSE)*E42</f>
        <v>0</v>
      </c>
      <c r="G42" s="224">
        <f>CAPA!E71</f>
        <v>-8611.65</v>
      </c>
      <c r="H42" s="225">
        <f>VLOOKUP($B$48,Índices!$B$6:$F$500,VLOOKUP(H$23,$L$7:$M$9,2,FALSE)+1,FALSE)/VLOOKUP(DATE(YEAR($B42),MONTH($B42)-1,1),Índices!$B$6:$F$500,VLOOKUP(H$23,$L$7:$M$9,2,FALSE)+1,FALSE)*G42</f>
        <v>-8941.6394584672089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4">
        <f>CAPA!H71</f>
        <v>0</v>
      </c>
      <c r="L42" s="225">
        <f>VLOOKUP($B$48,Índices!$B$6:$F$500,VLOOKUP(L$23,$L$7:$M$9,2,FALSE)+1,FALSE)/VLOOKUP(DATE(YEAR($B42),MONTH($B42)-1,1),Índices!$B$6:$F$500,VLOOKUP(L$23,$L$7:$M$9,2,FALSE)+1,FALSE)*K42</f>
        <v>0</v>
      </c>
      <c r="M42" s="407">
        <f>CVE!$I$14/12</f>
        <v>0</v>
      </c>
      <c r="N42" s="99">
        <f>VLOOKUP($B$48,Índices!$B$6:$F$500,VLOOKUP(N$23,$L$7:$M$9,2,FALSE)+1,FALSE)/VLOOKUP(DATE(YEAR($B42),MONTH($B42)-1,1),Índices!$B$6:$F$500,VLOOKUP(N$23,$L$7:$M$9,2,FALSE)+1,FALSE)*M42</f>
        <v>0</v>
      </c>
      <c r="O42" s="407">
        <f>CAPA!G71</f>
        <v>0</v>
      </c>
      <c r="P42" s="99">
        <f>VLOOKUP($B$48,Índices!$B$6:$F$500,VLOOKUP(P$23,$L$7:$M$9,2,FALSE)+1,FALSE)/VLOOKUP(DATE(YEAR($B42),MONTH($B42)-1,1),Índices!$B$6:$F$500,VLOOKUP(P$23,$L$7:$M$9,2,FALSE)+1,FALSE)*O42</f>
        <v>0</v>
      </c>
      <c r="Q42" s="224">
        <f>CAPA!D71</f>
        <v>0</v>
      </c>
      <c r="R42" s="99">
        <f>VLOOKUP($B$48,Índices!$B$6:$F$500,VLOOKUP(R$23,$L$7:$M$9,2,FALSE)+1,FALSE)/VLOOKUP(DATE(YEAR($B42),MONTH($B42)-1,1),Índices!$B$6:$F$500,VLOOKUP(R$23,$L$7:$M$9,2,FALSE)+1,FALSE)*Q42</f>
        <v>0</v>
      </c>
      <c r="S42" s="830">
        <f>'Tributos suprimento'!$B$14/12</f>
        <v>0</v>
      </c>
      <c r="T42" s="99">
        <f>VLOOKUP($B$48,Índices!$B$6:$F$500,VLOOKUP(T$23,$L$7:$M$9,2,FALSE)+1,FALSE)/VLOOKUP(DATE(YEAR($B42),MONTH($B42)-1,1),Índices!$B$6:$F$500,VLOOKUP(T$23,$L$7:$M$9,2,FALSE)+1,FALSE)*S42</f>
        <v>0</v>
      </c>
      <c r="U42" s="830">
        <f>'Tributos suprimento'!$B$13/12</f>
        <v>0</v>
      </c>
      <c r="V42" s="99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08"/>
      <c r="B43" s="267">
        <f t="shared" si="2"/>
        <v>44621</v>
      </c>
      <c r="C43" s="293">
        <f>CAPA!C72</f>
        <v>28439.55</v>
      </c>
      <c r="D43" s="225">
        <f>VLOOKUP($B$48,Índices!$B$6:$F$500,VLOOKUP(D$23,$L$7:$M$9,2,FALSE)+1,FALSE)/VLOOKUP(DATE(YEAR($B43),MONTH($B43)-1,1),Índices!$B$6:$F$500,VLOOKUP(D$23,$L$7:$M$9,2,FALSE)+1,FALSE)*C43</f>
        <v>29234.042097891634</v>
      </c>
      <c r="E43" s="224"/>
      <c r="F43" s="225">
        <f>VLOOKUP($B$48,Índices!$B$6:$F$500,VLOOKUP(F$23,$L$7:$M$9,2,FALSE)+1,FALSE)/VLOOKUP(DATE(YEAR($B43),MONTH($B43)-1,1),Índices!$B$6:$F$500,VLOOKUP(H$23,$L$7:$M$9,2,FALSE)+1,FALSE)*E43</f>
        <v>0</v>
      </c>
      <c r="G43" s="224">
        <f>CAPA!E72</f>
        <v>0</v>
      </c>
      <c r="H43" s="225">
        <f>VLOOKUP($B$48,Índices!$B$6:$F$500,VLOOKUP(H$23,$L$7:$M$9,2,FALSE)+1,FALSE)/VLOOKUP(DATE(YEAR($B43),MONTH($B43)-1,1),Índices!$B$6:$F$500,VLOOKUP(H$23,$L$7:$M$9,2,FALSE)+1,FALSE)*G43</f>
        <v>0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4">
        <f>CAPA!H72</f>
        <v>0</v>
      </c>
      <c r="L43" s="225">
        <f>VLOOKUP($B$48,Índices!$B$6:$F$500,VLOOKUP(L$23,$L$7:$M$9,2,FALSE)+1,FALSE)/VLOOKUP(DATE(YEAR($B43),MONTH($B43)-1,1),Índices!$B$6:$F$500,VLOOKUP(L$23,$L$7:$M$9,2,FALSE)+1,FALSE)*K43</f>
        <v>0</v>
      </c>
      <c r="M43" s="407">
        <f>CVE!$I$14/12</f>
        <v>0</v>
      </c>
      <c r="N43" s="99">
        <f>VLOOKUP($B$48,Índices!$B$6:$F$500,VLOOKUP(N$23,$L$7:$M$9,2,FALSE)+1,FALSE)/VLOOKUP(DATE(YEAR($B43),MONTH($B43)-1,1),Índices!$B$6:$F$500,VLOOKUP(N$23,$L$7:$M$9,2,FALSE)+1,FALSE)*M43</f>
        <v>0</v>
      </c>
      <c r="O43" s="407">
        <f>CAPA!G72</f>
        <v>0</v>
      </c>
      <c r="P43" s="99">
        <f>VLOOKUP($B$48,Índices!$B$6:$F$500,VLOOKUP(P$23,$L$7:$M$9,2,FALSE)+1,FALSE)/VLOOKUP(DATE(YEAR($B43),MONTH($B43)-1,1),Índices!$B$6:$F$500,VLOOKUP(P$23,$L$7:$M$9,2,FALSE)+1,FALSE)*O43</f>
        <v>0</v>
      </c>
      <c r="Q43" s="224">
        <f>CAPA!D72</f>
        <v>0</v>
      </c>
      <c r="R43" s="99">
        <f>VLOOKUP($B$48,Índices!$B$6:$F$500,VLOOKUP(R$23,$L$7:$M$9,2,FALSE)+1,FALSE)/VLOOKUP(DATE(YEAR($B43),MONTH($B43)-1,1),Índices!$B$6:$F$500,VLOOKUP(R$23,$L$7:$M$9,2,FALSE)+1,FALSE)*Q43</f>
        <v>0</v>
      </c>
      <c r="S43" s="830">
        <f>'Tributos suprimento'!$B$14/12</f>
        <v>0</v>
      </c>
      <c r="T43" s="99">
        <f>VLOOKUP($B$48,Índices!$B$6:$F$500,VLOOKUP(T$23,$L$7:$M$9,2,FALSE)+1,FALSE)/VLOOKUP(DATE(YEAR($B43),MONTH($B43)-1,1),Índices!$B$6:$F$500,VLOOKUP(T$23,$L$7:$M$9,2,FALSE)+1,FALSE)*S43</f>
        <v>0</v>
      </c>
      <c r="U43" s="830">
        <f>'Tributos suprimento'!$B$13/12</f>
        <v>0</v>
      </c>
      <c r="V43" s="99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08"/>
      <c r="B44" s="267">
        <f t="shared" si="2"/>
        <v>44652</v>
      </c>
      <c r="C44" s="293">
        <f>CAPA!C73</f>
        <v>24997.449999999997</v>
      </c>
      <c r="D44" s="225">
        <f>VLOOKUP($B$48,Índices!$B$6:$F$500,VLOOKUP(D$23,$L$7:$M$9,2,FALSE)+1,FALSE)/VLOOKUP(DATE(YEAR($B44),MONTH($B44)-1,1),Índices!$B$6:$F$500,VLOOKUP(D$23,$L$7:$M$9,2,FALSE)+1,FALSE)*C44</f>
        <v>25286.134960567957</v>
      </c>
      <c r="E44" s="224"/>
      <c r="F44" s="225">
        <f>VLOOKUP($B$48,Índices!$B$6:$F$500,VLOOKUP(F$23,$L$7:$M$9,2,FALSE)+1,FALSE)/VLOOKUP(DATE(YEAR($B44),MONTH($B44)-1,1),Índices!$B$6:$F$500,VLOOKUP(H$23,$L$7:$M$9,2,FALSE)+1,FALSE)*E44</f>
        <v>0</v>
      </c>
      <c r="G44" s="224">
        <f>CAPA!E73</f>
        <v>0</v>
      </c>
      <c r="H44" s="225">
        <f>VLOOKUP($B$48,Índices!$B$6:$F$500,VLOOKUP(H$23,$L$7:$M$9,2,FALSE)+1,FALSE)/VLOOKUP(DATE(YEAR($B44),MONTH($B44)-1,1),Índices!$B$6:$F$500,VLOOKUP(H$23,$L$7:$M$9,2,FALSE)+1,FALSE)*G44</f>
        <v>0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4">
        <f>CAPA!H73</f>
        <v>0</v>
      </c>
      <c r="L44" s="225">
        <f>VLOOKUP($B$48,Índices!$B$6:$F$500,VLOOKUP(L$23,$L$7:$M$9,2,FALSE)+1,FALSE)/VLOOKUP(DATE(YEAR($B44),MONTH($B44)-1,1),Índices!$B$6:$F$500,VLOOKUP(L$23,$L$7:$M$9,2,FALSE)+1,FALSE)*K44</f>
        <v>0</v>
      </c>
      <c r="M44" s="407">
        <f>CVE!$I$14/12</f>
        <v>0</v>
      </c>
      <c r="N44" s="99">
        <f>VLOOKUP($B$48,Índices!$B$6:$F$500,VLOOKUP(N$23,$L$7:$M$9,2,FALSE)+1,FALSE)/VLOOKUP(DATE(YEAR($B44),MONTH($B44)-1,1),Índices!$B$6:$F$500,VLOOKUP(N$23,$L$7:$M$9,2,FALSE)+1,FALSE)*M44</f>
        <v>0</v>
      </c>
      <c r="O44" s="407">
        <f>CAPA!G73</f>
        <v>0</v>
      </c>
      <c r="P44" s="99">
        <f>VLOOKUP($B$48,Índices!$B$6:$F$500,VLOOKUP(P$23,$L$7:$M$9,2,FALSE)+1,FALSE)/VLOOKUP(DATE(YEAR($B44),MONTH($B44)-1,1),Índices!$B$6:$F$500,VLOOKUP(P$23,$L$7:$M$9,2,FALSE)+1,FALSE)*O44</f>
        <v>0</v>
      </c>
      <c r="Q44" s="224">
        <f>CAPA!D73</f>
        <v>0</v>
      </c>
      <c r="R44" s="99">
        <f>VLOOKUP($B$48,Índices!$B$6:$F$500,VLOOKUP(R$23,$L$7:$M$9,2,FALSE)+1,FALSE)/VLOOKUP(DATE(YEAR($B44),MONTH($B44)-1,1),Índices!$B$6:$F$500,VLOOKUP(R$23,$L$7:$M$9,2,FALSE)+1,FALSE)*Q44</f>
        <v>0</v>
      </c>
      <c r="S44" s="830">
        <f>'Tributos suprimento'!$B$14/12</f>
        <v>0</v>
      </c>
      <c r="T44" s="99">
        <f>VLOOKUP($B$48,Índices!$B$6:$F$500,VLOOKUP(T$23,$L$7:$M$9,2,FALSE)+1,FALSE)/VLOOKUP(DATE(YEAR($B44),MONTH($B44)-1,1),Índices!$B$6:$F$500,VLOOKUP(T$23,$L$7:$M$9,2,FALSE)+1,FALSE)*S44</f>
        <v>0</v>
      </c>
      <c r="U44" s="830">
        <f>'Tributos suprimento'!$B$13/12</f>
        <v>0</v>
      </c>
      <c r="V44" s="99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08"/>
      <c r="B45" s="267">
        <f t="shared" si="2"/>
        <v>44682</v>
      </c>
      <c r="C45" s="293">
        <f>CAPA!C74</f>
        <v>29953.809999999998</v>
      </c>
      <c r="D45" s="225">
        <f>VLOOKUP($B$48,Índices!$B$6:$F$500,VLOOKUP(D$23,$L$7:$M$9,2,FALSE)+1,FALSE)/VLOOKUP(DATE(YEAR($B45),MONTH($B45)-1,1),Índices!$B$6:$F$500,VLOOKUP(D$23,$L$7:$M$9,2,FALSE)+1,FALSE)*C45</f>
        <v>29981.920088533698</v>
      </c>
      <c r="E45" s="224"/>
      <c r="F45" s="225">
        <f>VLOOKUP($B$48,Índices!$B$6:$F$500,VLOOKUP(F$23,$L$7:$M$9,2,FALSE)+1,FALSE)/VLOOKUP(DATE(YEAR($B45),MONTH($B45)-1,1),Índices!$B$6:$F$500,VLOOKUP(H$23,$L$7:$M$9,2,FALSE)+1,FALSE)*E45</f>
        <v>0</v>
      </c>
      <c r="G45" s="224">
        <f>CAPA!E74</f>
        <v>0</v>
      </c>
      <c r="H45" s="225">
        <f>VLOOKUP($B$48,Índices!$B$6:$F$500,VLOOKUP(H$23,$L$7:$M$9,2,FALSE)+1,FALSE)/VLOOKUP(DATE(YEAR($B45),MONTH($B45)-1,1),Índices!$B$6:$F$500,VLOOKUP(H$23,$L$7:$M$9,2,FALSE)+1,FALSE)*G45</f>
        <v>0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4">
        <f>CAPA!H74</f>
        <v>0</v>
      </c>
      <c r="L45" s="225">
        <f>VLOOKUP($B$48,Índices!$B$6:$F$500,VLOOKUP(L$23,$L$7:$M$9,2,FALSE)+1,FALSE)/VLOOKUP(DATE(YEAR($B45),MONTH($B45)-1,1),Índices!$B$6:$F$500,VLOOKUP(L$23,$L$7:$M$9,2,FALSE)+1,FALSE)*K45</f>
        <v>0</v>
      </c>
      <c r="M45" s="407">
        <f>CVE!$I$14/12</f>
        <v>0</v>
      </c>
      <c r="N45" s="99">
        <f>VLOOKUP($B$48,Índices!$B$6:$F$500,VLOOKUP(N$23,$L$7:$M$9,2,FALSE)+1,FALSE)/VLOOKUP(DATE(YEAR($B45),MONTH($B45)-1,1),Índices!$B$6:$F$500,VLOOKUP(N$23,$L$7:$M$9,2,FALSE)+1,FALSE)*M45</f>
        <v>0</v>
      </c>
      <c r="O45" s="407">
        <f>CAPA!G74</f>
        <v>0</v>
      </c>
      <c r="P45" s="99">
        <f>VLOOKUP($B$48,Índices!$B$6:$F$500,VLOOKUP(P$23,$L$7:$M$9,2,FALSE)+1,FALSE)/VLOOKUP(DATE(YEAR($B45),MONTH($B45)-1,1),Índices!$B$6:$F$500,VLOOKUP(P$23,$L$7:$M$9,2,FALSE)+1,FALSE)*O45</f>
        <v>0</v>
      </c>
      <c r="Q45" s="224">
        <f>CAPA!D74</f>
        <v>0</v>
      </c>
      <c r="R45" s="99">
        <f>VLOOKUP($B$48,Índices!$B$6:$F$500,VLOOKUP(R$23,$L$7:$M$9,2,FALSE)+1,FALSE)/VLOOKUP(DATE(YEAR($B45),MONTH($B45)-1,1),Índices!$B$6:$F$500,VLOOKUP(R$23,$L$7:$M$9,2,FALSE)+1,FALSE)*Q45</f>
        <v>0</v>
      </c>
      <c r="S45" s="830">
        <f>'Tributos suprimento'!$B$14/12</f>
        <v>0</v>
      </c>
      <c r="T45" s="99">
        <f>VLOOKUP($B$48,Índices!$B$6:$F$500,VLOOKUP(T$23,$L$7:$M$9,2,FALSE)+1,FALSE)/VLOOKUP(DATE(YEAR($B45),MONTH($B45)-1,1),Índices!$B$6:$F$500,VLOOKUP(T$23,$L$7:$M$9,2,FALSE)+1,FALSE)*S45</f>
        <v>0</v>
      </c>
      <c r="U45" s="830">
        <f>'Tributos suprimento'!$B$13/12</f>
        <v>0</v>
      </c>
      <c r="V45" s="99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08"/>
      <c r="B46" s="267">
        <f t="shared" si="2"/>
        <v>44713</v>
      </c>
      <c r="C46" s="293">
        <f>CAPA!C75</f>
        <v>17024.87</v>
      </c>
      <c r="D46" s="225">
        <f>VLOOKUP($B$48,Índices!$B$6:$F$500,VLOOKUP(D$23,$L$7:$M$9,2,FALSE)+1,FALSE)/VLOOKUP(DATE(YEAR($B46),MONTH($B46)-1,1),Índices!$B$6:$F$500,VLOOKUP(D$23,$L$7:$M$9,2,FALSE)+1,FALSE)*C46</f>
        <v>16961.128416078267</v>
      </c>
      <c r="E46" s="224"/>
      <c r="F46" s="225">
        <f>VLOOKUP($B$48,Índices!$B$6:$F$500,VLOOKUP(F$23,$L$7:$M$9,2,FALSE)+1,FALSE)/VLOOKUP(DATE(YEAR($B46),MONTH($B46)-1,1),Índices!$B$6:$F$500,VLOOKUP(H$23,$L$7:$M$9,2,FALSE)+1,FALSE)*E46</f>
        <v>0</v>
      </c>
      <c r="G46" s="224">
        <f>CAPA!E75</f>
        <v>0</v>
      </c>
      <c r="H46" s="225">
        <f>VLOOKUP($B$48,Índices!$B$6:$F$500,VLOOKUP(H$23,$L$7:$M$9,2,FALSE)+1,FALSE)/VLOOKUP(DATE(YEAR($B46),MONTH($B46)-1,1),Índices!$B$6:$F$500,VLOOKUP(H$23,$L$7:$M$9,2,FALSE)+1,FALSE)*G46</f>
        <v>0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4">
        <f>CAPA!H75</f>
        <v>80599.468900000007</v>
      </c>
      <c r="L46" s="225">
        <f>VLOOKUP($B$48,Índices!$B$6:$F$500,VLOOKUP(L$23,$L$7:$M$9,2,FALSE)+1,FALSE)/VLOOKUP(DATE(YEAR($B46),MONTH($B46)-1,1),Índices!$B$6:$F$500,VLOOKUP(L$23,$L$7:$M$9,2,FALSE)+1,FALSE)*K46</f>
        <v>83222.274641548371</v>
      </c>
      <c r="M46" s="407">
        <f>CVE!$I$14/12</f>
        <v>0</v>
      </c>
      <c r="N46" s="99">
        <f>VLOOKUP($B$48,Índices!$B$6:$F$500,VLOOKUP(N$23,$L$7:$M$9,2,FALSE)+1,FALSE)/VLOOKUP(DATE(YEAR($B46),MONTH($B46)-1,1),Índices!$B$6:$F$500,VLOOKUP(N$23,$L$7:$M$9,2,FALSE)+1,FALSE)*M46</f>
        <v>0</v>
      </c>
      <c r="O46" s="407">
        <f>CAPA!G75</f>
        <v>0</v>
      </c>
      <c r="P46" s="99">
        <f>VLOOKUP($B$48,Índices!$B$6:$F$500,VLOOKUP(P$23,$L$7:$M$9,2,FALSE)+1,FALSE)/VLOOKUP(DATE(YEAR($B46),MONTH($B46)-1,1),Índices!$B$6:$F$500,VLOOKUP(P$23,$L$7:$M$9,2,FALSE)+1,FALSE)*O46</f>
        <v>0</v>
      </c>
      <c r="Q46" s="224">
        <f>CAPA!D75</f>
        <v>0</v>
      </c>
      <c r="R46" s="99">
        <f>VLOOKUP($B$48,Índices!$B$6:$F$500,VLOOKUP(R$23,$L$7:$M$9,2,FALSE)+1,FALSE)/VLOOKUP(DATE(YEAR($B46),MONTH($B46)-1,1),Índices!$B$6:$F$500,VLOOKUP(R$23,$L$7:$M$9,2,FALSE)+1,FALSE)*Q46</f>
        <v>0</v>
      </c>
      <c r="S46" s="830">
        <f>'Tributos suprimento'!$B$14/12</f>
        <v>0</v>
      </c>
      <c r="T46" s="99">
        <f>VLOOKUP($B$48,Índices!$B$6:$F$500,VLOOKUP(T$23,$L$7:$M$9,2,FALSE)+1,FALSE)/VLOOKUP(DATE(YEAR($B46),MONTH($B46)-1,1),Índices!$B$6:$F$500,VLOOKUP(T$23,$L$7:$M$9,2,FALSE)+1,FALSE)*S46</f>
        <v>0</v>
      </c>
      <c r="U46" s="830">
        <f>'Tributos suprimento'!$B$13/12</f>
        <v>0</v>
      </c>
      <c r="V46" s="99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08"/>
      <c r="B47" s="267">
        <f t="shared" si="2"/>
        <v>44743</v>
      </c>
      <c r="C47" s="293">
        <f>CAPA!C76</f>
        <v>21611.26</v>
      </c>
      <c r="D47" s="225">
        <f>VLOOKUP($B$48,Índices!$B$6:$F$500,VLOOKUP(D$23,$L$7:$M$9,2,FALSE)+1,FALSE)/VLOOKUP(DATE(YEAR($B47),MONTH($B47)-1,1),Índices!$B$6:$F$500,VLOOKUP(D$23,$L$7:$M$9,2,FALSE)+1,FALSE)*C47</f>
        <v>21387.04131542709</v>
      </c>
      <c r="E47" s="224"/>
      <c r="F47" s="225">
        <f>VLOOKUP($B$48,Índices!$B$6:$F$500,VLOOKUP(F$23,$L$7:$M$9,2,FALSE)+1,FALSE)/VLOOKUP(DATE(YEAR($B47),MONTH($B47)-1,1),Índices!$B$6:$F$500,VLOOKUP(H$23,$L$7:$M$9,2,FALSE)+1,FALSE)*E47</f>
        <v>0</v>
      </c>
      <c r="G47" s="224">
        <f>CAPA!E76</f>
        <v>0</v>
      </c>
      <c r="H47" s="225">
        <f>VLOOKUP($B$48,Índices!$B$6:$F$500,VLOOKUP(H$23,$L$7:$M$9,2,FALSE)+1,FALSE)/VLOOKUP(DATE(YEAR($B47),MONTH($B47)-1,1),Índices!$B$6:$F$500,VLOOKUP(H$23,$L$7:$M$9,2,FALSE)+1,FALSE)*G47</f>
        <v>0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4">
        <f>CAPA!H76</f>
        <v>4998.8926000000001</v>
      </c>
      <c r="L47" s="225">
        <f>VLOOKUP($B$48,Índices!$B$6:$F$500,VLOOKUP(L$23,$L$7:$M$9,2,FALSE)+1,FALSE)/VLOOKUP(DATE(YEAR($B47),MONTH($B47)-1,1),Índices!$B$6:$F$500,VLOOKUP(L$23,$L$7:$M$9,2,FALSE)+1,FALSE)*K47</f>
        <v>5109.6832947250023</v>
      </c>
      <c r="M47" s="407">
        <f>CVE!$I$14/12</f>
        <v>0</v>
      </c>
      <c r="N47" s="99">
        <f>VLOOKUP($B$48,Índices!$B$6:$F$500,VLOOKUP(N$23,$L$7:$M$9,2,FALSE)+1,FALSE)/VLOOKUP(DATE(YEAR($B47),MONTH($B47)-1,1),Índices!$B$6:$F$500,VLOOKUP(N$23,$L$7:$M$9,2,FALSE)+1,FALSE)*M47</f>
        <v>0</v>
      </c>
      <c r="O47" s="407">
        <f>CAPA!G76</f>
        <v>0</v>
      </c>
      <c r="P47" s="99">
        <f>VLOOKUP($B$48,Índices!$B$6:$F$500,VLOOKUP(P$23,$L$7:$M$9,2,FALSE)+1,FALSE)/VLOOKUP(DATE(YEAR($B47),MONTH($B47)-1,1),Índices!$B$6:$F$500,VLOOKUP(P$23,$L$7:$M$9,2,FALSE)+1,FALSE)*O47</f>
        <v>0</v>
      </c>
      <c r="Q47" s="224">
        <f>CAPA!D76</f>
        <v>0</v>
      </c>
      <c r="R47" s="99">
        <f>VLOOKUP($B$48,Índices!$B$6:$F$500,VLOOKUP(R$23,$L$7:$M$9,2,FALSE)+1,FALSE)/VLOOKUP(DATE(YEAR($B47),MONTH($B47)-1,1),Índices!$B$6:$F$500,VLOOKUP(R$23,$L$7:$M$9,2,FALSE)+1,FALSE)*Q47</f>
        <v>0</v>
      </c>
      <c r="S47" s="830">
        <f>'Tributos suprimento'!$B$14/12</f>
        <v>0</v>
      </c>
      <c r="T47" s="99">
        <f>VLOOKUP($B$48,Índices!$B$6:$F$500,VLOOKUP(T$23,$L$7:$M$9,2,FALSE)+1,FALSE)/VLOOKUP(DATE(YEAR($B47),MONTH($B47)-1,1),Índices!$B$6:$F$500,VLOOKUP(T$23,$L$7:$M$9,2,FALSE)+1,FALSE)*S47</f>
        <v>0</v>
      </c>
      <c r="U47" s="830">
        <f>'Tributos suprimento'!$B$13/12</f>
        <v>0</v>
      </c>
      <c r="V47" s="99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08"/>
      <c r="B48" s="1375">
        <f>DATE(YEAR(CAPA!$C$15),MONTH(CAPA!$C$15)-1,1)</f>
        <v>44774</v>
      </c>
      <c r="C48" s="293">
        <f>CAPA!C77</f>
        <v>27374.799999999999</v>
      </c>
      <c r="D48" s="225">
        <f>VLOOKUP($B$48,Índices!$B$6:$F$500,VLOOKUP(D$23,$L$7:$M$9,2,FALSE)+1,FALSE)/VLOOKUP(DATE(YEAR($B48),MONTH($B48)-1,1),Índices!$B$6:$F$500,VLOOKUP(D$23,$L$7:$M$9,2,FALSE)+1,FALSE)*C48</f>
        <v>27276.263613409337</v>
      </c>
      <c r="E48" s="224"/>
      <c r="F48" s="225">
        <f>VLOOKUP($B$48,Índices!$B$6:$F$500,VLOOKUP(F$23,$L$7:$M$9,2,FALSE)+1,FALSE)/VLOOKUP(DATE(YEAR($B48),MONTH($B48)-1,1),Índices!$B$6:$F$500,VLOOKUP(H$23,$L$7:$M$9,2,FALSE)+1,FALSE)*E48</f>
        <v>0</v>
      </c>
      <c r="G48" s="224">
        <f>CAPA!E77</f>
        <v>-167.92</v>
      </c>
      <c r="H48" s="225">
        <f>VLOOKUP($B$48,Índices!$B$6:$F$500,VLOOKUP(H$23,$L$7:$M$9,2,FALSE)+1,FALSE)/VLOOKUP(DATE(YEAR($B48),MONTH($B48)-1,1),Índices!$B$6:$F$500,VLOOKUP(H$23,$L$7:$M$9,2,FALSE)+1,FALSE)*G48</f>
        <v>-167.31556708957493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4">
        <f>CAPA!H77</f>
        <v>-166.27</v>
      </c>
      <c r="L48" s="225">
        <f>VLOOKUP($B$48,Índices!$B$6:$F$500,VLOOKUP(L$23,$L$7:$M$9,2,FALSE)+1,FALSE)/VLOOKUP(DATE(YEAR($B48),MONTH($B48)-1,1),Índices!$B$6:$F$500,VLOOKUP(L$23,$L$7:$M$9,2,FALSE)+1,FALSE)*K48</f>
        <v>-168.2142970002665</v>
      </c>
      <c r="M48" s="407">
        <f>CVE!$I$14/12</f>
        <v>0</v>
      </c>
      <c r="N48" s="99">
        <f>VLOOKUP($B$48,Índices!$B$6:$F$500,VLOOKUP(N$23,$L$7:$M$9,2,FALSE)+1,FALSE)/VLOOKUP(DATE(YEAR($B48),MONTH($B48)-1,1),Índices!$B$6:$F$500,VLOOKUP(N$23,$L$7:$M$9,2,FALSE)+1,FALSE)*M48</f>
        <v>0</v>
      </c>
      <c r="O48" s="407">
        <f>CAPA!G77</f>
        <v>0</v>
      </c>
      <c r="P48" s="99">
        <f>VLOOKUP($B$48,Índices!$B$6:$F$500,VLOOKUP(P$23,$L$7:$M$9,2,FALSE)+1,FALSE)/VLOOKUP(DATE(YEAR($B48),MONTH($B48)-1,1),Índices!$B$6:$F$500,VLOOKUP(P$23,$L$7:$M$9,2,FALSE)+1,FALSE)*O48</f>
        <v>0</v>
      </c>
      <c r="Q48" s="224">
        <f>CAPA!D77</f>
        <v>0</v>
      </c>
      <c r="R48" s="99">
        <f>VLOOKUP($B$48,Índices!$B$6:$F$500,VLOOKUP(R$23,$L$7:$M$9,2,FALSE)+1,FALSE)/VLOOKUP(DATE(YEAR($B48),MONTH($B48)-1,1),Índices!$B$6:$F$500,VLOOKUP(R$23,$L$7:$M$9,2,FALSE)+1,FALSE)*Q48</f>
        <v>0</v>
      </c>
      <c r="S48" s="830">
        <f>'Tributos suprimento'!$B$14/12</f>
        <v>0</v>
      </c>
      <c r="T48" s="99">
        <f>VLOOKUP($B$48,Índices!$B$6:$F$500,VLOOKUP(T$23,$L$7:$M$9,2,FALSE)+1,FALSE)/VLOOKUP(DATE(YEAR($B48),MONTH($B48)-1,1),Índices!$B$6:$F$500,VLOOKUP(T$23,$L$7:$M$9,2,FALSE)+1,FALSE)*S48</f>
        <v>0</v>
      </c>
      <c r="U48" s="830">
        <f>'Tributos suprimento'!$B$13/12</f>
        <v>0</v>
      </c>
      <c r="V48" s="99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376">
        <f t="shared" ref="C49:P49" si="3">SUM(C25:C48)</f>
        <v>268039.98</v>
      </c>
      <c r="D49" s="1377">
        <f t="shared" si="3"/>
        <v>275245.34535703011</v>
      </c>
      <c r="E49" s="1376">
        <f t="shared" si="3"/>
        <v>0</v>
      </c>
      <c r="F49" s="1377">
        <f t="shared" si="3"/>
        <v>0</v>
      </c>
      <c r="G49" s="1376">
        <f t="shared" si="3"/>
        <v>-9421.24</v>
      </c>
      <c r="H49" s="1377">
        <f t="shared" si="3"/>
        <v>-9792.7939776082167</v>
      </c>
      <c r="I49" s="1378">
        <f>SUM(I24:I48)</f>
        <v>0</v>
      </c>
      <c r="J49" s="1378">
        <f>SUM(J24:J48)</f>
        <v>0</v>
      </c>
      <c r="K49" s="1379">
        <f t="shared" si="3"/>
        <v>85432.09150000001</v>
      </c>
      <c r="L49" s="1380">
        <f t="shared" si="3"/>
        <v>88163.743639273118</v>
      </c>
      <c r="M49" s="1381">
        <f t="shared" si="3"/>
        <v>0</v>
      </c>
      <c r="N49" s="1382">
        <f t="shared" si="3"/>
        <v>0</v>
      </c>
      <c r="O49" s="1381">
        <f t="shared" si="3"/>
        <v>0</v>
      </c>
      <c r="P49" s="1382">
        <f t="shared" si="3"/>
        <v>0</v>
      </c>
      <c r="Q49" s="1381">
        <f t="shared" ref="Q49:R49" si="4">SUM(Q25:Q48)</f>
        <v>0</v>
      </c>
      <c r="R49" s="1382">
        <f t="shared" si="4"/>
        <v>0</v>
      </c>
      <c r="S49" s="1381">
        <f>-S51</f>
        <v>0</v>
      </c>
      <c r="T49" s="1382">
        <f t="shared" ref="T49:V49" si="5">SUM(T25:T48)</f>
        <v>0</v>
      </c>
      <c r="U49" s="1381">
        <f>-S52</f>
        <v>0</v>
      </c>
      <c r="V49" s="1382">
        <f t="shared" si="5"/>
        <v>0</v>
      </c>
      <c r="Z49" s="68"/>
    </row>
    <row r="50" spans="2:30" ht="14.25">
      <c r="J50" s="68" t="s">
        <v>848</v>
      </c>
      <c r="M50" s="198"/>
      <c r="N50" s="107"/>
      <c r="S50" s="1315"/>
      <c r="T50" s="68" t="s">
        <v>1368</v>
      </c>
      <c r="Z50" s="68"/>
    </row>
    <row r="51" spans="2:30" ht="14.25">
      <c r="E51" s="142"/>
      <c r="F51" s="142"/>
      <c r="G51" s="142"/>
      <c r="H51" s="142"/>
      <c r="I51" s="142"/>
      <c r="J51" s="142"/>
      <c r="K51" s="142"/>
      <c r="L51" s="142"/>
      <c r="M51" s="198"/>
      <c r="N51" s="107"/>
      <c r="O51" s="142"/>
      <c r="P51" s="142"/>
      <c r="Z51" s="68"/>
    </row>
    <row r="52" spans="2:30" ht="14.25">
      <c r="M52" s="198"/>
      <c r="N52" s="107"/>
      <c r="Z52" s="68"/>
    </row>
    <row r="53" spans="2:30" ht="14.25">
      <c r="C53" s="1848" t="s">
        <v>2087</v>
      </c>
      <c r="D53" s="1849"/>
      <c r="E53" s="1848" t="s">
        <v>1369</v>
      </c>
      <c r="F53" s="1849"/>
      <c r="G53" s="1848" t="s">
        <v>1370</v>
      </c>
      <c r="H53" s="1849"/>
      <c r="I53" s="1848" t="s">
        <v>1371</v>
      </c>
      <c r="J53" s="1849"/>
      <c r="K53" s="1844" t="s">
        <v>1372</v>
      </c>
      <c r="L53" s="1845"/>
      <c r="M53" s="1848" t="s">
        <v>1373</v>
      </c>
      <c r="N53" s="1849"/>
      <c r="O53" s="1848" t="s">
        <v>2089</v>
      </c>
      <c r="P53" s="1849"/>
      <c r="Q53" s="1848" t="s">
        <v>2090</v>
      </c>
      <c r="R53" s="1849"/>
      <c r="S53" s="1848" t="s">
        <v>1374</v>
      </c>
      <c r="T53" s="1849"/>
      <c r="U53" s="1848" t="s">
        <v>1375</v>
      </c>
      <c r="V53" s="1849"/>
      <c r="W53" s="1848" t="s">
        <v>36</v>
      </c>
      <c r="X53" s="1849"/>
      <c r="Z53" s="68"/>
    </row>
    <row r="54" spans="2:30" ht="14.25">
      <c r="C54" s="1372" t="s">
        <v>1367</v>
      </c>
      <c r="D54" s="1373" t="s">
        <v>772</v>
      </c>
      <c r="E54" s="1372" t="s">
        <v>1367</v>
      </c>
      <c r="F54" s="1373" t="s">
        <v>772</v>
      </c>
      <c r="G54" s="1372" t="s">
        <v>1367</v>
      </c>
      <c r="H54" s="1373" t="s">
        <v>772</v>
      </c>
      <c r="I54" s="1372" t="s">
        <v>1367</v>
      </c>
      <c r="J54" s="1373" t="s">
        <v>772</v>
      </c>
      <c r="K54" s="1370" t="s">
        <v>1367</v>
      </c>
      <c r="L54" s="1371" t="s">
        <v>772</v>
      </c>
      <c r="M54" s="1372" t="s">
        <v>1367</v>
      </c>
      <c r="N54" s="1373" t="s">
        <v>772</v>
      </c>
      <c r="O54" s="1372" t="s">
        <v>1367</v>
      </c>
      <c r="P54" s="1373" t="s">
        <v>772</v>
      </c>
      <c r="Q54" s="1372" t="s">
        <v>1367</v>
      </c>
      <c r="R54" s="1373" t="s">
        <v>772</v>
      </c>
      <c r="S54" s="1372" t="s">
        <v>1367</v>
      </c>
      <c r="T54" s="1373" t="s">
        <v>772</v>
      </c>
      <c r="U54" s="1372" t="s">
        <v>1367</v>
      </c>
      <c r="V54" s="1373" t="s">
        <v>772</v>
      </c>
      <c r="W54" s="1372" t="s">
        <v>1367</v>
      </c>
      <c r="X54" s="1383" t="s">
        <v>1346</v>
      </c>
      <c r="Z54" s="68"/>
    </row>
    <row r="55" spans="2:30" ht="14.25">
      <c r="B55" s="267">
        <f t="shared" ref="B55:B79" si="6">B24</f>
        <v>44044</v>
      </c>
      <c r="C55" s="484"/>
      <c r="D55" s="99">
        <f>VLOOKUP($B$79,Índices!$B$6:$F$500,VLOOKUP(D$54,$L$7:$M$9,2,FALSE)+1,FALSE)/VLOOKUP(DATE(YEAR($B55),MONTH($B55)-1,1),Índices!$B$6:$F$500,VLOOKUP(D$54,$L$7:$M$9,2,FALSE)+1,FALSE)*C55</f>
        <v>0</v>
      </c>
      <c r="E55" s="207"/>
      <c r="F55" s="99">
        <f>VLOOKUP($B$48,Índices!$B$6:$F$500,VLOOKUP(F$54,$L$7:$M$9,2,FALSE)+1,FALSE)/VLOOKUP(DATE(YEAR($B55),MONTH($B55)-1,1),Índices!$B$6:$F$500,VLOOKUP(F$54,$L$7:$M$9,2,FALSE)+1,FALSE)*E55</f>
        <v>0</v>
      </c>
      <c r="G55" s="207"/>
      <c r="H55" s="99">
        <f>VLOOKUP($B$48,Índices!$B$6:$F$500,VLOOKUP(H$54,$L$7:$M$9,2,FALSE)+1,FALSE)/VLOOKUP(DATE(YEAR($B55),MONTH($B55)-1,1),Índices!$B$6:$F$500,VLOOKUP(H$54,$L$7:$M$9,2,FALSE)+1,FALSE)*G55</f>
        <v>0</v>
      </c>
      <c r="I55" s="207"/>
      <c r="J55" s="99">
        <f>VLOOKUP($B$48,Índices!$B$6:$F$500,VLOOKUP(J$54,$L$7:$M$9,2,FALSE)+1,FALSE)/VLOOKUP(DATE(YEAR($B55),MONTH($B55)-1,1),Índices!$B$6:$F$500,VLOOKUP(J$54,$L$7:$M$9,2,FALSE)+1,FALSE)*I55</f>
        <v>0</v>
      </c>
      <c r="K55" s="207"/>
      <c r="L55" s="99">
        <f>VLOOKUP($B$48,Índices!$B$6:$F$500,VLOOKUP(L$54,$L$7:$M$9,2,FALSE)+1,FALSE)/VLOOKUP(DATE(YEAR($B55),MONTH($B55)-1,1),Índices!$B$6:$F$500,VLOOKUP(L$54,$L$7:$M$9,2,FALSE)+1,FALSE)*K55</f>
        <v>0</v>
      </c>
      <c r="M55" s="207"/>
      <c r="N55" s="99">
        <f>VLOOKUP($B$48,Índices!$B$6:$F$500,VLOOKUP(N$54,$L$7:$M$9,2,FALSE)+1,FALSE)/VLOOKUP(DATE(YEAR($B55),MONTH($B55)-1,1),Índices!$B$6:$F$500,VLOOKUP(N$54,$L$7:$M$9,2,FALSE)+1,FALSE)*M55</f>
        <v>0</v>
      </c>
      <c r="O55" s="207"/>
      <c r="P55" s="99">
        <f>VLOOKUP($B$48,Índices!$B$6:$F$500,VLOOKUP(P$54,$L$7:$M$9,2,FALSE)+1,FALSE)/VLOOKUP(DATE(YEAR($B55),MONTH($B55)-1,1),Índices!$B$6:$F$500,VLOOKUP(P$54,$L$7:$M$9,2,FALSE)+1,FALSE)*O55</f>
        <v>0</v>
      </c>
      <c r="Q55" s="207"/>
      <c r="R55" s="99">
        <f>VLOOKUP($B$48,Índices!$B$6:$F$500,VLOOKUP(R$54,$L$7:$M$9,2,FALSE)+1,FALSE)/VLOOKUP(DATE(YEAR($B55),MONTH($B55)-1,1),Índices!$B$6:$F$500,VLOOKUP(R$54,$L$7:$M$9,2,FALSE)+1,FALSE)*Q55</f>
        <v>0</v>
      </c>
      <c r="S55" s="207"/>
      <c r="T55" s="99">
        <f>VLOOKUP($B$48,Índices!$B$6:$F$500,VLOOKUP(T$54,$L$7:$M$9,2,FALSE)+1,FALSE)/VLOOKUP(DATE(YEAR($B55),MONTH($B55)-1,1),Índices!$B$6:$F$500,VLOOKUP(T$54,$L$7:$M$9,2,FALSE)+1,FALSE)*S55</f>
        <v>0</v>
      </c>
      <c r="U55" s="207"/>
      <c r="V55" s="99">
        <f>VLOOKUP($B$48,Índices!$B$6:$F$500,VLOOKUP(V$54,$L$7:$M$9,2,FALSE)+1,FALSE)/VLOOKUP(DATE(YEAR($B55),MONTH($B55)-1,1),Índices!$B$6:$F$500,VLOOKUP(V$54,$L$7:$M$9,2,FALSE)+1,FALSE)*U55</f>
        <v>0</v>
      </c>
      <c r="W55" s="207"/>
      <c r="X55" s="99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67">
        <f t="shared" si="6"/>
        <v>44075</v>
      </c>
      <c r="C56" s="207"/>
      <c r="D56" s="99">
        <f>VLOOKUP($B$79,Índices!$B$6:$F$500,VLOOKUP(D$54,$L$7:$M$9,2,FALSE)+1,FALSE)/VLOOKUP(DATE(YEAR($B56),MONTH($B56)-1,1),Índices!$B$6:$F$500,VLOOKUP(D$54,$L$7:$M$9,2,FALSE)+1,FALSE)*C56</f>
        <v>0</v>
      </c>
      <c r="E56" s="207"/>
      <c r="F56" s="99">
        <f>VLOOKUP($B$48,Índices!$B$6:$F$500,VLOOKUP(F$54,$L$7:$M$9,2,FALSE)+1,FALSE)/VLOOKUP(DATE(YEAR($B56),MONTH($B56)-1,1),Índices!$B$6:$F$500,VLOOKUP(F$54,$L$7:$M$9,2,FALSE)+1,FALSE)*E56</f>
        <v>0</v>
      </c>
      <c r="G56" s="207"/>
      <c r="H56" s="99">
        <f>VLOOKUP($B$48,Índices!$B$6:$F$500,VLOOKUP(H$54,$L$7:$M$9,2,FALSE)+1,FALSE)/VLOOKUP(DATE(YEAR($B56),MONTH($B56)-1,1),Índices!$B$6:$F$500,VLOOKUP(H$54,$L$7:$M$9,2,FALSE)+1,FALSE)*G56</f>
        <v>0</v>
      </c>
      <c r="I56" s="207"/>
      <c r="J56" s="99">
        <f>VLOOKUP($B$48,Índices!$B$6:$F$500,VLOOKUP(J$54,$L$7:$M$9,2,FALSE)+1,FALSE)/VLOOKUP(DATE(YEAR($B56),MONTH($B56)-1,1),Índices!$B$6:$F$500,VLOOKUP(J$54,$L$7:$M$9,2,FALSE)+1,FALSE)*I56</f>
        <v>0</v>
      </c>
      <c r="K56" s="207"/>
      <c r="L56" s="99">
        <f>VLOOKUP($B$48,Índices!$B$6:$F$500,VLOOKUP(L$54,$L$7:$M$9,2,FALSE)+1,FALSE)/VLOOKUP(DATE(YEAR($B56),MONTH($B56)-1,1),Índices!$B$6:$F$500,VLOOKUP(L$54,$L$7:$M$9,2,FALSE)+1,FALSE)*K56</f>
        <v>0</v>
      </c>
      <c r="M56" s="207"/>
      <c r="N56" s="99">
        <f>VLOOKUP($B$48,Índices!$B$6:$F$500,VLOOKUP(N$54,$L$7:$M$9,2,FALSE)+1,FALSE)/VLOOKUP(DATE(YEAR($B56),MONTH($B56)-1,1),Índices!$B$6:$F$500,VLOOKUP(N$54,$L$7:$M$9,2,FALSE)+1,FALSE)*M56</f>
        <v>0</v>
      </c>
      <c r="O56" s="207"/>
      <c r="P56" s="99">
        <f>VLOOKUP($B$48,Índices!$B$6:$F$500,VLOOKUP(P$54,$L$7:$M$9,2,FALSE)+1,FALSE)/VLOOKUP(DATE(YEAR($B56),MONTH($B56)-1,1),Índices!$B$6:$F$500,VLOOKUP(P$54,$L$7:$M$9,2,FALSE)+1,FALSE)*O56</f>
        <v>0</v>
      </c>
      <c r="Q56" s="207"/>
      <c r="R56" s="99">
        <f>VLOOKUP($B$48,Índices!$B$6:$F$500,VLOOKUP(R$54,$L$7:$M$9,2,FALSE)+1,FALSE)/VLOOKUP(DATE(YEAR($B56),MONTH($B56)-1,1),Índices!$B$6:$F$500,VLOOKUP(R$54,$L$7:$M$9,2,FALSE)+1,FALSE)*Q56</f>
        <v>0</v>
      </c>
      <c r="S56" s="207"/>
      <c r="T56" s="99">
        <f>VLOOKUP($B$48,Índices!$B$6:$F$500,VLOOKUP(T$54,$L$7:$M$9,2,FALSE)+1,FALSE)/VLOOKUP(DATE(YEAR($B56),MONTH($B56)-1,1),Índices!$B$6:$F$500,VLOOKUP(T$54,$L$7:$M$9,2,FALSE)+1,FALSE)*S56</f>
        <v>0</v>
      </c>
      <c r="U56" s="207"/>
      <c r="V56" s="99">
        <f>VLOOKUP($B$48,Índices!$B$6:$F$500,VLOOKUP(V$54,$L$7:$M$9,2,FALSE)+1,FALSE)/VLOOKUP(DATE(YEAR($B56),MONTH($B56)-1,1),Índices!$B$6:$F$500,VLOOKUP(V$54,$L$7:$M$9,2,FALSE)+1,FALSE)*U56</f>
        <v>0</v>
      </c>
      <c r="W56" s="207"/>
      <c r="X56" s="99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67">
        <f t="shared" si="6"/>
        <v>44105</v>
      </c>
      <c r="C57" s="207"/>
      <c r="D57" s="99">
        <f>VLOOKUP($B$79,Índices!$B$6:$F$500,VLOOKUP(D$54,$L$7:$M$9,2,FALSE)+1,FALSE)/VLOOKUP(DATE(YEAR($B57),MONTH($B57)-1,1),Índices!$B$6:$F$500,VLOOKUP(D$54,$L$7:$M$9,2,FALSE)+1,FALSE)*C57</f>
        <v>0</v>
      </c>
      <c r="E57" s="207"/>
      <c r="F57" s="99">
        <f>VLOOKUP($B$48,Índices!$B$6:$F$500,VLOOKUP(F$23,$L$7:$M$9,2,FALSE)+1,FALSE)/VLOOKUP(DATE(YEAR($B57),MONTH($B57)-1,1),Índices!$B$6:$F$500,VLOOKUP(F$23,$L$7:$M$9,2,FALSE)+1,FALSE)*E57</f>
        <v>0</v>
      </c>
      <c r="G57" s="207"/>
      <c r="H57" s="99">
        <f>VLOOKUP($B$48,Índices!$B$6:$F$500,VLOOKUP(H$54,$L$7:$M$9,2,FALSE)+1,FALSE)/VLOOKUP(DATE(YEAR($B57),MONTH($B57)-1,1),Índices!$B$6:$F$500,VLOOKUP(H$54,$L$7:$M$9,2,FALSE)+1,FALSE)*G57</f>
        <v>0</v>
      </c>
      <c r="I57" s="207"/>
      <c r="J57" s="99">
        <f>VLOOKUP($B$48,Índices!$B$6:$F$500,VLOOKUP(J$54,$L$7:$M$9,2,FALSE)+1,FALSE)/VLOOKUP(DATE(YEAR($B57),MONTH($B57)-1,1),Índices!$B$6:$F$500,VLOOKUP(J$54,$L$7:$M$9,2,FALSE)+1,FALSE)*I57</f>
        <v>0</v>
      </c>
      <c r="K57" s="207"/>
      <c r="L57" s="99">
        <f>VLOOKUP($B$48,Índices!$B$6:$F$500,VLOOKUP(L$54,$L$7:$M$9,2,FALSE)+1,FALSE)/VLOOKUP(DATE(YEAR($B57),MONTH($B57)-1,1),Índices!$B$6:$F$500,VLOOKUP(L$54,$L$7:$M$9,2,FALSE)+1,FALSE)*K57</f>
        <v>0</v>
      </c>
      <c r="M57" s="207"/>
      <c r="N57" s="99">
        <f>VLOOKUP($B$48,Índices!$B$6:$F$500,VLOOKUP(N$54,$L$7:$M$9,2,FALSE)+1,FALSE)/VLOOKUP(DATE(YEAR($B57),MONTH($B57)-1,1),Índices!$B$6:$F$500,VLOOKUP(N$54,$L$7:$M$9,2,FALSE)+1,FALSE)*M57</f>
        <v>0</v>
      </c>
      <c r="O57" s="207"/>
      <c r="P57" s="99">
        <f>VLOOKUP($B$48,Índices!$B$6:$F$500,VLOOKUP(P$54,$L$7:$M$9,2,FALSE)+1,FALSE)/VLOOKUP(DATE(YEAR($B57),MONTH($B57)-1,1),Índices!$B$6:$F$500,VLOOKUP(P$54,$L$7:$M$9,2,FALSE)+1,FALSE)*O57</f>
        <v>0</v>
      </c>
      <c r="Q57" s="207"/>
      <c r="R57" s="99">
        <f>VLOOKUP($B$48,Índices!$B$6:$F$500,VLOOKUP(R$54,$L$7:$M$9,2,FALSE)+1,FALSE)/VLOOKUP(DATE(YEAR($B57),MONTH($B57)-1,1),Índices!$B$6:$F$500,VLOOKUP(R$54,$L$7:$M$9,2,FALSE)+1,FALSE)*Q57</f>
        <v>0</v>
      </c>
      <c r="S57" s="207"/>
      <c r="T57" s="99">
        <f>VLOOKUP($B$48,Índices!$B$6:$F$500,VLOOKUP(T$54,$L$7:$M$9,2,FALSE)+1,FALSE)/VLOOKUP(DATE(YEAR($B57),MONTH($B57)-1,1),Índices!$B$6:$F$500,VLOOKUP(T$54,$L$7:$M$9,2,FALSE)+1,FALSE)*S57</f>
        <v>0</v>
      </c>
      <c r="U57" s="207"/>
      <c r="V57" s="99">
        <f>VLOOKUP($B$48,Índices!$B$6:$F$500,VLOOKUP(V$54,$L$7:$M$9,2,FALSE)+1,FALSE)/VLOOKUP(DATE(YEAR($B57),MONTH($B57)-1,1),Índices!$B$6:$F$500,VLOOKUP(V$54,$L$7:$M$9,2,FALSE)+1,FALSE)*U57</f>
        <v>0</v>
      </c>
      <c r="W57" s="207"/>
      <c r="X57" s="99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67">
        <f t="shared" si="6"/>
        <v>44136</v>
      </c>
      <c r="C58" s="207"/>
      <c r="D58" s="99">
        <f>VLOOKUP($B$79,Índices!$B$6:$F$500,VLOOKUP(D$54,$L$7:$M$9,2,FALSE)+1,FALSE)/VLOOKUP(DATE(YEAR($B58),MONTH($B58)-1,1),Índices!$B$6:$F$500,VLOOKUP(D$54,$L$7:$M$9,2,FALSE)+1,FALSE)*C58</f>
        <v>0</v>
      </c>
      <c r="E58" s="207"/>
      <c r="F58" s="99">
        <f>VLOOKUP($B$48,Índices!$B$6:$F$500,VLOOKUP(F$23,$L$7:$M$9,2,FALSE)+1,FALSE)/VLOOKUP(DATE(YEAR($B58),MONTH($B58)-1,1),Índices!$B$6:$F$500,VLOOKUP(F$23,$L$7:$M$9,2,FALSE)+1,FALSE)*E58</f>
        <v>0</v>
      </c>
      <c r="G58" s="207"/>
      <c r="H58" s="99">
        <f>VLOOKUP($B$48,Índices!$B$6:$F$500,VLOOKUP(H$54,$L$7:$M$9,2,FALSE)+1,FALSE)/VLOOKUP(DATE(YEAR($B58),MONTH($B58)-1,1),Índices!$B$6:$F$500,VLOOKUP(H$54,$L$7:$M$9,2,FALSE)+1,FALSE)*G58</f>
        <v>0</v>
      </c>
      <c r="I58" s="207"/>
      <c r="J58" s="99">
        <f>VLOOKUP($B$48,Índices!$B$6:$F$500,VLOOKUP(J$54,$L$7:$M$9,2,FALSE)+1,FALSE)/VLOOKUP(DATE(YEAR($B58),MONTH($B58)-1,1),Índices!$B$6:$F$500,VLOOKUP(J$54,$L$7:$M$9,2,FALSE)+1,FALSE)*I58</f>
        <v>0</v>
      </c>
      <c r="K58" s="207"/>
      <c r="L58" s="99">
        <f>VLOOKUP($B$48,Índices!$B$6:$F$500,VLOOKUP(L$54,$L$7:$M$9,2,FALSE)+1,FALSE)/VLOOKUP(DATE(YEAR($B58),MONTH($B58)-1,1),Índices!$B$6:$F$500,VLOOKUP(L$54,$L$7:$M$9,2,FALSE)+1,FALSE)*K58</f>
        <v>0</v>
      </c>
      <c r="M58" s="207"/>
      <c r="N58" s="99">
        <f>VLOOKUP($B$48,Índices!$B$6:$F$500,VLOOKUP(N$54,$L$7:$M$9,2,FALSE)+1,FALSE)/VLOOKUP(DATE(YEAR($B58),MONTH($B58)-1,1),Índices!$B$6:$F$500,VLOOKUP(N$54,$L$7:$M$9,2,FALSE)+1,FALSE)*M58</f>
        <v>0</v>
      </c>
      <c r="O58" s="207"/>
      <c r="P58" s="99">
        <f>VLOOKUP($B$48,Índices!$B$6:$F$500,VLOOKUP(P$54,$L$7:$M$9,2,FALSE)+1,FALSE)/VLOOKUP(DATE(YEAR($B58),MONTH($B58)-1,1),Índices!$B$6:$F$500,VLOOKUP(P$54,$L$7:$M$9,2,FALSE)+1,FALSE)*O58</f>
        <v>0</v>
      </c>
      <c r="Q58" s="207"/>
      <c r="R58" s="99">
        <f>VLOOKUP($B$48,Índices!$B$6:$F$500,VLOOKUP(R$54,$L$7:$M$9,2,FALSE)+1,FALSE)/VLOOKUP(DATE(YEAR($B58),MONTH($B58)-1,1),Índices!$B$6:$F$500,VLOOKUP(R$54,$L$7:$M$9,2,FALSE)+1,FALSE)*Q58</f>
        <v>0</v>
      </c>
      <c r="S58" s="207"/>
      <c r="T58" s="99">
        <f>VLOOKUP($B$48,Índices!$B$6:$F$500,VLOOKUP(T$54,$L$7:$M$9,2,FALSE)+1,FALSE)/VLOOKUP(DATE(YEAR($B58),MONTH($B58)-1,1),Índices!$B$6:$F$500,VLOOKUP(T$54,$L$7:$M$9,2,FALSE)+1,FALSE)*S58</f>
        <v>0</v>
      </c>
      <c r="U58" s="207"/>
      <c r="V58" s="99">
        <f>VLOOKUP($B$48,Índices!$B$6:$F$500,VLOOKUP(V$54,$L$7:$M$9,2,FALSE)+1,FALSE)/VLOOKUP(DATE(YEAR($B58),MONTH($B58)-1,1),Índices!$B$6:$F$500,VLOOKUP(V$54,$L$7:$M$9,2,FALSE)+1,FALSE)*U58</f>
        <v>0</v>
      </c>
      <c r="W58" s="207"/>
      <c r="X58" s="99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67">
        <f t="shared" si="6"/>
        <v>44166</v>
      </c>
      <c r="C59" s="207"/>
      <c r="D59" s="99">
        <f>VLOOKUP($B$79,Índices!$B$6:$F$500,VLOOKUP(D$54,$L$7:$M$9,2,FALSE)+1,FALSE)/VLOOKUP(DATE(YEAR($B59),MONTH($B59)-1,1),Índices!$B$6:$F$500,VLOOKUP(D$54,$L$7:$M$9,2,FALSE)+1,FALSE)*C59</f>
        <v>0</v>
      </c>
      <c r="E59" s="207"/>
      <c r="F59" s="99">
        <f>VLOOKUP($B$48,Índices!$B$6:$F$500,VLOOKUP(F$23,$L$7:$M$9,2,FALSE)+1,FALSE)/VLOOKUP(DATE(YEAR($B59),MONTH($B59)-1,1),Índices!$B$6:$F$500,VLOOKUP(F$23,$L$7:$M$9,2,FALSE)+1,FALSE)*E59</f>
        <v>0</v>
      </c>
      <c r="G59" s="207"/>
      <c r="H59" s="99">
        <f>VLOOKUP($B$48,Índices!$B$6:$F$500,VLOOKUP(H$54,$L$7:$M$9,2,FALSE)+1,FALSE)/VLOOKUP(DATE(YEAR($B59),MONTH($B59)-1,1),Índices!$B$6:$F$500,VLOOKUP(H$54,$L$7:$M$9,2,FALSE)+1,FALSE)*G59</f>
        <v>0</v>
      </c>
      <c r="I59" s="207"/>
      <c r="J59" s="99">
        <f>VLOOKUP($B$48,Índices!$B$6:$F$500,VLOOKUP(J$54,$L$7:$M$9,2,FALSE)+1,FALSE)/VLOOKUP(DATE(YEAR($B59),MONTH($B59)-1,1),Índices!$B$6:$F$500,VLOOKUP(J$54,$L$7:$M$9,2,FALSE)+1,FALSE)*I59</f>
        <v>0</v>
      </c>
      <c r="K59" s="207"/>
      <c r="L59" s="99">
        <f>VLOOKUP($B$48,Índices!$B$6:$F$500,VLOOKUP(L$54,$L$7:$M$9,2,FALSE)+1,FALSE)/VLOOKUP(DATE(YEAR($B59),MONTH($B59)-1,1),Índices!$B$6:$F$500,VLOOKUP(L$54,$L$7:$M$9,2,FALSE)+1,FALSE)*K59</f>
        <v>0</v>
      </c>
      <c r="M59" s="207"/>
      <c r="N59" s="99">
        <f>VLOOKUP($B$48,Índices!$B$6:$F$500,VLOOKUP(N$54,$L$7:$M$9,2,FALSE)+1,FALSE)/VLOOKUP(DATE(YEAR($B59),MONTH($B59)-1,1),Índices!$B$6:$F$500,VLOOKUP(N$54,$L$7:$M$9,2,FALSE)+1,FALSE)*M59</f>
        <v>0</v>
      </c>
      <c r="O59" s="207"/>
      <c r="P59" s="99">
        <f>VLOOKUP($B$48,Índices!$B$6:$F$500,VLOOKUP(P$54,$L$7:$M$9,2,FALSE)+1,FALSE)/VLOOKUP(DATE(YEAR($B59),MONTH($B59)-1,1),Índices!$B$6:$F$500,VLOOKUP(P$54,$L$7:$M$9,2,FALSE)+1,FALSE)*O59</f>
        <v>0</v>
      </c>
      <c r="Q59" s="207"/>
      <c r="R59" s="99">
        <f>VLOOKUP($B$48,Índices!$B$6:$F$500,VLOOKUP(R$54,$L$7:$M$9,2,FALSE)+1,FALSE)/VLOOKUP(DATE(YEAR($B59),MONTH($B59)-1,1),Índices!$B$6:$F$500,VLOOKUP(R$54,$L$7:$M$9,2,FALSE)+1,FALSE)*Q59</f>
        <v>0</v>
      </c>
      <c r="S59" s="207"/>
      <c r="T59" s="99">
        <f>VLOOKUP($B$48,Índices!$B$6:$F$500,VLOOKUP(T$54,$L$7:$M$9,2,FALSE)+1,FALSE)/VLOOKUP(DATE(YEAR($B59),MONTH($B59)-1,1),Índices!$B$6:$F$500,VLOOKUP(T$54,$L$7:$M$9,2,FALSE)+1,FALSE)*S59</f>
        <v>0</v>
      </c>
      <c r="U59" s="207"/>
      <c r="V59" s="99">
        <f>VLOOKUP($B$48,Índices!$B$6:$F$500,VLOOKUP(V$54,$L$7:$M$9,2,FALSE)+1,FALSE)/VLOOKUP(DATE(YEAR($B59),MONTH($B59)-1,1),Índices!$B$6:$F$500,VLOOKUP(V$54,$L$7:$M$9,2,FALSE)+1,FALSE)*U59</f>
        <v>0</v>
      </c>
      <c r="W59" s="207"/>
      <c r="X59" s="99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67">
        <f t="shared" si="6"/>
        <v>44197</v>
      </c>
      <c r="C60" s="207"/>
      <c r="D60" s="99">
        <f>VLOOKUP($B$79,Índices!$B$6:$F$500,VLOOKUP(D$54,$L$7:$M$9,2,FALSE)+1,FALSE)/VLOOKUP(DATE(YEAR($B60),MONTH($B60)-1,1),Índices!$B$6:$F$500,VLOOKUP(D$54,$L$7:$M$9,2,FALSE)+1,FALSE)*C60</f>
        <v>0</v>
      </c>
      <c r="E60" s="207"/>
      <c r="F60" s="99">
        <f>VLOOKUP($B$48,Índices!$B$6:$F$500,VLOOKUP(F$23,$L$7:$M$9,2,FALSE)+1,FALSE)/VLOOKUP(DATE(YEAR($B60),MONTH($B60)-1,1),Índices!$B$6:$F$500,VLOOKUP(F$23,$L$7:$M$9,2,FALSE)+1,FALSE)*E60</f>
        <v>0</v>
      </c>
      <c r="G60" s="207"/>
      <c r="H60" s="99">
        <f>VLOOKUP($B$48,Índices!$B$6:$F$500,VLOOKUP(H$54,$L$7:$M$9,2,FALSE)+1,FALSE)/VLOOKUP(DATE(YEAR($B60),MONTH($B60)-1,1),Índices!$B$6:$F$500,VLOOKUP(H$54,$L$7:$M$9,2,FALSE)+1,FALSE)*G60</f>
        <v>0</v>
      </c>
      <c r="I60" s="207"/>
      <c r="J60" s="99">
        <f>VLOOKUP($B$48,Índices!$B$6:$F$500,VLOOKUP(J$54,$L$7:$M$9,2,FALSE)+1,FALSE)/VLOOKUP(DATE(YEAR($B60),MONTH($B60)-1,1),Índices!$B$6:$F$500,VLOOKUP(J$54,$L$7:$M$9,2,FALSE)+1,FALSE)*I60</f>
        <v>0</v>
      </c>
      <c r="K60" s="207"/>
      <c r="L60" s="99">
        <f>VLOOKUP($B$48,Índices!$B$6:$F$500,VLOOKUP(L$54,$L$7:$M$9,2,FALSE)+1,FALSE)/VLOOKUP(DATE(YEAR($B60),MONTH($B60)-1,1),Índices!$B$6:$F$500,VLOOKUP(L$54,$L$7:$M$9,2,FALSE)+1,FALSE)*K60</f>
        <v>0</v>
      </c>
      <c r="M60" s="207"/>
      <c r="N60" s="99">
        <f>VLOOKUP($B$48,Índices!$B$6:$F$500,VLOOKUP(N$54,$L$7:$M$9,2,FALSE)+1,FALSE)/VLOOKUP(DATE(YEAR($B60),MONTH($B60)-1,1),Índices!$B$6:$F$500,VLOOKUP(N$54,$L$7:$M$9,2,FALSE)+1,FALSE)*M60</f>
        <v>0</v>
      </c>
      <c r="O60" s="207"/>
      <c r="P60" s="99">
        <f>VLOOKUP($B$48,Índices!$B$6:$F$500,VLOOKUP(P$54,$L$7:$M$9,2,FALSE)+1,FALSE)/VLOOKUP(DATE(YEAR($B60),MONTH($B60)-1,1),Índices!$B$6:$F$500,VLOOKUP(P$54,$L$7:$M$9,2,FALSE)+1,FALSE)*O60</f>
        <v>0</v>
      </c>
      <c r="Q60" s="207"/>
      <c r="R60" s="99">
        <f>VLOOKUP($B$48,Índices!$B$6:$F$500,VLOOKUP(R$54,$L$7:$M$9,2,FALSE)+1,FALSE)/VLOOKUP(DATE(YEAR($B60),MONTH($B60)-1,1),Índices!$B$6:$F$500,VLOOKUP(R$54,$L$7:$M$9,2,FALSE)+1,FALSE)*Q60</f>
        <v>0</v>
      </c>
      <c r="S60" s="207"/>
      <c r="T60" s="99">
        <f>VLOOKUP($B$48,Índices!$B$6:$F$500,VLOOKUP(T$54,$L$7:$M$9,2,FALSE)+1,FALSE)/VLOOKUP(DATE(YEAR($B60),MONTH($B60)-1,1),Índices!$B$6:$F$500,VLOOKUP(T$54,$L$7:$M$9,2,FALSE)+1,FALSE)*S60</f>
        <v>0</v>
      </c>
      <c r="U60" s="207"/>
      <c r="V60" s="99">
        <f>VLOOKUP($B$48,Índices!$B$6:$F$500,VLOOKUP(V$54,$L$7:$M$9,2,FALSE)+1,FALSE)/VLOOKUP(DATE(YEAR($B60),MONTH($B60)-1,1),Índices!$B$6:$F$500,VLOOKUP(V$54,$L$7:$M$9,2,FALSE)+1,FALSE)*U60</f>
        <v>0</v>
      </c>
      <c r="W60" s="207"/>
      <c r="X60" s="99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67">
        <f t="shared" si="6"/>
        <v>44228</v>
      </c>
      <c r="C61" s="207"/>
      <c r="D61" s="99">
        <f>VLOOKUP($B$79,Índices!$B$6:$F$500,VLOOKUP(D$54,$L$7:$M$9,2,FALSE)+1,FALSE)/VLOOKUP(DATE(YEAR($B61),MONTH($B61)-1,1),Índices!$B$6:$F$500,VLOOKUP(D$54,$L$7:$M$9,2,FALSE)+1,FALSE)*C61</f>
        <v>0</v>
      </c>
      <c r="E61" s="207"/>
      <c r="F61" s="99">
        <f>VLOOKUP($B$48,Índices!$B$6:$F$500,VLOOKUP(F$23,$L$7:$M$9,2,FALSE)+1,FALSE)/VLOOKUP(DATE(YEAR($B61),MONTH($B61)-1,1),Índices!$B$6:$F$500,VLOOKUP(F$23,$L$7:$M$9,2,FALSE)+1,FALSE)*E61</f>
        <v>0</v>
      </c>
      <c r="G61" s="207"/>
      <c r="H61" s="99">
        <f>VLOOKUP($B$48,Índices!$B$6:$F$500,VLOOKUP(H$54,$L$7:$M$9,2,FALSE)+1,FALSE)/VLOOKUP(DATE(YEAR($B61),MONTH($B61)-1,1),Índices!$B$6:$F$500,VLOOKUP(H$54,$L$7:$M$9,2,FALSE)+1,FALSE)*G61</f>
        <v>0</v>
      </c>
      <c r="I61" s="207"/>
      <c r="J61" s="99">
        <f>VLOOKUP($B$48,Índices!$B$6:$F$500,VLOOKUP(J$54,$L$7:$M$9,2,FALSE)+1,FALSE)/VLOOKUP(DATE(YEAR($B61),MONTH($B61)-1,1),Índices!$B$6:$F$500,VLOOKUP(J$54,$L$7:$M$9,2,FALSE)+1,FALSE)*I61</f>
        <v>0</v>
      </c>
      <c r="K61" s="207"/>
      <c r="L61" s="99">
        <f>VLOOKUP($B$48,Índices!$B$6:$F$500,VLOOKUP(L$54,$L$7:$M$9,2,FALSE)+1,FALSE)/VLOOKUP(DATE(YEAR($B61),MONTH($B61)-1,1),Índices!$B$6:$F$500,VLOOKUP(L$54,$L$7:$M$9,2,FALSE)+1,FALSE)*K61</f>
        <v>0</v>
      </c>
      <c r="M61" s="207"/>
      <c r="N61" s="99">
        <f>VLOOKUP($B$48,Índices!$B$6:$F$500,VLOOKUP(N$54,$L$7:$M$9,2,FALSE)+1,FALSE)/VLOOKUP(DATE(YEAR($B61),MONTH($B61)-1,1),Índices!$B$6:$F$500,VLOOKUP(N$54,$L$7:$M$9,2,FALSE)+1,FALSE)*M61</f>
        <v>0</v>
      </c>
      <c r="O61" s="207"/>
      <c r="P61" s="99">
        <f>VLOOKUP($B$48,Índices!$B$6:$F$500,VLOOKUP(P$54,$L$7:$M$9,2,FALSE)+1,FALSE)/VLOOKUP(DATE(YEAR($B61),MONTH($B61)-1,1),Índices!$B$6:$F$500,VLOOKUP(P$54,$L$7:$M$9,2,FALSE)+1,FALSE)*O61</f>
        <v>0</v>
      </c>
      <c r="Q61" s="207"/>
      <c r="R61" s="99">
        <f>VLOOKUP($B$48,Índices!$B$6:$F$500,VLOOKUP(R$54,$L$7:$M$9,2,FALSE)+1,FALSE)/VLOOKUP(DATE(YEAR($B61),MONTH($B61)-1,1),Índices!$B$6:$F$500,VLOOKUP(R$54,$L$7:$M$9,2,FALSE)+1,FALSE)*Q61</f>
        <v>0</v>
      </c>
      <c r="S61" s="207"/>
      <c r="T61" s="99">
        <f>VLOOKUP($B$48,Índices!$B$6:$F$500,VLOOKUP(T$54,$L$7:$M$9,2,FALSE)+1,FALSE)/VLOOKUP(DATE(YEAR($B61),MONTH($B61)-1,1),Índices!$B$6:$F$500,VLOOKUP(T$54,$L$7:$M$9,2,FALSE)+1,FALSE)*S61</f>
        <v>0</v>
      </c>
      <c r="U61" s="207"/>
      <c r="V61" s="99">
        <f>VLOOKUP($B$48,Índices!$B$6:$F$500,VLOOKUP(V$54,$L$7:$M$9,2,FALSE)+1,FALSE)/VLOOKUP(DATE(YEAR($B61),MONTH($B61)-1,1),Índices!$B$6:$F$500,VLOOKUP(V$54,$L$7:$M$9,2,FALSE)+1,FALSE)*U61</f>
        <v>0</v>
      </c>
      <c r="W61" s="207"/>
      <c r="X61" s="99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67">
        <f t="shared" si="6"/>
        <v>44256</v>
      </c>
      <c r="C62" s="207"/>
      <c r="D62" s="99">
        <f>VLOOKUP($B$79,Índices!$B$6:$F$500,VLOOKUP(D$54,$L$7:$M$9,2,FALSE)+1,FALSE)/VLOOKUP(DATE(YEAR($B62),MONTH($B62)-1,1),Índices!$B$6:$F$500,VLOOKUP(D$54,$L$7:$M$9,2,FALSE)+1,FALSE)*C62</f>
        <v>0</v>
      </c>
      <c r="E62" s="207"/>
      <c r="F62" s="99">
        <f>VLOOKUP($B$48,Índices!$B$6:$F$500,VLOOKUP(F$23,$L$7:$M$9,2,FALSE)+1,FALSE)/VLOOKUP(DATE(YEAR($B62),MONTH($B62)-1,1),Índices!$B$6:$F$500,VLOOKUP(F$23,$L$7:$M$9,2,FALSE)+1,FALSE)*E62</f>
        <v>0</v>
      </c>
      <c r="G62" s="207"/>
      <c r="H62" s="99">
        <f>VLOOKUP($B$48,Índices!$B$6:$F$500,VLOOKUP(H$54,$L$7:$M$9,2,FALSE)+1,FALSE)/VLOOKUP(DATE(YEAR($B62),MONTH($B62)-1,1),Índices!$B$6:$F$500,VLOOKUP(H$54,$L$7:$M$9,2,FALSE)+1,FALSE)*G62</f>
        <v>0</v>
      </c>
      <c r="I62" s="207"/>
      <c r="J62" s="99">
        <f>VLOOKUP($B$48,Índices!$B$6:$F$500,VLOOKUP(J$54,$L$7:$M$9,2,FALSE)+1,FALSE)/VLOOKUP(DATE(YEAR($B62),MONTH($B62)-1,1),Índices!$B$6:$F$500,VLOOKUP(J$54,$L$7:$M$9,2,FALSE)+1,FALSE)*I62</f>
        <v>0</v>
      </c>
      <c r="K62" s="207"/>
      <c r="L62" s="99">
        <f>VLOOKUP($B$48,Índices!$B$6:$F$500,VLOOKUP(L$54,$L$7:$M$9,2,FALSE)+1,FALSE)/VLOOKUP(DATE(YEAR($B62),MONTH($B62)-1,1),Índices!$B$6:$F$500,VLOOKUP(L$54,$L$7:$M$9,2,FALSE)+1,FALSE)*K62</f>
        <v>0</v>
      </c>
      <c r="M62" s="207"/>
      <c r="N62" s="99">
        <f>VLOOKUP($B$48,Índices!$B$6:$F$500,VLOOKUP(N$54,$L$7:$M$9,2,FALSE)+1,FALSE)/VLOOKUP(DATE(YEAR($B62),MONTH($B62)-1,1),Índices!$B$6:$F$500,VLOOKUP(N$54,$L$7:$M$9,2,FALSE)+1,FALSE)*M62</f>
        <v>0</v>
      </c>
      <c r="O62" s="207"/>
      <c r="P62" s="99">
        <f>VLOOKUP($B$48,Índices!$B$6:$F$500,VLOOKUP(P$54,$L$7:$M$9,2,FALSE)+1,FALSE)/VLOOKUP(DATE(YEAR($B62),MONTH($B62)-1,1),Índices!$B$6:$F$500,VLOOKUP(P$54,$L$7:$M$9,2,FALSE)+1,FALSE)*O62</f>
        <v>0</v>
      </c>
      <c r="Q62" s="207"/>
      <c r="R62" s="99">
        <f>VLOOKUP($B$48,Índices!$B$6:$F$500,VLOOKUP(R$54,$L$7:$M$9,2,FALSE)+1,FALSE)/VLOOKUP(DATE(YEAR($B62),MONTH($B62)-1,1),Índices!$B$6:$F$500,VLOOKUP(R$54,$L$7:$M$9,2,FALSE)+1,FALSE)*Q62</f>
        <v>0</v>
      </c>
      <c r="S62" s="207"/>
      <c r="T62" s="99">
        <f>VLOOKUP($B$48,Índices!$B$6:$F$500,VLOOKUP(T$54,$L$7:$M$9,2,FALSE)+1,FALSE)/VLOOKUP(DATE(YEAR($B62),MONTH($B62)-1,1),Índices!$B$6:$F$500,VLOOKUP(T$54,$L$7:$M$9,2,FALSE)+1,FALSE)*S62</f>
        <v>0</v>
      </c>
      <c r="U62" s="207"/>
      <c r="V62" s="99">
        <f>VLOOKUP($B$48,Índices!$B$6:$F$500,VLOOKUP(V$54,$L$7:$M$9,2,FALSE)+1,FALSE)/VLOOKUP(DATE(YEAR($B62),MONTH($B62)-1,1),Índices!$B$6:$F$500,VLOOKUP(V$54,$L$7:$M$9,2,FALSE)+1,FALSE)*U62</f>
        <v>0</v>
      </c>
      <c r="W62" s="207"/>
      <c r="X62" s="99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67">
        <f t="shared" si="6"/>
        <v>44287</v>
      </c>
      <c r="C63" s="207"/>
      <c r="D63" s="99">
        <f>VLOOKUP($B$79,Índices!$B$6:$F$500,VLOOKUP(D$54,$L$7:$M$9,2,FALSE)+1,FALSE)/VLOOKUP(DATE(YEAR($B63),MONTH($B63)-1,1),Índices!$B$6:$F$500,VLOOKUP(D$54,$L$7:$M$9,2,FALSE)+1,FALSE)*C63</f>
        <v>0</v>
      </c>
      <c r="E63" s="207"/>
      <c r="F63" s="99">
        <f>VLOOKUP($B$48,Índices!$B$6:$F$500,VLOOKUP(F$23,$L$7:$M$9,2,FALSE)+1,FALSE)/VLOOKUP(DATE(YEAR($B63),MONTH($B63)-1,1),Índices!$B$6:$F$500,VLOOKUP(F$23,$L$7:$M$9,2,FALSE)+1,FALSE)*E63</f>
        <v>0</v>
      </c>
      <c r="G63" s="207"/>
      <c r="H63" s="99">
        <f>VLOOKUP($B$48,Índices!$B$6:$F$500,VLOOKUP(H$54,$L$7:$M$9,2,FALSE)+1,FALSE)/VLOOKUP(DATE(YEAR($B63),MONTH($B63)-1,1),Índices!$B$6:$F$500,VLOOKUP(H$54,$L$7:$M$9,2,FALSE)+1,FALSE)*G63</f>
        <v>0</v>
      </c>
      <c r="I63" s="207"/>
      <c r="J63" s="99">
        <f>VLOOKUP($B$48,Índices!$B$6:$F$500,VLOOKUP(J$54,$L$7:$M$9,2,FALSE)+1,FALSE)/VLOOKUP(DATE(YEAR($B63),MONTH($B63)-1,1),Índices!$B$6:$F$500,VLOOKUP(J$54,$L$7:$M$9,2,FALSE)+1,FALSE)*I63</f>
        <v>0</v>
      </c>
      <c r="K63" s="207"/>
      <c r="L63" s="99">
        <f>VLOOKUP($B$48,Índices!$B$6:$F$500,VLOOKUP(L$54,$L$7:$M$9,2,FALSE)+1,FALSE)/VLOOKUP(DATE(YEAR($B63),MONTH($B63)-1,1),Índices!$B$6:$F$500,VLOOKUP(L$54,$L$7:$M$9,2,FALSE)+1,FALSE)*K63</f>
        <v>0</v>
      </c>
      <c r="M63" s="207"/>
      <c r="N63" s="99">
        <f>VLOOKUP($B$48,Índices!$B$6:$F$500,VLOOKUP(N$54,$L$7:$M$9,2,FALSE)+1,FALSE)/VLOOKUP(DATE(YEAR($B63),MONTH($B63)-1,1),Índices!$B$6:$F$500,VLOOKUP(N$54,$L$7:$M$9,2,FALSE)+1,FALSE)*M63</f>
        <v>0</v>
      </c>
      <c r="O63" s="207"/>
      <c r="P63" s="99">
        <f>VLOOKUP($B$48,Índices!$B$6:$F$500,VLOOKUP(P$54,$L$7:$M$9,2,FALSE)+1,FALSE)/VLOOKUP(DATE(YEAR($B63),MONTH($B63)-1,1),Índices!$B$6:$F$500,VLOOKUP(P$54,$L$7:$M$9,2,FALSE)+1,FALSE)*O63</f>
        <v>0</v>
      </c>
      <c r="Q63" s="207"/>
      <c r="R63" s="99">
        <f>VLOOKUP($B$48,Índices!$B$6:$F$500,VLOOKUP(R$54,$L$7:$M$9,2,FALSE)+1,FALSE)/VLOOKUP(DATE(YEAR($B63),MONTH($B63)-1,1),Índices!$B$6:$F$500,VLOOKUP(R$54,$L$7:$M$9,2,FALSE)+1,FALSE)*Q63</f>
        <v>0</v>
      </c>
      <c r="S63" s="207"/>
      <c r="T63" s="99">
        <f>VLOOKUP($B$48,Índices!$B$6:$F$500,VLOOKUP(T$54,$L$7:$M$9,2,FALSE)+1,FALSE)/VLOOKUP(DATE(YEAR($B63),MONTH($B63)-1,1),Índices!$B$6:$F$500,VLOOKUP(T$54,$L$7:$M$9,2,FALSE)+1,FALSE)*S63</f>
        <v>0</v>
      </c>
      <c r="U63" s="207"/>
      <c r="V63" s="99">
        <f>VLOOKUP($B$48,Índices!$B$6:$F$500,VLOOKUP(V$54,$L$7:$M$9,2,FALSE)+1,FALSE)/VLOOKUP(DATE(YEAR($B63),MONTH($B63)-1,1),Índices!$B$6:$F$500,VLOOKUP(V$54,$L$7:$M$9,2,FALSE)+1,FALSE)*U63</f>
        <v>0</v>
      </c>
      <c r="W63" s="207"/>
      <c r="X63" s="99">
        <f>VLOOKUP($B$48,Índices!$B$6:$F$500,VLOOKUP(X$54,$L$7:$M$9,2,FALSE)+1,FALSE)/VLOOKUP(DATE(YEAR($B63),MONTH($B63)-1,1),Índices!$B$6:$F$500,VLOOKUP(X$54,$L$7:$M$9,2,FALSE)+1,FALSE)*W63</f>
        <v>0</v>
      </c>
      <c r="Z63" s="68"/>
      <c r="AD63" s="208"/>
    </row>
    <row r="64" spans="2:30" ht="14.25">
      <c r="B64" s="267">
        <f t="shared" si="6"/>
        <v>44317</v>
      </c>
      <c r="C64" s="207"/>
      <c r="D64" s="99">
        <f>VLOOKUP($B$79,Índices!$B$6:$F$500,VLOOKUP(D$54,$L$7:$M$9,2,FALSE)+1,FALSE)/VLOOKUP(DATE(YEAR($B64),MONTH($B64)-1,1),Índices!$B$6:$F$500,VLOOKUP(D$54,$L$7:$M$9,2,FALSE)+1,FALSE)*C64</f>
        <v>0</v>
      </c>
      <c r="E64" s="207"/>
      <c r="F64" s="99">
        <f>VLOOKUP($B$48,Índices!$B$6:$F$500,VLOOKUP(F$23,$L$7:$M$9,2,FALSE)+1,FALSE)/VLOOKUP(DATE(YEAR($B64),MONTH($B64)-1,1),Índices!$B$6:$F$500,VLOOKUP(F$23,$L$7:$M$9,2,FALSE)+1,FALSE)*E64</f>
        <v>0</v>
      </c>
      <c r="G64" s="207"/>
      <c r="H64" s="99">
        <f>VLOOKUP($B$48,Índices!$B$6:$F$500,VLOOKUP(H$54,$L$7:$M$9,2,FALSE)+1,FALSE)/VLOOKUP(DATE(YEAR($B64),MONTH($B64)-1,1),Índices!$B$6:$F$500,VLOOKUP(H$54,$L$7:$M$9,2,FALSE)+1,FALSE)*G64</f>
        <v>0</v>
      </c>
      <c r="I64" s="207"/>
      <c r="J64" s="99">
        <f>VLOOKUP($B$48,Índices!$B$6:$F$500,VLOOKUP(J$54,$L$7:$M$9,2,FALSE)+1,FALSE)/VLOOKUP(DATE(YEAR($B64),MONTH($B64)-1,1),Índices!$B$6:$F$500,VLOOKUP(J$54,$L$7:$M$9,2,FALSE)+1,FALSE)*I64</f>
        <v>0</v>
      </c>
      <c r="K64" s="207"/>
      <c r="L64" s="99">
        <f>VLOOKUP($B$48,Índices!$B$6:$F$500,VLOOKUP(L$54,$L$7:$M$9,2,FALSE)+1,FALSE)/VLOOKUP(DATE(YEAR($B64),MONTH($B64)-1,1),Índices!$B$6:$F$500,VLOOKUP(L$54,$L$7:$M$9,2,FALSE)+1,FALSE)*K64</f>
        <v>0</v>
      </c>
      <c r="M64" s="207"/>
      <c r="N64" s="99">
        <f>VLOOKUP($B$48,Índices!$B$6:$F$500,VLOOKUP(N$54,$L$7:$M$9,2,FALSE)+1,FALSE)/VLOOKUP(DATE(YEAR($B64),MONTH($B64)-1,1),Índices!$B$6:$F$500,VLOOKUP(N$54,$L$7:$M$9,2,FALSE)+1,FALSE)*M64</f>
        <v>0</v>
      </c>
      <c r="O64" s="207"/>
      <c r="P64" s="99">
        <f>VLOOKUP($B$48,Índices!$B$6:$F$500,VLOOKUP(P$54,$L$7:$M$9,2,FALSE)+1,FALSE)/VLOOKUP(DATE(YEAR($B64),MONTH($B64)-1,1),Índices!$B$6:$F$500,VLOOKUP(P$54,$L$7:$M$9,2,FALSE)+1,FALSE)*O64</f>
        <v>0</v>
      </c>
      <c r="Q64" s="207"/>
      <c r="R64" s="99">
        <f>VLOOKUP($B$48,Índices!$B$6:$F$500,VLOOKUP(R$54,$L$7:$M$9,2,FALSE)+1,FALSE)/VLOOKUP(DATE(YEAR($B64),MONTH($B64)-1,1),Índices!$B$6:$F$500,VLOOKUP(R$54,$L$7:$M$9,2,FALSE)+1,FALSE)*Q64</f>
        <v>0</v>
      </c>
      <c r="S64" s="207"/>
      <c r="T64" s="99">
        <f>VLOOKUP($B$48,Índices!$B$6:$F$500,VLOOKUP(T$54,$L$7:$M$9,2,FALSE)+1,FALSE)/VLOOKUP(DATE(YEAR($B64),MONTH($B64)-1,1),Índices!$B$6:$F$500,VLOOKUP(T$54,$L$7:$M$9,2,FALSE)+1,FALSE)*S64</f>
        <v>0</v>
      </c>
      <c r="U64" s="207"/>
      <c r="V64" s="99">
        <f>VLOOKUP($B$48,Índices!$B$6:$F$500,VLOOKUP(V$54,$L$7:$M$9,2,FALSE)+1,FALSE)/VLOOKUP(DATE(YEAR($B64),MONTH($B64)-1,1),Índices!$B$6:$F$500,VLOOKUP(V$54,$L$7:$M$9,2,FALSE)+1,FALSE)*U64</f>
        <v>0</v>
      </c>
      <c r="W64" s="207"/>
      <c r="X64" s="99">
        <f>VLOOKUP($B$48,Índices!$B$6:$F$500,VLOOKUP(X$54,$L$7:$M$9,2,FALSE)+1,FALSE)/VLOOKUP(DATE(YEAR($B64),MONTH($B64)-1,1),Índices!$B$6:$F$500,VLOOKUP(X$54,$L$7:$M$9,2,FALSE)+1,FALSE)*W64</f>
        <v>0</v>
      </c>
      <c r="Z64" s="68"/>
      <c r="AD64" s="208"/>
    </row>
    <row r="65" spans="2:30" ht="14.25">
      <c r="B65" s="267">
        <f t="shared" si="6"/>
        <v>44348</v>
      </c>
      <c r="C65" s="207"/>
      <c r="D65" s="99">
        <f>VLOOKUP($B$79,Índices!$B$6:$F$500,VLOOKUP(D$54,$L$7:$M$9,2,FALSE)+1,FALSE)/VLOOKUP(DATE(YEAR($B65),MONTH($B65)-1,1),Índices!$B$6:$F$500,VLOOKUP(D$54,$L$7:$M$9,2,FALSE)+1,FALSE)*C65</f>
        <v>0</v>
      </c>
      <c r="E65" s="207"/>
      <c r="F65" s="99">
        <f>VLOOKUP($B$48,Índices!$B$6:$F$500,VLOOKUP(F$23,$L$7:$M$9,2,FALSE)+1,FALSE)/VLOOKUP(DATE(YEAR($B65),MONTH($B65)-1,1),Índices!$B$6:$F$500,VLOOKUP(F$23,$L$7:$M$9,2,FALSE)+1,FALSE)*E65</f>
        <v>0</v>
      </c>
      <c r="G65" s="207"/>
      <c r="H65" s="225">
        <f>VLOOKUP($B$48,Índices!$B$6:$F$500,VLOOKUP(H$54,$L$7:$M$9,2,FALSE)+1,FALSE)/VLOOKUP(DATE(YEAR($B65),MONTH($B65)-1,1),Índices!$B$6:$F$500,VLOOKUP(H$54,$L$7:$M$9,2,FALSE)+1,FALSE)*G65</f>
        <v>0</v>
      </c>
      <c r="I65" s="207"/>
      <c r="J65" s="225">
        <f>VLOOKUP($B$48,Índices!$B$6:$F$500,VLOOKUP(J$54,$L$7:$M$9,2,FALSE)+1,FALSE)/VLOOKUP(DATE(YEAR($B65),MONTH($B65)-1,1),Índices!$B$6:$F$500,VLOOKUP(J$54,$L$7:$M$9,2,FALSE)+1,FALSE)*I65</f>
        <v>0</v>
      </c>
      <c r="K65" s="207"/>
      <c r="L65" s="225">
        <f>VLOOKUP($B$48,Índices!$B$6:$F$500,VLOOKUP(L$54,$L$7:$M$9,2,FALSE)+1,FALSE)/VLOOKUP(DATE(YEAR($B65),MONTH($B65)-1,1),Índices!$B$6:$F$500,VLOOKUP(L$54,$L$7:$M$9,2,FALSE)+1,FALSE)*K65</f>
        <v>0</v>
      </c>
      <c r="M65" s="207"/>
      <c r="N65" s="225">
        <f>VLOOKUP($B$48,Índices!$B$6:$F$500,VLOOKUP(N$54,$L$7:$M$9,2,FALSE)+1,FALSE)/VLOOKUP(DATE(YEAR($B65),MONTH($B65)-1,1),Índices!$B$6:$F$500,VLOOKUP(N$54,$L$7:$M$9,2,FALSE)+1,FALSE)*M65</f>
        <v>0</v>
      </c>
      <c r="O65" s="207"/>
      <c r="P65" s="225">
        <f>VLOOKUP($B$48,Índices!$B$6:$F$500,VLOOKUP(P$54,$L$7:$M$9,2,FALSE)+1,FALSE)/VLOOKUP(DATE(YEAR($B65),MONTH($B65)-1,1),Índices!$B$6:$F$500,VLOOKUP(P$54,$L$7:$M$9,2,FALSE)+1,FALSE)*O65</f>
        <v>0</v>
      </c>
      <c r="Q65" s="207"/>
      <c r="R65" s="225">
        <f>VLOOKUP($B$48,Índices!$B$6:$F$500,VLOOKUP(R$54,$L$7:$M$9,2,FALSE)+1,FALSE)/VLOOKUP(DATE(YEAR($B65),MONTH($B65)-1,1),Índices!$B$6:$F$500,VLOOKUP(R$54,$L$7:$M$9,2,FALSE)+1,FALSE)*Q65</f>
        <v>0</v>
      </c>
      <c r="S65" s="207"/>
      <c r="T65" s="225">
        <f>VLOOKUP($B$48,Índices!$B$6:$F$500,VLOOKUP(T$54,$L$7:$M$9,2,FALSE)+1,FALSE)/VLOOKUP(DATE(YEAR($B65),MONTH($B65)-1,1),Índices!$B$6:$F$500,VLOOKUP(T$54,$L$7:$M$9,2,FALSE)+1,FALSE)*S65</f>
        <v>0</v>
      </c>
      <c r="U65" s="207"/>
      <c r="V65" s="225">
        <f>VLOOKUP($B$48,Índices!$B$6:$F$500,VLOOKUP(V$54,$L$7:$M$9,2,FALSE)+1,FALSE)/VLOOKUP(DATE(YEAR($B65),MONTH($B65)-1,1),Índices!$B$6:$F$500,VLOOKUP(V$54,$L$7:$M$9,2,FALSE)+1,FALSE)*U65</f>
        <v>0</v>
      </c>
      <c r="W65" s="207"/>
      <c r="X65" s="225">
        <f>VLOOKUP($B$48,Índices!$B$6:$F$500,VLOOKUP(X$54,$L$7:$M$9,2,FALSE)+1,FALSE)/VLOOKUP(DATE(YEAR($B65),MONTH($B65)-1,1),Índices!$B$6:$F$500,VLOOKUP(X$54,$L$7:$M$9,2,FALSE)+1,FALSE)*W65</f>
        <v>0</v>
      </c>
      <c r="Z65" s="68"/>
      <c r="AD65" s="208"/>
    </row>
    <row r="66" spans="2:30" ht="14.25">
      <c r="B66" s="267">
        <f t="shared" si="6"/>
        <v>44378</v>
      </c>
      <c r="C66" s="207"/>
      <c r="D66" s="99">
        <f>VLOOKUP($B$79,Índices!$B$6:$F$500,VLOOKUP(D$54,$L$7:$M$9,2,FALSE)+1,FALSE)/VLOOKUP(DATE(YEAR($B66),MONTH($B66)-1,1),Índices!$B$6:$F$500,VLOOKUP(D$54,$L$7:$M$9,2,FALSE)+1,FALSE)*C66</f>
        <v>0</v>
      </c>
      <c r="E66" s="207"/>
      <c r="F66" s="99">
        <f>VLOOKUP($B$48,Índices!$B$6:$F$500,VLOOKUP(F$23,$L$7:$M$9,2,FALSE)+1,FALSE)/VLOOKUP(DATE(YEAR($B66),MONTH($B66)-1,1),Índices!$B$6:$F$500,VLOOKUP(F$23,$L$7:$M$9,2,FALSE)+1,FALSE)*E66</f>
        <v>0</v>
      </c>
      <c r="G66" s="207"/>
      <c r="H66" s="225">
        <f>VLOOKUP($B$48,Índices!$B$6:$F$500,VLOOKUP(H$54,$L$7:$M$9,2,FALSE)+1,FALSE)/VLOOKUP(DATE(YEAR($B66),MONTH($B66)-1,1),Índices!$B$6:$F$500,VLOOKUP(H$54,$L$7:$M$9,2,FALSE)+1,FALSE)*G66</f>
        <v>0</v>
      </c>
      <c r="I66" s="207"/>
      <c r="J66" s="225">
        <f>VLOOKUP($B$48,Índices!$B$6:$F$500,VLOOKUP(J$54,$L$7:$M$9,2,FALSE)+1,FALSE)/VLOOKUP(DATE(YEAR($B66),MONTH($B66)-1,1),Índices!$B$6:$F$500,VLOOKUP(J$54,$L$7:$M$9,2,FALSE)+1,FALSE)*I66</f>
        <v>0</v>
      </c>
      <c r="K66" s="207"/>
      <c r="L66" s="225">
        <f>VLOOKUP($B$48,Índices!$B$6:$F$500,VLOOKUP(L$54,$L$7:$M$9,2,FALSE)+1,FALSE)/VLOOKUP(DATE(YEAR($B66),MONTH($B66)-1,1),Índices!$B$6:$F$500,VLOOKUP(L$54,$L$7:$M$9,2,FALSE)+1,FALSE)*K66</f>
        <v>0</v>
      </c>
      <c r="M66" s="207"/>
      <c r="N66" s="225">
        <f>VLOOKUP($B$48,Índices!$B$6:$F$500,VLOOKUP(N$54,$L$7:$M$9,2,FALSE)+1,FALSE)/VLOOKUP(DATE(YEAR($B66),MONTH($B66)-1,1),Índices!$B$6:$F$500,VLOOKUP(N$54,$L$7:$M$9,2,FALSE)+1,FALSE)*M66</f>
        <v>0</v>
      </c>
      <c r="O66" s="207"/>
      <c r="P66" s="225">
        <f>VLOOKUP($B$48,Índices!$B$6:$F$500,VLOOKUP(P$54,$L$7:$M$9,2,FALSE)+1,FALSE)/VLOOKUP(DATE(YEAR($B66),MONTH($B66)-1,1),Índices!$B$6:$F$500,VLOOKUP(P$54,$L$7:$M$9,2,FALSE)+1,FALSE)*O66</f>
        <v>0</v>
      </c>
      <c r="Q66" s="207"/>
      <c r="R66" s="225">
        <f>VLOOKUP($B$48,Índices!$B$6:$F$500,VLOOKUP(R$54,$L$7:$M$9,2,FALSE)+1,FALSE)/VLOOKUP(DATE(YEAR($B66),MONTH($B66)-1,1),Índices!$B$6:$F$500,VLOOKUP(R$54,$L$7:$M$9,2,FALSE)+1,FALSE)*Q66</f>
        <v>0</v>
      </c>
      <c r="S66" s="207"/>
      <c r="T66" s="225">
        <f>VLOOKUP($B$48,Índices!$B$6:$F$500,VLOOKUP(T$54,$L$7:$M$9,2,FALSE)+1,FALSE)/VLOOKUP(DATE(YEAR($B66),MONTH($B66)-1,1),Índices!$B$6:$F$500,VLOOKUP(T$54,$L$7:$M$9,2,FALSE)+1,FALSE)*S66</f>
        <v>0</v>
      </c>
      <c r="U66" s="207"/>
      <c r="V66" s="225">
        <f>VLOOKUP($B$48,Índices!$B$6:$F$500,VLOOKUP(V$54,$L$7:$M$9,2,FALSE)+1,FALSE)/VLOOKUP(DATE(YEAR($B66),MONTH($B66)-1,1),Índices!$B$6:$F$500,VLOOKUP(V$54,$L$7:$M$9,2,FALSE)+1,FALSE)*U66</f>
        <v>0</v>
      </c>
      <c r="W66" s="207"/>
      <c r="X66" s="225">
        <f>VLOOKUP($B$48,Índices!$B$6:$F$500,VLOOKUP(X$54,$L$7:$M$9,2,FALSE)+1,FALSE)/VLOOKUP(DATE(YEAR($B66),MONTH($B66)-1,1),Índices!$B$6:$F$500,VLOOKUP(X$54,$L$7:$M$9,2,FALSE)+1,FALSE)*W66</f>
        <v>0</v>
      </c>
      <c r="Z66" s="68"/>
      <c r="AD66" s="208"/>
    </row>
    <row r="67" spans="2:30" ht="14.25">
      <c r="B67" s="267">
        <f t="shared" si="6"/>
        <v>44409</v>
      </c>
      <c r="C67" s="207"/>
      <c r="D67" s="99">
        <f>VLOOKUP($B$79,Índices!$B$6:$F$500,VLOOKUP(D$54,$L$7:$M$9,2,FALSE)+1,FALSE)/VLOOKUP(DATE(YEAR($B67),MONTH($B67)-1,1),Índices!$B$6:$F$500,VLOOKUP(D$54,$L$7:$M$9,2,FALSE)+1,FALSE)*C67</f>
        <v>0</v>
      </c>
      <c r="E67" s="207"/>
      <c r="F67" s="99">
        <f>VLOOKUP($B$48,Índices!$B$6:$F$500,VLOOKUP(F$23,$L$7:$M$9,2,FALSE)+1,FALSE)/VLOOKUP(DATE(YEAR($B67),MONTH($B67)-1,1),Índices!$B$6:$F$500,VLOOKUP(F$23,$L$7:$M$9,2,FALSE)+1,FALSE)*E67</f>
        <v>0</v>
      </c>
      <c r="G67" s="207"/>
      <c r="H67" s="225">
        <f>VLOOKUP($B$48,Índices!$B$6:$F$500,VLOOKUP(H$54,$L$7:$M$9,2,FALSE)+1,FALSE)/VLOOKUP(DATE(YEAR($B67),MONTH($B67)-1,1),Índices!$B$6:$F$500,VLOOKUP(H$54,$L$7:$M$9,2,FALSE)+1,FALSE)*G67</f>
        <v>0</v>
      </c>
      <c r="I67" s="207"/>
      <c r="J67" s="225">
        <f>VLOOKUP($B$48,Índices!$B$6:$F$500,VLOOKUP(J$54,$L$7:$M$9,2,FALSE)+1,FALSE)/VLOOKUP(DATE(YEAR($B67),MONTH($B67)-1,1),Índices!$B$6:$F$500,VLOOKUP(J$54,$L$7:$M$9,2,FALSE)+1,FALSE)*I67</f>
        <v>0</v>
      </c>
      <c r="K67" s="207"/>
      <c r="L67" s="225">
        <f>VLOOKUP($B$48,Índices!$B$6:$F$500,VLOOKUP(L$54,$L$7:$M$9,2,FALSE)+1,FALSE)/VLOOKUP(DATE(YEAR($B67),MONTH($B67)-1,1),Índices!$B$6:$F$500,VLOOKUP(L$54,$L$7:$M$9,2,FALSE)+1,FALSE)*K67</f>
        <v>0</v>
      </c>
      <c r="M67" s="207"/>
      <c r="N67" s="225">
        <f>VLOOKUP($B$48,Índices!$B$6:$F$500,VLOOKUP(N$54,$L$7:$M$9,2,FALSE)+1,FALSE)/VLOOKUP(DATE(YEAR($B67),MONTH($B67)-1,1),Índices!$B$6:$F$500,VLOOKUP(N$54,$L$7:$M$9,2,FALSE)+1,FALSE)*M67</f>
        <v>0</v>
      </c>
      <c r="O67" s="207"/>
      <c r="P67" s="225">
        <f>VLOOKUP($B$48,Índices!$B$6:$F$500,VLOOKUP(P$54,$L$7:$M$9,2,FALSE)+1,FALSE)/VLOOKUP(DATE(YEAR($B67),MONTH($B67)-1,1),Índices!$B$6:$F$500,VLOOKUP(P$54,$L$7:$M$9,2,FALSE)+1,FALSE)*O67</f>
        <v>0</v>
      </c>
      <c r="Q67" s="207"/>
      <c r="R67" s="225">
        <f>VLOOKUP($B$48,Índices!$B$6:$F$500,VLOOKUP(R$54,$L$7:$M$9,2,FALSE)+1,FALSE)/VLOOKUP(DATE(YEAR($B67),MONTH($B67)-1,1),Índices!$B$6:$F$500,VLOOKUP(R$54,$L$7:$M$9,2,FALSE)+1,FALSE)*Q67</f>
        <v>0</v>
      </c>
      <c r="S67" s="207"/>
      <c r="T67" s="225">
        <f>VLOOKUP($B$48,Índices!$B$6:$F$500,VLOOKUP(T$54,$L$7:$M$9,2,FALSE)+1,FALSE)/VLOOKUP(DATE(YEAR($B67),MONTH($B67)-1,1),Índices!$B$6:$F$500,VLOOKUP(T$54,$L$7:$M$9,2,FALSE)+1,FALSE)*S67</f>
        <v>0</v>
      </c>
      <c r="U67" s="207"/>
      <c r="V67" s="225">
        <f>VLOOKUP($B$48,Índices!$B$6:$F$500,VLOOKUP(V$54,$L$7:$M$9,2,FALSE)+1,FALSE)/VLOOKUP(DATE(YEAR($B67),MONTH($B67)-1,1),Índices!$B$6:$F$500,VLOOKUP(V$54,$L$7:$M$9,2,FALSE)+1,FALSE)*U67</f>
        <v>0</v>
      </c>
      <c r="W67" s="207"/>
      <c r="X67" s="225">
        <f>VLOOKUP($B$48,Índices!$B$6:$F$500,VLOOKUP(X$54,$L$7:$M$9,2,FALSE)+1,FALSE)/VLOOKUP(DATE(YEAR($B67),MONTH($B67)-1,1),Índices!$B$6:$F$500,VLOOKUP(X$54,$L$7:$M$9,2,FALSE)+1,FALSE)*W67</f>
        <v>0</v>
      </c>
      <c r="Z67" s="68"/>
      <c r="AD67" s="208"/>
    </row>
    <row r="68" spans="2:30" ht="14.25">
      <c r="B68" s="267">
        <f t="shared" si="6"/>
        <v>44440</v>
      </c>
      <c r="C68" s="207">
        <f ca="1">Encargos!C31</f>
        <v>1029.4613874749193</v>
      </c>
      <c r="D68" s="99">
        <f ca="1">VLOOKUP($B$79,Índices!$B$6:$F$500,VLOOKUP(D$54,$L$7:$M$9,2,FALSE)+1,FALSE)/VLOOKUP(DATE(YEAR($B68),MONTH($B68)-1,1),Índices!$B$6:$F$500,VLOOKUP(D$54,$L$7:$M$9,2,FALSE)+1,FALSE)*C68</f>
        <v>1119.3054815049034</v>
      </c>
      <c r="E68" s="207">
        <f ca="1">Encargos!D31</f>
        <v>0</v>
      </c>
      <c r="F68" s="99">
        <f ca="1">VLOOKUP($B$79,Índices!$B$6:$F$500,VLOOKUP(F$54,$L$7:$M$9,2,FALSE)+1,FALSE)/VLOOKUP(DATE(YEAR($B68),MONTH($B68)-1,1),Índices!$B$6:$F$500,VLOOKUP(F$54,$L$7:$M$9,2,FALSE)+1,FALSE)*E68</f>
        <v>0</v>
      </c>
      <c r="G68" s="207">
        <f ca="1">Encargos!E31</f>
        <v>62.120593422094771</v>
      </c>
      <c r="H68" s="225">
        <f ca="1">VLOOKUP($B$48,Índices!$B$6:$F$500,VLOOKUP(H$54,$L$7:$M$9,2,FALSE)+1,FALSE)/VLOOKUP(DATE(YEAR($B68),MONTH($B68)-1,1),Índices!$B$6:$F$500,VLOOKUP(H$54,$L$7:$M$9,2,FALSE)+1,FALSE)*G68</f>
        <v>67.542038562745148</v>
      </c>
      <c r="I68" s="207">
        <f ca="1">Encargos!F31</f>
        <v>2183.2167311626981</v>
      </c>
      <c r="J68" s="225">
        <f ca="1">VLOOKUP($B$48,Índices!$B$6:$F$500,VLOOKUP(J$54,$L$7:$M$9,2,FALSE)+1,FALSE)/VLOOKUP(DATE(YEAR($B68),MONTH($B68)-1,1),Índices!$B$6:$F$500,VLOOKUP(J$54,$L$7:$M$9,2,FALSE)+1,FALSE)*I68</f>
        <v>2373.7524148404841</v>
      </c>
      <c r="K68" s="207">
        <f ca="1">Encargos!L62</f>
        <v>0</v>
      </c>
      <c r="L68" s="225">
        <f ca="1">VLOOKUP($B$48,Índices!$B$6:$F$500,VLOOKUP(L$54,$L$7:$M$9,2,FALSE)+1,FALSE)/VLOOKUP(DATE(YEAR($B68),MONTH($B68)-1,1),Índices!$B$6:$F$500,VLOOKUP(L$54,$L$7:$M$9,2,FALSE)+1,FALSE)*K68</f>
        <v>0</v>
      </c>
      <c r="M68" s="207">
        <f ca="1">Encargos!G31</f>
        <v>342.01689498263295</v>
      </c>
      <c r="N68" s="225">
        <f ca="1">VLOOKUP($B$48,Índices!$B$6:$F$500,VLOOKUP(N$54,$L$7:$M$9,2,FALSE)+1,FALSE)/VLOOKUP(DATE(YEAR($B68),MONTH($B68)-1,1),Índices!$B$6:$F$500,VLOOKUP(N$54,$L$7:$M$9,2,FALSE)+1,FALSE)*M68</f>
        <v>371.86570567774169</v>
      </c>
      <c r="O68" s="207">
        <f ca="1">Encargos!H31</f>
        <v>0</v>
      </c>
      <c r="P68" s="225">
        <f ca="1">VLOOKUP($B$48,Índices!$B$6:$F$500,VLOOKUP(P$54,$L$7:$M$9,2,FALSE)+1,FALSE)/VLOOKUP(DATE(YEAR($B68),MONTH($B68)-1,1),Índices!$B$6:$F$500,VLOOKUP(P$54,$L$7:$M$9,2,FALSE)+1,FALSE)*O68</f>
        <v>0</v>
      </c>
      <c r="Q68" s="207">
        <f ca="1">Encargos!I31</f>
        <v>0</v>
      </c>
      <c r="R68" s="225">
        <f ca="1">VLOOKUP($B$48,Índices!$B$6:$F$500,VLOOKUP(R$54,$L$7:$M$9,2,FALSE)+1,FALSE)/VLOOKUP(DATE(YEAR($B68),MONTH($B68)-1,1),Índices!$B$6:$F$500,VLOOKUP(R$54,$L$7:$M$9,2,FALSE)+1,FALSE)*Q68</f>
        <v>0</v>
      </c>
      <c r="S68" s="207"/>
      <c r="T68" s="225">
        <f>VLOOKUP($B$48,Índices!$B$6:$F$500,VLOOKUP(T$54,$L$7:$M$9,2,FALSE)+1,FALSE)/VLOOKUP(DATE(YEAR($B68),MONTH($B68)-1,1),Índices!$B$6:$F$500,VLOOKUP(T$54,$L$7:$M$9,2,FALSE)+1,FALSE)*S68</f>
        <v>0</v>
      </c>
      <c r="U68" s="207"/>
      <c r="V68" s="225">
        <f>VLOOKUP($B$48,Índices!$B$6:$F$500,VLOOKUP(V$54,$L$7:$M$9,2,FALSE)+1,FALSE)/VLOOKUP(DATE(YEAR($B68),MONTH($B68)-1,1),Índices!$B$6:$F$500,VLOOKUP(V$54,$L$7:$M$9,2,FALSE)+1,FALSE)*U68</f>
        <v>0</v>
      </c>
      <c r="W68" s="207">
        <f>CVE!$D$33</f>
        <v>0</v>
      </c>
      <c r="X68" s="225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08"/>
    </row>
    <row r="69" spans="2:30" ht="14.25">
      <c r="B69" s="267">
        <f t="shared" si="6"/>
        <v>44470</v>
      </c>
      <c r="C69" s="207">
        <f ca="1">Encargos!C32</f>
        <v>2552.2340589611704</v>
      </c>
      <c r="D69" s="99">
        <f ca="1">VLOOKUP($B$79,Índices!$B$6:$F$500,VLOOKUP(D$54,$L$7:$M$9,2,FALSE)+1,FALSE)/VLOOKUP(DATE(YEAR($B69),MONTH($B69)-1,1),Índices!$B$6:$F$500,VLOOKUP(D$54,$L$7:$M$9,2,FALSE)+1,FALSE)*C69</f>
        <v>2743.1553751087613</v>
      </c>
      <c r="E69" s="207">
        <f ca="1">Encargos!D32</f>
        <v>0</v>
      </c>
      <c r="F69" s="99">
        <f ca="1">VLOOKUP($B$79,Índices!$B$6:$F$500,VLOOKUP(F$54,$L$7:$M$9,2,FALSE)+1,FALSE)/VLOOKUP(DATE(YEAR($B69),MONTH($B69)-1,1),Índices!$B$6:$F$500,VLOOKUP(F$54,$L$7:$M$9,2,FALSE)+1,FALSE)*E69</f>
        <v>0</v>
      </c>
      <c r="G69" s="207">
        <f ca="1">Encargos!E32</f>
        <v>150.61312613879863</v>
      </c>
      <c r="H69" s="225">
        <f ca="1">VLOOKUP($B$48,Índices!$B$6:$F$500,VLOOKUP(H$54,$L$7:$M$9,2,FALSE)+1,FALSE)/VLOOKUP(DATE(YEAR($B69),MONTH($B69)-1,1),Índices!$B$6:$F$500,VLOOKUP(H$54,$L$7:$M$9,2,FALSE)+1,FALSE)*G69</f>
        <v>161.87982645202413</v>
      </c>
      <c r="I69" s="207">
        <f ca="1">Encargos!F32</f>
        <v>5412.6168957483751</v>
      </c>
      <c r="J69" s="225">
        <f ca="1">VLOOKUP($B$48,Índices!$B$6:$F$500,VLOOKUP(J$54,$L$7:$M$9,2,FALSE)+1,FALSE)/VLOOKUP(DATE(YEAR($B69),MONTH($B69)-1,1),Índices!$B$6:$F$500,VLOOKUP(J$54,$L$7:$M$9,2,FALSE)+1,FALSE)*I69</f>
        <v>5817.5107721194099</v>
      </c>
      <c r="K69" s="207">
        <f ca="1">Encargos!L63</f>
        <v>0</v>
      </c>
      <c r="L69" s="225">
        <f ca="1">VLOOKUP($B$48,Índices!$B$6:$F$500,VLOOKUP(L$54,$L$7:$M$9,2,FALSE)+1,FALSE)/VLOOKUP(DATE(YEAR($B69),MONTH($B69)-1,1),Índices!$B$6:$F$500,VLOOKUP(L$54,$L$7:$M$9,2,FALSE)+1,FALSE)*K69</f>
        <v>0</v>
      </c>
      <c r="M69" s="207">
        <f ca="1">Encargos!G32</f>
        <v>892.33570536021944</v>
      </c>
      <c r="N69" s="225">
        <f ca="1">VLOOKUP($B$48,Índices!$B$6:$F$500,VLOOKUP(N$54,$L$7:$M$9,2,FALSE)+1,FALSE)/VLOOKUP(DATE(YEAR($B69),MONTH($B69)-1,1),Índices!$B$6:$F$500,VLOOKUP(N$54,$L$7:$M$9,2,FALSE)+1,FALSE)*M69</f>
        <v>959.08738384154401</v>
      </c>
      <c r="O69" s="207">
        <f ca="1">Encargos!H32</f>
        <v>0</v>
      </c>
      <c r="P69" s="225">
        <f ca="1">VLOOKUP($B$48,Índices!$B$6:$F$500,VLOOKUP(P$54,$L$7:$M$9,2,FALSE)+1,FALSE)/VLOOKUP(DATE(YEAR($B69),MONTH($B69)-1,1),Índices!$B$6:$F$500,VLOOKUP(P$54,$L$7:$M$9,2,FALSE)+1,FALSE)*O69</f>
        <v>0</v>
      </c>
      <c r="Q69" s="207">
        <f ca="1">Encargos!I32</f>
        <v>0</v>
      </c>
      <c r="R69" s="225">
        <f ca="1">VLOOKUP($B$48,Índices!$B$6:$F$500,VLOOKUP(R$54,$L$7:$M$9,2,FALSE)+1,FALSE)/VLOOKUP(DATE(YEAR($B69),MONTH($B69)-1,1),Índices!$B$6:$F$500,VLOOKUP(R$54,$L$7:$M$9,2,FALSE)+1,FALSE)*Q69</f>
        <v>0</v>
      </c>
      <c r="S69" s="207"/>
      <c r="T69" s="225">
        <f>VLOOKUP($B$48,Índices!$B$6:$F$500,VLOOKUP(T$54,$L$7:$M$9,2,FALSE)+1,FALSE)/VLOOKUP(DATE(YEAR($B69),MONTH($B69)-1,1),Índices!$B$6:$F$500,VLOOKUP(T$54,$L$7:$M$9,2,FALSE)+1,FALSE)*S69</f>
        <v>0</v>
      </c>
      <c r="U69" s="207"/>
      <c r="V69" s="225">
        <f>VLOOKUP($B$48,Índices!$B$6:$F$500,VLOOKUP(V$54,$L$7:$M$9,2,FALSE)+1,FALSE)/VLOOKUP(DATE(YEAR($B69),MONTH($B69)-1,1),Índices!$B$6:$F$500,VLOOKUP(V$54,$L$7:$M$9,2,FALSE)+1,FALSE)*U69</f>
        <v>0</v>
      </c>
      <c r="W69" s="207"/>
      <c r="X69" s="225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08"/>
    </row>
    <row r="70" spans="2:30" ht="14.25">
      <c r="B70" s="267">
        <f t="shared" si="6"/>
        <v>44501</v>
      </c>
      <c r="C70" s="207">
        <f ca="1">Encargos!C33</f>
        <v>1270.5116130845272</v>
      </c>
      <c r="D70" s="99">
        <f ca="1">VLOOKUP($B$79,Índices!$B$6:$F$500,VLOOKUP(D$54,$L$7:$M$9,2,FALSE)+1,FALSE)/VLOOKUP(DATE(YEAR($B70),MONTH($B70)-1,1),Índices!$B$6:$F$500,VLOOKUP(D$54,$L$7:$M$9,2,FALSE)+1,FALSE)*C70</f>
        <v>1348.6948645906284</v>
      </c>
      <c r="E70" s="207">
        <f ca="1">Encargos!D33</f>
        <v>0</v>
      </c>
      <c r="F70" s="99">
        <f ca="1">VLOOKUP($B$79,Índices!$B$6:$F$500,VLOOKUP(F$54,$L$7:$M$9,2,FALSE)+1,FALSE)/VLOOKUP(DATE(YEAR($B70),MONTH($B70)-1,1),Índices!$B$6:$F$500,VLOOKUP(F$54,$L$7:$M$9,2,FALSE)+1,FALSE)*E70</f>
        <v>0</v>
      </c>
      <c r="G70" s="207">
        <f ca="1">Encargos!E33</f>
        <v>76.456210541831297</v>
      </c>
      <c r="H70" s="225">
        <f ca="1">VLOOKUP($B$48,Índices!$B$6:$F$500,VLOOKUP(H$54,$L$7:$M$9,2,FALSE)+1,FALSE)/VLOOKUP(DATE(YEAR($B70),MONTH($B70)-1,1),Índices!$B$6:$F$500,VLOOKUP(H$54,$L$7:$M$9,2,FALSE)+1,FALSE)*G70</f>
        <v>81.161083032908422</v>
      </c>
      <c r="I70" s="207">
        <f ca="1">Encargos!F33</f>
        <v>2694.4208345941588</v>
      </c>
      <c r="J70" s="225">
        <f ca="1">VLOOKUP($B$48,Índices!$B$6:$F$500,VLOOKUP(J$54,$L$7:$M$9,2,FALSE)+1,FALSE)/VLOOKUP(DATE(YEAR($B70),MONTH($B70)-1,1),Índices!$B$6:$F$500,VLOOKUP(J$54,$L$7:$M$9,2,FALSE)+1,FALSE)*I70</f>
        <v>2860.2269394773093</v>
      </c>
      <c r="K70" s="207">
        <f ca="1">Encargos!L64</f>
        <v>0</v>
      </c>
      <c r="L70" s="225">
        <f ca="1">VLOOKUP($B$48,Índices!$B$6:$F$500,VLOOKUP(L$54,$L$7:$M$9,2,FALSE)+1,FALSE)/VLOOKUP(DATE(YEAR($B70),MONTH($B70)-1,1),Índices!$B$6:$F$500,VLOOKUP(L$54,$L$7:$M$9,2,FALSE)+1,FALSE)*K70</f>
        <v>0</v>
      </c>
      <c r="M70" s="207">
        <f ca="1">Encargos!G33</f>
        <v>444.25279409331051</v>
      </c>
      <c r="N70" s="225">
        <f ca="1">VLOOKUP($B$48,Índices!$B$6:$F$500,VLOOKUP(N$54,$L$7:$M$9,2,FALSE)+1,FALSE)/VLOOKUP(DATE(YEAR($B70),MONTH($B70)-1,1),Índices!$B$6:$F$500,VLOOKUP(N$54,$L$7:$M$9,2,FALSE)+1,FALSE)*M70</f>
        <v>471.5907007878908</v>
      </c>
      <c r="O70" s="207">
        <f ca="1">Encargos!H33</f>
        <v>0</v>
      </c>
      <c r="P70" s="225">
        <f ca="1">VLOOKUP($B$48,Índices!$B$6:$F$500,VLOOKUP(P$54,$L$7:$M$9,2,FALSE)+1,FALSE)/VLOOKUP(DATE(YEAR($B70),MONTH($B70)-1,1),Índices!$B$6:$F$500,VLOOKUP(P$54,$L$7:$M$9,2,FALSE)+1,FALSE)*O70</f>
        <v>0</v>
      </c>
      <c r="Q70" s="207">
        <f ca="1">Encargos!I33</f>
        <v>0</v>
      </c>
      <c r="R70" s="225">
        <f ca="1">VLOOKUP($B$48,Índices!$B$6:$F$500,VLOOKUP(R$54,$L$7:$M$9,2,FALSE)+1,FALSE)/VLOOKUP(DATE(YEAR($B70),MONTH($B70)-1,1),Índices!$B$6:$F$500,VLOOKUP(R$54,$L$7:$M$9,2,FALSE)+1,FALSE)*Q70</f>
        <v>0</v>
      </c>
      <c r="S70" s="207"/>
      <c r="T70" s="225">
        <f>VLOOKUP($B$48,Índices!$B$6:$F$500,VLOOKUP(T$54,$L$7:$M$9,2,FALSE)+1,FALSE)/VLOOKUP(DATE(YEAR($B70),MONTH($B70)-1,1),Índices!$B$6:$F$500,VLOOKUP(T$54,$L$7:$M$9,2,FALSE)+1,FALSE)*S70</f>
        <v>0</v>
      </c>
      <c r="U70" s="207"/>
      <c r="V70" s="225">
        <f>VLOOKUP($B$48,Índices!$B$6:$F$500,VLOOKUP(V$54,$L$7:$M$9,2,FALSE)+1,FALSE)/VLOOKUP(DATE(YEAR($B70),MONTH($B70)-1,1),Índices!$B$6:$F$500,VLOOKUP(V$54,$L$7:$M$9,2,FALSE)+1,FALSE)*U70</f>
        <v>0</v>
      </c>
      <c r="W70" s="207"/>
      <c r="X70" s="225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08"/>
    </row>
    <row r="71" spans="2:30" ht="14.25">
      <c r="B71" s="267">
        <f t="shared" si="6"/>
        <v>44531</v>
      </c>
      <c r="C71" s="207">
        <f ca="1">Encargos!C34</f>
        <v>-2090.390278705112</v>
      </c>
      <c r="D71" s="99">
        <f ca="1">VLOOKUP($B$79,Índices!$B$6:$F$500,VLOOKUP(D$54,$L$7:$M$9,2,FALSE)+1,FALSE)/VLOOKUP(DATE(YEAR($B71),MONTH($B71)-1,1),Índices!$B$6:$F$500,VLOOKUP(D$54,$L$7:$M$9,2,FALSE)+1,FALSE)*C71</f>
        <v>-2198.1423903969308</v>
      </c>
      <c r="E71" s="207">
        <f ca="1">Encargos!D34</f>
        <v>0</v>
      </c>
      <c r="F71" s="99">
        <f ca="1">VLOOKUP($B$79,Índices!$B$6:$F$500,VLOOKUP(F$54,$L$7:$M$9,2,FALSE)+1,FALSE)/VLOOKUP(DATE(YEAR($B71),MONTH($B71)-1,1),Índices!$B$6:$F$500,VLOOKUP(F$54,$L$7:$M$9,2,FALSE)+1,FALSE)*E71</f>
        <v>0</v>
      </c>
      <c r="G71" s="207">
        <f ca="1">Encargos!E34</f>
        <v>-114.63049164960239</v>
      </c>
      <c r="H71" s="225">
        <f ca="1">VLOOKUP($B$48,Índices!$B$6:$F$500,VLOOKUP(H$54,$L$7:$M$9,2,FALSE)+1,FALSE)/VLOOKUP(DATE(YEAR($B71),MONTH($B71)-1,1),Índices!$B$6:$F$500,VLOOKUP(H$54,$L$7:$M$9,2,FALSE)+1,FALSE)*G71</f>
        <v>-120.5392818240225</v>
      </c>
      <c r="I71" s="207">
        <f ca="1">Encargos!F34</f>
        <v>-4433.1677580670803</v>
      </c>
      <c r="J71" s="225">
        <f ca="1">VLOOKUP($B$48,Índices!$B$6:$F$500,VLOOKUP(J$54,$L$7:$M$9,2,FALSE)+1,FALSE)/VLOOKUP(DATE(YEAR($B71),MONTH($B71)-1,1),Índices!$B$6:$F$500,VLOOKUP(J$54,$L$7:$M$9,2,FALSE)+1,FALSE)*I71</f>
        <v>-4661.6816352516389</v>
      </c>
      <c r="K71" s="207">
        <f ca="1">Encargos!L65</f>
        <v>0</v>
      </c>
      <c r="L71" s="225">
        <f ca="1">VLOOKUP($B$48,Índices!$B$6:$F$500,VLOOKUP(L$54,$L$7:$M$9,2,FALSE)+1,FALSE)/VLOOKUP(DATE(YEAR($B71),MONTH($B71)-1,1),Índices!$B$6:$F$500,VLOOKUP(L$54,$L$7:$M$9,2,FALSE)+1,FALSE)*K71</f>
        <v>0</v>
      </c>
      <c r="M71" s="207">
        <f ca="1">Encargos!G34</f>
        <v>-789.6192437063728</v>
      </c>
      <c r="N71" s="225">
        <f ca="1">VLOOKUP($B$48,Índices!$B$6:$F$500,VLOOKUP(N$54,$L$7:$M$9,2,FALSE)+1,FALSE)/VLOOKUP(DATE(YEAR($B71),MONTH($B71)-1,1),Índices!$B$6:$F$500,VLOOKUP(N$54,$L$7:$M$9,2,FALSE)+1,FALSE)*M71</f>
        <v>-830.32127997615646</v>
      </c>
      <c r="O71" s="207">
        <f ca="1">Encargos!H34</f>
        <v>0</v>
      </c>
      <c r="P71" s="225">
        <f ca="1">VLOOKUP($B$48,Índices!$B$6:$F$500,VLOOKUP(P$54,$L$7:$M$9,2,FALSE)+1,FALSE)/VLOOKUP(DATE(YEAR($B71),MONTH($B71)-1,1),Índices!$B$6:$F$500,VLOOKUP(P$54,$L$7:$M$9,2,FALSE)+1,FALSE)*O71</f>
        <v>0</v>
      </c>
      <c r="Q71" s="207">
        <f ca="1">Encargos!I34</f>
        <v>0</v>
      </c>
      <c r="R71" s="225">
        <f ca="1">VLOOKUP($B$48,Índices!$B$6:$F$500,VLOOKUP(R$54,$L$7:$M$9,2,FALSE)+1,FALSE)/VLOOKUP(DATE(YEAR($B71),MONTH($B71)-1,1),Índices!$B$6:$F$500,VLOOKUP(R$54,$L$7:$M$9,2,FALSE)+1,FALSE)*Q71</f>
        <v>0</v>
      </c>
      <c r="S71" s="207"/>
      <c r="T71" s="225">
        <f>VLOOKUP($B$48,Índices!$B$6:$F$500,VLOOKUP(T$54,$L$7:$M$9,2,FALSE)+1,FALSE)/VLOOKUP(DATE(YEAR($B71),MONTH($B71)-1,1),Índices!$B$6:$F$500,VLOOKUP(T$54,$L$7:$M$9,2,FALSE)+1,FALSE)*S71</f>
        <v>0</v>
      </c>
      <c r="U71" s="207"/>
      <c r="V71" s="225">
        <f>VLOOKUP($B$48,Índices!$B$6:$F$500,VLOOKUP(V$54,$L$7:$M$9,2,FALSE)+1,FALSE)/VLOOKUP(DATE(YEAR($B71),MONTH($B71)-1,1),Índices!$B$6:$F$500,VLOOKUP(V$54,$L$7:$M$9,2,FALSE)+1,FALSE)*U71</f>
        <v>0</v>
      </c>
      <c r="W71" s="207"/>
      <c r="X71" s="225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08"/>
    </row>
    <row r="72" spans="2:30" ht="14.25">
      <c r="B72" s="267">
        <f t="shared" si="6"/>
        <v>44562</v>
      </c>
      <c r="C72" s="207">
        <f ca="1">Encargos!C35</f>
        <v>-5104.8508447186396</v>
      </c>
      <c r="D72" s="99">
        <f ca="1">VLOOKUP($B$79,Índices!$B$6:$F$500,VLOOKUP(D$54,$L$7:$M$9,2,FALSE)+1,FALSE)/VLOOKUP(DATE(YEAR($B72),MONTH($B72)-1,1),Índices!$B$6:$F$500,VLOOKUP(D$54,$L$7:$M$9,2,FALSE)+1,FALSE)*C72</f>
        <v>-5329.087459607711</v>
      </c>
      <c r="E72" s="207">
        <f ca="1">Encargos!D35</f>
        <v>0</v>
      </c>
      <c r="F72" s="99">
        <f ca="1">VLOOKUP($B$79,Índices!$B$6:$F$500,VLOOKUP(F$54,$L$7:$M$9,2,FALSE)+1,FALSE)/VLOOKUP(DATE(YEAR($B72),MONTH($B72)-1,1),Índices!$B$6:$F$500,VLOOKUP(F$54,$L$7:$M$9,2,FALSE)+1,FALSE)*E72</f>
        <v>0</v>
      </c>
      <c r="G72" s="207">
        <f ca="1">Encargos!E35</f>
        <v>-300.3043414639892</v>
      </c>
      <c r="H72" s="225">
        <f ca="1">VLOOKUP($B$48,Índices!$B$6:$F$500,VLOOKUP(H$54,$L$7:$M$9,2,FALSE)+1,FALSE)/VLOOKUP(DATE(YEAR($B72),MONTH($B72)-1,1),Índices!$B$6:$F$500,VLOOKUP(H$54,$L$7:$M$9,2,FALSE)+1,FALSE)*G72</f>
        <v>-313.49556506967872</v>
      </c>
      <c r="I72" s="207">
        <f ca="1">Encargos!F35</f>
        <v>-10826.045454328661</v>
      </c>
      <c r="J72" s="225">
        <f ca="1">VLOOKUP($B$48,Índices!$B$6:$F$500,VLOOKUP(J$54,$L$7:$M$9,2,FALSE)+1,FALSE)/VLOOKUP(DATE(YEAR($B72),MONTH($B72)-1,1),Índices!$B$6:$F$500,VLOOKUP(J$54,$L$7:$M$9,2,FALSE)+1,FALSE)*I72</f>
        <v>-11301.592313415722</v>
      </c>
      <c r="K72" s="207">
        <f ca="1">Encargos!L66</f>
        <v>0</v>
      </c>
      <c r="L72" s="225">
        <f ca="1">VLOOKUP($B$48,Índices!$B$6:$F$500,VLOOKUP(L$54,$L$7:$M$9,2,FALSE)+1,FALSE)/VLOOKUP(DATE(YEAR($B72),MONTH($B72)-1,1),Índices!$B$6:$F$500,VLOOKUP(L$54,$L$7:$M$9,2,FALSE)+1,FALSE)*K72</f>
        <v>0</v>
      </c>
      <c r="M72" s="207">
        <f ca="1">Encargos!G35</f>
        <v>-1741.0060997048276</v>
      </c>
      <c r="N72" s="225">
        <f ca="1">VLOOKUP($B$48,Índices!$B$6:$F$500,VLOOKUP(N$54,$L$7:$M$9,2,FALSE)+1,FALSE)/VLOOKUP(DATE(YEAR($B72),MONTH($B72)-1,1),Índices!$B$6:$F$500,VLOOKUP(N$54,$L$7:$M$9,2,FALSE)+1,FALSE)*M72</f>
        <v>-1817.4818530959246</v>
      </c>
      <c r="O72" s="207">
        <f ca="1">Encargos!H35</f>
        <v>0</v>
      </c>
      <c r="P72" s="225">
        <f ca="1">VLOOKUP($B$48,Índices!$B$6:$F$500,VLOOKUP(P$54,$L$7:$M$9,2,FALSE)+1,FALSE)/VLOOKUP(DATE(YEAR($B72),MONTH($B72)-1,1),Índices!$B$6:$F$500,VLOOKUP(P$54,$L$7:$M$9,2,FALSE)+1,FALSE)*O72</f>
        <v>0</v>
      </c>
      <c r="Q72" s="207">
        <f ca="1">Encargos!I35</f>
        <v>0</v>
      </c>
      <c r="R72" s="225">
        <f ca="1">VLOOKUP($B$48,Índices!$B$6:$F$500,VLOOKUP(R$54,$L$7:$M$9,2,FALSE)+1,FALSE)/VLOOKUP(DATE(YEAR($B72),MONTH($B72)-1,1),Índices!$B$6:$F$500,VLOOKUP(R$54,$L$7:$M$9,2,FALSE)+1,FALSE)*Q72</f>
        <v>0</v>
      </c>
      <c r="S72" s="207"/>
      <c r="T72" s="225">
        <f>VLOOKUP($B$48,Índices!$B$6:$F$500,VLOOKUP(T$54,$L$7:$M$9,2,FALSE)+1,FALSE)/VLOOKUP(DATE(YEAR($B72),MONTH($B72)-1,1),Índices!$B$6:$F$500,VLOOKUP(T$54,$L$7:$M$9,2,FALSE)+1,FALSE)*S72</f>
        <v>0</v>
      </c>
      <c r="U72" s="207"/>
      <c r="V72" s="225">
        <f>VLOOKUP($B$48,Índices!$B$6:$F$500,VLOOKUP(V$54,$L$7:$M$9,2,FALSE)+1,FALSE)/VLOOKUP(DATE(YEAR($B72),MONTH($B72)-1,1),Índices!$B$6:$F$500,VLOOKUP(V$54,$L$7:$M$9,2,FALSE)+1,FALSE)*U72</f>
        <v>0</v>
      </c>
      <c r="W72" s="207"/>
      <c r="X72" s="225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08"/>
    </row>
    <row r="73" spans="2:30" ht="14.25">
      <c r="B73" s="267">
        <f t="shared" si="6"/>
        <v>44593</v>
      </c>
      <c r="C73" s="207">
        <f ca="1">Encargos!C36</f>
        <v>-802.28190224673017</v>
      </c>
      <c r="D73" s="99">
        <f ca="1">VLOOKUP($B$79,Índices!$B$6:$F$500,VLOOKUP(D$54,$L$7:$M$9,2,FALSE)+1,FALSE)/VLOOKUP(DATE(YEAR($B73),MONTH($B73)-1,1),Índices!$B$6:$F$500,VLOOKUP(D$54,$L$7:$M$9,2,FALSE)+1,FALSE)*C73</f>
        <v>-833.0245091177062</v>
      </c>
      <c r="E73" s="207">
        <f ca="1">Encargos!D36</f>
        <v>0</v>
      </c>
      <c r="F73" s="99">
        <f ca="1">VLOOKUP($B$79,Índices!$B$6:$F$500,VLOOKUP(F$54,$L$7:$M$9,2,FALSE)+1,FALSE)/VLOOKUP(DATE(YEAR($B73),MONTH($B73)-1,1),Índices!$B$6:$F$500,VLOOKUP(F$54,$L$7:$M$9,2,FALSE)+1,FALSE)*E73</f>
        <v>0</v>
      </c>
      <c r="G73" s="207">
        <f ca="1">Encargos!E36</f>
        <v>-51.068141650054713</v>
      </c>
      <c r="H73" s="225">
        <f ca="1">VLOOKUP($B$48,Índices!$B$6:$F$500,VLOOKUP(H$54,$L$7:$M$9,2,FALSE)+1,FALSE)/VLOOKUP(DATE(YEAR($B73),MONTH($B73)-1,1),Índices!$B$6:$F$500,VLOOKUP(H$54,$L$7:$M$9,2,FALSE)+1,FALSE)*G73</f>
        <v>-53.025019647654275</v>
      </c>
      <c r="I73" s="207">
        <f ca="1">Encargos!F36</f>
        <v>-1701.4288184137986</v>
      </c>
      <c r="J73" s="225">
        <f ca="1">VLOOKUP($B$48,Índices!$B$6:$F$500,VLOOKUP(J$54,$L$7:$M$9,2,FALSE)+1,FALSE)/VLOOKUP(DATE(YEAR($B73),MONTH($B73)-1,1),Índices!$B$6:$F$500,VLOOKUP(J$54,$L$7:$M$9,2,FALSE)+1,FALSE)*I73</f>
        <v>-1766.6257985986495</v>
      </c>
      <c r="K73" s="207">
        <f ca="1">Encargos!L67</f>
        <v>0</v>
      </c>
      <c r="L73" s="225">
        <f ca="1">VLOOKUP($B$48,Índices!$B$6:$F$500,VLOOKUP(L$54,$L$7:$M$9,2,FALSE)+1,FALSE)/VLOOKUP(DATE(YEAR($B73),MONTH($B73)-1,1),Índices!$B$6:$F$500,VLOOKUP(L$54,$L$7:$M$9,2,FALSE)+1,FALSE)*K73</f>
        <v>0</v>
      </c>
      <c r="M73" s="207">
        <f ca="1">Encargos!G36</f>
        <v>-254.12975785489834</v>
      </c>
      <c r="N73" s="225">
        <f ca="1">VLOOKUP($B$48,Índices!$B$6:$F$500,VLOOKUP(N$54,$L$7:$M$9,2,FALSE)+1,FALSE)/VLOOKUP(DATE(YEAR($B73),MONTH($B73)-1,1),Índices!$B$6:$F$500,VLOOKUP(N$54,$L$7:$M$9,2,FALSE)+1,FALSE)*M73</f>
        <v>-263.86774548502041</v>
      </c>
      <c r="O73" s="207">
        <f ca="1">Encargos!H36</f>
        <v>0</v>
      </c>
      <c r="P73" s="225">
        <f ca="1">VLOOKUP($B$48,Índices!$B$6:$F$500,VLOOKUP(P$54,$L$7:$M$9,2,FALSE)+1,FALSE)/VLOOKUP(DATE(YEAR($B73),MONTH($B73)-1,1),Índices!$B$6:$F$500,VLOOKUP(P$54,$L$7:$M$9,2,FALSE)+1,FALSE)*O73</f>
        <v>0</v>
      </c>
      <c r="Q73" s="207">
        <f ca="1">Encargos!I36</f>
        <v>0</v>
      </c>
      <c r="R73" s="225">
        <f ca="1">VLOOKUP($B$48,Índices!$B$6:$F$500,VLOOKUP(R$54,$L$7:$M$9,2,FALSE)+1,FALSE)/VLOOKUP(DATE(YEAR($B73),MONTH($B73)-1,1),Índices!$B$6:$F$500,VLOOKUP(R$54,$L$7:$M$9,2,FALSE)+1,FALSE)*Q73</f>
        <v>0</v>
      </c>
      <c r="S73" s="207"/>
      <c r="T73" s="225">
        <f>VLOOKUP($B$48,Índices!$B$6:$F$500,VLOOKUP(T$54,$L$7:$M$9,2,FALSE)+1,FALSE)/VLOOKUP(DATE(YEAR($B73),MONTH($B73)-1,1),Índices!$B$6:$F$500,VLOOKUP(T$54,$L$7:$M$9,2,FALSE)+1,FALSE)*S73</f>
        <v>0</v>
      </c>
      <c r="U73" s="207"/>
      <c r="V73" s="225">
        <f>VLOOKUP($B$48,Índices!$B$6:$F$500,VLOOKUP(V$54,$L$7:$M$9,2,FALSE)+1,FALSE)/VLOOKUP(DATE(YEAR($B73),MONTH($B73)-1,1),Índices!$B$6:$F$500,VLOOKUP(V$54,$L$7:$M$9,2,FALSE)+1,FALSE)*U73</f>
        <v>0</v>
      </c>
      <c r="W73" s="207"/>
      <c r="X73" s="225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08"/>
    </row>
    <row r="74" spans="2:30" ht="14.25">
      <c r="B74" s="267">
        <f t="shared" si="6"/>
        <v>44621</v>
      </c>
      <c r="C74" s="207">
        <f ca="1">Encargos!C37</f>
        <v>-2450.9336286972684</v>
      </c>
      <c r="D74" s="99">
        <f ca="1">VLOOKUP($B$79,Índices!$B$6:$F$500,VLOOKUP(D$54,$L$7:$M$9,2,FALSE)+1,FALSE)/VLOOKUP(DATE(YEAR($B74),MONTH($B74)-1,1),Índices!$B$6:$F$500,VLOOKUP(D$54,$L$7:$M$9,2,FALSE)+1,FALSE)*C74</f>
        <v>-2519.4033267219156</v>
      </c>
      <c r="E74" s="207">
        <f ca="1">Encargos!D37</f>
        <v>0</v>
      </c>
      <c r="F74" s="99">
        <f ca="1">VLOOKUP($B$79,Índices!$B$6:$F$500,VLOOKUP(F$54,$L$7:$M$9,2,FALSE)+1,FALSE)/VLOOKUP(DATE(YEAR($B74),MONTH($B74)-1,1),Índices!$B$6:$F$500,VLOOKUP(F$54,$L$7:$M$9,2,FALSE)+1,FALSE)*E74</f>
        <v>0</v>
      </c>
      <c r="G74" s="207">
        <f ca="1">Encargos!E37</f>
        <v>-148.63076736397352</v>
      </c>
      <c r="H74" s="225">
        <f ca="1">VLOOKUP($B$48,Índices!$B$6:$F$500,VLOOKUP(H$54,$L$7:$M$9,2,FALSE)+1,FALSE)/VLOOKUP(DATE(YEAR($B74),MONTH($B74)-1,1),Índices!$B$6:$F$500,VLOOKUP(H$54,$L$7:$M$9,2,FALSE)+1,FALSE)*G74</f>
        <v>-152.78294171885068</v>
      </c>
      <c r="I74" s="207">
        <f ca="1">Encargos!F37</f>
        <v>-5197.7853373073012</v>
      </c>
      <c r="J74" s="225">
        <f ca="1">VLOOKUP($B$48,Índices!$B$6:$F$500,VLOOKUP(J$54,$L$7:$M$9,2,FALSE)+1,FALSE)/VLOOKUP(DATE(YEAR($B74),MONTH($B74)-1,1),Índices!$B$6:$F$500,VLOOKUP(J$54,$L$7:$M$9,2,FALSE)+1,FALSE)*I74</f>
        <v>-5342.9915510845112</v>
      </c>
      <c r="K74" s="207">
        <f ca="1">Encargos!L68</f>
        <v>0</v>
      </c>
      <c r="L74" s="225">
        <f ca="1">VLOOKUP($B$48,Índices!$B$6:$F$500,VLOOKUP(L$54,$L$7:$M$9,2,FALSE)+1,FALSE)/VLOOKUP(DATE(YEAR($B74),MONTH($B74)-1,1),Índices!$B$6:$F$500,VLOOKUP(L$54,$L$7:$M$9,2,FALSE)+1,FALSE)*K74</f>
        <v>0</v>
      </c>
      <c r="M74" s="207">
        <f ca="1">Encargos!G37</f>
        <v>-822.43639026961318</v>
      </c>
      <c r="N74" s="225">
        <f ca="1">VLOOKUP($B$48,Índices!$B$6:$F$500,VLOOKUP(N$54,$L$7:$M$9,2,FALSE)+1,FALSE)/VLOOKUP(DATE(YEAR($B74),MONTH($B74)-1,1),Índices!$B$6:$F$500,VLOOKUP(N$54,$L$7:$M$9,2,FALSE)+1,FALSE)*M74</f>
        <v>-845.41211291950492</v>
      </c>
      <c r="O74" s="207">
        <f ca="1">Encargos!H37</f>
        <v>0</v>
      </c>
      <c r="P74" s="225">
        <f ca="1">VLOOKUP($B$48,Índices!$B$6:$F$500,VLOOKUP(P$54,$L$7:$M$9,2,FALSE)+1,FALSE)/VLOOKUP(DATE(YEAR($B74),MONTH($B74)-1,1),Índices!$B$6:$F$500,VLOOKUP(P$54,$L$7:$M$9,2,FALSE)+1,FALSE)*O74</f>
        <v>0</v>
      </c>
      <c r="Q74" s="207">
        <f ca="1">Encargos!I37</f>
        <v>0</v>
      </c>
      <c r="R74" s="225">
        <f ca="1">VLOOKUP($B$48,Índices!$B$6:$F$500,VLOOKUP(R$54,$L$7:$M$9,2,FALSE)+1,FALSE)/VLOOKUP(DATE(YEAR($B74),MONTH($B74)-1,1),Índices!$B$6:$F$500,VLOOKUP(R$54,$L$7:$M$9,2,FALSE)+1,FALSE)*Q74</f>
        <v>0</v>
      </c>
      <c r="S74" s="207"/>
      <c r="T74" s="225">
        <f>VLOOKUP($B$48,Índices!$B$6:$F$500,VLOOKUP(T$54,$L$7:$M$9,2,FALSE)+1,FALSE)/VLOOKUP(DATE(YEAR($B74),MONTH($B74)-1,1),Índices!$B$6:$F$500,VLOOKUP(T$54,$L$7:$M$9,2,FALSE)+1,FALSE)*S74</f>
        <v>0</v>
      </c>
      <c r="U74" s="207"/>
      <c r="V74" s="225">
        <f>VLOOKUP($B$48,Índices!$B$6:$F$500,VLOOKUP(V$54,$L$7:$M$9,2,FALSE)+1,FALSE)/VLOOKUP(DATE(YEAR($B74),MONTH($B74)-1,1),Índices!$B$6:$F$500,VLOOKUP(V$54,$L$7:$M$9,2,FALSE)+1,FALSE)*U74</f>
        <v>0</v>
      </c>
      <c r="W74" s="207"/>
      <c r="X74" s="225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08"/>
    </row>
    <row r="75" spans="2:30" ht="14.25">
      <c r="B75" s="267">
        <f t="shared" si="6"/>
        <v>44652</v>
      </c>
      <c r="C75" s="207">
        <f ca="1">Encargos!C38</f>
        <v>51.898875205704826</v>
      </c>
      <c r="D75" s="99">
        <f ca="1">VLOOKUP($B$79,Índices!$B$6:$F$500,VLOOKUP(D$54,$L$7:$M$9,2,FALSE)+1,FALSE)/VLOOKUP(DATE(YEAR($B75),MONTH($B75)-1,1),Índices!$B$6:$F$500,VLOOKUP(D$54,$L$7:$M$9,2,FALSE)+1,FALSE)*C75</f>
        <v>52.498233329924716</v>
      </c>
      <c r="E75" s="207">
        <f ca="1">Encargos!D38</f>
        <v>0</v>
      </c>
      <c r="F75" s="99">
        <f ca="1">VLOOKUP($B$79,Índices!$B$6:$F$500,VLOOKUP(F$54,$L$7:$M$9,2,FALSE)+1,FALSE)/VLOOKUP(DATE(YEAR($B75),MONTH($B75)-1,1),Índices!$B$6:$F$500,VLOOKUP(F$54,$L$7:$M$9,2,FALSE)+1,FALSE)*E75</f>
        <v>0</v>
      </c>
      <c r="G75" s="207">
        <f ca="1">Encargos!E38</f>
        <v>-5.9242266918349742</v>
      </c>
      <c r="H75" s="225">
        <f ca="1">VLOOKUP($B$48,Índices!$B$6:$F$500,VLOOKUP(H$54,$L$7:$M$9,2,FALSE)+1,FALSE)/VLOOKUP(DATE(YEAR($B75),MONTH($B75)-1,1),Índices!$B$6:$F$500,VLOOKUP(H$54,$L$7:$M$9,2,FALSE)+1,FALSE)*G75</f>
        <v>-5.9926430762633078</v>
      </c>
      <c r="I75" s="207">
        <f ca="1">Encargos!F38</f>
        <v>110.0638586897694</v>
      </c>
      <c r="J75" s="225">
        <f ca="1">VLOOKUP($B$48,Índices!$B$6:$F$500,VLOOKUP(J$54,$L$7:$M$9,2,FALSE)+1,FALSE)/VLOOKUP(DATE(YEAR($B75),MONTH($B75)-1,1),Índices!$B$6:$F$500,VLOOKUP(J$54,$L$7:$M$9,2,FALSE)+1,FALSE)*I75</f>
        <v>111.33493956825156</v>
      </c>
      <c r="K75" s="207">
        <f ca="1">Encargos!L69</f>
        <v>0</v>
      </c>
      <c r="L75" s="225">
        <f ca="1">VLOOKUP($B$48,Índices!$B$6:$F$500,VLOOKUP(L$54,$L$7:$M$9,2,FALSE)+1,FALSE)/VLOOKUP(DATE(YEAR($B75),MONTH($B75)-1,1),Índices!$B$6:$F$500,VLOOKUP(L$54,$L$7:$M$9,2,FALSE)+1,FALSE)*K75</f>
        <v>0</v>
      </c>
      <c r="M75" s="207">
        <f ca="1">Encargos!G38</f>
        <v>64.712006523255695</v>
      </c>
      <c r="N75" s="225">
        <f ca="1">VLOOKUP($B$48,Índices!$B$6:$F$500,VLOOKUP(N$54,$L$7:$M$9,2,FALSE)+1,FALSE)/VLOOKUP(DATE(YEAR($B75),MONTH($B75)-1,1),Índices!$B$6:$F$500,VLOOKUP(N$54,$L$7:$M$9,2,FALSE)+1,FALSE)*M75</f>
        <v>65.459338073131377</v>
      </c>
      <c r="O75" s="207">
        <f ca="1">Encargos!H38</f>
        <v>0</v>
      </c>
      <c r="P75" s="225">
        <f ca="1">VLOOKUP($B$48,Índices!$B$6:$F$500,VLOOKUP(P$54,$L$7:$M$9,2,FALSE)+1,FALSE)/VLOOKUP(DATE(YEAR($B75),MONTH($B75)-1,1),Índices!$B$6:$F$500,VLOOKUP(P$54,$L$7:$M$9,2,FALSE)+1,FALSE)*O75</f>
        <v>0</v>
      </c>
      <c r="Q75" s="207">
        <f ca="1">Encargos!I38</f>
        <v>0</v>
      </c>
      <c r="R75" s="225">
        <f ca="1">VLOOKUP($B$48,Índices!$B$6:$F$500,VLOOKUP(R$54,$L$7:$M$9,2,FALSE)+1,FALSE)/VLOOKUP(DATE(YEAR($B75),MONTH($B75)-1,1),Índices!$B$6:$F$500,VLOOKUP(R$54,$L$7:$M$9,2,FALSE)+1,FALSE)*Q75</f>
        <v>0</v>
      </c>
      <c r="S75" s="207"/>
      <c r="T75" s="225">
        <f>VLOOKUP($B$48,Índices!$B$6:$F$500,VLOOKUP(T$54,$L$7:$M$9,2,FALSE)+1,FALSE)/VLOOKUP(DATE(YEAR($B75),MONTH($B75)-1,1),Índices!$B$6:$F$500,VLOOKUP(T$54,$L$7:$M$9,2,FALSE)+1,FALSE)*S75</f>
        <v>0</v>
      </c>
      <c r="U75" s="207"/>
      <c r="V75" s="225">
        <f>VLOOKUP($B$48,Índices!$B$6:$F$500,VLOOKUP(V$54,$L$7:$M$9,2,FALSE)+1,FALSE)/VLOOKUP(DATE(YEAR($B75),MONTH($B75)-1,1),Índices!$B$6:$F$500,VLOOKUP(V$54,$L$7:$M$9,2,FALSE)+1,FALSE)*U75</f>
        <v>0</v>
      </c>
      <c r="W75" s="207"/>
      <c r="X75" s="225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08"/>
    </row>
    <row r="76" spans="2:30" ht="14.25">
      <c r="B76" s="267">
        <f t="shared" si="6"/>
        <v>44682</v>
      </c>
      <c r="C76" s="207">
        <f ca="1">Encargos!C39</f>
        <v>-60.64095454874041</v>
      </c>
      <c r="D76" s="99">
        <f ca="1">VLOOKUP($B$79,Índices!$B$6:$F$500,VLOOKUP(D$54,$L$7:$M$9,2,FALSE)+1,FALSE)/VLOOKUP(DATE(YEAR($B76),MONTH($B76)-1,1),Índices!$B$6:$F$500,VLOOKUP(D$54,$L$7:$M$9,2,FALSE)+1,FALSE)*C76</f>
        <v>-60.697862922036933</v>
      </c>
      <c r="E76" s="207">
        <f ca="1">Encargos!D39</f>
        <v>0</v>
      </c>
      <c r="F76" s="99">
        <f ca="1">VLOOKUP($B$79,Índices!$B$6:$F$500,VLOOKUP(F$54,$L$7:$M$9,2,FALSE)+1,FALSE)/VLOOKUP(DATE(YEAR($B76),MONTH($B76)-1,1),Índices!$B$6:$F$500,VLOOKUP(F$54,$L$7:$M$9,2,FALSE)+1,FALSE)*E76</f>
        <v>0</v>
      </c>
      <c r="G76" s="207">
        <f ca="1">Encargos!E39</f>
        <v>-1.8223807223716904</v>
      </c>
      <c r="H76" s="225">
        <f ca="1">VLOOKUP($B$48,Índices!$B$6:$F$500,VLOOKUP(H$54,$L$7:$M$9,2,FALSE)+1,FALSE)/VLOOKUP(DATE(YEAR($B76),MONTH($B76)-1,1),Índices!$B$6:$F$500,VLOOKUP(H$54,$L$7:$M$9,2,FALSE)+1,FALSE)*G76</f>
        <v>-1.8240909316388245</v>
      </c>
      <c r="I76" s="207">
        <f ca="1">Encargos!F39</f>
        <v>-128.60350876218581</v>
      </c>
      <c r="J76" s="225">
        <f ca="1">VLOOKUP($B$48,Índices!$B$6:$F$500,VLOOKUP(J$54,$L$7:$M$9,2,FALSE)+1,FALSE)/VLOOKUP(DATE(YEAR($B76),MONTH($B76)-1,1),Índices!$B$6:$F$500,VLOOKUP(J$54,$L$7:$M$9,2,FALSE)+1,FALSE)*I76</f>
        <v>-128.72419644822807</v>
      </c>
      <c r="K76" s="207">
        <f ca="1">Encargos!L70</f>
        <v>0</v>
      </c>
      <c r="L76" s="225">
        <f ca="1">VLOOKUP($B$48,Índices!$B$6:$F$500,VLOOKUP(L$54,$L$7:$M$9,2,FALSE)+1,FALSE)/VLOOKUP(DATE(YEAR($B76),MONTH($B76)-1,1),Índices!$B$6:$F$500,VLOOKUP(L$54,$L$7:$M$9,2,FALSE)+1,FALSE)*K76</f>
        <v>0</v>
      </c>
      <c r="M76" s="207">
        <f ca="1">Encargos!G39</f>
        <v>-43.957990926945058</v>
      </c>
      <c r="N76" s="225">
        <f ca="1">VLOOKUP($B$48,Índices!$B$6:$F$500,VLOOKUP(N$54,$L$7:$M$9,2,FALSE)+1,FALSE)/VLOOKUP(DATE(YEAR($B76),MONTH($B76)-1,1),Índices!$B$6:$F$500,VLOOKUP(N$54,$L$7:$M$9,2,FALSE)+1,FALSE)*M76</f>
        <v>-43.999243208932555</v>
      </c>
      <c r="O76" s="207">
        <f ca="1">Encargos!H39</f>
        <v>0</v>
      </c>
      <c r="P76" s="225">
        <f ca="1">VLOOKUP($B$48,Índices!$B$6:$F$500,VLOOKUP(P$54,$L$7:$M$9,2,FALSE)+1,FALSE)/VLOOKUP(DATE(YEAR($B76),MONTH($B76)-1,1),Índices!$B$6:$F$500,VLOOKUP(P$54,$L$7:$M$9,2,FALSE)+1,FALSE)*O76</f>
        <v>0</v>
      </c>
      <c r="Q76" s="207">
        <f ca="1">Encargos!I39</f>
        <v>0</v>
      </c>
      <c r="R76" s="225">
        <f ca="1">VLOOKUP($B$48,Índices!$B$6:$F$500,VLOOKUP(R$54,$L$7:$M$9,2,FALSE)+1,FALSE)/VLOOKUP(DATE(YEAR($B76),MONTH($B76)-1,1),Índices!$B$6:$F$500,VLOOKUP(R$54,$L$7:$M$9,2,FALSE)+1,FALSE)*Q76</f>
        <v>0</v>
      </c>
      <c r="S76" s="207"/>
      <c r="T76" s="225">
        <f>VLOOKUP($B$48,Índices!$B$6:$F$500,VLOOKUP(T$54,$L$7:$M$9,2,FALSE)+1,FALSE)/VLOOKUP(DATE(YEAR($B76),MONTH($B76)-1,1),Índices!$B$6:$F$500,VLOOKUP(T$54,$L$7:$M$9,2,FALSE)+1,FALSE)*S76</f>
        <v>0</v>
      </c>
      <c r="U76" s="207"/>
      <c r="V76" s="225">
        <f>VLOOKUP($B$48,Índices!$B$6:$F$500,VLOOKUP(V$54,$L$7:$M$9,2,FALSE)+1,FALSE)/VLOOKUP(DATE(YEAR($B76),MONTH($B76)-1,1),Índices!$B$6:$F$500,VLOOKUP(V$54,$L$7:$M$9,2,FALSE)+1,FALSE)*U76</f>
        <v>0</v>
      </c>
      <c r="W76" s="207"/>
      <c r="X76" s="225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08"/>
    </row>
    <row r="77" spans="2:30" ht="14.25">
      <c r="B77" s="267">
        <f t="shared" si="6"/>
        <v>44713</v>
      </c>
      <c r="C77" s="207">
        <f ca="1">Encargos!C40</f>
        <v>3644.1300404840076</v>
      </c>
      <c r="D77" s="99">
        <f ca="1">VLOOKUP($B$79,Índices!$B$6:$F$500,VLOOKUP(D$54,$L$7:$M$9,2,FALSE)+1,FALSE)/VLOOKUP(DATE(YEAR($B77),MONTH($B77)-1,1),Índices!$B$6:$F$500,VLOOKUP(D$54,$L$7:$M$9,2,FALSE)+1,FALSE)*C77</f>
        <v>3630.4863168727716</v>
      </c>
      <c r="E77" s="207">
        <f ca="1">Encargos!D40</f>
        <v>0</v>
      </c>
      <c r="F77" s="99">
        <f ca="1">VLOOKUP($B$79,Índices!$B$6:$F$500,VLOOKUP(F$54,$L$7:$M$9,2,FALSE)+1,FALSE)/VLOOKUP(DATE(YEAR($B77),MONTH($B77)-1,1),Índices!$B$6:$F$500,VLOOKUP(F$54,$L$7:$M$9,2,FALSE)+1,FALSE)*E77</f>
        <v>0</v>
      </c>
      <c r="G77" s="207">
        <f ca="1">Encargos!E40</f>
        <v>193.71473090232803</v>
      </c>
      <c r="H77" s="225">
        <f ca="1">VLOOKUP($B$48,Índices!$B$6:$F$500,VLOOKUP(H$54,$L$7:$M$9,2,FALSE)+1,FALSE)/VLOOKUP(DATE(YEAR($B77),MONTH($B77)-1,1),Índices!$B$6:$F$500,VLOOKUP(H$54,$L$7:$M$9,2,FALSE)+1,FALSE)*G77</f>
        <v>192.98945759470882</v>
      </c>
      <c r="I77" s="207">
        <f ca="1">Encargos!F40</f>
        <v>7728.2409731089574</v>
      </c>
      <c r="J77" s="225">
        <f ca="1">VLOOKUP($B$48,Índices!$B$6:$F$500,VLOOKUP(J$54,$L$7:$M$9,2,FALSE)+1,FALSE)/VLOOKUP(DATE(YEAR($B77),MONTH($B77)-1,1),Índices!$B$6:$F$500,VLOOKUP(J$54,$L$7:$M$9,2,FALSE)+1,FALSE)*I77</f>
        <v>7699.3062252633172</v>
      </c>
      <c r="K77" s="207">
        <f ca="1">Encargos!L71</f>
        <v>0</v>
      </c>
      <c r="L77" s="225">
        <f ca="1">VLOOKUP($B$48,Índices!$B$6:$F$500,VLOOKUP(L$54,$L$7:$M$9,2,FALSE)+1,FALSE)/VLOOKUP(DATE(YEAR($B77),MONTH($B77)-1,1),Índices!$B$6:$F$500,VLOOKUP(L$54,$L$7:$M$9,2,FALSE)+1,FALSE)*K77</f>
        <v>0</v>
      </c>
      <c r="M77" s="207">
        <f ca="1">Encargos!G40</f>
        <v>1233.8395482915803</v>
      </c>
      <c r="N77" s="225">
        <f ca="1">VLOOKUP($B$48,Índices!$B$6:$F$500,VLOOKUP(N$54,$L$7:$M$9,2,FALSE)+1,FALSE)/VLOOKUP(DATE(YEAR($B77),MONTH($B77)-1,1),Índices!$B$6:$F$500,VLOOKUP(N$54,$L$7:$M$9,2,FALSE)+1,FALSE)*M77</f>
        <v>1229.2200189140649</v>
      </c>
      <c r="O77" s="207">
        <f ca="1">Encargos!H40</f>
        <v>0</v>
      </c>
      <c r="P77" s="225">
        <f ca="1">VLOOKUP($B$48,Índices!$B$6:$F$500,VLOOKUP(P$54,$L$7:$M$9,2,FALSE)+1,FALSE)/VLOOKUP(DATE(YEAR($B77),MONTH($B77)-1,1),Índices!$B$6:$F$500,VLOOKUP(P$54,$L$7:$M$9,2,FALSE)+1,FALSE)*O77</f>
        <v>0</v>
      </c>
      <c r="Q77" s="207">
        <f ca="1">Encargos!I40</f>
        <v>0</v>
      </c>
      <c r="R77" s="225">
        <f ca="1">VLOOKUP($B$48,Índices!$B$6:$F$500,VLOOKUP(R$54,$L$7:$M$9,2,FALSE)+1,FALSE)/VLOOKUP(DATE(YEAR($B77),MONTH($B77)-1,1),Índices!$B$6:$F$500,VLOOKUP(R$54,$L$7:$M$9,2,FALSE)+1,FALSE)*Q77</f>
        <v>0</v>
      </c>
      <c r="S77" s="207"/>
      <c r="T77" s="225">
        <f>VLOOKUP($B$48,Índices!$B$6:$F$500,VLOOKUP(T$54,$L$7:$M$9,2,FALSE)+1,FALSE)/VLOOKUP(DATE(YEAR($B77),MONTH($B77)-1,1),Índices!$B$6:$F$500,VLOOKUP(T$54,$L$7:$M$9,2,FALSE)+1,FALSE)*S77</f>
        <v>0</v>
      </c>
      <c r="U77" s="207"/>
      <c r="V77" s="225">
        <f>VLOOKUP($B$48,Índices!$B$6:$F$500,VLOOKUP(V$54,$L$7:$M$9,2,FALSE)+1,FALSE)/VLOOKUP(DATE(YEAR($B77),MONTH($B77)-1,1),Índices!$B$6:$F$500,VLOOKUP(V$54,$L$7:$M$9,2,FALSE)+1,FALSE)*U77</f>
        <v>0</v>
      </c>
      <c r="W77" s="207"/>
      <c r="X77" s="225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08"/>
    </row>
    <row r="78" spans="2:30" ht="14.25">
      <c r="B78" s="267">
        <f t="shared" si="6"/>
        <v>44743</v>
      </c>
      <c r="C78" s="207">
        <f ca="1">Encargos!C41</f>
        <v>-718.52754710447334</v>
      </c>
      <c r="D78" s="99">
        <f ca="1">VLOOKUP($B$79,Índices!$B$6:$F$500,VLOOKUP(D$54,$L$7:$M$9,2,FALSE)+1,FALSE)/VLOOKUP(DATE(YEAR($B78),MONTH($B78)-1,1),Índices!$B$6:$F$500,VLOOKUP(D$54,$L$7:$M$9,2,FALSE)+1,FALSE)*C78</f>
        <v>-711.07276189337676</v>
      </c>
      <c r="E78" s="207">
        <f ca="1">Encargos!D41</f>
        <v>0</v>
      </c>
      <c r="F78" s="99">
        <f ca="1">VLOOKUP($B$79,Índices!$B$6:$F$500,VLOOKUP(F$54,$L$7:$M$9,2,FALSE)+1,FALSE)/VLOOKUP(DATE(YEAR($B78),MONTH($B78)-1,1),Índices!$B$6:$F$500,VLOOKUP(F$54,$L$7:$M$9,2,FALSE)+1,FALSE)*E78</f>
        <v>0</v>
      </c>
      <c r="G78" s="207">
        <f ca="1">Encargos!E41</f>
        <v>-46.155696405450271</v>
      </c>
      <c r="H78" s="225">
        <f ca="1">VLOOKUP($B$48,Índices!$B$6:$F$500,VLOOKUP(H$54,$L$7:$M$9,2,FALSE)+1,FALSE)/VLOOKUP(DATE(YEAR($B78),MONTH($B78)-1,1),Índices!$B$6:$F$500,VLOOKUP(H$54,$L$7:$M$9,2,FALSE)+1,FALSE)*G78</f>
        <v>-45.676827078369087</v>
      </c>
      <c r="I78" s="207">
        <f ca="1">Encargos!F41</f>
        <v>-1523.8078685860091</v>
      </c>
      <c r="J78" s="225">
        <f ca="1">VLOOKUP($B$48,Índices!$B$6:$F$500,VLOOKUP(J$54,$L$7:$M$9,2,FALSE)+1,FALSE)/VLOOKUP(DATE(YEAR($B78),MONTH($B78)-1,1),Índices!$B$6:$F$500,VLOOKUP(J$54,$L$7:$M$9,2,FALSE)+1,FALSE)*I78</f>
        <v>-1507.9982306548472</v>
      </c>
      <c r="K78" s="207">
        <f ca="1">Encargos!L72</f>
        <v>0</v>
      </c>
      <c r="L78" s="225">
        <f ca="1">VLOOKUP($B$48,Índices!$B$6:$F$500,VLOOKUP(L$54,$L$7:$M$9,2,FALSE)+1,FALSE)/VLOOKUP(DATE(YEAR($B78),MONTH($B78)-1,1),Índices!$B$6:$F$500,VLOOKUP(L$54,$L$7:$M$9,2,FALSE)+1,FALSE)*K78</f>
        <v>0</v>
      </c>
      <c r="M78" s="207">
        <f ca="1">Encargos!G41</f>
        <v>-363.59831527735878</v>
      </c>
      <c r="N78" s="225">
        <f ca="1">VLOOKUP($B$48,Índices!$B$6:$F$500,VLOOKUP(N$54,$L$7:$M$9,2,FALSE)+1,FALSE)/VLOOKUP(DATE(YEAR($B78),MONTH($B78)-1,1),Índices!$B$6:$F$500,VLOOKUP(N$54,$L$7:$M$9,2,FALSE)+1,FALSE)*M78</f>
        <v>-359.82595142793883</v>
      </c>
      <c r="O78" s="207">
        <f ca="1">Encargos!H41</f>
        <v>0</v>
      </c>
      <c r="P78" s="225">
        <f ca="1">VLOOKUP($B$48,Índices!$B$6:$F$500,VLOOKUP(P$54,$L$7:$M$9,2,FALSE)+1,FALSE)/VLOOKUP(DATE(YEAR($B78),MONTH($B78)-1,1),Índices!$B$6:$F$500,VLOOKUP(P$54,$L$7:$M$9,2,FALSE)+1,FALSE)*O78</f>
        <v>0</v>
      </c>
      <c r="Q78" s="207">
        <f ca="1">Encargos!I41</f>
        <v>0</v>
      </c>
      <c r="R78" s="225">
        <f ca="1">VLOOKUP($B$48,Índices!$B$6:$F$500,VLOOKUP(R$54,$L$7:$M$9,2,FALSE)+1,FALSE)/VLOOKUP(DATE(YEAR($B78),MONTH($B78)-1,1),Índices!$B$6:$F$500,VLOOKUP(R$54,$L$7:$M$9,2,FALSE)+1,FALSE)*Q78</f>
        <v>0</v>
      </c>
      <c r="S78" s="207"/>
      <c r="T78" s="225">
        <f>VLOOKUP($B$48,Índices!$B$6:$F$500,VLOOKUP(T$54,$L$7:$M$9,2,FALSE)+1,FALSE)/VLOOKUP(DATE(YEAR($B78),MONTH($B78)-1,1),Índices!$B$6:$F$500,VLOOKUP(T$54,$L$7:$M$9,2,FALSE)+1,FALSE)*S78</f>
        <v>0</v>
      </c>
      <c r="U78" s="207"/>
      <c r="V78" s="225">
        <f>VLOOKUP($B$48,Índices!$B$6:$F$500,VLOOKUP(V$54,$L$7:$M$9,2,FALSE)+1,FALSE)/VLOOKUP(DATE(YEAR($B78),MONTH($B78)-1,1),Índices!$B$6:$F$500,VLOOKUP(V$54,$L$7:$M$9,2,FALSE)+1,FALSE)*U78</f>
        <v>0</v>
      </c>
      <c r="W78" s="207"/>
      <c r="X78" s="225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08"/>
    </row>
    <row r="79" spans="2:30" ht="14.25">
      <c r="B79" s="267">
        <f t="shared" si="6"/>
        <v>44774</v>
      </c>
      <c r="C79" s="207">
        <f ca="1">Encargos!C42</f>
        <v>-719.67260656074359</v>
      </c>
      <c r="D79" s="99">
        <f ca="1">VLOOKUP($B$79,Índices!$B$6:$F$500,VLOOKUP(D$54,$L$7:$M$9,2,FALSE)+1,FALSE)/VLOOKUP(DATE(YEAR($B79),MONTH($B79)-1,1),Índices!$B$6:$F$500,VLOOKUP(D$54,$L$7:$M$9,2,FALSE)+1,FALSE)*C79</f>
        <v>-717.08212413972933</v>
      </c>
      <c r="E79" s="207">
        <f ca="1">Encargos!D42</f>
        <v>0</v>
      </c>
      <c r="F79" s="99">
        <f ca="1">VLOOKUP($B$79,Índices!$B$6:$F$500,VLOOKUP(F$54,$L$7:$M$9,2,FALSE)+1,FALSE)/VLOOKUP(DATE(YEAR($B79),MONTH($B79)-1,1),Índices!$B$6:$F$500,VLOOKUP(F$54,$L$7:$M$9,2,FALSE)+1,FALSE)*E79</f>
        <v>0</v>
      </c>
      <c r="G79" s="207">
        <f ca="1">Encargos!E42</f>
        <v>-40.618574110847476</v>
      </c>
      <c r="H79" s="225">
        <f ca="1">VLOOKUP($B$48,Índices!$B$6:$F$500,VLOOKUP(H$54,$L$7:$M$9,2,FALSE)+1,FALSE)/VLOOKUP(DATE(YEAR($B79),MONTH($B79)-1,1),Índices!$B$6:$F$500,VLOOKUP(H$54,$L$7:$M$9,2,FALSE)+1,FALSE)*G79</f>
        <v>-40.472366375216602</v>
      </c>
      <c r="I79" s="207">
        <f ca="1">Encargos!F42</f>
        <v>-1526.2362384049484</v>
      </c>
      <c r="J79" s="225">
        <f ca="1">VLOOKUP($B$48,Índices!$B$6:$F$500,VLOOKUP(J$54,$L$7:$M$9,2,FALSE)+1,FALSE)/VLOOKUP(DATE(YEAR($B79),MONTH($B79)-1,1),Índices!$B$6:$F$500,VLOOKUP(J$54,$L$7:$M$9,2,FALSE)+1,FALSE)*I79</f>
        <v>-1520.7425067971869</v>
      </c>
      <c r="K79" s="207">
        <f ca="1">Encargos!L73</f>
        <v>0</v>
      </c>
      <c r="L79" s="225">
        <f ca="1">VLOOKUP($B$48,Índices!$B$6:$F$500,VLOOKUP(L$54,$L$7:$M$9,2,FALSE)+1,FALSE)/VLOOKUP(DATE(YEAR($B79),MONTH($B79)-1,1),Índices!$B$6:$F$500,VLOOKUP(L$54,$L$7:$M$9,2,FALSE)+1,FALSE)*K79</f>
        <v>0</v>
      </c>
      <c r="M79" s="207">
        <f ca="1">Encargos!G42</f>
        <v>-342.53852990759697</v>
      </c>
      <c r="N79" s="225">
        <f ca="1">VLOOKUP($B$48,Índices!$B$6:$F$500,VLOOKUP(N$54,$L$7:$M$9,2,FALSE)+1,FALSE)/VLOOKUP(DATE(YEAR($B79),MONTH($B79)-1,1),Índices!$B$6:$F$500,VLOOKUP(N$54,$L$7:$M$9,2,FALSE)+1,FALSE)*M79</f>
        <v>-341.30555253405737</v>
      </c>
      <c r="O79" s="207">
        <f ca="1">Encargos!H42</f>
        <v>0</v>
      </c>
      <c r="P79" s="225">
        <f ca="1">VLOOKUP($B$48,Índices!$B$6:$F$500,VLOOKUP(P$54,$L$7:$M$9,2,FALSE)+1,FALSE)/VLOOKUP(DATE(YEAR($B79),MONTH($B79)-1,1),Índices!$B$6:$F$500,VLOOKUP(P$54,$L$7:$M$9,2,FALSE)+1,FALSE)*O79</f>
        <v>0</v>
      </c>
      <c r="Q79" s="207">
        <f ca="1">Encargos!I42</f>
        <v>0</v>
      </c>
      <c r="R79" s="225">
        <f ca="1">VLOOKUP($B$48,Índices!$B$6:$F$500,VLOOKUP(R$54,$L$7:$M$9,2,FALSE)+1,FALSE)/VLOOKUP(DATE(YEAR($B79),MONTH($B79)-1,1),Índices!$B$6:$F$500,VLOOKUP(R$54,$L$7:$M$9,2,FALSE)+1,FALSE)*Q79</f>
        <v>0</v>
      </c>
      <c r="S79" s="207"/>
      <c r="T79" s="225">
        <f>VLOOKUP($B$48,Índices!$B$6:$F$500,VLOOKUP(T$54,$L$7:$M$9,2,FALSE)+1,FALSE)/VLOOKUP(DATE(YEAR($B79),MONTH($B79)-1,1),Índices!$B$6:$F$500,VLOOKUP(T$54,$L$7:$M$9,2,FALSE)+1,FALSE)*S79</f>
        <v>0</v>
      </c>
      <c r="U79" s="207"/>
      <c r="V79" s="225">
        <f>VLOOKUP($B$48,Índices!$B$6:$F$500,VLOOKUP(V$54,$L$7:$M$9,2,FALSE)+1,FALSE)/VLOOKUP(DATE(YEAR($B79),MONTH($B79)-1,1),Índices!$B$6:$F$500,VLOOKUP(V$54,$L$7:$M$9,2,FALSE)+1,FALSE)*U79</f>
        <v>0</v>
      </c>
      <c r="W79" s="207"/>
      <c r="X79" s="225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08"/>
    </row>
    <row r="80" spans="2:30" ht="14.25">
      <c r="C80" s="1381">
        <f ca="1">SUM(C56:C79)</f>
        <v>-3399.0617873713782</v>
      </c>
      <c r="D80" s="1382">
        <f ca="1">SUM(D56:D79)</f>
        <v>-3474.370163392417</v>
      </c>
      <c r="E80" s="1381">
        <f ca="1">SUM(E56:E79)</f>
        <v>0</v>
      </c>
      <c r="F80" s="1382">
        <f ca="1">SUM(F56:F79)</f>
        <v>0</v>
      </c>
      <c r="G80" s="1381">
        <f ca="1">SUM(G55:G79)</f>
        <v>-226.24995905307151</v>
      </c>
      <c r="H80" s="1381">
        <f t="shared" ref="H80:N80" ca="1" si="7">SUM(H55:H79)</f>
        <v>-230.23633007930752</v>
      </c>
      <c r="I80" s="1381">
        <f t="shared" ca="1" si="7"/>
        <v>-7208.515690566026</v>
      </c>
      <c r="J80" s="1381">
        <f t="shared" ca="1" si="7"/>
        <v>-7368.2249409820133</v>
      </c>
      <c r="K80" s="1381">
        <f t="shared" ca="1" si="7"/>
        <v>0</v>
      </c>
      <c r="L80" s="1381">
        <f t="shared" ca="1" si="7"/>
        <v>0</v>
      </c>
      <c r="M80" s="1381">
        <f t="shared" ca="1" si="7"/>
        <v>-1380.1293783966139</v>
      </c>
      <c r="N80" s="1381">
        <f t="shared" ca="1" si="7"/>
        <v>-1404.9905913531622</v>
      </c>
      <c r="O80" s="1381">
        <f t="shared" ref="O80:R80" ca="1" si="8">SUM(O55:O79)</f>
        <v>0</v>
      </c>
      <c r="P80" s="1381">
        <f t="shared" ca="1" si="8"/>
        <v>0</v>
      </c>
      <c r="Q80" s="1381">
        <f t="shared" ca="1" si="8"/>
        <v>0</v>
      </c>
      <c r="R80" s="1381">
        <f t="shared" ca="1" si="8"/>
        <v>0</v>
      </c>
      <c r="S80" s="1381">
        <f t="shared" ref="S80:X80" si="9">SUM(S55:S79)</f>
        <v>0</v>
      </c>
      <c r="T80" s="1381">
        <f t="shared" si="9"/>
        <v>0</v>
      </c>
      <c r="U80" s="1381">
        <f t="shared" si="9"/>
        <v>0</v>
      </c>
      <c r="V80" s="1384">
        <f t="shared" si="9"/>
        <v>0</v>
      </c>
      <c r="W80" s="1381">
        <f t="shared" si="9"/>
        <v>0</v>
      </c>
      <c r="X80" s="1384">
        <f t="shared" si="9"/>
        <v>0</v>
      </c>
      <c r="Y80" s="77"/>
      <c r="Z80" s="77"/>
      <c r="AA80" s="77"/>
      <c r="AB80" s="77"/>
      <c r="AD80" s="208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  <mergeCell ref="W53:X53"/>
    <mergeCell ref="O53:P53"/>
    <mergeCell ref="Q53:R53"/>
    <mergeCell ref="C53:D53"/>
    <mergeCell ref="E53:F53"/>
    <mergeCell ref="G53:H53"/>
    <mergeCell ref="I53:J53"/>
    <mergeCell ref="K53:L53"/>
    <mergeCell ref="S22:T22"/>
    <mergeCell ref="U22:V22"/>
    <mergeCell ref="G22:H22"/>
    <mergeCell ref="I22:J22"/>
    <mergeCell ref="M53:N53"/>
    <mergeCell ref="S53:T53"/>
    <mergeCell ref="U53:V53"/>
    <mergeCell ref="Q22:R22"/>
  </mergeCells>
  <phoneticPr fontId="112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2" customWidth="1"/>
    <col min="6" max="6" width="15.7109375" style="232" customWidth="1"/>
    <col min="7" max="7" width="13.140625" style="232" bestFit="1" customWidth="1"/>
    <col min="8" max="8" width="15.140625" style="232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1376</v>
      </c>
      <c r="C1" s="9" t="s">
        <v>1377</v>
      </c>
      <c r="D1" s="9" t="s">
        <v>1378</v>
      </c>
      <c r="E1" s="233" t="s">
        <v>1379</v>
      </c>
      <c r="F1" s="233" t="s">
        <v>1380</v>
      </c>
      <c r="G1" s="233" t="s">
        <v>1381</v>
      </c>
      <c r="H1" s="233" t="s">
        <v>1382</v>
      </c>
      <c r="I1" s="9" t="s">
        <v>192</v>
      </c>
      <c r="J1" s="9" t="s">
        <v>1383</v>
      </c>
      <c r="K1" s="9" t="s">
        <v>1384</v>
      </c>
      <c r="L1" s="9" t="s">
        <v>1385</v>
      </c>
      <c r="M1" s="9" t="s">
        <v>1386</v>
      </c>
      <c r="N1" s="9" t="s">
        <v>961</v>
      </c>
      <c r="O1" s="9" t="s">
        <v>875</v>
      </c>
      <c r="P1" s="9" t="s">
        <v>1387</v>
      </c>
      <c r="Q1" s="8" t="s">
        <v>869</v>
      </c>
      <c r="R1" s="17" t="s">
        <v>1388</v>
      </c>
    </row>
    <row r="2" spans="2:18" hidden="1">
      <c r="E2" s="234"/>
      <c r="F2" s="234"/>
    </row>
    <row r="3" spans="2:18" hidden="1"/>
    <row r="4" spans="2:18" hidden="1"/>
    <row r="5" spans="2:18" hidden="1"/>
    <row r="6" spans="2:18" hidden="1"/>
    <row r="7" spans="2:18" hidden="1">
      <c r="E7" s="234"/>
      <c r="F7" s="234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4"/>
      <c r="F14" s="234"/>
    </row>
    <row r="15" spans="2:18" hidden="1">
      <c r="E15" s="234"/>
      <c r="F15" s="234"/>
    </row>
    <row r="16" spans="2:18" hidden="1">
      <c r="E16" s="234"/>
      <c r="F16" s="234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4"/>
      <c r="F23" s="234"/>
    </row>
    <row r="24" spans="5:6" hidden="1">
      <c r="E24" s="234"/>
      <c r="F24" s="234"/>
    </row>
    <row r="25" spans="5:6" hidden="1">
      <c r="E25" s="234"/>
      <c r="F25" s="234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4"/>
      <c r="F38" s="234"/>
    </row>
    <row r="39" spans="5:6" hidden="1">
      <c r="E39" s="234"/>
      <c r="F39" s="234"/>
    </row>
    <row r="40" spans="5:6" hidden="1">
      <c r="E40" s="234"/>
      <c r="F40" s="234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5"/>
      <c r="C50002" s="235"/>
      <c r="D50002" s="235"/>
      <c r="E50002" s="236"/>
      <c r="F50002" s="236"/>
      <c r="G50002" s="236"/>
      <c r="H50002" s="236"/>
      <c r="I50002" s="235"/>
      <c r="J50002" s="235"/>
      <c r="K50002" s="235"/>
      <c r="L50002" s="235"/>
      <c r="M50002" s="235"/>
      <c r="N50002" s="235"/>
      <c r="O50002" s="235"/>
      <c r="P50002" s="235"/>
      <c r="Q50002" s="237"/>
      <c r="R50002" s="237"/>
    </row>
    <row r="50003" spans="2:18">
      <c r="B50003" s="238"/>
      <c r="C50003" s="238"/>
      <c r="D50003" s="238"/>
      <c r="E50003" s="239"/>
      <c r="F50003" s="239"/>
      <c r="G50003" s="239"/>
      <c r="H50003" s="239"/>
      <c r="I50003" s="238"/>
      <c r="J50003" s="238"/>
      <c r="K50003" s="238"/>
      <c r="L50003" s="238"/>
      <c r="M50003" s="238"/>
      <c r="N50003" s="238"/>
      <c r="O50003" s="238"/>
      <c r="P50003" s="238"/>
      <c r="Q50003" s="240"/>
      <c r="R50003" s="240"/>
    </row>
    <row r="50004" spans="2:18">
      <c r="B50004" s="235"/>
      <c r="C50004" s="235"/>
      <c r="D50004" s="235"/>
      <c r="E50004" s="236"/>
      <c r="F50004" s="236"/>
      <c r="G50004" s="236"/>
      <c r="H50004" s="236"/>
      <c r="I50004" s="235"/>
      <c r="J50004" s="235"/>
      <c r="K50004" s="235"/>
      <c r="L50004" s="235"/>
      <c r="M50004" s="235"/>
      <c r="N50004" s="235"/>
      <c r="O50004" s="235"/>
      <c r="P50004" s="235"/>
      <c r="Q50004" s="237"/>
      <c r="R50004" s="237"/>
    </row>
    <row r="50009" spans="2:18">
      <c r="G50009" s="232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1377</v>
      </c>
      <c r="B1" t="s">
        <v>960</v>
      </c>
      <c r="C1" t="s">
        <v>1389</v>
      </c>
      <c r="D1" t="s">
        <v>879</v>
      </c>
      <c r="E1" t="s">
        <v>1390</v>
      </c>
      <c r="F1" t="s">
        <v>58</v>
      </c>
      <c r="G1" t="s">
        <v>524</v>
      </c>
      <c r="H1" t="s">
        <v>961</v>
      </c>
      <c r="I1" t="s">
        <v>108</v>
      </c>
      <c r="J1" t="s">
        <v>1381</v>
      </c>
      <c r="K1" t="s">
        <v>1391</v>
      </c>
      <c r="L1" t="s">
        <v>1392</v>
      </c>
      <c r="M1" t="s">
        <v>1393</v>
      </c>
      <c r="N1" t="s">
        <v>971</v>
      </c>
      <c r="O1" t="s">
        <v>1394</v>
      </c>
      <c r="P1" t="s">
        <v>1395</v>
      </c>
      <c r="Q1" t="s">
        <v>1396</v>
      </c>
      <c r="R1" t="s">
        <v>1397</v>
      </c>
      <c r="S1" t="s">
        <v>192</v>
      </c>
      <c r="T1" t="s">
        <v>1398</v>
      </c>
      <c r="U1" t="s">
        <v>1399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="115" workbookViewId="0">
      <pane xSplit="1" ySplit="6" topLeftCell="B351" activePane="bottomRight" state="frozen"/>
      <selection pane="topRight" activeCell="B1" sqref="B1"/>
      <selection pane="bottomLeft" activeCell="A7" sqref="A7"/>
      <selection pane="bottomRight" activeCell="E358" sqref="E358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385" t="s">
        <v>1400</v>
      </c>
      <c r="D2" s="3" t="s">
        <v>1401</v>
      </c>
    </row>
    <row r="3" spans="2:15">
      <c r="B3" s="5"/>
    </row>
    <row r="6" spans="2:15">
      <c r="B6" s="1386" t="s">
        <v>1402</v>
      </c>
      <c r="C6" s="1386" t="s">
        <v>1403</v>
      </c>
      <c r="D6" s="1386" t="s">
        <v>772</v>
      </c>
      <c r="E6" s="6" t="s">
        <v>1404</v>
      </c>
      <c r="F6" s="6" t="s">
        <v>1405</v>
      </c>
      <c r="G6" s="1387" t="s">
        <v>1406</v>
      </c>
      <c r="K6" s="1465" t="s">
        <v>2126</v>
      </c>
      <c r="L6" s="1466" t="s">
        <v>37</v>
      </c>
      <c r="M6" s="1467" t="s">
        <v>2127</v>
      </c>
      <c r="N6" s="1466" t="s">
        <v>1322</v>
      </c>
      <c r="O6" s="1468" t="s">
        <v>2128</v>
      </c>
    </row>
    <row r="7" spans="2:15">
      <c r="B7" s="1388">
        <v>32629</v>
      </c>
      <c r="C7" s="1389">
        <v>2.5789999999999999E-5</v>
      </c>
      <c r="D7" s="1389">
        <v>3.4132578959999998E-4</v>
      </c>
      <c r="E7" s="1389">
        <v>0</v>
      </c>
      <c r="F7" s="1389">
        <v>1</v>
      </c>
      <c r="K7" s="1469">
        <v>42064</v>
      </c>
      <c r="L7" s="1470"/>
      <c r="M7" s="1471">
        <v>0</v>
      </c>
      <c r="N7" s="1472">
        <v>1</v>
      </c>
      <c r="O7" s="1472">
        <v>1</v>
      </c>
    </row>
    <row r="8" spans="2:15">
      <c r="B8" s="1388">
        <v>32660</v>
      </c>
      <c r="C8" s="1389">
        <v>3.0859999999999999E-5</v>
      </c>
      <c r="D8" s="1389">
        <v>4.3911559890000003E-4</v>
      </c>
      <c r="E8" s="1389">
        <v>0</v>
      </c>
      <c r="F8" s="1389">
        <v>1</v>
      </c>
      <c r="G8" s="10"/>
      <c r="K8" s="1469">
        <v>42065</v>
      </c>
      <c r="L8" s="1470" t="s">
        <v>2129</v>
      </c>
      <c r="M8" s="1471">
        <v>4.5512999999999998E-2</v>
      </c>
      <c r="N8" s="1472">
        <v>1.00045513</v>
      </c>
      <c r="O8" s="1472">
        <v>1.00045513</v>
      </c>
    </row>
    <row r="9" spans="2:15">
      <c r="B9" s="1388">
        <v>32690</v>
      </c>
      <c r="C9" s="1389">
        <v>4.1940000000000002E-5</v>
      </c>
      <c r="D9" s="1389">
        <v>5.6092617030000002E-4</v>
      </c>
      <c r="E9" s="1389">
        <v>0</v>
      </c>
      <c r="F9" s="1389">
        <v>1</v>
      </c>
      <c r="K9" s="1469">
        <v>42066</v>
      </c>
      <c r="L9" s="1470" t="s">
        <v>2129</v>
      </c>
      <c r="M9" s="1471">
        <v>4.5512999999999998E-2</v>
      </c>
      <c r="N9" s="1472">
        <v>1.0009104671433169</v>
      </c>
      <c r="O9" s="1472">
        <v>1.0009104671433169</v>
      </c>
    </row>
    <row r="10" spans="2:15">
      <c r="B10" s="1388">
        <v>32721</v>
      </c>
      <c r="C10" s="1389">
        <v>5.7429999999999997E-5</v>
      </c>
      <c r="D10" s="1389">
        <v>7.5001448160000002E-4</v>
      </c>
      <c r="E10" s="1389">
        <v>0</v>
      </c>
      <c r="F10" s="1389">
        <v>1</v>
      </c>
      <c r="K10" s="1469">
        <v>42067</v>
      </c>
      <c r="L10" s="1470" t="s">
        <v>2129</v>
      </c>
      <c r="M10" s="1471">
        <v>4.5512999999999998E-2</v>
      </c>
      <c r="N10" s="1472">
        <v>1.0013660115242278</v>
      </c>
      <c r="O10" s="1472">
        <v>1.0013660115242278</v>
      </c>
    </row>
    <row r="11" spans="2:15">
      <c r="B11" s="1388">
        <v>32752</v>
      </c>
      <c r="C11" s="1389">
        <v>8.0350000000000001E-5</v>
      </c>
      <c r="D11" s="1389">
        <v>1.031719911E-3</v>
      </c>
      <c r="E11" s="1389">
        <v>0</v>
      </c>
      <c r="F11" s="1389">
        <v>1</v>
      </c>
      <c r="K11" s="1469">
        <v>42068</v>
      </c>
      <c r="L11" s="1470" t="s">
        <v>2129</v>
      </c>
      <c r="M11" s="1471">
        <v>4.7279000000000002E-2</v>
      </c>
      <c r="N11" s="1472">
        <v>1.0018394473608161</v>
      </c>
      <c r="O11" s="1472">
        <v>1.0018394473608161</v>
      </c>
    </row>
    <row r="12" spans="2:15">
      <c r="B12" s="1388">
        <v>32782</v>
      </c>
      <c r="C12" s="1389">
        <v>1.13E-4</v>
      </c>
      <c r="D12" s="1389">
        <v>1.4420348808E-3</v>
      </c>
      <c r="E12" s="1389">
        <v>0</v>
      </c>
      <c r="F12" s="1389">
        <v>1</v>
      </c>
      <c r="K12" s="1469">
        <v>42069</v>
      </c>
      <c r="L12" s="1470" t="s">
        <v>2129</v>
      </c>
      <c r="M12" s="1471">
        <v>4.7279000000000002E-2</v>
      </c>
      <c r="N12" s="1472">
        <v>1.0023131070331337</v>
      </c>
      <c r="O12" s="1472">
        <v>1.0023131070331337</v>
      </c>
    </row>
    <row r="13" spans="2:15">
      <c r="B13" s="1388">
        <v>32813</v>
      </c>
      <c r="C13" s="1389">
        <v>1.5873999999999999E-4</v>
      </c>
      <c r="D13" s="1389">
        <v>2.1316159802999999E-3</v>
      </c>
      <c r="E13" s="1389">
        <v>0</v>
      </c>
      <c r="F13" s="1389">
        <v>1</v>
      </c>
      <c r="K13" s="1469">
        <v>42070</v>
      </c>
      <c r="L13" s="1470"/>
      <c r="M13" s="1471">
        <v>0</v>
      </c>
      <c r="N13" s="1472">
        <v>1.0023131070331337</v>
      </c>
      <c r="O13" s="1472">
        <v>1.0023131070331337</v>
      </c>
    </row>
    <row r="14" spans="2:15">
      <c r="B14" s="1388">
        <v>32843</v>
      </c>
      <c r="C14" s="1389">
        <v>2.3356000000000001E-4</v>
      </c>
      <c r="D14" s="1389">
        <v>3.2293981927000001E-3</v>
      </c>
      <c r="E14" s="1389">
        <v>0</v>
      </c>
      <c r="F14" s="1389">
        <v>1</v>
      </c>
      <c r="K14" s="1469">
        <v>42071</v>
      </c>
      <c r="L14" s="1470"/>
      <c r="M14" s="1471">
        <v>0</v>
      </c>
      <c r="N14" s="1472">
        <v>1.0023131070331337</v>
      </c>
      <c r="O14" s="1472">
        <v>1.0023131070331337</v>
      </c>
    </row>
    <row r="15" spans="2:15">
      <c r="B15" s="1388">
        <v>32874</v>
      </c>
      <c r="C15" s="1389">
        <v>3.7711E-4</v>
      </c>
      <c r="D15" s="1389">
        <v>5.4108567453999999E-3</v>
      </c>
      <c r="E15" s="1389">
        <v>0</v>
      </c>
      <c r="F15" s="1389">
        <v>1</v>
      </c>
      <c r="K15" s="1469">
        <v>42072</v>
      </c>
      <c r="L15" s="1470" t="s">
        <v>2129</v>
      </c>
      <c r="M15" s="1471">
        <v>4.7279000000000002E-2</v>
      </c>
      <c r="N15" s="1472">
        <v>1.0027869906470077</v>
      </c>
      <c r="O15" s="1472">
        <v>1.0027869906470077</v>
      </c>
    </row>
    <row r="16" spans="2:15">
      <c r="B16" s="1388">
        <v>32905</v>
      </c>
      <c r="C16" s="1389">
        <v>6.8364999999999995E-4</v>
      </c>
      <c r="D16" s="1389">
        <v>9.5084984832999996E-3</v>
      </c>
      <c r="E16" s="1389">
        <v>0</v>
      </c>
      <c r="F16" s="1389">
        <v>1</v>
      </c>
      <c r="K16" s="1469">
        <v>42073</v>
      </c>
      <c r="L16" s="1470" t="s">
        <v>2129</v>
      </c>
      <c r="M16" s="1471">
        <v>4.7279000000000002E-2</v>
      </c>
      <c r="N16" s="1472">
        <v>1.0032610983083157</v>
      </c>
      <c r="O16" s="1472">
        <v>1.0032610983083157</v>
      </c>
    </row>
    <row r="17" spans="2:15">
      <c r="B17" s="1388">
        <v>32933</v>
      </c>
      <c r="C17" s="1389">
        <v>1.2575500000000001E-3</v>
      </c>
      <c r="D17" s="1389">
        <v>1.7342550351000002E-2</v>
      </c>
      <c r="E17" s="1389">
        <v>0</v>
      </c>
      <c r="F17" s="1389">
        <v>1</v>
      </c>
      <c r="K17" s="1469">
        <v>42074</v>
      </c>
      <c r="L17" s="1470" t="s">
        <v>2129</v>
      </c>
      <c r="M17" s="1471">
        <v>4.7279000000000002E-2</v>
      </c>
      <c r="N17" s="1472">
        <v>1.0037354301229848</v>
      </c>
      <c r="O17" s="1472">
        <v>1.0037354301229848</v>
      </c>
    </row>
    <row r="18" spans="2:15">
      <c r="B18" s="1388">
        <v>32964</v>
      </c>
      <c r="C18" s="1389">
        <v>1.61407E-3</v>
      </c>
      <c r="D18" s="1389">
        <v>2.00341140678E-2</v>
      </c>
      <c r="E18" s="1389">
        <v>0</v>
      </c>
      <c r="F18" s="1389">
        <v>1</v>
      </c>
      <c r="K18" s="1469">
        <v>42075</v>
      </c>
      <c r="L18" s="1470" t="s">
        <v>2129</v>
      </c>
      <c r="M18" s="1471">
        <v>4.7279000000000002E-2</v>
      </c>
      <c r="N18" s="1472">
        <v>1.0042099861969926</v>
      </c>
      <c r="O18" s="1472">
        <v>1.0042099861969926</v>
      </c>
    </row>
    <row r="19" spans="2:15">
      <c r="B19" s="1388">
        <v>32994</v>
      </c>
      <c r="C19" s="1389">
        <v>1.70973E-3</v>
      </c>
      <c r="D19" s="1389">
        <v>2.1554703244099999E-2</v>
      </c>
      <c r="E19" s="1389">
        <v>0</v>
      </c>
      <c r="F19" s="1389">
        <v>1</v>
      </c>
      <c r="K19" s="1469">
        <v>42076</v>
      </c>
      <c r="L19" s="1470" t="s">
        <v>2129</v>
      </c>
      <c r="M19" s="1471">
        <v>4.7279000000000002E-2</v>
      </c>
      <c r="N19" s="1472">
        <v>1.0046847666363665</v>
      </c>
      <c r="O19" s="1472">
        <v>1.0046847666363665</v>
      </c>
    </row>
    <row r="20" spans="2:15">
      <c r="B20" s="1388">
        <v>33025</v>
      </c>
      <c r="C20" s="1389">
        <v>1.87962E-3</v>
      </c>
      <c r="D20" s="1389">
        <v>2.4087380951899998E-2</v>
      </c>
      <c r="E20" s="1389">
        <v>0</v>
      </c>
      <c r="F20" s="1389">
        <v>1</v>
      </c>
      <c r="K20" s="1469">
        <v>42077</v>
      </c>
      <c r="L20" s="1470"/>
      <c r="M20" s="1471">
        <v>0</v>
      </c>
      <c r="N20" s="1472">
        <v>1.0046847666363665</v>
      </c>
      <c r="O20" s="1472">
        <v>1.0046847666363665</v>
      </c>
    </row>
    <row r="21" spans="2:15">
      <c r="B21" s="1388">
        <v>33055</v>
      </c>
      <c r="C21" s="1389">
        <v>2.10539E-3</v>
      </c>
      <c r="D21" s="1389">
        <v>2.7199470492E-2</v>
      </c>
      <c r="E21" s="1389">
        <v>0</v>
      </c>
      <c r="F21" s="1389">
        <v>1</v>
      </c>
      <c r="K21" s="1469">
        <v>42078</v>
      </c>
      <c r="L21" s="1470"/>
      <c r="M21" s="1471">
        <v>0</v>
      </c>
      <c r="N21" s="1472">
        <v>1.0046847666363665</v>
      </c>
      <c r="O21" s="1472">
        <v>1.0046847666363665</v>
      </c>
    </row>
    <row r="22" spans="2:15">
      <c r="B22" s="1388">
        <v>33086</v>
      </c>
      <c r="C22" s="1389">
        <v>2.39215E-3</v>
      </c>
      <c r="D22" s="1389">
        <v>3.0702762318699998E-2</v>
      </c>
      <c r="E22" s="1389">
        <v>0</v>
      </c>
      <c r="F22" s="1389">
        <v>1</v>
      </c>
      <c r="K22" s="1469">
        <v>42079</v>
      </c>
      <c r="L22" s="1470" t="s">
        <v>2129</v>
      </c>
      <c r="M22" s="1471">
        <v>4.7279000000000002E-2</v>
      </c>
      <c r="N22" s="1472">
        <v>1.0051597715471845</v>
      </c>
      <c r="O22" s="1472">
        <v>1.0051597715471845</v>
      </c>
    </row>
    <row r="23" spans="2:15">
      <c r="B23" s="1388">
        <v>33117</v>
      </c>
      <c r="C23" s="1389">
        <v>2.6984000000000001E-3</v>
      </c>
      <c r="D23" s="1389">
        <v>3.51270304097E-2</v>
      </c>
      <c r="E23" s="1389">
        <v>0</v>
      </c>
      <c r="F23" s="1389">
        <v>1</v>
      </c>
      <c r="K23" s="1469">
        <v>42080</v>
      </c>
      <c r="L23" s="1470" t="s">
        <v>2129</v>
      </c>
      <c r="M23" s="1471">
        <v>4.7279000000000002E-2</v>
      </c>
      <c r="N23" s="1472">
        <v>1.0056350010355741</v>
      </c>
      <c r="O23" s="1472">
        <v>1.0056350010355741</v>
      </c>
    </row>
    <row r="24" spans="2:15">
      <c r="B24" s="1388">
        <v>33147</v>
      </c>
      <c r="C24" s="1389">
        <v>3.0483699999999999E-3</v>
      </c>
      <c r="D24" s="1389">
        <v>4.0171272055300002E-2</v>
      </c>
      <c r="E24" s="1389">
        <v>0</v>
      </c>
      <c r="F24" s="1389">
        <v>1</v>
      </c>
      <c r="K24" s="1469">
        <v>42081</v>
      </c>
      <c r="L24" s="1470" t="s">
        <v>2129</v>
      </c>
      <c r="M24" s="1471">
        <v>4.7279000000000002E-2</v>
      </c>
      <c r="N24" s="1472">
        <v>1.0061104552077136</v>
      </c>
      <c r="O24" s="1472">
        <v>1.0061104552077136</v>
      </c>
    </row>
    <row r="25" spans="2:15">
      <c r="B25" s="1388">
        <v>33178</v>
      </c>
      <c r="C25" s="1389">
        <v>3.5622900000000001E-3</v>
      </c>
      <c r="D25" s="1389">
        <v>4.6924062784199999E-2</v>
      </c>
      <c r="E25" s="1389">
        <v>0</v>
      </c>
      <c r="F25" s="1389">
        <v>1</v>
      </c>
      <c r="K25" s="1469">
        <v>42082</v>
      </c>
      <c r="L25" s="1470" t="s">
        <v>2129</v>
      </c>
      <c r="M25" s="1471">
        <v>4.7279000000000002E-2</v>
      </c>
      <c r="N25" s="1472">
        <v>1.0065861341698312</v>
      </c>
      <c r="O25" s="1472">
        <v>1.0065861341698312</v>
      </c>
    </row>
    <row r="26" spans="2:15">
      <c r="B26" s="1388">
        <v>33208</v>
      </c>
      <c r="C26" s="1389">
        <v>4.2034799999999999E-3</v>
      </c>
      <c r="D26" s="1389">
        <v>5.5576860018600002E-2</v>
      </c>
      <c r="E26" s="1389">
        <v>0</v>
      </c>
      <c r="F26" s="1389">
        <v>1</v>
      </c>
      <c r="K26" s="1469">
        <v>42083</v>
      </c>
      <c r="L26" s="1470" t="s">
        <v>2129</v>
      </c>
      <c r="M26" s="1471">
        <v>4.7279000000000002E-2</v>
      </c>
      <c r="N26" s="1472">
        <v>1.0070620380282054</v>
      </c>
      <c r="O26" s="1472">
        <v>1.0070620380282054</v>
      </c>
    </row>
    <row r="27" spans="2:15">
      <c r="B27" s="1388">
        <v>33239</v>
      </c>
      <c r="C27" s="1389">
        <v>4.9475200000000004E-3</v>
      </c>
      <c r="D27" s="1389">
        <v>6.7109058472399993E-2</v>
      </c>
      <c r="E27" s="1389">
        <v>0</v>
      </c>
      <c r="F27" s="1389">
        <v>1</v>
      </c>
      <c r="K27" s="1469">
        <v>42084</v>
      </c>
      <c r="L27" s="1470"/>
      <c r="M27" s="1471">
        <v>0</v>
      </c>
      <c r="N27" s="1472">
        <v>1.0070620380282054</v>
      </c>
      <c r="O27" s="1472">
        <v>1.0070620380282054</v>
      </c>
    </row>
    <row r="28" spans="2:15">
      <c r="B28" s="1388">
        <v>33270</v>
      </c>
      <c r="C28" s="1389">
        <v>5.9873900000000004E-3</v>
      </c>
      <c r="D28" s="1389">
        <v>8.1014388849100005E-2</v>
      </c>
      <c r="E28" s="1389">
        <v>0</v>
      </c>
      <c r="F28" s="1389">
        <v>1</v>
      </c>
      <c r="K28" s="1469">
        <v>42085</v>
      </c>
      <c r="L28" s="1470"/>
      <c r="M28" s="1471">
        <v>0</v>
      </c>
      <c r="N28" s="1472">
        <v>1.0070620380282054</v>
      </c>
      <c r="O28" s="1472">
        <v>1.0070620380282054</v>
      </c>
    </row>
    <row r="29" spans="2:15">
      <c r="B29" s="1388">
        <v>33298</v>
      </c>
      <c r="C29" s="1389">
        <v>6.5374099999999996E-3</v>
      </c>
      <c r="D29" s="1389">
        <v>9.0673647120300002E-2</v>
      </c>
      <c r="E29" s="1389">
        <v>0</v>
      </c>
      <c r="F29" s="1389">
        <v>1</v>
      </c>
      <c r="K29" s="1469">
        <v>42086</v>
      </c>
      <c r="L29" s="1470" t="s">
        <v>2129</v>
      </c>
      <c r="M29" s="1471">
        <v>4.7279000000000002E-2</v>
      </c>
      <c r="N29" s="1472">
        <v>1.0075381668891645</v>
      </c>
      <c r="O29" s="1472">
        <v>1.0075381668891645</v>
      </c>
    </row>
    <row r="30" spans="2:15">
      <c r="B30" s="1388">
        <v>33329</v>
      </c>
      <c r="C30" s="1389">
        <v>7.0477600000000001E-3</v>
      </c>
      <c r="D30" s="1389">
        <v>9.5197603525800006E-2</v>
      </c>
      <c r="E30" s="1389">
        <v>0</v>
      </c>
      <c r="F30" s="1389">
        <v>1</v>
      </c>
      <c r="K30" s="1469">
        <v>42087</v>
      </c>
      <c r="L30" s="1470" t="s">
        <v>2129</v>
      </c>
      <c r="M30" s="1471">
        <v>4.7279000000000002E-2</v>
      </c>
      <c r="N30" s="1472">
        <v>1.008014520859088</v>
      </c>
      <c r="O30" s="1472">
        <v>1.008014520859088</v>
      </c>
    </row>
    <row r="31" spans="2:15">
      <c r="B31" s="1388">
        <v>33359</v>
      </c>
      <c r="C31" s="1389">
        <v>7.57502E-3</v>
      </c>
      <c r="D31" s="1389">
        <v>0.10227253780620001</v>
      </c>
      <c r="E31" s="1389">
        <v>0</v>
      </c>
      <c r="F31" s="1389">
        <v>1</v>
      </c>
      <c r="K31" s="1469">
        <v>42088</v>
      </c>
      <c r="L31" s="1470" t="s">
        <v>2129</v>
      </c>
      <c r="M31" s="1471">
        <v>4.7279000000000002E-2</v>
      </c>
      <c r="N31" s="1472">
        <v>1.008491100044405</v>
      </c>
      <c r="O31" s="1472">
        <v>1.008491100044405</v>
      </c>
    </row>
    <row r="32" spans="2:15">
      <c r="B32" s="1388">
        <v>33390</v>
      </c>
      <c r="C32" s="1389">
        <v>8.2174099999999996E-3</v>
      </c>
      <c r="D32" s="1389">
        <v>0.113715813284</v>
      </c>
      <c r="E32" s="1389">
        <v>0</v>
      </c>
      <c r="F32" s="1389">
        <v>1</v>
      </c>
      <c r="K32" s="1469">
        <v>42089</v>
      </c>
      <c r="L32" s="1470" t="s">
        <v>2129</v>
      </c>
      <c r="M32" s="1471">
        <v>4.7279000000000002E-2</v>
      </c>
      <c r="N32" s="1472">
        <v>1.0089679045515949</v>
      </c>
      <c r="O32" s="1472">
        <v>1.0089679045515949</v>
      </c>
    </row>
    <row r="33" spans="2:15">
      <c r="B33" s="1388">
        <v>33420</v>
      </c>
      <c r="C33" s="1389">
        <v>9.3037399999999996E-3</v>
      </c>
      <c r="D33" s="1389">
        <v>0.12782677804270001</v>
      </c>
      <c r="E33" s="1389">
        <v>0</v>
      </c>
      <c r="F33" s="1389">
        <v>1</v>
      </c>
      <c r="K33" s="1469">
        <v>42090</v>
      </c>
      <c r="L33" s="1470" t="s">
        <v>2129</v>
      </c>
      <c r="M33" s="1471">
        <v>4.7279000000000002E-2</v>
      </c>
      <c r="N33" s="1472">
        <v>1.0094449344871876</v>
      </c>
      <c r="O33" s="1472">
        <v>1.0094449344871876</v>
      </c>
    </row>
    <row r="34" spans="2:15">
      <c r="B34" s="1388">
        <v>33451</v>
      </c>
      <c r="C34" s="1389">
        <v>1.072268E-2</v>
      </c>
      <c r="D34" s="1389">
        <v>0.14780665921940001</v>
      </c>
      <c r="E34" s="1390">
        <v>0</v>
      </c>
      <c r="F34" s="1390">
        <v>1</v>
      </c>
      <c r="K34" s="1469">
        <v>42091</v>
      </c>
      <c r="L34" s="1470"/>
      <c r="M34" s="1471">
        <v>0</v>
      </c>
      <c r="N34" s="1472">
        <v>1.0094449344871876</v>
      </c>
      <c r="O34" s="1472">
        <v>1.0094449344871876</v>
      </c>
    </row>
    <row r="35" spans="2:15">
      <c r="B35" s="1388">
        <v>33482</v>
      </c>
      <c r="C35" s="1389">
        <v>1.232337E-2</v>
      </c>
      <c r="D35" s="1389">
        <v>0.17090995992909999</v>
      </c>
      <c r="E35" s="1390">
        <v>0</v>
      </c>
      <c r="F35" s="1390">
        <v>1</v>
      </c>
      <c r="K35" s="1469">
        <v>42092</v>
      </c>
      <c r="L35" s="1470"/>
      <c r="M35" s="1471">
        <v>0</v>
      </c>
      <c r="N35" s="1472">
        <v>1.0094449344871876</v>
      </c>
      <c r="O35" s="1472">
        <v>1.0094449344871876</v>
      </c>
    </row>
    <row r="36" spans="2:15">
      <c r="B36" s="1388">
        <v>33512</v>
      </c>
      <c r="C36" s="1389">
        <v>1.5112230000000001E-2</v>
      </c>
      <c r="D36" s="1389">
        <v>0.20548432454660001</v>
      </c>
      <c r="E36" s="1390">
        <v>0</v>
      </c>
      <c r="F36" s="1390">
        <v>1</v>
      </c>
      <c r="K36" s="1469">
        <v>42093</v>
      </c>
      <c r="L36" s="1470" t="s">
        <v>2129</v>
      </c>
      <c r="M36" s="1471">
        <v>4.7279000000000002E-2</v>
      </c>
      <c r="N36" s="1472">
        <v>1.0099221899577637</v>
      </c>
      <c r="O36" s="1472">
        <v>1.0099221899577637</v>
      </c>
    </row>
    <row r="37" spans="2:15">
      <c r="B37" s="1388">
        <v>33543</v>
      </c>
      <c r="C37" s="1389">
        <v>1.8984250000000001E-2</v>
      </c>
      <c r="D37" s="1389">
        <v>0.2572875157699</v>
      </c>
      <c r="E37" s="1390">
        <v>0</v>
      </c>
      <c r="F37" s="1390">
        <v>1</v>
      </c>
      <c r="K37" s="1469">
        <v>42094</v>
      </c>
      <c r="L37" s="1470" t="s">
        <v>2129</v>
      </c>
      <c r="M37" s="1471">
        <v>4.7279000000000002E-2</v>
      </c>
      <c r="N37" s="1472">
        <v>1.0103996710699537</v>
      </c>
      <c r="O37" s="1472">
        <v>1.0103996710699537</v>
      </c>
    </row>
    <row r="38" spans="2:15">
      <c r="B38" s="1388">
        <v>33573</v>
      </c>
      <c r="C38" s="1389">
        <v>2.347107E-2</v>
      </c>
      <c r="D38" s="1389">
        <v>0.31828867732630001</v>
      </c>
      <c r="E38" s="1390">
        <v>0</v>
      </c>
      <c r="F38" s="1390">
        <v>1</v>
      </c>
      <c r="K38" s="1469">
        <v>42095</v>
      </c>
      <c r="L38" s="1470" t="s">
        <v>2129</v>
      </c>
      <c r="M38" s="1471">
        <v>4.7279000000000002E-2</v>
      </c>
      <c r="N38" s="1472">
        <v>1.0108773779304387</v>
      </c>
      <c r="O38" s="1472">
        <v>1.0108773779304387</v>
      </c>
    </row>
    <row r="39" spans="2:15">
      <c r="B39" s="1388">
        <v>33604</v>
      </c>
      <c r="C39" s="1389">
        <v>2.9000140000000001E-2</v>
      </c>
      <c r="D39" s="1389">
        <v>0.40085366056990002</v>
      </c>
      <c r="E39" s="1390">
        <v>0</v>
      </c>
      <c r="F39" s="1390">
        <v>1</v>
      </c>
      <c r="K39" s="1469">
        <v>42096</v>
      </c>
      <c r="L39" s="1470" t="s">
        <v>2129</v>
      </c>
      <c r="M39" s="1471">
        <v>4.7279000000000002E-2</v>
      </c>
      <c r="N39" s="1472">
        <v>1.0113553106459503</v>
      </c>
      <c r="O39" s="1472">
        <v>1.0113553106459503</v>
      </c>
    </row>
    <row r="40" spans="2:15">
      <c r="B40" s="1388">
        <v>33635</v>
      </c>
      <c r="C40" s="1389">
        <v>3.7078809999999997E-2</v>
      </c>
      <c r="D40" s="1389">
        <v>0.49834103072840003</v>
      </c>
      <c r="E40" s="1390">
        <v>0</v>
      </c>
      <c r="F40" s="1390">
        <v>1</v>
      </c>
      <c r="K40" s="1469">
        <v>42097</v>
      </c>
      <c r="L40" s="1470"/>
      <c r="M40" s="1471">
        <v>0</v>
      </c>
      <c r="N40" s="1472">
        <v>1.0113553106459503</v>
      </c>
      <c r="O40" s="1472">
        <v>1.0113553106459503</v>
      </c>
    </row>
    <row r="41" spans="2:15">
      <c r="B41" s="1388">
        <v>33664</v>
      </c>
      <c r="C41" s="1389">
        <v>4.501144E-2</v>
      </c>
      <c r="D41" s="1389">
        <v>0.60498746741809994</v>
      </c>
      <c r="E41" s="1390">
        <v>0</v>
      </c>
      <c r="F41" s="1390">
        <v>1</v>
      </c>
      <c r="K41" s="1469">
        <v>42098</v>
      </c>
      <c r="L41" s="1470"/>
      <c r="M41" s="1471">
        <v>0</v>
      </c>
      <c r="N41" s="1472">
        <v>1.0113553106459503</v>
      </c>
      <c r="O41" s="1472">
        <v>1.0113553106459503</v>
      </c>
    </row>
    <row r="42" spans="2:15">
      <c r="B42" s="1388">
        <v>33695</v>
      </c>
      <c r="C42" s="1389">
        <v>5.3986060000000002E-2</v>
      </c>
      <c r="D42" s="1389">
        <v>0.72556146522830001</v>
      </c>
      <c r="E42" s="1390">
        <v>0</v>
      </c>
      <c r="F42" s="1390">
        <v>1</v>
      </c>
      <c r="K42" s="1469">
        <v>42099</v>
      </c>
      <c r="L42" s="1470"/>
      <c r="M42" s="1471">
        <v>0</v>
      </c>
      <c r="N42" s="1472">
        <v>1.0113553106459503</v>
      </c>
      <c r="O42" s="1472">
        <v>1.0113553106459503</v>
      </c>
    </row>
    <row r="43" spans="2:15">
      <c r="B43" s="1388">
        <v>33725</v>
      </c>
      <c r="C43" s="1389">
        <v>6.5012799999999996E-2</v>
      </c>
      <c r="D43" s="1389">
        <v>0.90593616441860003</v>
      </c>
      <c r="E43" s="1390">
        <v>0</v>
      </c>
      <c r="F43" s="1390">
        <v>1</v>
      </c>
      <c r="K43" s="1469">
        <v>42100</v>
      </c>
      <c r="L43" s="1470" t="s">
        <v>2129</v>
      </c>
      <c r="M43" s="1471">
        <v>4.7279000000000002E-2</v>
      </c>
      <c r="N43" s="1472">
        <v>1.0118334693232705</v>
      </c>
      <c r="O43" s="1472">
        <v>1.0118334693232705</v>
      </c>
    </row>
    <row r="44" spans="2:15">
      <c r="B44" s="1388">
        <v>33756</v>
      </c>
      <c r="C44" s="1389">
        <v>8.0361459999999996E-2</v>
      </c>
      <c r="D44" s="1389">
        <v>1.0890285720637001</v>
      </c>
      <c r="E44" s="1390">
        <v>0</v>
      </c>
      <c r="F44" s="1390">
        <v>1</v>
      </c>
      <c r="K44" s="1469">
        <v>42101</v>
      </c>
      <c r="L44" s="1470" t="s">
        <v>2129</v>
      </c>
      <c r="M44" s="1471">
        <v>4.7279000000000002E-2</v>
      </c>
      <c r="N44" s="1472">
        <v>1.0123118540692317</v>
      </c>
      <c r="O44" s="1472">
        <v>1.0123118540692317</v>
      </c>
    </row>
    <row r="45" spans="2:15">
      <c r="B45" s="1388">
        <v>33786</v>
      </c>
      <c r="C45" s="1389">
        <v>9.7908469999999997E-2</v>
      </c>
      <c r="D45" s="1389">
        <v>1.3267641484791</v>
      </c>
      <c r="E45" s="1390">
        <v>0</v>
      </c>
      <c r="F45" s="1390">
        <v>1</v>
      </c>
      <c r="K45" s="1469">
        <v>42102</v>
      </c>
      <c r="L45" s="1470" t="s">
        <v>2129</v>
      </c>
      <c r="M45" s="1471">
        <v>4.7279000000000002E-2</v>
      </c>
      <c r="N45" s="1472">
        <v>1.0127904649907171</v>
      </c>
      <c r="O45" s="1472">
        <v>1.0127904649907171</v>
      </c>
    </row>
    <row r="46" spans="2:15">
      <c r="B46" s="1388">
        <v>33817</v>
      </c>
      <c r="C46" s="1389">
        <v>0.12202180999999999</v>
      </c>
      <c r="D46" s="1389">
        <v>1.6205100844213001</v>
      </c>
      <c r="E46" s="1390">
        <v>0</v>
      </c>
      <c r="F46" s="1390">
        <v>1</v>
      </c>
      <c r="K46" s="1469">
        <v>42103</v>
      </c>
      <c r="L46" s="1470" t="s">
        <v>2129</v>
      </c>
      <c r="M46" s="1471">
        <v>4.7279000000000002E-2</v>
      </c>
      <c r="N46" s="1472">
        <v>1.0132693021946599</v>
      </c>
      <c r="O46" s="1472">
        <v>1.0132693021946599</v>
      </c>
    </row>
    <row r="47" spans="2:15">
      <c r="B47" s="1388">
        <v>33848</v>
      </c>
      <c r="C47" s="1389">
        <v>0.15285811999999999</v>
      </c>
      <c r="D47" s="1389">
        <v>2.0196408623306001</v>
      </c>
      <c r="E47" s="1390">
        <v>0</v>
      </c>
      <c r="F47" s="1390">
        <v>1</v>
      </c>
      <c r="K47" s="1469">
        <v>42104</v>
      </c>
      <c r="L47" s="1470" t="s">
        <v>2129</v>
      </c>
      <c r="M47" s="1471">
        <v>4.7279000000000002E-2</v>
      </c>
      <c r="N47" s="1472">
        <v>1.0137483657880444</v>
      </c>
      <c r="O47" s="1472">
        <v>1.0137483657880444</v>
      </c>
    </row>
    <row r="48" spans="2:15">
      <c r="B48" s="1388">
        <v>33878</v>
      </c>
      <c r="C48" s="1389">
        <v>0.19376498</v>
      </c>
      <c r="D48" s="1389">
        <v>2.5293973801068002</v>
      </c>
      <c r="E48" s="1390">
        <v>0</v>
      </c>
      <c r="F48" s="1390">
        <v>1</v>
      </c>
      <c r="K48" s="1469">
        <v>42105</v>
      </c>
      <c r="L48" s="1470"/>
      <c r="M48" s="1471">
        <v>0</v>
      </c>
      <c r="N48" s="1472">
        <v>1.0137483657880444</v>
      </c>
      <c r="O48" s="1472">
        <v>1.0137483657880444</v>
      </c>
    </row>
    <row r="49" spans="2:15">
      <c r="B49" s="1388">
        <v>33909</v>
      </c>
      <c r="C49" s="1389">
        <v>0.23916162999999999</v>
      </c>
      <c r="D49" s="1389">
        <v>3.0982598885127999</v>
      </c>
      <c r="E49" s="1390">
        <v>0</v>
      </c>
      <c r="F49" s="1390">
        <v>1</v>
      </c>
      <c r="K49" s="1469">
        <v>42106</v>
      </c>
      <c r="L49" s="1470"/>
      <c r="M49" s="1471">
        <v>0</v>
      </c>
      <c r="N49" s="1472">
        <v>1.0137483657880444</v>
      </c>
      <c r="O49" s="1472">
        <v>1.0137483657880444</v>
      </c>
    </row>
    <row r="50" spans="2:15">
      <c r="B50" s="1388">
        <v>33939</v>
      </c>
      <c r="C50" s="1389">
        <v>0.29913278999999998</v>
      </c>
      <c r="D50" s="1389">
        <v>3.8802596550900001</v>
      </c>
      <c r="E50" s="1390">
        <v>0</v>
      </c>
      <c r="F50" s="1390">
        <v>1</v>
      </c>
      <c r="K50" s="1469">
        <v>42107</v>
      </c>
      <c r="L50" s="1470" t="s">
        <v>2129</v>
      </c>
      <c r="M50" s="1471">
        <v>4.7279000000000002E-2</v>
      </c>
      <c r="N50" s="1472">
        <v>1.0142276558779053</v>
      </c>
      <c r="O50" s="1472">
        <v>1.0142276558779053</v>
      </c>
    </row>
    <row r="51" spans="2:15">
      <c r="B51" s="1388">
        <v>33970</v>
      </c>
      <c r="C51" s="1389">
        <v>0.37638683000000001</v>
      </c>
      <c r="D51" s="1389">
        <v>5.0579166458253004</v>
      </c>
      <c r="E51" s="1390">
        <v>0</v>
      </c>
      <c r="F51" s="1390">
        <v>1</v>
      </c>
      <c r="K51" s="1469">
        <v>42108</v>
      </c>
      <c r="L51" s="1470" t="s">
        <v>2129</v>
      </c>
      <c r="M51" s="1471">
        <v>4.7279000000000002E-2</v>
      </c>
      <c r="N51" s="1472">
        <v>1.0147071725713277</v>
      </c>
      <c r="O51" s="1472">
        <v>1.0147071725713277</v>
      </c>
    </row>
    <row r="52" spans="2:15">
      <c r="B52" s="1388">
        <v>34001</v>
      </c>
      <c r="C52" s="1389">
        <v>0.48335073000000001</v>
      </c>
      <c r="D52" s="1389">
        <v>6.3213843084293</v>
      </c>
      <c r="E52" s="1390">
        <v>0</v>
      </c>
      <c r="F52" s="1390">
        <v>1</v>
      </c>
      <c r="K52" s="1469">
        <v>42109</v>
      </c>
      <c r="L52" s="1470" t="s">
        <v>2129</v>
      </c>
      <c r="M52" s="1471">
        <v>4.7279000000000002E-2</v>
      </c>
      <c r="N52" s="1472">
        <v>1.0151869159754476</v>
      </c>
      <c r="O52" s="1472">
        <v>1.0151869159754476</v>
      </c>
    </row>
    <row r="53" spans="2:15">
      <c r="B53" s="1388">
        <v>34029</v>
      </c>
      <c r="C53" s="1389">
        <v>0.61023090000000002</v>
      </c>
      <c r="D53" s="1389">
        <v>8.0445948724788998</v>
      </c>
      <c r="E53" s="1390">
        <v>0</v>
      </c>
      <c r="F53" s="1390">
        <v>1</v>
      </c>
      <c r="K53" s="1469">
        <v>42110</v>
      </c>
      <c r="L53" s="1470" t="s">
        <v>2129</v>
      </c>
      <c r="M53" s="1471">
        <v>4.7279000000000002E-2</v>
      </c>
      <c r="N53" s="1472">
        <v>1.0156668861974516</v>
      </c>
      <c r="O53" s="1472">
        <v>1.0156668861974516</v>
      </c>
    </row>
    <row r="54" spans="2:15">
      <c r="B54" s="1388">
        <v>34060</v>
      </c>
      <c r="C54" s="1389">
        <v>0.78617482000000005</v>
      </c>
      <c r="D54" s="1389">
        <v>10.2769672819025</v>
      </c>
      <c r="E54" s="1390">
        <v>0</v>
      </c>
      <c r="F54" s="1390">
        <v>1</v>
      </c>
      <c r="K54" s="1469">
        <v>42111</v>
      </c>
      <c r="L54" s="1470" t="s">
        <v>2129</v>
      </c>
      <c r="M54" s="1471">
        <v>4.7279000000000002E-2</v>
      </c>
      <c r="N54" s="1472">
        <v>1.0161470833445767</v>
      </c>
      <c r="O54" s="1472">
        <v>1.0161470833445767</v>
      </c>
    </row>
    <row r="55" spans="2:15">
      <c r="B55" s="1388">
        <v>34090</v>
      </c>
      <c r="C55" s="1389">
        <v>1.01968087</v>
      </c>
      <c r="D55" s="1389">
        <v>13.1226581300609</v>
      </c>
      <c r="E55" s="1390">
        <v>0</v>
      </c>
      <c r="F55" s="1390">
        <v>1</v>
      </c>
      <c r="K55" s="1469">
        <v>42112</v>
      </c>
      <c r="L55" s="1470"/>
      <c r="M55" s="1471">
        <v>0</v>
      </c>
      <c r="N55" s="1472">
        <v>1.0161470833445767</v>
      </c>
      <c r="O55" s="1472">
        <v>1.0161470833445767</v>
      </c>
    </row>
    <row r="56" spans="2:15">
      <c r="B56" s="1388">
        <v>34121</v>
      </c>
      <c r="C56" s="1389">
        <v>1.3408208699999999</v>
      </c>
      <c r="D56" s="1389">
        <v>17.068642979808899</v>
      </c>
      <c r="E56" s="1390">
        <v>0</v>
      </c>
      <c r="F56" s="1390">
        <v>1</v>
      </c>
      <c r="K56" s="1469">
        <v>42113</v>
      </c>
      <c r="L56" s="1470"/>
      <c r="M56" s="1471">
        <v>0</v>
      </c>
      <c r="N56" s="1472">
        <v>1.0161470833445767</v>
      </c>
      <c r="O56" s="1472">
        <v>1.0161470833445767</v>
      </c>
    </row>
    <row r="57" spans="2:15">
      <c r="B57" s="1388">
        <v>34151</v>
      </c>
      <c r="C57" s="1389">
        <v>1.75984608</v>
      </c>
      <c r="D57" s="1389">
        <v>22.312130761236201</v>
      </c>
      <c r="E57" s="1390">
        <v>0</v>
      </c>
      <c r="F57" s="1390">
        <v>1</v>
      </c>
      <c r="K57" s="1469">
        <v>42114</v>
      </c>
      <c r="L57" s="1470" t="s">
        <v>2129</v>
      </c>
      <c r="M57" s="1471">
        <v>4.7279000000000002E-2</v>
      </c>
      <c r="N57" s="1472">
        <v>1.0166275075241111</v>
      </c>
      <c r="O57" s="1472">
        <v>1.0166275075241111</v>
      </c>
    </row>
    <row r="58" spans="2:15">
      <c r="B58" s="1388">
        <v>34182</v>
      </c>
      <c r="C58" s="1389">
        <v>2.31923637</v>
      </c>
      <c r="D58" s="1389">
        <v>29.666210936414501</v>
      </c>
      <c r="E58" s="1390">
        <v>0</v>
      </c>
      <c r="F58" s="1390">
        <v>1</v>
      </c>
      <c r="K58" s="1469">
        <v>42115</v>
      </c>
      <c r="L58" s="1470"/>
      <c r="M58" s="1471">
        <v>0</v>
      </c>
      <c r="N58" s="1472">
        <v>1.0166275075241111</v>
      </c>
      <c r="O58" s="1472">
        <v>1.0166275075241111</v>
      </c>
    </row>
    <row r="59" spans="2:15">
      <c r="B59" s="1388">
        <v>34213</v>
      </c>
      <c r="C59" s="1389">
        <v>3.1375231000000001</v>
      </c>
      <c r="D59" s="1389">
        <v>40.254080730946797</v>
      </c>
      <c r="E59" s="1390">
        <v>0</v>
      </c>
      <c r="F59" s="1390">
        <v>1</v>
      </c>
      <c r="K59" s="1469">
        <v>42116</v>
      </c>
      <c r="L59" s="1470" t="s">
        <v>2129</v>
      </c>
      <c r="M59" s="1471">
        <v>4.7279000000000002E-2</v>
      </c>
      <c r="N59" s="1472">
        <v>1.0171081588433935</v>
      </c>
      <c r="O59" s="1472">
        <v>1.0171081588433935</v>
      </c>
    </row>
    <row r="60" spans="2:15">
      <c r="B60" s="1388">
        <v>34243</v>
      </c>
      <c r="C60" s="1389">
        <v>4.2367972299999996</v>
      </c>
      <c r="D60" s="1389">
        <v>53.908264834853298</v>
      </c>
      <c r="E60" s="1390">
        <v>0</v>
      </c>
      <c r="F60" s="1390">
        <v>1</v>
      </c>
      <c r="K60" s="1469">
        <v>42117</v>
      </c>
      <c r="L60" s="1470" t="s">
        <v>2129</v>
      </c>
      <c r="M60" s="1471">
        <v>4.7279000000000002E-2</v>
      </c>
      <c r="N60" s="1472">
        <v>1.0175890374098129</v>
      </c>
      <c r="O60" s="1472">
        <v>1.0175890374098129</v>
      </c>
    </row>
    <row r="61" spans="2:15">
      <c r="B61" s="1388">
        <v>34274</v>
      </c>
      <c r="C61" s="1389">
        <v>5.7685216500000003</v>
      </c>
      <c r="D61" s="1389">
        <v>73.078046584524003</v>
      </c>
      <c r="E61" s="1390">
        <v>0</v>
      </c>
      <c r="F61" s="1390">
        <v>1</v>
      </c>
      <c r="K61" s="1469">
        <v>42118</v>
      </c>
      <c r="L61" s="1470" t="s">
        <v>2129</v>
      </c>
      <c r="M61" s="1471">
        <v>4.7279000000000002E-2</v>
      </c>
      <c r="N61" s="1472">
        <v>1.0180701433308097</v>
      </c>
      <c r="O61" s="1472">
        <v>1.0180701433308097</v>
      </c>
    </row>
    <row r="62" spans="2:15">
      <c r="B62" s="1388">
        <v>34304</v>
      </c>
      <c r="C62" s="1389">
        <v>7.9792505900000004</v>
      </c>
      <c r="D62" s="1389">
        <v>100</v>
      </c>
      <c r="E62" s="1390">
        <v>0</v>
      </c>
      <c r="F62" s="1390">
        <v>1</v>
      </c>
      <c r="K62" s="1469">
        <v>42119</v>
      </c>
      <c r="L62" s="1470"/>
      <c r="M62" s="1471">
        <v>0</v>
      </c>
      <c r="N62" s="1472">
        <v>1.0180701433308097</v>
      </c>
      <c r="O62" s="1472">
        <v>1.0180701433308097</v>
      </c>
    </row>
    <row r="63" spans="2:15">
      <c r="B63" s="1388">
        <v>34335</v>
      </c>
      <c r="C63" s="1389">
        <v>11.0967647</v>
      </c>
      <c r="D63" s="1389">
        <v>141.31</v>
      </c>
      <c r="E63" s="1390">
        <v>0</v>
      </c>
      <c r="F63" s="1390">
        <v>1</v>
      </c>
      <c r="K63" s="1469">
        <v>42120</v>
      </c>
      <c r="L63" s="1470"/>
      <c r="M63" s="1471">
        <v>0</v>
      </c>
      <c r="N63" s="1472">
        <v>1.0180701433308097</v>
      </c>
      <c r="O63" s="1472">
        <v>1.0180701433308097</v>
      </c>
    </row>
    <row r="64" spans="2:15">
      <c r="B64" s="1388">
        <v>34366</v>
      </c>
      <c r="C64" s="1389">
        <v>15.62186911</v>
      </c>
      <c r="D64" s="1389">
        <v>198.22</v>
      </c>
      <c r="E64" s="1390">
        <v>0</v>
      </c>
      <c r="F64" s="1390">
        <v>1</v>
      </c>
      <c r="K64" s="1469">
        <v>42121</v>
      </c>
      <c r="L64" s="1470" t="s">
        <v>2129</v>
      </c>
      <c r="M64" s="1471">
        <v>4.7314000000000002E-2</v>
      </c>
      <c r="N64" s="1472">
        <v>1.0185518330384251</v>
      </c>
      <c r="O64" s="1472">
        <v>1.0185518330384251</v>
      </c>
    </row>
    <row r="65" spans="2:15">
      <c r="B65" s="1388">
        <v>34394</v>
      </c>
      <c r="C65" s="1389">
        <v>22.762782099999999</v>
      </c>
      <c r="D65" s="1389">
        <v>282.95999999999998</v>
      </c>
      <c r="E65" s="1390">
        <v>0</v>
      </c>
      <c r="F65" s="1390">
        <v>1</v>
      </c>
      <c r="K65" s="1469">
        <v>42122</v>
      </c>
      <c r="L65" s="1470" t="s">
        <v>2129</v>
      </c>
      <c r="M65" s="1471">
        <v>4.7350000000000003E-2</v>
      </c>
      <c r="N65" s="1472">
        <v>1.0190341173313688</v>
      </c>
      <c r="O65" s="1472">
        <v>1.0190341173313688</v>
      </c>
    </row>
    <row r="66" spans="2:15">
      <c r="B66" s="1388">
        <v>34425</v>
      </c>
      <c r="C66" s="1389">
        <v>32.074938510000003</v>
      </c>
      <c r="D66" s="1389">
        <v>403.73</v>
      </c>
      <c r="E66" s="1390">
        <v>0</v>
      </c>
      <c r="F66" s="1390">
        <v>1</v>
      </c>
      <c r="K66" s="1469">
        <v>42123</v>
      </c>
      <c r="L66" s="1470" t="s">
        <v>2129</v>
      </c>
      <c r="M66" s="1471">
        <v>4.7350000000000003E-2</v>
      </c>
      <c r="N66" s="1472">
        <v>1.0195166299859253</v>
      </c>
      <c r="O66" s="1472">
        <v>1.0195166299859253</v>
      </c>
    </row>
    <row r="67" spans="2:15">
      <c r="B67" s="1388">
        <v>34455</v>
      </c>
      <c r="C67" s="1389">
        <v>45.731576959999998</v>
      </c>
      <c r="D67" s="1389">
        <v>581.49</v>
      </c>
      <c r="E67" s="1390">
        <v>0</v>
      </c>
      <c r="F67" s="1390">
        <v>1</v>
      </c>
      <c r="K67" s="1469">
        <v>42124</v>
      </c>
      <c r="L67" s="1470" t="s">
        <v>2129</v>
      </c>
      <c r="M67" s="1471">
        <v>4.9036999999999997E-2</v>
      </c>
      <c r="N67" s="1472">
        <v>1.0200165703557715</v>
      </c>
      <c r="O67" s="1472">
        <v>1.0200165703557715</v>
      </c>
    </row>
    <row r="68" spans="2:15">
      <c r="B68" s="1388">
        <v>34486</v>
      </c>
      <c r="C68" s="1389">
        <v>66.408212939999999</v>
      </c>
      <c r="D68" s="1389">
        <v>857.29</v>
      </c>
      <c r="E68" s="1390">
        <v>0</v>
      </c>
      <c r="F68" s="1390">
        <v>1</v>
      </c>
      <c r="K68" s="1469">
        <v>42125</v>
      </c>
      <c r="L68" s="1470"/>
      <c r="M68" s="1471">
        <v>0</v>
      </c>
      <c r="N68" s="1472">
        <v>1.0200165703557715</v>
      </c>
      <c r="O68" s="1472">
        <v>1.0200165703557715</v>
      </c>
    </row>
    <row r="69" spans="2:15">
      <c r="B69" s="1388">
        <v>34516</v>
      </c>
      <c r="C69" s="1389">
        <v>92.968426030000003</v>
      </c>
      <c r="D69" s="1389">
        <v>915.93</v>
      </c>
      <c r="E69" s="1390">
        <v>0</v>
      </c>
      <c r="F69" s="1390">
        <v>1</v>
      </c>
      <c r="K69" s="1469">
        <v>42126</v>
      </c>
      <c r="L69" s="1470"/>
      <c r="M69" s="1471">
        <v>0</v>
      </c>
      <c r="N69" s="1472">
        <v>1.0200165703557715</v>
      </c>
      <c r="O69" s="1472">
        <v>1.0200165703557715</v>
      </c>
    </row>
    <row r="70" spans="2:15">
      <c r="B70" s="1388">
        <v>34547</v>
      </c>
      <c r="C70" s="1389">
        <v>100</v>
      </c>
      <c r="D70" s="1389">
        <v>932.97</v>
      </c>
      <c r="E70" s="1390">
        <v>1.0417031360600404</v>
      </c>
      <c r="F70" s="1390">
        <v>1.0417031360600404</v>
      </c>
      <c r="K70" s="1469">
        <v>42127</v>
      </c>
      <c r="L70" s="1470"/>
      <c r="M70" s="1471">
        <v>0</v>
      </c>
      <c r="N70" s="1472">
        <v>1.0200165703557715</v>
      </c>
      <c r="O70" s="1472">
        <v>1.0200165703557715</v>
      </c>
    </row>
    <row r="71" spans="2:15">
      <c r="B71" s="1388">
        <v>34578</v>
      </c>
      <c r="C71" s="1389">
        <v>101.751</v>
      </c>
      <c r="D71" s="1389">
        <v>947.24</v>
      </c>
      <c r="E71" s="1390">
        <v>1.040191380612066</v>
      </c>
      <c r="F71" s="1390">
        <v>1.0835706232862121</v>
      </c>
      <c r="K71" s="1469">
        <v>42128</v>
      </c>
      <c r="L71" s="1470" t="s">
        <v>2129</v>
      </c>
      <c r="M71" s="1471">
        <v>4.9036999999999997E-2</v>
      </c>
      <c r="N71" s="1472">
        <v>1.020516755881377</v>
      </c>
      <c r="O71" s="1472">
        <v>1.020516755881377</v>
      </c>
    </row>
    <row r="72" spans="2:15">
      <c r="B72" s="1388">
        <v>34608</v>
      </c>
      <c r="C72" s="1389">
        <v>103.602</v>
      </c>
      <c r="D72" s="1389">
        <v>972.06</v>
      </c>
      <c r="E72" s="1390">
        <v>1.0400235119965635</v>
      </c>
      <c r="F72" s="1390">
        <v>1.1269389251264317</v>
      </c>
      <c r="K72" s="1469">
        <v>42129</v>
      </c>
      <c r="L72" s="1470" t="s">
        <v>2129</v>
      </c>
      <c r="M72" s="1471">
        <v>4.9036999999999997E-2</v>
      </c>
      <c r="N72" s="1472">
        <v>1.0210171866829587</v>
      </c>
      <c r="O72" s="1472">
        <v>1.0210171866829587</v>
      </c>
    </row>
    <row r="73" spans="2:15">
      <c r="B73" s="1388">
        <v>34639</v>
      </c>
      <c r="C73" s="1389">
        <v>106.553</v>
      </c>
      <c r="D73" s="1389">
        <v>999.37</v>
      </c>
      <c r="E73" s="1390">
        <v>1.0448704061969656</v>
      </c>
      <c r="F73" s="1390">
        <v>1.1775051324560264</v>
      </c>
      <c r="K73" s="1469">
        <v>42130</v>
      </c>
      <c r="L73" s="1470" t="s">
        <v>2129</v>
      </c>
      <c r="M73" s="1471">
        <v>4.9036999999999997E-2</v>
      </c>
      <c r="N73" s="1472">
        <v>1.0215178628807926</v>
      </c>
      <c r="O73" s="1472">
        <v>1.0215178628807926</v>
      </c>
    </row>
    <row r="74" spans="2:15">
      <c r="B74" s="1388">
        <v>34669</v>
      </c>
      <c r="C74" s="1389">
        <v>107.45</v>
      </c>
      <c r="D74" s="1389">
        <v>1016.46</v>
      </c>
      <c r="E74" s="1390">
        <v>1.0379749903132509</v>
      </c>
      <c r="F74" s="1390">
        <v>1.2222208784548472</v>
      </c>
      <c r="K74" s="1469">
        <v>42131</v>
      </c>
      <c r="L74" s="1470" t="s">
        <v>2129</v>
      </c>
      <c r="M74" s="1471">
        <v>4.9036999999999997E-2</v>
      </c>
      <c r="N74" s="1472">
        <v>1.0220187845952136</v>
      </c>
      <c r="O74" s="1472">
        <v>1.0220187845952136</v>
      </c>
    </row>
    <row r="75" spans="2:15">
      <c r="B75" s="1388">
        <v>34700</v>
      </c>
      <c r="C75" s="1389">
        <v>108.44199999999999</v>
      </c>
      <c r="D75" s="1389">
        <v>1033.74</v>
      </c>
      <c r="E75" s="1390">
        <v>1.033745155557255</v>
      </c>
      <c r="F75" s="1390">
        <v>1.2634649121236308</v>
      </c>
      <c r="K75" s="1469">
        <v>42132</v>
      </c>
      <c r="L75" s="1470" t="s">
        <v>2129</v>
      </c>
      <c r="M75" s="1471">
        <v>4.9036999999999997E-2</v>
      </c>
      <c r="N75" s="1472">
        <v>1.0225199519466155</v>
      </c>
      <c r="O75" s="1472">
        <v>1.0225199519466155</v>
      </c>
    </row>
    <row r="76" spans="2:15">
      <c r="B76" s="1388">
        <v>34731</v>
      </c>
      <c r="C76" s="1389">
        <v>109.9455</v>
      </c>
      <c r="D76" s="1389">
        <v>1044.28</v>
      </c>
      <c r="E76" s="1390">
        <v>1.0361946548110796</v>
      </c>
      <c r="F76" s="1390">
        <v>1.3091955884838566</v>
      </c>
      <c r="K76" s="1469">
        <v>42133</v>
      </c>
      <c r="L76" s="1470"/>
      <c r="M76" s="1471">
        <v>0</v>
      </c>
      <c r="N76" s="1472">
        <v>1.0225199519466155</v>
      </c>
      <c r="O76" s="1472">
        <v>1.0225199519466155</v>
      </c>
    </row>
    <row r="77" spans="2:15">
      <c r="B77" s="1388">
        <v>34759</v>
      </c>
      <c r="C77" s="1389">
        <v>111.178</v>
      </c>
      <c r="D77" s="1389">
        <v>1060.47</v>
      </c>
      <c r="E77" s="1390">
        <v>1.0426211014987152</v>
      </c>
      <c r="F77" s="1390">
        <v>1.3649949465422972</v>
      </c>
      <c r="K77" s="1469">
        <v>42134</v>
      </c>
      <c r="L77" s="1470"/>
      <c r="M77" s="1471">
        <v>0</v>
      </c>
      <c r="N77" s="1472">
        <v>1.0225199519466155</v>
      </c>
      <c r="O77" s="1472">
        <v>1.0225199519466155</v>
      </c>
    </row>
    <row r="78" spans="2:15">
      <c r="B78" s="1388">
        <v>34790</v>
      </c>
      <c r="C78" s="1389">
        <v>113.518</v>
      </c>
      <c r="D78" s="1389">
        <v>1086.24</v>
      </c>
      <c r="E78" s="1390">
        <v>1.0502446731743562</v>
      </c>
      <c r="F78" s="1390">
        <v>1.4335786715159629</v>
      </c>
      <c r="K78" s="1469">
        <v>42135</v>
      </c>
      <c r="L78" s="1470" t="s">
        <v>2129</v>
      </c>
      <c r="M78" s="1471">
        <v>4.9036999999999997E-2</v>
      </c>
      <c r="N78" s="1472">
        <v>1.0230213650554516</v>
      </c>
      <c r="O78" s="1472">
        <v>1.0230213650554516</v>
      </c>
    </row>
    <row r="79" spans="2:15">
      <c r="B79" s="1388">
        <v>34820</v>
      </c>
      <c r="C79" s="1389">
        <v>114.17100000000001</v>
      </c>
      <c r="D79" s="1389">
        <v>1115.24</v>
      </c>
      <c r="E79" s="1390">
        <v>1.0450356278102417</v>
      </c>
      <c r="F79" s="1390">
        <v>1.4981407870030565</v>
      </c>
      <c r="K79" s="1469">
        <v>42136</v>
      </c>
      <c r="L79" s="1470" t="s">
        <v>2129</v>
      </c>
      <c r="M79" s="1471">
        <v>4.9036999999999997E-2</v>
      </c>
      <c r="N79" s="1472">
        <v>1.0235230240422339</v>
      </c>
      <c r="O79" s="1472">
        <v>1.0235230240422339</v>
      </c>
    </row>
    <row r="80" spans="2:15">
      <c r="B80" s="1388">
        <v>34851</v>
      </c>
      <c r="C80" s="1389">
        <v>116.98399999999999</v>
      </c>
      <c r="D80" s="1389">
        <v>1140.44</v>
      </c>
      <c r="E80" s="1390">
        <v>1.0423602226147934</v>
      </c>
      <c r="F80" s="1390">
        <v>1.5616023642488079</v>
      </c>
      <c r="K80" s="1469">
        <v>42137</v>
      </c>
      <c r="L80" s="1470" t="s">
        <v>2129</v>
      </c>
      <c r="M80" s="1471">
        <v>4.9036999999999997E-2</v>
      </c>
      <c r="N80" s="1472">
        <v>1.0240249290275336</v>
      </c>
      <c r="O80" s="1472">
        <v>1.0240249290275336</v>
      </c>
    </row>
    <row r="81" spans="2:15">
      <c r="B81" s="1388">
        <v>34881</v>
      </c>
      <c r="C81" s="1389">
        <v>119.114</v>
      </c>
      <c r="D81" s="1389">
        <v>1167.3499999999999</v>
      </c>
      <c r="E81" s="1390">
        <v>1.0402311780170954</v>
      </c>
      <c r="F81" s="1390">
        <v>1.6244274669568188</v>
      </c>
      <c r="K81" s="1469">
        <v>42138</v>
      </c>
      <c r="L81" s="1470" t="s">
        <v>2129</v>
      </c>
      <c r="M81" s="1471">
        <v>4.9036999999999997E-2</v>
      </c>
      <c r="N81" s="1472">
        <v>1.024527080131981</v>
      </c>
      <c r="O81" s="1472">
        <v>1.024527080131981</v>
      </c>
    </row>
    <row r="82" spans="2:15">
      <c r="B82" s="1388">
        <v>34912</v>
      </c>
      <c r="C82" s="1389">
        <v>121.729</v>
      </c>
      <c r="D82" s="1389">
        <v>1178.9100000000001</v>
      </c>
      <c r="E82" s="1389">
        <v>1.0383979241220025</v>
      </c>
      <c r="F82" s="1389">
        <v>1.6868021095747234</v>
      </c>
      <c r="G82" s="7">
        <v>41036.512291666666</v>
      </c>
      <c r="K82" s="1469">
        <v>42139</v>
      </c>
      <c r="L82" s="1470" t="s">
        <v>2129</v>
      </c>
      <c r="M82" s="1471">
        <v>4.9036999999999997E-2</v>
      </c>
      <c r="N82" s="1472">
        <v>1.0250294774762654</v>
      </c>
      <c r="O82" s="1472">
        <v>1.0250294774762654</v>
      </c>
    </row>
    <row r="83" spans="2:15">
      <c r="B83" s="1388">
        <v>34943</v>
      </c>
      <c r="C83" s="1389">
        <v>120.869</v>
      </c>
      <c r="D83" s="1389">
        <v>1190.58</v>
      </c>
      <c r="E83" s="1389">
        <v>1.0349384575781275</v>
      </c>
      <c r="F83" s="1389">
        <v>1.745736373522796</v>
      </c>
      <c r="K83" s="1469">
        <v>42140</v>
      </c>
      <c r="L83" s="1470"/>
      <c r="M83" s="1471">
        <v>0</v>
      </c>
      <c r="N83" s="1472">
        <v>1.0250294774762654</v>
      </c>
      <c r="O83" s="1472">
        <v>1.0250294774762654</v>
      </c>
    </row>
    <row r="84" spans="2:15">
      <c r="B84" s="1388">
        <v>34973</v>
      </c>
      <c r="C84" s="1389">
        <v>121.503</v>
      </c>
      <c r="D84" s="1389">
        <v>1207.3699999999999</v>
      </c>
      <c r="E84" s="1389">
        <v>1.0324041438440343</v>
      </c>
      <c r="F84" s="1389">
        <v>1.8023054660841915</v>
      </c>
      <c r="K84" s="1469">
        <v>42141</v>
      </c>
      <c r="L84" s="1470"/>
      <c r="M84" s="1471">
        <v>0</v>
      </c>
      <c r="N84" s="1472">
        <v>1.0250294774762654</v>
      </c>
      <c r="O84" s="1472">
        <v>1.0250294774762654</v>
      </c>
    </row>
    <row r="85" spans="2:15">
      <c r="B85" s="1388">
        <v>35004</v>
      </c>
      <c r="C85" s="1389">
        <v>122.955</v>
      </c>
      <c r="D85" s="1389">
        <v>1225.1199999999999</v>
      </c>
      <c r="E85" s="1389">
        <v>1.0316999077357936</v>
      </c>
      <c r="F85" s="1389">
        <v>1.8594383830707768</v>
      </c>
      <c r="K85" s="1469">
        <v>42142</v>
      </c>
      <c r="L85" s="1470" t="s">
        <v>2129</v>
      </c>
      <c r="M85" s="1471">
        <v>4.9036999999999997E-2</v>
      </c>
      <c r="N85" s="1472">
        <v>1.0255321211811355</v>
      </c>
      <c r="O85" s="1472">
        <v>1.0255321211811355</v>
      </c>
    </row>
    <row r="86" spans="2:15">
      <c r="B86" s="1388">
        <v>35034</v>
      </c>
      <c r="C86" s="1389">
        <v>123.833</v>
      </c>
      <c r="D86" s="1389">
        <v>1244.23</v>
      </c>
      <c r="E86" s="1389">
        <v>1.0292086837764389</v>
      </c>
      <c r="F86" s="1389">
        <v>1.913750130803664</v>
      </c>
      <c r="K86" s="1469">
        <v>42143</v>
      </c>
      <c r="L86" s="1470" t="s">
        <v>2129</v>
      </c>
      <c r="M86" s="1471">
        <v>4.9036999999999997E-2</v>
      </c>
      <c r="N86" s="1472">
        <v>1.0260350113673991</v>
      </c>
      <c r="O86" s="1472">
        <v>1.0260350113673991</v>
      </c>
    </row>
    <row r="87" spans="2:15">
      <c r="B87" s="1388">
        <v>35065</v>
      </c>
      <c r="C87" s="1389">
        <v>125.977</v>
      </c>
      <c r="D87" s="1389">
        <v>1260.9000000000001</v>
      </c>
      <c r="E87" s="1389">
        <v>1.0271429062533448</v>
      </c>
      <c r="F87" s="1389">
        <v>1.9656948711963942</v>
      </c>
      <c r="K87" s="1469">
        <v>42144</v>
      </c>
      <c r="L87" s="1470" t="s">
        <v>2129</v>
      </c>
      <c r="M87" s="1471">
        <v>4.9036999999999997E-2</v>
      </c>
      <c r="N87" s="1472">
        <v>1.0265381481559233</v>
      </c>
      <c r="O87" s="1472">
        <v>1.0265381481559233</v>
      </c>
    </row>
    <row r="88" spans="2:15">
      <c r="B88" s="1388">
        <v>35096</v>
      </c>
      <c r="C88" s="1389">
        <v>127.202</v>
      </c>
      <c r="D88" s="1389">
        <v>1273.8900000000001</v>
      </c>
      <c r="E88" s="1389">
        <v>1.026088709032714</v>
      </c>
      <c r="F88" s="1389">
        <v>2.0169773127381352</v>
      </c>
      <c r="K88" s="1469">
        <v>42145</v>
      </c>
      <c r="L88" s="1470" t="s">
        <v>2129</v>
      </c>
      <c r="M88" s="1471">
        <v>4.9036999999999997E-2</v>
      </c>
      <c r="N88" s="1472">
        <v>1.0270415316676345</v>
      </c>
      <c r="O88" s="1472">
        <v>1.0270415316676345</v>
      </c>
    </row>
    <row r="89" spans="2:15">
      <c r="B89" s="1388">
        <v>35125</v>
      </c>
      <c r="C89" s="1389">
        <v>127.715</v>
      </c>
      <c r="D89" s="1389">
        <v>1278.3499999999999</v>
      </c>
      <c r="E89" s="1389">
        <v>1.0222082178682002</v>
      </c>
      <c r="F89" s="1389">
        <v>2.0617707843346404</v>
      </c>
      <c r="K89" s="1469">
        <v>42146</v>
      </c>
      <c r="L89" s="1470" t="s">
        <v>2129</v>
      </c>
      <c r="M89" s="1471">
        <v>4.9036999999999997E-2</v>
      </c>
      <c r="N89" s="1472">
        <v>1.0275451620235183</v>
      </c>
      <c r="O89" s="1472">
        <v>1.0275451620235183</v>
      </c>
    </row>
    <row r="90" spans="2:15">
      <c r="B90" s="1388">
        <v>35156</v>
      </c>
      <c r="C90" s="1389">
        <v>128.13</v>
      </c>
      <c r="D90" s="1389">
        <v>1294.46</v>
      </c>
      <c r="E90" s="1389">
        <v>1.0227569082086725</v>
      </c>
      <c r="F90" s="1389">
        <v>2.1086903128210666</v>
      </c>
      <c r="K90" s="1469">
        <v>42147</v>
      </c>
      <c r="L90" s="1470"/>
      <c r="M90" s="1471">
        <v>0</v>
      </c>
      <c r="N90" s="1472">
        <v>1.0275451620235183</v>
      </c>
      <c r="O90" s="1472">
        <v>1.0275451620235183</v>
      </c>
    </row>
    <row r="91" spans="2:15">
      <c r="B91" s="1388">
        <v>35186</v>
      </c>
      <c r="C91" s="1389">
        <v>130.12100000000001</v>
      </c>
      <c r="D91" s="1389">
        <v>1310.25</v>
      </c>
      <c r="E91" s="1389">
        <v>1.0210626514511167</v>
      </c>
      <c r="F91" s="1389">
        <v>2.1531049218983629</v>
      </c>
      <c r="K91" s="1469">
        <v>42148</v>
      </c>
      <c r="L91" s="1470"/>
      <c r="M91" s="1471">
        <v>0</v>
      </c>
      <c r="N91" s="1472">
        <v>1.0275451620235183</v>
      </c>
      <c r="O91" s="1472">
        <v>1.0275451620235183</v>
      </c>
    </row>
    <row r="92" spans="2:15">
      <c r="B92" s="1388">
        <v>35217</v>
      </c>
      <c r="C92" s="1389">
        <v>131.44499999999999</v>
      </c>
      <c r="D92" s="1389">
        <v>1325.84</v>
      </c>
      <c r="E92" s="1389">
        <v>1.020826552130859</v>
      </c>
      <c r="F92" s="1389">
        <v>2.1979466737974884</v>
      </c>
      <c r="K92" s="1469">
        <v>42149</v>
      </c>
      <c r="L92" s="1470" t="s">
        <v>2129</v>
      </c>
      <c r="M92" s="1471">
        <v>4.9036999999999997E-2</v>
      </c>
      <c r="N92" s="1472">
        <v>1.0280490393446198</v>
      </c>
      <c r="O92" s="1472">
        <v>1.0280490393446198</v>
      </c>
    </row>
    <row r="93" spans="2:15">
      <c r="B93" s="1388">
        <v>35247</v>
      </c>
      <c r="C93" s="1389">
        <v>133.21299999999999</v>
      </c>
      <c r="D93" s="1389">
        <v>1340.56</v>
      </c>
      <c r="E93" s="1389">
        <v>1.0192856968560815</v>
      </c>
      <c r="F93" s="1389">
        <v>2.2403356070541793</v>
      </c>
      <c r="K93" s="1469">
        <v>42150</v>
      </c>
      <c r="L93" s="1470" t="s">
        <v>2129</v>
      </c>
      <c r="M93" s="1471">
        <v>4.9036999999999997E-2</v>
      </c>
      <c r="N93" s="1472">
        <v>1.0285531637520433</v>
      </c>
      <c r="O93" s="1472">
        <v>1.0285531637520433</v>
      </c>
    </row>
    <row r="94" spans="2:15">
      <c r="B94" s="1388">
        <v>35278</v>
      </c>
      <c r="C94" s="1389">
        <v>133.58699999999999</v>
      </c>
      <c r="D94" s="1389">
        <v>1346.46</v>
      </c>
      <c r="E94" s="1389">
        <v>1.0196791435025818</v>
      </c>
      <c r="F94" s="1389">
        <v>2.2844234929593421</v>
      </c>
      <c r="K94" s="1469">
        <v>42151</v>
      </c>
      <c r="L94" s="1470" t="s">
        <v>2129</v>
      </c>
      <c r="M94" s="1471">
        <v>4.9036999999999997E-2</v>
      </c>
      <c r="N94" s="1472">
        <v>1.0290575353669524</v>
      </c>
      <c r="O94" s="1472">
        <v>1.0290575353669524</v>
      </c>
    </row>
    <row r="95" spans="2:15">
      <c r="B95" s="1388">
        <v>35309</v>
      </c>
      <c r="C95" s="1389">
        <v>133.72200000000001</v>
      </c>
      <c r="D95" s="1389">
        <v>1348.48</v>
      </c>
      <c r="E95" s="1389">
        <v>1.0190405257020327</v>
      </c>
      <c r="F95" s="1389">
        <v>2.3279201171913617</v>
      </c>
      <c r="K95" s="1469">
        <v>42152</v>
      </c>
      <c r="L95" s="1470" t="s">
        <v>2129</v>
      </c>
      <c r="M95" s="1471">
        <v>4.9036999999999997E-2</v>
      </c>
      <c r="N95" s="1472">
        <v>1.0295621543105704</v>
      </c>
      <c r="O95" s="1472">
        <v>1.0295621543105704</v>
      </c>
    </row>
    <row r="96" spans="2:15">
      <c r="B96" s="1388">
        <v>35339</v>
      </c>
      <c r="C96" s="1389">
        <v>133.97800000000001</v>
      </c>
      <c r="D96" s="1389">
        <v>1352.53</v>
      </c>
      <c r="E96" s="1389">
        <v>1.0194350405573067</v>
      </c>
      <c r="F96" s="1389">
        <v>2.3731633390831459</v>
      </c>
      <c r="K96" s="1469">
        <v>42153</v>
      </c>
      <c r="L96" s="1470" t="s">
        <v>2129</v>
      </c>
      <c r="M96" s="1471">
        <v>4.9036999999999997E-2</v>
      </c>
      <c r="N96" s="1472">
        <v>1.0300670207041798</v>
      </c>
      <c r="O96" s="1472">
        <v>1.0300670207041798</v>
      </c>
    </row>
    <row r="97" spans="2:15">
      <c r="B97" s="1388">
        <v>35370</v>
      </c>
      <c r="C97" s="1389">
        <v>134.24199999999999</v>
      </c>
      <c r="D97" s="1389">
        <v>1356.86</v>
      </c>
      <c r="E97" s="1389">
        <v>1.018952291397875</v>
      </c>
      <c r="F97" s="1389">
        <v>2.4181402222202037</v>
      </c>
      <c r="K97" s="1469">
        <v>42154</v>
      </c>
      <c r="L97" s="1470"/>
      <c r="M97" s="1471">
        <v>0</v>
      </c>
      <c r="N97" s="1472">
        <v>1.0300670207041798</v>
      </c>
      <c r="O97" s="1472">
        <v>1.0300670207041798</v>
      </c>
    </row>
    <row r="98" spans="2:15">
      <c r="B98" s="1388">
        <v>35400</v>
      </c>
      <c r="C98" s="1389">
        <v>135.22499999999999</v>
      </c>
      <c r="D98" s="1389">
        <v>1363.24</v>
      </c>
      <c r="E98" s="1389">
        <v>1.0189221360623306</v>
      </c>
      <c r="F98" s="1389">
        <v>2.4638966005228489</v>
      </c>
      <c r="K98" s="1469">
        <v>42155</v>
      </c>
      <c r="L98" s="1470"/>
      <c r="M98" s="1471">
        <v>0</v>
      </c>
      <c r="N98" s="1472">
        <v>1.0300670207041798</v>
      </c>
      <c r="O98" s="1472">
        <v>1.0300670207041798</v>
      </c>
    </row>
    <row r="99" spans="2:15">
      <c r="B99" s="1388">
        <v>35431</v>
      </c>
      <c r="C99" s="1389">
        <v>137.613</v>
      </c>
      <c r="D99" s="1389">
        <v>1379.33</v>
      </c>
      <c r="E99" s="1389">
        <v>1.0182168360386268</v>
      </c>
      <c r="F99" s="1389">
        <v>2.5087810009107034</v>
      </c>
      <c r="K99" s="1469">
        <v>42156</v>
      </c>
      <c r="L99" s="1470" t="s">
        <v>2129</v>
      </c>
      <c r="M99" s="1471">
        <v>4.9036999999999997E-2</v>
      </c>
      <c r="N99" s="1472">
        <v>1.0305721346691226</v>
      </c>
      <c r="O99" s="1472">
        <v>1.0305721346691226</v>
      </c>
    </row>
    <row r="100" spans="2:15">
      <c r="B100" s="1388">
        <v>35462</v>
      </c>
      <c r="C100" s="1389">
        <v>138.20400000000001</v>
      </c>
      <c r="D100" s="1389">
        <v>1386.23</v>
      </c>
      <c r="E100" s="1389">
        <v>1.018615977536991</v>
      </c>
      <c r="F100" s="1389">
        <v>2.5554844116688868</v>
      </c>
      <c r="K100" s="1469">
        <v>42157</v>
      </c>
      <c r="L100" s="1470" t="s">
        <v>2129</v>
      </c>
      <c r="M100" s="1471">
        <v>4.9036999999999997E-2</v>
      </c>
      <c r="N100" s="1472">
        <v>1.0310774963268003</v>
      </c>
      <c r="O100" s="1472">
        <v>1.0310774963268003</v>
      </c>
    </row>
    <row r="101" spans="2:15">
      <c r="B101" s="1388">
        <v>35490</v>
      </c>
      <c r="C101" s="1389">
        <v>139.79499999999999</v>
      </c>
      <c r="D101" s="1389">
        <v>1393.3</v>
      </c>
      <c r="E101" s="1389">
        <v>1.0181653196053577</v>
      </c>
      <c r="F101" s="1389">
        <v>2.6019056027533618</v>
      </c>
      <c r="K101" s="1469">
        <v>42158</v>
      </c>
      <c r="L101" s="1470" t="s">
        <v>2129</v>
      </c>
      <c r="M101" s="1471">
        <v>4.9036999999999997E-2</v>
      </c>
      <c r="N101" s="1472">
        <v>1.0315831057986742</v>
      </c>
      <c r="O101" s="1472">
        <v>1.0315831057986742</v>
      </c>
    </row>
    <row r="102" spans="2:15">
      <c r="B102" s="1388">
        <v>35521</v>
      </c>
      <c r="C102" s="1389">
        <v>140.74199999999999</v>
      </c>
      <c r="D102" s="1389">
        <v>1405.56</v>
      </c>
      <c r="E102" s="1389">
        <v>1.0174130782041242</v>
      </c>
      <c r="F102" s="1389">
        <v>2.6472127884938548</v>
      </c>
      <c r="K102" s="1469">
        <v>42159</v>
      </c>
      <c r="L102" s="1470"/>
      <c r="M102" s="1471">
        <v>0</v>
      </c>
      <c r="N102" s="1472">
        <v>1.0315831057986742</v>
      </c>
      <c r="O102" s="1472">
        <v>1.0315831057986742</v>
      </c>
    </row>
    <row r="103" spans="2:15">
      <c r="B103" s="1388">
        <v>35551</v>
      </c>
      <c r="C103" s="1389">
        <v>141.04</v>
      </c>
      <c r="D103" s="1389">
        <v>1411.32</v>
      </c>
      <c r="E103" s="1389">
        <v>1.0173859708262292</v>
      </c>
      <c r="F103" s="1389">
        <v>2.6932371528054295</v>
      </c>
      <c r="K103" s="1469">
        <v>42160</v>
      </c>
      <c r="L103" s="1470" t="s">
        <v>2129</v>
      </c>
      <c r="M103" s="1471">
        <v>5.0788E-2</v>
      </c>
      <c r="N103" s="1472">
        <v>1.0321070262264471</v>
      </c>
      <c r="O103" s="1472">
        <v>1.0321070262264471</v>
      </c>
    </row>
    <row r="104" spans="2:15">
      <c r="B104" s="1388">
        <v>35582</v>
      </c>
      <c r="C104" s="1389">
        <v>142.09</v>
      </c>
      <c r="D104" s="1389">
        <v>1418.94</v>
      </c>
      <c r="E104" s="1389">
        <v>1.0160683269749473</v>
      </c>
      <c r="F104" s="1389">
        <v>2.7365129679977831</v>
      </c>
      <c r="K104" s="1469">
        <v>42161</v>
      </c>
      <c r="L104" s="1470"/>
      <c r="M104" s="1471">
        <v>0</v>
      </c>
      <c r="N104" s="1472">
        <v>1.0321070262264471</v>
      </c>
      <c r="O104" s="1472">
        <v>1.0321070262264471</v>
      </c>
    </row>
    <row r="105" spans="2:15">
      <c r="B105" s="1388">
        <v>35612</v>
      </c>
      <c r="C105" s="1389">
        <v>142.221</v>
      </c>
      <c r="D105" s="1389">
        <v>1422.06</v>
      </c>
      <c r="E105" s="1389">
        <v>1.0160384417373229</v>
      </c>
      <c r="F105" s="1389">
        <v>2.7804023717984441</v>
      </c>
      <c r="K105" s="1469">
        <v>42162</v>
      </c>
      <c r="L105" s="1470"/>
      <c r="M105" s="1471">
        <v>0</v>
      </c>
      <c r="N105" s="1472">
        <v>1.0321070262264471</v>
      </c>
      <c r="O105" s="1472">
        <v>1.0321070262264471</v>
      </c>
    </row>
    <row r="106" spans="2:15">
      <c r="B106" s="1388">
        <v>35643</v>
      </c>
      <c r="C106" s="1389">
        <v>142.35300000000001</v>
      </c>
      <c r="D106" s="1389">
        <v>1421.78</v>
      </c>
      <c r="E106" s="1389">
        <v>1.0158585469231169</v>
      </c>
      <c r="F106" s="1389">
        <v>2.8244955132767555</v>
      </c>
      <c r="K106" s="1469">
        <v>42163</v>
      </c>
      <c r="L106" s="1470" t="s">
        <v>2129</v>
      </c>
      <c r="M106" s="1471">
        <v>5.0788E-2</v>
      </c>
      <c r="N106" s="1472">
        <v>1.0326312127429271</v>
      </c>
      <c r="O106" s="1472">
        <v>1.0326312127429271</v>
      </c>
    </row>
    <row r="107" spans="2:15">
      <c r="B107" s="1388">
        <v>35674</v>
      </c>
      <c r="C107" s="1389">
        <v>143.042</v>
      </c>
      <c r="D107" s="1389">
        <v>1422.63</v>
      </c>
      <c r="E107" s="1389">
        <v>1.0159028051900765</v>
      </c>
      <c r="F107" s="1389">
        <v>2.869412915184641</v>
      </c>
      <c r="K107" s="1469">
        <v>42164</v>
      </c>
      <c r="L107" s="1470" t="s">
        <v>2129</v>
      </c>
      <c r="M107" s="1471">
        <v>5.0788E-2</v>
      </c>
      <c r="N107" s="1472">
        <v>1.033155665483255</v>
      </c>
      <c r="O107" s="1472">
        <v>1.033155665483255</v>
      </c>
    </row>
    <row r="108" spans="2:15">
      <c r="B108" s="1388">
        <v>35704</v>
      </c>
      <c r="C108" s="1389">
        <v>143.56700000000001</v>
      </c>
      <c r="D108" s="1389">
        <v>1425.9</v>
      </c>
      <c r="E108" s="1389">
        <v>1.0167288802763557</v>
      </c>
      <c r="F108" s="1389">
        <v>2.9174149803061935</v>
      </c>
      <c r="K108" s="1469">
        <v>42165</v>
      </c>
      <c r="L108" s="1470" t="s">
        <v>2129</v>
      </c>
      <c r="M108" s="1471">
        <v>5.0788E-2</v>
      </c>
      <c r="N108" s="1472">
        <v>1.0336803845826406</v>
      </c>
      <c r="O108" s="1472">
        <v>1.0336803845826406</v>
      </c>
    </row>
    <row r="109" spans="2:15">
      <c r="B109" s="1388">
        <v>35735</v>
      </c>
      <c r="C109" s="1389">
        <v>144.48099999999999</v>
      </c>
      <c r="D109" s="1389">
        <v>1428.32</v>
      </c>
      <c r="E109" s="1389">
        <v>1.0304347964479648</v>
      </c>
      <c r="F109" s="1389">
        <v>3.0062059113860555</v>
      </c>
      <c r="K109" s="1469">
        <v>42166</v>
      </c>
      <c r="L109" s="1470" t="s">
        <v>2129</v>
      </c>
      <c r="M109" s="1471">
        <v>5.0788E-2</v>
      </c>
      <c r="N109" s="1472">
        <v>1.0342053701763625</v>
      </c>
      <c r="O109" s="1472">
        <v>1.0342053701763625</v>
      </c>
    </row>
    <row r="110" spans="2:15">
      <c r="B110" s="1388">
        <v>35765</v>
      </c>
      <c r="C110" s="1389">
        <v>145.69499999999999</v>
      </c>
      <c r="D110" s="1389">
        <v>1434.46</v>
      </c>
      <c r="E110" s="1389">
        <v>1.0311549813439238</v>
      </c>
      <c r="F110" s="1389">
        <v>3.0998642004712815</v>
      </c>
      <c r="K110" s="1469">
        <v>42167</v>
      </c>
      <c r="L110" s="1470" t="s">
        <v>2129</v>
      </c>
      <c r="M110" s="1471">
        <v>5.0788E-2</v>
      </c>
      <c r="N110" s="1472">
        <v>1.0347306223997677</v>
      </c>
      <c r="O110" s="1472">
        <v>1.0347306223997677</v>
      </c>
    </row>
    <row r="111" spans="2:15">
      <c r="B111" s="1388">
        <v>35796</v>
      </c>
      <c r="C111" s="1389">
        <v>147.09100000000001</v>
      </c>
      <c r="D111" s="1389">
        <v>1444.64</v>
      </c>
      <c r="E111" s="1389">
        <v>1.0280960413836384</v>
      </c>
      <c r="F111" s="1389">
        <v>3.1869581133313818</v>
      </c>
      <c r="K111" s="1469">
        <v>42168</v>
      </c>
      <c r="L111" s="1470"/>
      <c r="M111" s="1471">
        <v>0</v>
      </c>
      <c r="N111" s="1472">
        <v>1.0347306223997677</v>
      </c>
      <c r="O111" s="1472">
        <v>1.0347306223997677</v>
      </c>
    </row>
    <row r="112" spans="2:15">
      <c r="B112" s="1388">
        <v>35827</v>
      </c>
      <c r="C112" s="1389">
        <v>147.35599999999999</v>
      </c>
      <c r="D112" s="1389">
        <v>1451.29</v>
      </c>
      <c r="E112" s="1389">
        <v>1.0236711069024262</v>
      </c>
      <c r="F112" s="1389">
        <v>3.2623969395256034</v>
      </c>
      <c r="K112" s="1469">
        <v>42169</v>
      </c>
      <c r="L112" s="1470"/>
      <c r="M112" s="1471">
        <v>0</v>
      </c>
      <c r="N112" s="1472">
        <v>1.0347306223997677</v>
      </c>
      <c r="O112" s="1472">
        <v>1.0347306223997677</v>
      </c>
    </row>
    <row r="113" spans="2:15">
      <c r="B113" s="1388">
        <v>35855</v>
      </c>
      <c r="C113" s="1389">
        <v>147.63499999999999</v>
      </c>
      <c r="D113" s="1389">
        <v>1456.22</v>
      </c>
      <c r="E113" s="1389">
        <v>1.0220072916308196</v>
      </c>
      <c r="F113" s="1389">
        <v>3.3341934603892365</v>
      </c>
      <c r="K113" s="1469">
        <v>42170</v>
      </c>
      <c r="L113" s="1470" t="s">
        <v>2129</v>
      </c>
      <c r="M113" s="1471">
        <v>5.0788E-2</v>
      </c>
      <c r="N113" s="1472">
        <v>1.0352561413882722</v>
      </c>
      <c r="O113" s="1472">
        <v>1.0352561413882722</v>
      </c>
    </row>
    <row r="114" spans="2:15">
      <c r="B114" s="1388">
        <v>35886</v>
      </c>
      <c r="C114" s="1389">
        <v>147.821</v>
      </c>
      <c r="D114" s="1389">
        <v>1459.71</v>
      </c>
      <c r="E114" s="1389">
        <v>1.0199031041694671</v>
      </c>
      <c r="F114" s="1389">
        <v>3.4005542601525192</v>
      </c>
      <c r="K114" s="1469">
        <v>42171</v>
      </c>
      <c r="L114" s="1470" t="s">
        <v>2129</v>
      </c>
      <c r="M114" s="1471">
        <v>5.0788E-2</v>
      </c>
      <c r="N114" s="1472">
        <v>1.0357819272773605</v>
      </c>
      <c r="O114" s="1472">
        <v>1.0357819272773605</v>
      </c>
    </row>
    <row r="115" spans="2:15">
      <c r="B115" s="1388">
        <v>35916</v>
      </c>
      <c r="C115" s="1389">
        <v>148.02099999999999</v>
      </c>
      <c r="D115" s="1389">
        <v>1467.01</v>
      </c>
      <c r="E115" s="1389">
        <v>1.0171306475499944</v>
      </c>
      <c r="F115" s="1389">
        <v>3.4588079566578238</v>
      </c>
      <c r="K115" s="1469">
        <v>42172</v>
      </c>
      <c r="L115" s="1470" t="s">
        <v>2129</v>
      </c>
      <c r="M115" s="1471">
        <v>5.0788E-2</v>
      </c>
      <c r="N115" s="1472">
        <v>1.0363079802025861</v>
      </c>
      <c r="O115" s="1472">
        <v>1.0363079802025861</v>
      </c>
    </row>
    <row r="116" spans="2:15">
      <c r="B116" s="1388">
        <v>35947</v>
      </c>
      <c r="C116" s="1389">
        <v>148.58799999999999</v>
      </c>
      <c r="D116" s="1389">
        <v>1467.3</v>
      </c>
      <c r="E116" s="1389">
        <v>1.0167959651913006</v>
      </c>
      <c r="F116" s="1389">
        <v>3.5169019747012422</v>
      </c>
      <c r="K116" s="1469">
        <v>42173</v>
      </c>
      <c r="L116" s="1470" t="s">
        <v>2129</v>
      </c>
      <c r="M116" s="1471">
        <v>5.0788E-2</v>
      </c>
      <c r="N116" s="1472">
        <v>1.0368343002995715</v>
      </c>
      <c r="O116" s="1472">
        <v>1.0368343002995715</v>
      </c>
    </row>
    <row r="117" spans="2:15">
      <c r="B117" s="1388">
        <v>35977</v>
      </c>
      <c r="C117" s="1389">
        <v>148.339</v>
      </c>
      <c r="D117" s="1389">
        <v>1465.54</v>
      </c>
      <c r="E117" s="1389">
        <v>1.0170373206405035</v>
      </c>
      <c r="F117" s="1389">
        <v>3.5768205613054471</v>
      </c>
      <c r="K117" s="1469">
        <v>42174</v>
      </c>
      <c r="L117" s="1470" t="s">
        <v>2129</v>
      </c>
      <c r="M117" s="1471">
        <v>5.0788E-2</v>
      </c>
      <c r="N117" s="1472">
        <v>1.0373608877040077</v>
      </c>
      <c r="O117" s="1472">
        <v>1.0373608877040077</v>
      </c>
    </row>
    <row r="118" spans="2:15">
      <c r="B118" s="1388">
        <v>36008</v>
      </c>
      <c r="C118" s="1389">
        <v>148.10900000000001</v>
      </c>
      <c r="D118" s="1389">
        <v>1458.07</v>
      </c>
      <c r="E118" s="1389">
        <v>1.0147631694962493</v>
      </c>
      <c r="F118" s="1389">
        <v>3.6296257695096692</v>
      </c>
      <c r="K118" s="1469">
        <v>42175</v>
      </c>
      <c r="L118" s="1470"/>
      <c r="M118" s="1471">
        <v>0</v>
      </c>
      <c r="N118" s="1472">
        <v>1.0373608877040077</v>
      </c>
      <c r="O118" s="1472">
        <v>1.0373608877040077</v>
      </c>
    </row>
    <row r="119" spans="2:15">
      <c r="B119" s="1388">
        <v>36039</v>
      </c>
      <c r="C119" s="1389">
        <v>147.98400000000001</v>
      </c>
      <c r="D119" s="1389">
        <v>1454.86</v>
      </c>
      <c r="E119" s="1389">
        <v>1.0255896332244516</v>
      </c>
      <c r="F119" s="1389">
        <v>3.7225065616934394</v>
      </c>
      <c r="K119" s="1469">
        <v>42176</v>
      </c>
      <c r="L119" s="1470"/>
      <c r="M119" s="1471">
        <v>0</v>
      </c>
      <c r="N119" s="1472">
        <v>1.0373608877040077</v>
      </c>
      <c r="O119" s="1472">
        <v>1.0373608877040077</v>
      </c>
    </row>
    <row r="120" spans="2:15">
      <c r="B120" s="1388">
        <v>36069</v>
      </c>
      <c r="C120" s="1389">
        <v>148.1</v>
      </c>
      <c r="D120" s="1389">
        <v>1455.15</v>
      </c>
      <c r="E120" s="1389">
        <v>1.0308188720930029</v>
      </c>
      <c r="F120" s="1389">
        <v>3.8372300152836338</v>
      </c>
      <c r="K120" s="1469">
        <v>42177</v>
      </c>
      <c r="L120" s="1470" t="s">
        <v>2129</v>
      </c>
      <c r="M120" s="1471">
        <v>5.0788E-2</v>
      </c>
      <c r="N120" s="1472">
        <v>1.0378877425516548</v>
      </c>
      <c r="O120" s="1472">
        <v>1.0378877425516548</v>
      </c>
    </row>
    <row r="121" spans="2:15">
      <c r="B121" s="1388">
        <v>36100</v>
      </c>
      <c r="C121" s="1389">
        <v>147.62799999999999</v>
      </c>
      <c r="D121" s="1389">
        <v>1453.4</v>
      </c>
      <c r="E121" s="1389">
        <v>1.0277678356785036</v>
      </c>
      <c r="F121" s="1389">
        <v>3.9437815878086515</v>
      </c>
      <c r="K121" s="1469">
        <v>42178</v>
      </c>
      <c r="L121" s="1470" t="s">
        <v>2129</v>
      </c>
      <c r="M121" s="1471">
        <v>5.0788E-2</v>
      </c>
      <c r="N121" s="1472">
        <v>1.038414864978342</v>
      </c>
      <c r="O121" s="1472">
        <v>1.038414864978342</v>
      </c>
    </row>
    <row r="122" spans="2:15">
      <c r="B122" s="1388">
        <v>36130</v>
      </c>
      <c r="C122" s="1389">
        <v>148.291</v>
      </c>
      <c r="D122" s="1389">
        <v>1458.2</v>
      </c>
      <c r="E122" s="1389">
        <v>1.025049538167373</v>
      </c>
      <c r="F122" s="1389">
        <v>4.0425714952162473</v>
      </c>
      <c r="K122" s="1469">
        <v>42179</v>
      </c>
      <c r="L122" s="1470" t="s">
        <v>2129</v>
      </c>
      <c r="M122" s="1471">
        <v>5.0788E-2</v>
      </c>
      <c r="N122" s="1472">
        <v>1.0389422551199672</v>
      </c>
      <c r="O122" s="1472">
        <v>1.0389422551199672</v>
      </c>
    </row>
    <row r="123" spans="2:15">
      <c r="B123" s="1388">
        <v>36161</v>
      </c>
      <c r="C123" s="1389">
        <v>149.53299999999999</v>
      </c>
      <c r="D123" s="1389">
        <v>1468.41</v>
      </c>
      <c r="E123" s="1389">
        <v>1.022811290449001</v>
      </c>
      <c r="F123" s="1389">
        <v>4.1347877677544771</v>
      </c>
      <c r="K123" s="1469">
        <v>42180</v>
      </c>
      <c r="L123" s="1470" t="s">
        <v>2129</v>
      </c>
      <c r="M123" s="1471">
        <v>5.0788E-2</v>
      </c>
      <c r="N123" s="1472">
        <v>1.0394699131124976</v>
      </c>
      <c r="O123" s="1472">
        <v>1.0394699131124976</v>
      </c>
    </row>
    <row r="124" spans="2:15">
      <c r="B124" s="1388">
        <v>36192</v>
      </c>
      <c r="C124" s="1389">
        <v>154.93299999999999</v>
      </c>
      <c r="D124" s="1389">
        <v>1483.83</v>
      </c>
      <c r="E124" s="1389">
        <v>1.0264662861429437</v>
      </c>
      <c r="F124" s="1389">
        <v>4.2442202439562102</v>
      </c>
      <c r="K124" s="1469">
        <v>42181</v>
      </c>
      <c r="L124" s="1470" t="s">
        <v>2129</v>
      </c>
      <c r="M124" s="1471">
        <v>5.0788E-2</v>
      </c>
      <c r="N124" s="1472">
        <v>1.0399978390919691</v>
      </c>
      <c r="O124" s="1472">
        <v>1.0399978390919691</v>
      </c>
    </row>
    <row r="125" spans="2:15">
      <c r="B125" s="1388">
        <v>36220</v>
      </c>
      <c r="C125" s="1389">
        <v>159.32499999999999</v>
      </c>
      <c r="D125" s="1389">
        <v>1500.15</v>
      </c>
      <c r="E125" s="1389">
        <v>1.033345195070198</v>
      </c>
      <c r="F125" s="1389">
        <v>4.3857445959118131</v>
      </c>
      <c r="K125" s="1469">
        <v>42182</v>
      </c>
      <c r="L125" s="1470"/>
      <c r="M125" s="1471">
        <v>0</v>
      </c>
      <c r="N125" s="1472">
        <v>1.0399978390919691</v>
      </c>
      <c r="O125" s="1472">
        <v>1.0399978390919691</v>
      </c>
    </row>
    <row r="126" spans="2:15">
      <c r="B126" s="1388">
        <v>36251</v>
      </c>
      <c r="C126" s="1389">
        <v>160.459</v>
      </c>
      <c r="D126" s="1389">
        <v>1508.55</v>
      </c>
      <c r="E126" s="1389">
        <v>1.027563660965396</v>
      </c>
      <c r="F126" s="1389">
        <v>4.5066317730343437</v>
      </c>
      <c r="K126" s="1469">
        <v>42183</v>
      </c>
      <c r="L126" s="1470"/>
      <c r="M126" s="1471">
        <v>0</v>
      </c>
      <c r="N126" s="1472">
        <v>1.0399978390919691</v>
      </c>
      <c r="O126" s="1472">
        <v>1.0399978390919691</v>
      </c>
    </row>
    <row r="127" spans="2:15">
      <c r="B127" s="1388">
        <v>36281</v>
      </c>
      <c r="C127" s="1389">
        <v>159.99600000000001</v>
      </c>
      <c r="D127" s="1389">
        <v>1513.08</v>
      </c>
      <c r="E127" s="1389">
        <v>1.0201883000304468</v>
      </c>
      <c r="F127" s="1389">
        <v>4.5976130073951058</v>
      </c>
      <c r="K127" s="1469">
        <v>42184</v>
      </c>
      <c r="L127" s="1470" t="s">
        <v>2129</v>
      </c>
      <c r="M127" s="1471">
        <v>5.0788E-2</v>
      </c>
      <c r="N127" s="1472">
        <v>1.0405260331944872</v>
      </c>
      <c r="O127" s="1472">
        <v>1.0405260331944872</v>
      </c>
    </row>
    <row r="128" spans="2:15">
      <c r="B128" s="1388">
        <v>36312</v>
      </c>
      <c r="C128" s="1389">
        <v>160.57300000000001</v>
      </c>
      <c r="D128" s="1389">
        <v>1515.95</v>
      </c>
      <c r="E128" s="1389">
        <v>1.0175637707499077</v>
      </c>
      <c r="F128" s="1389">
        <v>4.6783644282537873</v>
      </c>
      <c r="K128" s="1469">
        <v>42185</v>
      </c>
      <c r="L128" s="1470" t="s">
        <v>2129</v>
      </c>
      <c r="M128" s="1471">
        <v>5.0788E-2</v>
      </c>
      <c r="N128" s="1472">
        <v>1.041054495556226</v>
      </c>
      <c r="O128" s="1472">
        <v>1.041054495556226</v>
      </c>
    </row>
    <row r="129" spans="2:15">
      <c r="B129" s="1388">
        <v>36342</v>
      </c>
      <c r="C129" s="1389">
        <v>163.06</v>
      </c>
      <c r="D129" s="1389">
        <v>1532.47</v>
      </c>
      <c r="E129" s="1389">
        <v>1.0165876375704719</v>
      </c>
      <c r="F129" s="1389">
        <v>4.7559674418122491</v>
      </c>
      <c r="K129" s="1469">
        <v>42186</v>
      </c>
      <c r="L129" s="1470" t="s">
        <v>2129</v>
      </c>
      <c r="M129" s="1471">
        <v>5.0788E-2</v>
      </c>
      <c r="N129" s="1472">
        <v>1.041583226313429</v>
      </c>
      <c r="O129" s="1472">
        <v>1.041583226313429</v>
      </c>
    </row>
    <row r="130" spans="2:15">
      <c r="B130" s="1388">
        <v>36373</v>
      </c>
      <c r="C130" s="1389">
        <v>165.60300000000001</v>
      </c>
      <c r="D130" s="1389">
        <v>1541.05</v>
      </c>
      <c r="E130" s="1389">
        <v>1.0156847483880824</v>
      </c>
      <c r="F130" s="1389">
        <v>4.8305635944789866</v>
      </c>
      <c r="K130" s="1469">
        <v>42187</v>
      </c>
      <c r="L130" s="1470" t="s">
        <v>2129</v>
      </c>
      <c r="M130" s="1471">
        <v>5.0788E-2</v>
      </c>
      <c r="N130" s="1472">
        <v>1.0421122256024091</v>
      </c>
      <c r="O130" s="1472">
        <v>1.0421122256024091</v>
      </c>
    </row>
    <row r="131" spans="2:15">
      <c r="B131" s="1388">
        <v>36404</v>
      </c>
      <c r="C131" s="1389">
        <v>167.99700000000001</v>
      </c>
      <c r="D131" s="1389">
        <v>1545.83</v>
      </c>
      <c r="E131" s="1389">
        <v>1.0155901672784533</v>
      </c>
      <c r="F131" s="1389">
        <v>4.9058728889661207</v>
      </c>
      <c r="K131" s="1469">
        <v>42188</v>
      </c>
      <c r="L131" s="1470" t="s">
        <v>2129</v>
      </c>
      <c r="M131" s="1471">
        <v>5.0788E-2</v>
      </c>
      <c r="N131" s="1472">
        <v>1.042641493559548</v>
      </c>
      <c r="O131" s="1472">
        <v>1.042641493559548</v>
      </c>
    </row>
    <row r="132" spans="2:15">
      <c r="B132" s="1388">
        <v>36434</v>
      </c>
      <c r="C132" s="1389">
        <v>170.86099999999999</v>
      </c>
      <c r="D132" s="1389">
        <v>1564.23</v>
      </c>
      <c r="E132" s="1389">
        <v>1.0145370189540868</v>
      </c>
      <c r="F132" s="1389">
        <v>4.9771896561393616</v>
      </c>
      <c r="K132" s="1469">
        <v>42189</v>
      </c>
      <c r="L132" s="1470"/>
      <c r="M132" s="1471">
        <v>0</v>
      </c>
      <c r="N132" s="1472">
        <v>1.042641493559548</v>
      </c>
      <c r="O132" s="1472">
        <v>1.042641493559548</v>
      </c>
    </row>
    <row r="133" spans="2:15">
      <c r="B133" s="1388">
        <v>36465</v>
      </c>
      <c r="C133" s="1389">
        <v>174.93899999999999</v>
      </c>
      <c r="D133" s="1389">
        <v>1579.09</v>
      </c>
      <c r="E133" s="1389">
        <v>1.0152599173733607</v>
      </c>
      <c r="F133" s="1389">
        <v>5.0531411590435944</v>
      </c>
      <c r="K133" s="1469">
        <v>42190</v>
      </c>
      <c r="L133" s="1470"/>
      <c r="M133" s="1471">
        <v>0</v>
      </c>
      <c r="N133" s="1472">
        <v>1.042641493559548</v>
      </c>
      <c r="O133" s="1472">
        <v>1.042641493559548</v>
      </c>
    </row>
    <row r="134" spans="2:15">
      <c r="B134" s="1388">
        <v>36495</v>
      </c>
      <c r="C134" s="1389">
        <v>178.09899999999999</v>
      </c>
      <c r="D134" s="1389">
        <v>1588.56</v>
      </c>
      <c r="E134" s="1389">
        <v>1.0159962861507461</v>
      </c>
      <c r="F134" s="1389">
        <v>5.1339726509837682</v>
      </c>
      <c r="K134" s="1469">
        <v>42191</v>
      </c>
      <c r="L134" s="1470" t="s">
        <v>2129</v>
      </c>
      <c r="M134" s="1471">
        <v>5.0788E-2</v>
      </c>
      <c r="N134" s="1472">
        <v>1.0431710303212971</v>
      </c>
      <c r="O134" s="1472">
        <v>1.0431710303212971</v>
      </c>
    </row>
    <row r="135" spans="2:15">
      <c r="B135" s="1388">
        <v>36526</v>
      </c>
      <c r="C135" s="1389">
        <v>180.30099999999999</v>
      </c>
      <c r="D135" s="1389">
        <v>1598.41</v>
      </c>
      <c r="E135" s="1389">
        <v>1.0145573263269665</v>
      </c>
      <c r="F135" s="1389">
        <v>5.20870956621786</v>
      </c>
      <c r="K135" s="1469">
        <v>42192</v>
      </c>
      <c r="L135" s="1470" t="s">
        <v>2129</v>
      </c>
      <c r="M135" s="1471">
        <v>5.0788E-2</v>
      </c>
      <c r="N135" s="1472">
        <v>1.0437008360241766</v>
      </c>
      <c r="O135" s="1472">
        <v>1.0437008360241766</v>
      </c>
    </row>
    <row r="136" spans="2:15">
      <c r="B136" s="1388">
        <v>36557</v>
      </c>
      <c r="C136" s="1389">
        <v>180.935</v>
      </c>
      <c r="D136" s="1389">
        <v>1600.49</v>
      </c>
      <c r="E136" s="1389">
        <v>1.0145089461247463</v>
      </c>
      <c r="F136" s="1389">
        <v>5.2842824526935654</v>
      </c>
      <c r="K136" s="1469">
        <v>42193</v>
      </c>
      <c r="L136" s="1470" t="s">
        <v>2129</v>
      </c>
      <c r="M136" s="1471">
        <v>5.0788E-2</v>
      </c>
      <c r="N136" s="1472">
        <v>1.0442309108047767</v>
      </c>
      <c r="O136" s="1472">
        <v>1.0442309108047767</v>
      </c>
    </row>
    <row r="137" spans="2:15">
      <c r="B137" s="1388">
        <v>36586</v>
      </c>
      <c r="C137" s="1389">
        <v>181.214</v>
      </c>
      <c r="D137" s="1389">
        <v>1604.01</v>
      </c>
      <c r="E137" s="1389">
        <v>1.0158860407835757</v>
      </c>
      <c r="F137" s="1389">
        <v>5.3682287792489891</v>
      </c>
      <c r="K137" s="1469">
        <v>42194</v>
      </c>
      <c r="L137" s="1470" t="s">
        <v>2129</v>
      </c>
      <c r="M137" s="1471">
        <v>5.0788E-2</v>
      </c>
      <c r="N137" s="1472">
        <v>1.0447612547997562</v>
      </c>
      <c r="O137" s="1472">
        <v>1.0447612547997562</v>
      </c>
    </row>
    <row r="138" spans="2:15">
      <c r="B138" s="1388">
        <v>36617</v>
      </c>
      <c r="C138" s="1389">
        <v>181.63499999999999</v>
      </c>
      <c r="D138" s="1389">
        <v>1610.75</v>
      </c>
      <c r="E138" s="1389">
        <v>1.0136441914221253</v>
      </c>
      <c r="F138" s="1389">
        <v>5.4414739203108242</v>
      </c>
      <c r="K138" s="1469">
        <v>42195</v>
      </c>
      <c r="L138" s="1470" t="s">
        <v>2129</v>
      </c>
      <c r="M138" s="1471">
        <v>5.0788E-2</v>
      </c>
      <c r="N138" s="1472">
        <v>1.0452918681458438</v>
      </c>
      <c r="O138" s="1472">
        <v>1.0452918681458438</v>
      </c>
    </row>
    <row r="139" spans="2:15">
      <c r="B139" s="1388">
        <v>36647</v>
      </c>
      <c r="C139" s="1389">
        <v>182.18899999999999</v>
      </c>
      <c r="D139" s="1389">
        <v>1610.91</v>
      </c>
      <c r="E139" s="1389">
        <v>1.0156265899953318</v>
      </c>
      <c r="F139" s="1389">
        <v>5.5265056022338124</v>
      </c>
      <c r="K139" s="1469">
        <v>42196</v>
      </c>
      <c r="L139" s="1470"/>
      <c r="M139" s="1471">
        <v>0</v>
      </c>
      <c r="N139" s="1472">
        <v>1.0452918681458438</v>
      </c>
      <c r="O139" s="1472">
        <v>1.0452918681458438</v>
      </c>
    </row>
    <row r="140" spans="2:15">
      <c r="B140" s="1388">
        <v>36678</v>
      </c>
      <c r="C140" s="1389">
        <v>183.745</v>
      </c>
      <c r="D140" s="1389">
        <v>1614.62</v>
      </c>
      <c r="E140" s="1389">
        <v>1.0145668910909638</v>
      </c>
      <c r="F140" s="1389">
        <v>5.6070096074551534</v>
      </c>
      <c r="K140" s="1469">
        <v>42197</v>
      </c>
      <c r="L140" s="1470"/>
      <c r="M140" s="1471">
        <v>0</v>
      </c>
      <c r="N140" s="1472">
        <v>1.0452918681458438</v>
      </c>
      <c r="O140" s="1472">
        <v>1.0452918681458438</v>
      </c>
    </row>
    <row r="141" spans="2:15">
      <c r="B141" s="1388">
        <v>36708</v>
      </c>
      <c r="C141" s="1389">
        <v>186.63399999999999</v>
      </c>
      <c r="D141" s="1389">
        <v>1640.62</v>
      </c>
      <c r="E141" s="1389">
        <v>1.0130599958288005</v>
      </c>
      <c r="F141" s="1389">
        <v>5.6802371295405623</v>
      </c>
      <c r="K141" s="1469">
        <v>42198</v>
      </c>
      <c r="L141" s="1470" t="s">
        <v>2129</v>
      </c>
      <c r="M141" s="1471">
        <v>5.0788E-2</v>
      </c>
      <c r="N141" s="1472">
        <v>1.0458227509798377</v>
      </c>
      <c r="O141" s="1472">
        <v>1.0458227509798377</v>
      </c>
    </row>
    <row r="142" spans="2:15">
      <c r="B142" s="1388">
        <v>36739</v>
      </c>
      <c r="C142" s="1389">
        <v>191.08699999999999</v>
      </c>
      <c r="D142" s="1389">
        <v>1662.11</v>
      </c>
      <c r="E142" s="1389">
        <v>1.0140543715890855</v>
      </c>
      <c r="F142" s="1389">
        <v>5.7600692928732462</v>
      </c>
      <c r="K142" s="1469">
        <v>42199</v>
      </c>
      <c r="L142" s="1470" t="s">
        <v>2129</v>
      </c>
      <c r="M142" s="1471">
        <v>5.0788E-2</v>
      </c>
      <c r="N142" s="1472">
        <v>1.0463539034386053</v>
      </c>
      <c r="O142" s="1472">
        <v>1.0463539034386053</v>
      </c>
    </row>
    <row r="143" spans="2:15">
      <c r="B143" s="1388">
        <v>36770</v>
      </c>
      <c r="C143" s="1389">
        <v>193.297</v>
      </c>
      <c r="D143" s="1389">
        <v>1665.93</v>
      </c>
      <c r="E143" s="1389">
        <v>1.0128508890656427</v>
      </c>
      <c r="F143" s="1389">
        <v>5.8340913043663756</v>
      </c>
      <c r="K143" s="1469">
        <v>42200</v>
      </c>
      <c r="L143" s="1470" t="s">
        <v>2129</v>
      </c>
      <c r="M143" s="1471">
        <v>5.0788E-2</v>
      </c>
      <c r="N143" s="1472">
        <v>1.0468853256590838</v>
      </c>
      <c r="O143" s="1472">
        <v>1.0468853256590838</v>
      </c>
    </row>
    <row r="144" spans="2:15">
      <c r="B144" s="1388">
        <v>36800</v>
      </c>
      <c r="C144" s="1389">
        <v>194.04</v>
      </c>
      <c r="D144" s="1389">
        <v>1668.26</v>
      </c>
      <c r="E144" s="1389">
        <v>1.013495295624836</v>
      </c>
      <c r="F144" s="1389">
        <v>5.9128240912210845</v>
      </c>
      <c r="K144" s="1469">
        <v>42201</v>
      </c>
      <c r="L144" s="1470" t="s">
        <v>2129</v>
      </c>
      <c r="M144" s="1471">
        <v>5.0788E-2</v>
      </c>
      <c r="N144" s="1472">
        <v>1.0474170177782796</v>
      </c>
      <c r="O144" s="1472">
        <v>1.0474170177782796</v>
      </c>
    </row>
    <row r="145" spans="2:15">
      <c r="B145" s="1388">
        <v>36831</v>
      </c>
      <c r="C145" s="1389">
        <v>194.59899999999999</v>
      </c>
      <c r="D145" s="1389">
        <v>1673.6</v>
      </c>
      <c r="E145" s="1389">
        <v>1.013431060777086</v>
      </c>
      <c r="F145" s="1389">
        <v>5.992239590954493</v>
      </c>
      <c r="K145" s="1469">
        <v>42202</v>
      </c>
      <c r="L145" s="1470" t="s">
        <v>2129</v>
      </c>
      <c r="M145" s="1471">
        <v>5.0788E-2</v>
      </c>
      <c r="N145" s="1472">
        <v>1.0479489799332689</v>
      </c>
      <c r="O145" s="1472">
        <v>1.0479489799332689</v>
      </c>
    </row>
    <row r="146" spans="2:15">
      <c r="B146" s="1388">
        <v>36861</v>
      </c>
      <c r="C146" s="1389">
        <v>195.827</v>
      </c>
      <c r="D146" s="1389">
        <v>1683.47</v>
      </c>
      <c r="E146" s="1389">
        <v>1.0125716392096709</v>
      </c>
      <c r="F146" s="1389">
        <v>6.0675718651498789</v>
      </c>
      <c r="K146" s="1469">
        <v>42203</v>
      </c>
      <c r="L146" s="1470"/>
      <c r="M146" s="1471">
        <v>0</v>
      </c>
      <c r="N146" s="1472">
        <v>1.0479489799332689</v>
      </c>
      <c r="O146" s="1472">
        <v>1.0479489799332689</v>
      </c>
    </row>
    <row r="147" spans="2:15">
      <c r="B147" s="1388">
        <v>36892</v>
      </c>
      <c r="C147" s="1389">
        <v>197.04499999999999</v>
      </c>
      <c r="D147" s="1389">
        <v>1693.07</v>
      </c>
      <c r="E147" s="1389">
        <v>1.0126506879847863</v>
      </c>
      <c r="F147" s="1389">
        <v>6.144330823641158</v>
      </c>
      <c r="K147" s="1469">
        <v>42204</v>
      </c>
      <c r="L147" s="1470"/>
      <c r="M147" s="1471">
        <v>0</v>
      </c>
      <c r="N147" s="1472">
        <v>1.0479489799332689</v>
      </c>
      <c r="O147" s="1472">
        <v>1.0479489799332689</v>
      </c>
    </row>
    <row r="148" spans="2:15">
      <c r="B148" s="1388">
        <v>36923</v>
      </c>
      <c r="C148" s="1389">
        <v>197.49100000000001</v>
      </c>
      <c r="D148" s="1389">
        <v>1700.86</v>
      </c>
      <c r="E148" s="1389">
        <v>1.0101583510827936</v>
      </c>
      <c r="F148" s="1389">
        <v>6.206747093316535</v>
      </c>
      <c r="K148" s="1469">
        <v>42205</v>
      </c>
      <c r="L148" s="1470" t="s">
        <v>2129</v>
      </c>
      <c r="M148" s="1471">
        <v>5.0788E-2</v>
      </c>
      <c r="N148" s="1472">
        <v>1.0484812122611973</v>
      </c>
      <c r="O148" s="1472">
        <v>1.0484812122611973</v>
      </c>
    </row>
    <row r="149" spans="2:15">
      <c r="B149" s="1388">
        <v>36951</v>
      </c>
      <c r="C149" s="1389">
        <v>198.60599999999999</v>
      </c>
      <c r="D149" s="1389">
        <v>1707.32</v>
      </c>
      <c r="E149" s="1389">
        <v>1.0125785495836725</v>
      </c>
      <c r="F149" s="1389">
        <v>6.2848189693831324</v>
      </c>
      <c r="K149" s="1469">
        <v>42206</v>
      </c>
      <c r="L149" s="1470" t="s">
        <v>2129</v>
      </c>
      <c r="M149" s="1471">
        <v>5.0788E-2</v>
      </c>
      <c r="N149" s="1472">
        <v>1.0490137148992804</v>
      </c>
      <c r="O149" s="1472">
        <v>1.0490137148992804</v>
      </c>
    </row>
    <row r="150" spans="2:15">
      <c r="B150" s="1388">
        <v>36982</v>
      </c>
      <c r="C150" s="1389">
        <v>200.59100000000001</v>
      </c>
      <c r="D150" s="1389">
        <v>1717.22</v>
      </c>
      <c r="E150" s="1389">
        <v>1.0118637336714187</v>
      </c>
      <c r="F150" s="1389">
        <v>6.3593803878089741</v>
      </c>
      <c r="K150" s="1469">
        <v>42207</v>
      </c>
      <c r="L150" s="1470" t="s">
        <v>2129</v>
      </c>
      <c r="M150" s="1471">
        <v>5.0788E-2</v>
      </c>
      <c r="N150" s="1472">
        <v>1.0495464879848035</v>
      </c>
      <c r="O150" s="1472">
        <v>1.0495464879848035</v>
      </c>
    </row>
    <row r="151" spans="2:15">
      <c r="B151" s="1388">
        <v>37012</v>
      </c>
      <c r="C151" s="1389">
        <v>202.32400000000001</v>
      </c>
      <c r="D151" s="1389">
        <v>1724.26</v>
      </c>
      <c r="E151" s="1389">
        <v>1.0133677002760824</v>
      </c>
      <c r="F151" s="1389">
        <v>6.4443906787748011</v>
      </c>
      <c r="K151" s="1469">
        <v>42208</v>
      </c>
      <c r="L151" s="1470" t="s">
        <v>2129</v>
      </c>
      <c r="M151" s="1471">
        <v>5.0788E-2</v>
      </c>
      <c r="N151" s="1472">
        <v>1.0500795316551212</v>
      </c>
      <c r="O151" s="1472">
        <v>1.0500795316551212</v>
      </c>
    </row>
    <row r="152" spans="2:15">
      <c r="B152" s="1388">
        <v>37043</v>
      </c>
      <c r="C152" s="1389">
        <v>204.31</v>
      </c>
      <c r="D152" s="1389">
        <v>1733.23</v>
      </c>
      <c r="E152" s="1389">
        <v>1.0127331554566117</v>
      </c>
      <c r="F152" s="1389">
        <v>6.5264481071107801</v>
      </c>
      <c r="K152" s="1469">
        <v>42209</v>
      </c>
      <c r="L152" s="1470" t="s">
        <v>2129</v>
      </c>
      <c r="M152" s="1471">
        <v>5.0788E-2</v>
      </c>
      <c r="N152" s="1472">
        <v>1.0506128460476583</v>
      </c>
      <c r="O152" s="1472">
        <v>1.0506128460476583</v>
      </c>
    </row>
    <row r="153" spans="2:15">
      <c r="B153" s="1388">
        <v>37073</v>
      </c>
      <c r="C153" s="1389">
        <v>207.34100000000001</v>
      </c>
      <c r="D153" s="1389">
        <v>1756.28</v>
      </c>
      <c r="E153" s="1389">
        <v>1.014979822756394</v>
      </c>
      <c r="F153" s="1389">
        <v>6.6242131429841029</v>
      </c>
      <c r="K153" s="1469">
        <v>42210</v>
      </c>
      <c r="L153" s="1470"/>
      <c r="M153" s="1471">
        <v>0</v>
      </c>
      <c r="N153" s="1472">
        <v>1.0506128460476583</v>
      </c>
      <c r="O153" s="1472">
        <v>1.0506128460476583</v>
      </c>
    </row>
    <row r="154" spans="2:15">
      <c r="B154" s="1388">
        <v>37104</v>
      </c>
      <c r="C154" s="1389">
        <v>210.21100000000001</v>
      </c>
      <c r="D154" s="1389">
        <v>1768.57</v>
      </c>
      <c r="E154" s="1389">
        <v>1.0160000122718875</v>
      </c>
      <c r="F154" s="1389">
        <v>6.7302006345634471</v>
      </c>
      <c r="K154" s="1469">
        <v>42211</v>
      </c>
      <c r="L154" s="1470"/>
      <c r="M154" s="1471">
        <v>0</v>
      </c>
      <c r="N154" s="1472">
        <v>1.0506128460476583</v>
      </c>
      <c r="O154" s="1472">
        <v>1.0506128460476583</v>
      </c>
    </row>
    <row r="155" spans="2:15">
      <c r="B155" s="1388">
        <v>37135</v>
      </c>
      <c r="C155" s="1389">
        <v>210.85300000000001</v>
      </c>
      <c r="D155" s="1389">
        <v>1773.52</v>
      </c>
      <c r="E155" s="1389">
        <v>1.013243107438228</v>
      </c>
      <c r="F155" s="1389">
        <v>6.8193294046478012</v>
      </c>
      <c r="K155" s="1469">
        <v>42212</v>
      </c>
      <c r="L155" s="1470" t="s">
        <v>2129</v>
      </c>
      <c r="M155" s="1471">
        <v>5.0788E-2</v>
      </c>
      <c r="N155" s="1472">
        <v>1.051146431299909</v>
      </c>
      <c r="O155" s="1472">
        <v>1.051146431299909</v>
      </c>
    </row>
    <row r="156" spans="2:15">
      <c r="B156" s="1388">
        <v>37165</v>
      </c>
      <c r="C156" s="1389">
        <v>213.339</v>
      </c>
      <c r="D156" s="1389">
        <v>1788.24</v>
      </c>
      <c r="E156" s="1389">
        <v>1.0153493751182632</v>
      </c>
      <c r="F156" s="1389">
        <v>6.9240018497347426</v>
      </c>
      <c r="K156" s="1469">
        <v>42213</v>
      </c>
      <c r="L156" s="1470" t="s">
        <v>2129</v>
      </c>
      <c r="M156" s="1471">
        <v>5.0788E-2</v>
      </c>
      <c r="N156" s="1472">
        <v>1.0516802875494375</v>
      </c>
      <c r="O156" s="1472">
        <v>1.0516802875494375</v>
      </c>
    </row>
    <row r="157" spans="2:15">
      <c r="B157" s="1388">
        <v>37196</v>
      </c>
      <c r="C157" s="1389">
        <v>215.685</v>
      </c>
      <c r="D157" s="1389">
        <v>1800.94</v>
      </c>
      <c r="E157" s="1389">
        <v>1.0139343824698488</v>
      </c>
      <c r="F157" s="1389">
        <v>7.0204835397308871</v>
      </c>
      <c r="K157" s="1469">
        <v>42214</v>
      </c>
      <c r="L157" s="1470" t="s">
        <v>2129</v>
      </c>
      <c r="M157" s="1471">
        <v>5.0788E-2</v>
      </c>
      <c r="N157" s="1472">
        <v>1.0522144149338781</v>
      </c>
      <c r="O157" s="1472">
        <v>1.0522144149338781</v>
      </c>
    </row>
    <row r="158" spans="2:15">
      <c r="B158" s="1388">
        <v>37226</v>
      </c>
      <c r="C158" s="1389">
        <v>216.16300000000001</v>
      </c>
      <c r="D158" s="1389">
        <v>1812.65</v>
      </c>
      <c r="E158" s="1389">
        <v>1.0139354159682339</v>
      </c>
      <c r="F158" s="1389">
        <v>7.1183168981551761</v>
      </c>
      <c r="K158" s="1469">
        <v>42215</v>
      </c>
      <c r="L158" s="1470" t="s">
        <v>2129</v>
      </c>
      <c r="M158" s="1471">
        <v>5.2531000000000001E-2</v>
      </c>
      <c r="N158" s="1472">
        <v>1.0527671536881871</v>
      </c>
      <c r="O158" s="1472">
        <v>1.0527671536881871</v>
      </c>
    </row>
    <row r="159" spans="2:15">
      <c r="B159" s="1388">
        <v>37257</v>
      </c>
      <c r="C159" s="1389">
        <v>216.94399999999999</v>
      </c>
      <c r="D159" s="1389">
        <v>1822.08</v>
      </c>
      <c r="E159" s="1389">
        <v>1.0153395939759675</v>
      </c>
      <c r="F159" s="1389">
        <v>7.2275089891651447</v>
      </c>
      <c r="K159" s="1469">
        <v>42216</v>
      </c>
      <c r="L159" s="1470" t="s">
        <v>2129</v>
      </c>
      <c r="M159" s="1471">
        <v>5.2531000000000001E-2</v>
      </c>
      <c r="N159" s="1472">
        <v>1.0533201828016909</v>
      </c>
      <c r="O159" s="1472">
        <v>1.0533201828016909</v>
      </c>
    </row>
    <row r="160" spans="2:15">
      <c r="B160" s="1388">
        <v>37288</v>
      </c>
      <c r="C160" s="1389">
        <v>217.07400000000001</v>
      </c>
      <c r="D160" s="1389">
        <v>1828.64</v>
      </c>
      <c r="E160" s="1389">
        <v>1.012482154231837</v>
      </c>
      <c r="F160" s="1389">
        <v>7.3177238710798918</v>
      </c>
      <c r="K160" s="1469">
        <v>42217</v>
      </c>
      <c r="L160" s="1470"/>
      <c r="M160" s="1471">
        <v>0</v>
      </c>
      <c r="N160" s="1472">
        <v>1.0533201828016909</v>
      </c>
      <c r="O160" s="1472">
        <v>1.0533201828016909</v>
      </c>
    </row>
    <row r="161" spans="2:15">
      <c r="B161" s="1388">
        <v>37316</v>
      </c>
      <c r="C161" s="1389">
        <v>217.27600000000001</v>
      </c>
      <c r="D161" s="1389">
        <v>1839.61</v>
      </c>
      <c r="E161" s="1389">
        <v>1.013713327882185</v>
      </c>
      <c r="F161" s="1389">
        <v>7.4180742178753025</v>
      </c>
      <c r="K161" s="1469">
        <v>42218</v>
      </c>
      <c r="L161" s="1470"/>
      <c r="M161" s="1471">
        <v>0</v>
      </c>
      <c r="N161" s="1472">
        <v>1.0533201828016909</v>
      </c>
      <c r="O161" s="1472">
        <v>1.0533201828016909</v>
      </c>
    </row>
    <row r="162" spans="2:15">
      <c r="B162" s="1388">
        <v>37347</v>
      </c>
      <c r="C162" s="1389">
        <v>218.48599999999999</v>
      </c>
      <c r="D162" s="1389">
        <v>1854.33</v>
      </c>
      <c r="E162" s="1389">
        <v>1.0148356719718208</v>
      </c>
      <c r="F162" s="1389">
        <v>7.5281263336343214</v>
      </c>
      <c r="K162" s="1469">
        <v>42219</v>
      </c>
      <c r="L162" s="1470" t="s">
        <v>2129</v>
      </c>
      <c r="M162" s="1471">
        <v>5.2531000000000001E-2</v>
      </c>
      <c r="N162" s="1472">
        <v>1.0538735024269186</v>
      </c>
      <c r="O162" s="1472">
        <v>1.0538735024269186</v>
      </c>
    </row>
    <row r="163" spans="2:15">
      <c r="B163" s="1388">
        <v>37377</v>
      </c>
      <c r="C163" s="1389">
        <v>220.292</v>
      </c>
      <c r="D163" s="1389">
        <v>1858.22</v>
      </c>
      <c r="E163" s="1389">
        <v>1.0141498936566418</v>
      </c>
      <c r="F163" s="1389">
        <v>7.6346485206890113</v>
      </c>
      <c r="K163" s="1469">
        <v>42220</v>
      </c>
      <c r="L163" s="1470" t="s">
        <v>2129</v>
      </c>
      <c r="M163" s="1471">
        <v>5.2531000000000001E-2</v>
      </c>
      <c r="N163" s="1472">
        <v>1.0544271127164784</v>
      </c>
      <c r="O163" s="1472">
        <v>1.0544271127164784</v>
      </c>
    </row>
    <row r="164" spans="2:15">
      <c r="B164" s="1388">
        <v>37408</v>
      </c>
      <c r="C164" s="1389">
        <v>223.68799999999999</v>
      </c>
      <c r="D164" s="1389">
        <v>1866.02</v>
      </c>
      <c r="E164" s="1389">
        <v>1.0132903281280037</v>
      </c>
      <c r="F164" s="1389">
        <v>7.7361155046709458</v>
      </c>
      <c r="K164" s="1469">
        <v>42221</v>
      </c>
      <c r="L164" s="1470" t="s">
        <v>2129</v>
      </c>
      <c r="M164" s="1471">
        <v>5.2531000000000001E-2</v>
      </c>
      <c r="N164" s="1472">
        <v>1.0549810138230595</v>
      </c>
      <c r="O164" s="1472">
        <v>1.0549810138230595</v>
      </c>
    </row>
    <row r="165" spans="2:15">
      <c r="B165" s="1388">
        <v>37438</v>
      </c>
      <c r="C165" s="1389">
        <v>228.05699999999999</v>
      </c>
      <c r="D165" s="1389">
        <v>1888.23</v>
      </c>
      <c r="E165" s="1389">
        <v>1.0153543455443825</v>
      </c>
      <c r="F165" s="1389">
        <v>7.8548984953009189</v>
      </c>
      <c r="K165" s="1469">
        <v>42222</v>
      </c>
      <c r="L165" s="1470" t="s">
        <v>2129</v>
      </c>
      <c r="M165" s="1471">
        <v>5.2531000000000001E-2</v>
      </c>
      <c r="N165" s="1472">
        <v>1.055535205899431</v>
      </c>
      <c r="O165" s="1472">
        <v>1.055535205899431</v>
      </c>
    </row>
    <row r="166" spans="2:15">
      <c r="B166" s="1388">
        <v>37469</v>
      </c>
      <c r="C166" s="1389">
        <v>233.34800000000001</v>
      </c>
      <c r="D166" s="1389">
        <v>1900.5</v>
      </c>
      <c r="E166" s="1389">
        <v>1.0144340404848073</v>
      </c>
      <c r="F166" s="1389">
        <v>7.9682764181861447</v>
      </c>
      <c r="K166" s="1469">
        <v>42223</v>
      </c>
      <c r="L166" s="1470" t="s">
        <v>2129</v>
      </c>
      <c r="M166" s="1471">
        <v>5.2531000000000001E-2</v>
      </c>
      <c r="N166" s="1472">
        <v>1.0560896890984419</v>
      </c>
      <c r="O166" s="1472">
        <v>1.0560896890984419</v>
      </c>
    </row>
    <row r="167" spans="2:15">
      <c r="B167" s="1388">
        <v>37500</v>
      </c>
      <c r="C167" s="1389">
        <v>238.94300000000001</v>
      </c>
      <c r="D167" s="1389">
        <v>1914.18</v>
      </c>
      <c r="E167" s="1389">
        <v>1.0138126637754254</v>
      </c>
      <c r="F167" s="1389">
        <v>8.0783395412202008</v>
      </c>
      <c r="K167" s="1469">
        <v>42224</v>
      </c>
      <c r="L167" s="1470"/>
      <c r="M167" s="1471">
        <v>0</v>
      </c>
      <c r="N167" s="1472">
        <v>1.0560896890984419</v>
      </c>
      <c r="O167" s="1472">
        <v>1.0560896890984419</v>
      </c>
    </row>
    <row r="168" spans="2:15">
      <c r="B168" s="1388">
        <v>37530</v>
      </c>
      <c r="C168" s="1389">
        <v>248.19900000000001</v>
      </c>
      <c r="D168" s="1389">
        <v>1939.26</v>
      </c>
      <c r="E168" s="1389">
        <v>1.0164592520111337</v>
      </c>
      <c r="F168" s="1389">
        <v>8.2113029675606501</v>
      </c>
      <c r="K168" s="1469">
        <v>42225</v>
      </c>
      <c r="L168" s="1470"/>
      <c r="M168" s="1471">
        <v>0</v>
      </c>
      <c r="N168" s="1472">
        <v>1.0560896890984419</v>
      </c>
      <c r="O168" s="1472">
        <v>1.0560896890984419</v>
      </c>
    </row>
    <row r="169" spans="2:15">
      <c r="B169" s="1388">
        <v>37561</v>
      </c>
      <c r="C169" s="1389">
        <v>261.08</v>
      </c>
      <c r="D169" s="1389">
        <v>1997.83</v>
      </c>
      <c r="E169" s="1389">
        <v>1.0154093077816833</v>
      </c>
      <c r="F169" s="1389">
        <v>8.337833462276441</v>
      </c>
      <c r="K169" s="1469">
        <v>42226</v>
      </c>
      <c r="L169" s="1470" t="s">
        <v>2129</v>
      </c>
      <c r="M169" s="1471">
        <v>5.2531000000000001E-2</v>
      </c>
      <c r="N169" s="1472">
        <v>1.0566444635730223</v>
      </c>
      <c r="O169" s="1472">
        <v>1.0566444635730223</v>
      </c>
    </row>
    <row r="170" spans="2:15">
      <c r="B170" s="1388">
        <v>37591</v>
      </c>
      <c r="C170" s="1389">
        <v>270.86700000000002</v>
      </c>
      <c r="D170" s="1389">
        <v>2039.78</v>
      </c>
      <c r="E170" s="1389">
        <v>1.0174244857414556</v>
      </c>
      <c r="F170" s="1389">
        <v>8.483115922554509</v>
      </c>
      <c r="K170" s="1469">
        <v>42227</v>
      </c>
      <c r="L170" s="1470" t="s">
        <v>2129</v>
      </c>
      <c r="M170" s="1471">
        <v>5.2531000000000001E-2</v>
      </c>
      <c r="N170" s="1472">
        <v>1.0571995294761818</v>
      </c>
      <c r="O170" s="1472">
        <v>1.0571995294761818</v>
      </c>
    </row>
    <row r="171" spans="2:15">
      <c r="B171" s="1388">
        <v>37622</v>
      </c>
      <c r="C171" s="1389">
        <v>277.173</v>
      </c>
      <c r="D171" s="1389">
        <v>2085.6799999999998</v>
      </c>
      <c r="E171" s="1389">
        <v>1.0197126646415859</v>
      </c>
      <c r="F171" s="1389">
        <v>8.6503407418515241</v>
      </c>
      <c r="K171" s="1469">
        <v>42228</v>
      </c>
      <c r="L171" s="1470" t="s">
        <v>2129</v>
      </c>
      <c r="M171" s="1471">
        <v>5.2531000000000001E-2</v>
      </c>
      <c r="N171" s="1472">
        <v>1.0577548869610109</v>
      </c>
      <c r="O171" s="1472">
        <v>1.0577548869610109</v>
      </c>
    </row>
    <row r="172" spans="2:15">
      <c r="B172" s="1388">
        <v>37653</v>
      </c>
      <c r="C172" s="1389">
        <v>283.50599999999997</v>
      </c>
      <c r="D172" s="1389">
        <v>2118.4299999999998</v>
      </c>
      <c r="E172" s="1389">
        <v>1.0183037986307939</v>
      </c>
      <c r="F172" s="1389">
        <v>8.8086748368781276</v>
      </c>
      <c r="K172" s="1469">
        <v>42229</v>
      </c>
      <c r="L172" s="1470" t="s">
        <v>2129</v>
      </c>
      <c r="M172" s="1471">
        <v>5.2531000000000001E-2</v>
      </c>
      <c r="N172" s="1472">
        <v>1.0583105361806804</v>
      </c>
      <c r="O172" s="1472">
        <v>1.0583105361806804</v>
      </c>
    </row>
    <row r="173" spans="2:15">
      <c r="B173" s="1388">
        <v>37681</v>
      </c>
      <c r="C173" s="1389">
        <v>287.85500000000002</v>
      </c>
      <c r="D173" s="1389">
        <v>2144.4899999999998</v>
      </c>
      <c r="E173" s="1389">
        <v>1.0177701866474056</v>
      </c>
      <c r="F173" s="1389">
        <v>8.9652066328457565</v>
      </c>
      <c r="K173" s="1469">
        <v>42230</v>
      </c>
      <c r="L173" s="1470" t="s">
        <v>2129</v>
      </c>
      <c r="M173" s="1471">
        <v>5.2531000000000001E-2</v>
      </c>
      <c r="N173" s="1472">
        <v>1.0588664772884415</v>
      </c>
      <c r="O173" s="1472">
        <v>1.0588664772884415</v>
      </c>
    </row>
    <row r="174" spans="2:15">
      <c r="B174" s="1388">
        <v>37712</v>
      </c>
      <c r="C174" s="1389">
        <v>290.512</v>
      </c>
      <c r="D174" s="1389">
        <v>2165.29</v>
      </c>
      <c r="E174" s="1389">
        <v>1.0187159495984839</v>
      </c>
      <c r="F174" s="1389">
        <v>9.1329989883260918</v>
      </c>
      <c r="K174" s="1469">
        <v>42231</v>
      </c>
      <c r="L174" s="1470"/>
      <c r="M174" s="1471">
        <v>0</v>
      </c>
      <c r="N174" s="1472">
        <v>1.0588664772884415</v>
      </c>
      <c r="O174" s="1472">
        <v>1.0588664772884415</v>
      </c>
    </row>
    <row r="175" spans="2:15">
      <c r="B175" s="1388">
        <v>37742</v>
      </c>
      <c r="C175" s="1389">
        <v>289.74700000000001</v>
      </c>
      <c r="D175" s="1389">
        <v>2178.5</v>
      </c>
      <c r="E175" s="1389">
        <v>1.0196535248447016</v>
      </c>
      <c r="F175" s="1389">
        <v>9.312494610849793</v>
      </c>
      <c r="K175" s="1469">
        <v>42232</v>
      </c>
      <c r="L175" s="1470"/>
      <c r="M175" s="1471">
        <v>0</v>
      </c>
      <c r="N175" s="1472">
        <v>1.0588664772884415</v>
      </c>
      <c r="O175" s="1472">
        <v>1.0588664772884415</v>
      </c>
    </row>
    <row r="176" spans="2:15">
      <c r="B176" s="1388">
        <v>37773</v>
      </c>
      <c r="C176" s="1389">
        <v>286.84300000000002</v>
      </c>
      <c r="D176" s="1389">
        <v>2175.23</v>
      </c>
      <c r="E176" s="1389">
        <v>1.0185667947451373</v>
      </c>
      <c r="F176" s="1389">
        <v>9.4853977868546391</v>
      </c>
      <c r="K176" s="1469">
        <v>42233</v>
      </c>
      <c r="L176" s="1470" t="s">
        <v>2129</v>
      </c>
      <c r="M176" s="1471">
        <v>5.2531000000000001E-2</v>
      </c>
      <c r="N176" s="1472">
        <v>1.0594227104376259</v>
      </c>
      <c r="O176" s="1472">
        <v>1.0594227104376259</v>
      </c>
    </row>
    <row r="177" spans="2:15">
      <c r="B177" s="1388">
        <v>37803</v>
      </c>
      <c r="C177" s="1389">
        <v>285.649</v>
      </c>
      <c r="D177" s="1389">
        <v>2179.58</v>
      </c>
      <c r="E177" s="1389">
        <v>1.0208424747911398</v>
      </c>
      <c r="F177" s="1389">
        <v>9.6830969511110894</v>
      </c>
      <c r="K177" s="1469">
        <v>42234</v>
      </c>
      <c r="L177" s="1470" t="s">
        <v>2129</v>
      </c>
      <c r="M177" s="1471">
        <v>5.2531000000000001E-2</v>
      </c>
      <c r="N177" s="1472">
        <v>1.059979235781646</v>
      </c>
      <c r="O177" s="1472">
        <v>1.059979235781646</v>
      </c>
    </row>
    <row r="178" spans="2:15">
      <c r="B178" s="1388">
        <v>37834</v>
      </c>
      <c r="C178" s="1389">
        <v>286.73500000000001</v>
      </c>
      <c r="D178" s="1389">
        <v>2186.9899999999998</v>
      </c>
      <c r="E178" s="1389">
        <v>1.0177426111342931</v>
      </c>
      <c r="F178" s="1389">
        <v>9.8549003748903132</v>
      </c>
      <c r="K178" s="1469">
        <v>42235</v>
      </c>
      <c r="L178" s="1470" t="s">
        <v>2129</v>
      </c>
      <c r="M178" s="1471">
        <v>5.2531000000000001E-2</v>
      </c>
      <c r="N178" s="1472">
        <v>1.0605360534739945</v>
      </c>
      <c r="O178" s="1472">
        <v>1.0605360534739945</v>
      </c>
    </row>
    <row r="179" spans="2:15">
      <c r="B179" s="1388">
        <v>37865</v>
      </c>
      <c r="C179" s="1389">
        <v>290.12700000000001</v>
      </c>
      <c r="D179" s="1389">
        <v>2204.0500000000002</v>
      </c>
      <c r="E179" s="1389">
        <v>1.0167950902831471</v>
      </c>
      <c r="F179" s="1389">
        <v>10.020414316418016</v>
      </c>
      <c r="K179" s="1469">
        <v>42236</v>
      </c>
      <c r="L179" s="1470" t="s">
        <v>2129</v>
      </c>
      <c r="M179" s="1471">
        <v>5.2531000000000001E-2</v>
      </c>
      <c r="N179" s="1472">
        <v>1.061093163668245</v>
      </c>
      <c r="O179" s="1472">
        <v>1.061093163668245</v>
      </c>
    </row>
    <row r="180" spans="2:15">
      <c r="B180" s="1388">
        <v>37895</v>
      </c>
      <c r="C180" s="1389">
        <v>291.22899999999998</v>
      </c>
      <c r="D180" s="1389">
        <v>2210.44</v>
      </c>
      <c r="E180" s="1389">
        <v>1.0164205992977207</v>
      </c>
      <c r="F180" s="1389">
        <v>10.18495552470506</v>
      </c>
      <c r="K180" s="1469">
        <v>42237</v>
      </c>
      <c r="L180" s="1470" t="s">
        <v>2129</v>
      </c>
      <c r="M180" s="1471">
        <v>5.2531000000000001E-2</v>
      </c>
      <c r="N180" s="1472">
        <v>1.0616505665180516</v>
      </c>
      <c r="O180" s="1472">
        <v>1.0616505665180516</v>
      </c>
    </row>
    <row r="181" spans="2:15">
      <c r="B181" s="1388">
        <v>37926</v>
      </c>
      <c r="C181" s="1389">
        <v>292.65699999999998</v>
      </c>
      <c r="D181" s="1389">
        <v>2217.96</v>
      </c>
      <c r="E181" s="1389">
        <v>1.0134353138584866</v>
      </c>
      <c r="F181" s="1389">
        <v>10.3217935988142</v>
      </c>
      <c r="K181" s="1469">
        <v>42238</v>
      </c>
      <c r="L181" s="1470"/>
      <c r="M181" s="1471">
        <v>0</v>
      </c>
      <c r="N181" s="1472">
        <v>1.0616505665180516</v>
      </c>
      <c r="O181" s="1472">
        <v>1.0616505665180516</v>
      </c>
    </row>
    <row r="182" spans="2:15">
      <c r="B182" s="1388">
        <v>37956</v>
      </c>
      <c r="C182" s="1389">
        <v>294.45499999999998</v>
      </c>
      <c r="D182" s="1389">
        <v>2229.4899999999998</v>
      </c>
      <c r="E182" s="1389">
        <v>1.0137325047762002</v>
      </c>
      <c r="F182" s="1389">
        <v>10.463537678708869</v>
      </c>
      <c r="K182" s="1469">
        <v>42239</v>
      </c>
      <c r="L182" s="1470"/>
      <c r="M182" s="1471">
        <v>0</v>
      </c>
      <c r="N182" s="1472">
        <v>1.0616505665180516</v>
      </c>
      <c r="O182" s="1472">
        <v>1.0616505665180516</v>
      </c>
    </row>
    <row r="183" spans="2:15">
      <c r="B183" s="1388">
        <v>37987</v>
      </c>
      <c r="C183" s="1389">
        <v>297.03899999999999</v>
      </c>
      <c r="D183" s="1389">
        <v>2246.4299999999998</v>
      </c>
      <c r="E183" s="1389">
        <v>1.0126755135884871</v>
      </c>
      <c r="F183" s="1389">
        <v>10.59616839273899</v>
      </c>
      <c r="K183" s="1469">
        <v>42240</v>
      </c>
      <c r="L183" s="1470" t="s">
        <v>2129</v>
      </c>
      <c r="M183" s="1471">
        <v>5.2531000000000001E-2</v>
      </c>
      <c r="N183" s="1472">
        <v>1.0622082621771491</v>
      </c>
      <c r="O183" s="1472">
        <v>1.0622082621771491</v>
      </c>
    </row>
    <row r="184" spans="2:15">
      <c r="B184" s="1388">
        <v>38018</v>
      </c>
      <c r="C184" s="1389">
        <v>299.09699999999998</v>
      </c>
      <c r="D184" s="1389">
        <v>2260.13</v>
      </c>
      <c r="E184" s="1389">
        <v>1.0108439419169848</v>
      </c>
      <c r="F184" s="1389">
        <v>10.711072627332442</v>
      </c>
      <c r="K184" s="1469">
        <v>42241</v>
      </c>
      <c r="L184" s="1470" t="s">
        <v>2129</v>
      </c>
      <c r="M184" s="1471">
        <v>5.2531000000000001E-2</v>
      </c>
      <c r="N184" s="1472">
        <v>1.0627662507993534</v>
      </c>
      <c r="O184" s="1472">
        <v>1.0627662507993534</v>
      </c>
    </row>
    <row r="185" spans="2:15">
      <c r="B185" s="1388">
        <v>38047</v>
      </c>
      <c r="C185" s="1389">
        <v>302.48399999999998</v>
      </c>
      <c r="D185" s="1389">
        <v>2270.75</v>
      </c>
      <c r="E185" s="1389">
        <v>1.0137912342986635</v>
      </c>
      <c r="F185" s="1389">
        <v>10.858791539525985</v>
      </c>
      <c r="K185" s="1469">
        <v>42242</v>
      </c>
      <c r="L185" s="1470" t="s">
        <v>2129</v>
      </c>
      <c r="M185" s="1471">
        <v>5.2531000000000001E-2</v>
      </c>
      <c r="N185" s="1472">
        <v>1.0633245325385607</v>
      </c>
      <c r="O185" s="1472">
        <v>1.0633245325385607</v>
      </c>
    </row>
    <row r="186" spans="2:15">
      <c r="B186" s="1388">
        <v>38078</v>
      </c>
      <c r="C186" s="1389">
        <v>306.15100000000001</v>
      </c>
      <c r="D186" s="1389">
        <v>2279.15</v>
      </c>
      <c r="E186" s="1389">
        <v>1.011818501098614</v>
      </c>
      <c r="F186" s="1389">
        <v>10.987126179265493</v>
      </c>
      <c r="K186" s="1469">
        <v>42243</v>
      </c>
      <c r="L186" s="1470" t="s">
        <v>2129</v>
      </c>
      <c r="M186" s="1471">
        <v>5.2531000000000001E-2</v>
      </c>
      <c r="N186" s="1472">
        <v>1.0638831075487485</v>
      </c>
      <c r="O186" s="1472">
        <v>1.0638831075487485</v>
      </c>
    </row>
    <row r="187" spans="2:15">
      <c r="B187" s="1388">
        <v>38108</v>
      </c>
      <c r="C187" s="1389">
        <v>310.15199999999999</v>
      </c>
      <c r="D187" s="1389">
        <v>2290.77</v>
      </c>
      <c r="E187" s="1389">
        <v>1.0122780474663127</v>
      </c>
      <c r="F187" s="1389">
        <v>11.122026636012881</v>
      </c>
      <c r="K187" s="1469">
        <v>42244</v>
      </c>
      <c r="L187" s="1470" t="s">
        <v>2129</v>
      </c>
      <c r="M187" s="1471">
        <v>5.2531000000000001E-2</v>
      </c>
      <c r="N187" s="1472">
        <v>1.0644419759839749</v>
      </c>
      <c r="O187" s="1472">
        <v>1.0644419759839749</v>
      </c>
    </row>
    <row r="188" spans="2:15">
      <c r="B188" s="1388">
        <v>38139</v>
      </c>
      <c r="C188" s="1389">
        <v>314.41899999999998</v>
      </c>
      <c r="D188" s="1389">
        <v>2307.0300000000002</v>
      </c>
      <c r="E188" s="1389">
        <v>1.0122988884857291</v>
      </c>
      <c r="F188" s="1389">
        <v>11.258815201344513</v>
      </c>
      <c r="K188" s="1469">
        <v>42245</v>
      </c>
      <c r="L188" s="1470"/>
      <c r="M188" s="1471">
        <v>0</v>
      </c>
      <c r="N188" s="1472">
        <v>1.0644419759839749</v>
      </c>
      <c r="O188" s="1472">
        <v>1.0644419759839749</v>
      </c>
    </row>
    <row r="189" spans="2:15">
      <c r="B189" s="1388">
        <v>38169</v>
      </c>
      <c r="C189" s="1389">
        <v>318.53199999999998</v>
      </c>
      <c r="D189" s="1389">
        <v>2328.02</v>
      </c>
      <c r="E189" s="1389">
        <v>1.012868893920805</v>
      </c>
      <c r="F189" s="1389">
        <v>11.403703699844563</v>
      </c>
      <c r="K189" s="1469">
        <v>42246</v>
      </c>
      <c r="L189" s="1470"/>
      <c r="M189" s="1471">
        <v>0</v>
      </c>
      <c r="N189" s="1472">
        <v>1.0644419759839749</v>
      </c>
      <c r="O189" s="1472">
        <v>1.0644419759839749</v>
      </c>
    </row>
    <row r="190" spans="2:15">
      <c r="B190" s="1388">
        <v>38200</v>
      </c>
      <c r="C190" s="1389">
        <v>322.41199999999998</v>
      </c>
      <c r="D190" s="1389">
        <v>2344.08</v>
      </c>
      <c r="E190" s="1389">
        <v>1.0129358583775749</v>
      </c>
      <c r="F190" s="1389">
        <v>11.551220395885579</v>
      </c>
      <c r="K190" s="1469">
        <v>42247</v>
      </c>
      <c r="L190" s="1470" t="s">
        <v>2129</v>
      </c>
      <c r="M190" s="1471">
        <v>5.2531000000000001E-2</v>
      </c>
      <c r="N190" s="1472">
        <v>1.065001137998379</v>
      </c>
      <c r="O190" s="1472">
        <v>1.065001137998379</v>
      </c>
    </row>
    <row r="191" spans="2:15">
      <c r="B191" s="1388">
        <v>38231</v>
      </c>
      <c r="C191" s="1389">
        <v>324.65100000000001</v>
      </c>
      <c r="D191" s="1389">
        <v>2351.8200000000002</v>
      </c>
      <c r="E191" s="1389">
        <v>1.0125132709021758</v>
      </c>
      <c r="F191" s="1389">
        <v>11.695763945950034</v>
      </c>
      <c r="K191" s="1469">
        <v>42248</v>
      </c>
      <c r="L191" s="1470" t="s">
        <v>2129</v>
      </c>
      <c r="M191" s="1471">
        <v>5.2531000000000001E-2</v>
      </c>
      <c r="N191" s="1472">
        <v>1.065560593746181</v>
      </c>
      <c r="O191" s="1472">
        <v>1.065560593746181</v>
      </c>
    </row>
    <row r="192" spans="2:15">
      <c r="B192" s="1388">
        <v>38261</v>
      </c>
      <c r="C192" s="1389">
        <v>325.92500000000001</v>
      </c>
      <c r="D192" s="1389">
        <v>2362.17</v>
      </c>
      <c r="E192" s="1389">
        <v>1.0121322386789289</v>
      </c>
      <c r="F192" s="1389">
        <v>11.837659745674712</v>
      </c>
      <c r="K192" s="1469">
        <v>42249</v>
      </c>
      <c r="L192" s="1470" t="s">
        <v>2129</v>
      </c>
      <c r="M192" s="1471">
        <v>5.2531000000000001E-2</v>
      </c>
      <c r="N192" s="1472">
        <v>1.0661203433816817</v>
      </c>
      <c r="O192" s="1472">
        <v>1.0661203433816817</v>
      </c>
    </row>
    <row r="193" spans="2:15">
      <c r="B193" s="1388">
        <v>38292</v>
      </c>
      <c r="C193" s="1389">
        <v>328.58800000000002</v>
      </c>
      <c r="D193" s="1389">
        <v>2378.4699999999998</v>
      </c>
      <c r="E193" s="1389">
        <v>1.0125098562166484</v>
      </c>
      <c r="F193" s="1389">
        <v>11.985747167034708</v>
      </c>
      <c r="K193" s="1469">
        <v>42250</v>
      </c>
      <c r="L193" s="1470" t="s">
        <v>2129</v>
      </c>
      <c r="M193" s="1471">
        <v>5.2531000000000001E-2</v>
      </c>
      <c r="N193" s="1472">
        <v>1.0666803870592636</v>
      </c>
      <c r="O193" s="1472">
        <v>1.0666803870592636</v>
      </c>
    </row>
    <row r="194" spans="2:15">
      <c r="B194" s="1388">
        <v>38322</v>
      </c>
      <c r="C194" s="1389">
        <v>331.005</v>
      </c>
      <c r="D194" s="1389">
        <v>2398.92</v>
      </c>
      <c r="E194" s="1389">
        <v>1.0148282315457626</v>
      </c>
      <c r="F194" s="1389">
        <v>12.163474601276468</v>
      </c>
      <c r="K194" s="1469">
        <v>42251</v>
      </c>
      <c r="L194" s="1470" t="s">
        <v>2129</v>
      </c>
      <c r="M194" s="1471">
        <v>5.2531000000000001E-2</v>
      </c>
      <c r="N194" s="1472">
        <v>1.0672407249333897</v>
      </c>
      <c r="O194" s="1472">
        <v>1.0672407249333897</v>
      </c>
    </row>
    <row r="195" spans="2:15">
      <c r="B195" s="1388">
        <v>38353</v>
      </c>
      <c r="C195" s="1389">
        <v>332.298</v>
      </c>
      <c r="D195" s="1389">
        <v>2412.83</v>
      </c>
      <c r="E195" s="1389">
        <v>1.0138388229391033</v>
      </c>
      <c r="F195" s="1389">
        <v>12.331802772607814</v>
      </c>
      <c r="K195" s="1469">
        <v>42252</v>
      </c>
      <c r="L195" s="1470"/>
      <c r="M195" s="1471">
        <v>0</v>
      </c>
      <c r="N195" s="1472">
        <v>1.0672407249333897</v>
      </c>
      <c r="O195" s="1472">
        <v>1.0672407249333897</v>
      </c>
    </row>
    <row r="196" spans="2:15">
      <c r="B196" s="1388">
        <v>38384</v>
      </c>
      <c r="C196" s="1389">
        <v>333.28800000000001</v>
      </c>
      <c r="D196" s="1389">
        <v>2427.0700000000002</v>
      </c>
      <c r="E196" s="1389">
        <v>1.0121818576713373</v>
      </c>
      <c r="F196" s="1389">
        <v>12.482027038814724</v>
      </c>
      <c r="K196" s="1469">
        <v>42253</v>
      </c>
      <c r="L196" s="1470"/>
      <c r="M196" s="1471">
        <v>0</v>
      </c>
      <c r="N196" s="1472">
        <v>1.0672407249333897</v>
      </c>
      <c r="O196" s="1472">
        <v>1.0672407249333897</v>
      </c>
    </row>
    <row r="197" spans="2:15">
      <c r="B197" s="1388">
        <v>38412</v>
      </c>
      <c r="C197" s="1389">
        <v>336.12299999999999</v>
      </c>
      <c r="D197" s="1389">
        <v>2441.87</v>
      </c>
      <c r="E197" s="1389">
        <v>1.0152817807540921</v>
      </c>
      <c r="F197" s="1389">
        <v>12.672774639388541</v>
      </c>
      <c r="G197" s="67"/>
      <c r="K197" s="1469">
        <v>42254</v>
      </c>
      <c r="L197" s="1470"/>
      <c r="M197" s="1471">
        <v>0</v>
      </c>
      <c r="N197" s="1472">
        <v>1.0672407249333897</v>
      </c>
      <c r="O197" s="1472">
        <v>1.0672407249333897</v>
      </c>
    </row>
    <row r="198" spans="2:15">
      <c r="B198" s="1388">
        <v>38443</v>
      </c>
      <c r="C198" s="1389">
        <v>339.03</v>
      </c>
      <c r="D198" s="1389">
        <v>2463.11</v>
      </c>
      <c r="E198" s="1389">
        <v>1.0141152901477553</v>
      </c>
      <c r="F198" s="1389">
        <v>12.851654530400625</v>
      </c>
      <c r="K198" s="1469">
        <v>42255</v>
      </c>
      <c r="L198" s="1470" t="s">
        <v>2129</v>
      </c>
      <c r="M198" s="1471">
        <v>5.2531000000000001E-2</v>
      </c>
      <c r="N198" s="1472">
        <v>1.0678013571586045</v>
      </c>
      <c r="O198" s="1472">
        <v>1.0678013571586045</v>
      </c>
    </row>
    <row r="199" spans="2:15">
      <c r="B199" s="1388">
        <v>38473</v>
      </c>
      <c r="C199" s="1389">
        <v>338.29899999999998</v>
      </c>
      <c r="D199" s="1389">
        <v>2475.1799999999998</v>
      </c>
      <c r="E199" s="1389">
        <v>1.0150306502044895</v>
      </c>
      <c r="F199" s="1389">
        <v>13.044823254196018</v>
      </c>
      <c r="K199" s="1469">
        <v>42256</v>
      </c>
      <c r="L199" s="1470" t="s">
        <v>2129</v>
      </c>
      <c r="M199" s="1471">
        <v>5.2531000000000001E-2</v>
      </c>
      <c r="N199" s="1472">
        <v>1.0683622838895335</v>
      </c>
      <c r="O199" s="1472">
        <v>1.0683622838895335</v>
      </c>
    </row>
    <row r="200" spans="2:15">
      <c r="B200" s="1388">
        <v>38504</v>
      </c>
      <c r="C200" s="1389">
        <v>336.80099999999999</v>
      </c>
      <c r="D200" s="1389">
        <v>2474.6799999999998</v>
      </c>
      <c r="E200" s="1389">
        <v>1.0158560276185216</v>
      </c>
      <c r="F200" s="1389">
        <v>13.251662331993282</v>
      </c>
      <c r="K200" s="1469">
        <v>42257</v>
      </c>
      <c r="L200" s="1470" t="s">
        <v>2129</v>
      </c>
      <c r="M200" s="1471">
        <v>5.2531000000000001E-2</v>
      </c>
      <c r="N200" s="1472">
        <v>1.0689235052808834</v>
      </c>
      <c r="O200" s="1472">
        <v>1.0689235052808834</v>
      </c>
    </row>
    <row r="201" spans="2:15">
      <c r="B201" s="1388">
        <v>38534</v>
      </c>
      <c r="C201" s="1389">
        <v>335.66300000000001</v>
      </c>
      <c r="D201" s="1389">
        <v>2480.87</v>
      </c>
      <c r="E201" s="1389">
        <v>1.0151134516871545</v>
      </c>
      <c r="F201" s="1389">
        <v>13.451940690422347</v>
      </c>
      <c r="K201" s="1469">
        <v>42258</v>
      </c>
      <c r="L201" s="1470" t="s">
        <v>2129</v>
      </c>
      <c r="M201" s="1471">
        <v>5.2531000000000001E-2</v>
      </c>
      <c r="N201" s="1472">
        <v>1.0694850214874425</v>
      </c>
      <c r="O201" s="1472">
        <v>1.0694850214874425</v>
      </c>
    </row>
    <row r="202" spans="2:15">
      <c r="B202" s="1388">
        <v>38565</v>
      </c>
      <c r="C202" s="1389">
        <v>333.47399999999999</v>
      </c>
      <c r="D202" s="1389">
        <v>2485.09</v>
      </c>
      <c r="E202" s="1389">
        <v>1.0165848332092207</v>
      </c>
      <c r="F202" s="1389">
        <v>13.675038883113331</v>
      </c>
      <c r="K202" s="1469">
        <v>42259</v>
      </c>
      <c r="L202" s="1470"/>
      <c r="M202" s="1471">
        <v>0</v>
      </c>
      <c r="N202" s="1472">
        <v>1.0694850214874425</v>
      </c>
      <c r="O202" s="1472">
        <v>1.0694850214874425</v>
      </c>
    </row>
    <row r="203" spans="2:15">
      <c r="B203" s="1388">
        <v>38596</v>
      </c>
      <c r="C203" s="1389">
        <v>331.69</v>
      </c>
      <c r="D203" s="1389">
        <v>2493.79</v>
      </c>
      <c r="E203" s="1389">
        <v>1.0150313602253485</v>
      </c>
      <c r="F203" s="1389">
        <v>13.880593318661054</v>
      </c>
      <c r="K203" s="1469">
        <v>42260</v>
      </c>
      <c r="L203" s="1470"/>
      <c r="M203" s="1471">
        <v>0</v>
      </c>
      <c r="N203" s="1472">
        <v>1.0694850214874425</v>
      </c>
      <c r="O203" s="1472">
        <v>1.0694850214874425</v>
      </c>
    </row>
    <row r="204" spans="2:15">
      <c r="B204" s="1388">
        <v>38626</v>
      </c>
      <c r="C204" s="1389">
        <v>333.69400000000002</v>
      </c>
      <c r="D204" s="1389">
        <v>2512.4899999999998</v>
      </c>
      <c r="E204" s="1389">
        <v>1.0140716431638075</v>
      </c>
      <c r="F204" s="1389">
        <v>14.075916074743184</v>
      </c>
      <c r="K204" s="1469">
        <v>42261</v>
      </c>
      <c r="L204" s="1470" t="s">
        <v>2129</v>
      </c>
      <c r="M204" s="1471">
        <v>5.2531000000000001E-2</v>
      </c>
      <c r="N204" s="1472">
        <v>1.0700468326640802</v>
      </c>
      <c r="O204" s="1472">
        <v>1.0700468326640802</v>
      </c>
    </row>
    <row r="205" spans="2:15">
      <c r="B205" s="1388">
        <v>38657</v>
      </c>
      <c r="C205" s="1389">
        <v>335.03300000000002</v>
      </c>
      <c r="D205" s="1389">
        <v>2526.31</v>
      </c>
      <c r="E205" s="1389">
        <v>1.0138104099310956</v>
      </c>
      <c r="F205" s="1389">
        <v>14.270310245891086</v>
      </c>
      <c r="K205" s="1469">
        <v>42262</v>
      </c>
      <c r="L205" s="1470" t="s">
        <v>2129</v>
      </c>
      <c r="M205" s="1471">
        <v>5.2531000000000001E-2</v>
      </c>
      <c r="N205" s="1472">
        <v>1.0706089389657469</v>
      </c>
      <c r="O205" s="1472">
        <v>1.0706089389657469</v>
      </c>
    </row>
    <row r="206" spans="2:15">
      <c r="B206" s="1388">
        <v>38687</v>
      </c>
      <c r="C206" s="1389">
        <v>335.00599999999997</v>
      </c>
      <c r="D206" s="1389">
        <v>2535.4</v>
      </c>
      <c r="E206" s="1389">
        <v>1.0147357208231795</v>
      </c>
      <c r="F206" s="1389">
        <v>14.480593553734694</v>
      </c>
      <c r="K206" s="1469">
        <v>42263</v>
      </c>
      <c r="L206" s="1470" t="s">
        <v>2129</v>
      </c>
      <c r="M206" s="1471">
        <v>5.2531000000000001E-2</v>
      </c>
      <c r="N206" s="1472">
        <v>1.071171340547475</v>
      </c>
      <c r="O206" s="1472">
        <v>1.071171340547475</v>
      </c>
    </row>
    <row r="207" spans="2:15">
      <c r="B207" s="1388">
        <v>38718</v>
      </c>
      <c r="C207" s="1389">
        <v>338.08300000000003</v>
      </c>
      <c r="D207" s="1389">
        <v>2550.36</v>
      </c>
      <c r="E207" s="1389">
        <v>1.0142931741687891</v>
      </c>
      <c r="F207" s="1389">
        <v>14.687567199465668</v>
      </c>
      <c r="K207" s="1469">
        <v>42264</v>
      </c>
      <c r="L207" s="1470" t="s">
        <v>2129</v>
      </c>
      <c r="M207" s="1471">
        <v>5.2531000000000001E-2</v>
      </c>
      <c r="N207" s="1472">
        <v>1.071734037564378</v>
      </c>
      <c r="O207" s="1472">
        <v>1.071734037564378</v>
      </c>
    </row>
    <row r="208" spans="2:15">
      <c r="B208" s="1388">
        <v>38749</v>
      </c>
      <c r="C208" s="1389">
        <v>338.12799999999999</v>
      </c>
      <c r="D208" s="1389">
        <v>2560.8200000000002</v>
      </c>
      <c r="E208" s="1389">
        <v>1.0114506306443078</v>
      </c>
      <c r="F208" s="1389">
        <v>14.855749106530201</v>
      </c>
      <c r="K208" s="1469">
        <v>42265</v>
      </c>
      <c r="L208" s="1470" t="s">
        <v>2129</v>
      </c>
      <c r="M208" s="1471">
        <v>5.2531000000000001E-2</v>
      </c>
      <c r="N208" s="1472">
        <v>1.072297030171651</v>
      </c>
      <c r="O208" s="1472">
        <v>1.072297030171651</v>
      </c>
    </row>
    <row r="209" spans="2:15">
      <c r="B209" s="1388">
        <v>38777</v>
      </c>
      <c r="C209" s="1389">
        <v>337.339</v>
      </c>
      <c r="D209" s="1389">
        <v>2571.83</v>
      </c>
      <c r="E209" s="1389">
        <v>1.0142230199009199</v>
      </c>
      <c r="F209" s="1389">
        <v>15.067042721715453</v>
      </c>
      <c r="K209" s="1469">
        <v>42266</v>
      </c>
      <c r="L209" s="1470"/>
      <c r="M209" s="1471">
        <v>0</v>
      </c>
      <c r="N209" s="1472">
        <v>1.072297030171651</v>
      </c>
      <c r="O209" s="1472">
        <v>1.072297030171651</v>
      </c>
    </row>
    <row r="210" spans="2:15">
      <c r="B210" s="1388">
        <v>38808</v>
      </c>
      <c r="C210" s="1389">
        <v>335.92099999999999</v>
      </c>
      <c r="D210" s="1389">
        <v>2577.23</v>
      </c>
      <c r="E210" s="1389">
        <v>1.0107787821533378</v>
      </c>
      <c r="F210" s="1389">
        <v>15.229447092907858</v>
      </c>
      <c r="K210" s="1469">
        <v>42267</v>
      </c>
      <c r="L210" s="1470"/>
      <c r="M210" s="1471">
        <v>0</v>
      </c>
      <c r="N210" s="1472">
        <v>1.072297030171651</v>
      </c>
      <c r="O210" s="1472">
        <v>1.072297030171651</v>
      </c>
    </row>
    <row r="211" spans="2:15">
      <c r="B211" s="1388">
        <v>38838</v>
      </c>
      <c r="C211" s="1389">
        <v>337.185</v>
      </c>
      <c r="D211" s="1389">
        <v>2579.81</v>
      </c>
      <c r="E211" s="1389">
        <v>1.0128136552027243</v>
      </c>
      <c r="F211" s="1389">
        <v>15.424591976884511</v>
      </c>
      <c r="K211" s="1469">
        <v>42268</v>
      </c>
      <c r="L211" s="1470" t="s">
        <v>2129</v>
      </c>
      <c r="M211" s="1471">
        <v>5.2531000000000001E-2</v>
      </c>
      <c r="N211" s="1472">
        <v>1.0728603185245704</v>
      </c>
      <c r="O211" s="1472">
        <v>1.0728603185245704</v>
      </c>
    </row>
    <row r="212" spans="2:15">
      <c r="B212" s="1388">
        <v>38869</v>
      </c>
      <c r="C212" s="1389">
        <v>339.71199999999999</v>
      </c>
      <c r="D212" s="1389">
        <v>2574.39</v>
      </c>
      <c r="E212" s="1389">
        <v>1.0118439390435949</v>
      </c>
      <c r="F212" s="1389">
        <v>15.607279904031055</v>
      </c>
      <c r="K212" s="1469">
        <v>42269</v>
      </c>
      <c r="L212" s="1470" t="s">
        <v>2129</v>
      </c>
      <c r="M212" s="1471">
        <v>5.2531000000000001E-2</v>
      </c>
      <c r="N212" s="1472">
        <v>1.0734239027784946</v>
      </c>
      <c r="O212" s="1472">
        <v>1.0734239027784946</v>
      </c>
    </row>
    <row r="213" spans="2:15">
      <c r="B213" s="1388">
        <v>38899</v>
      </c>
      <c r="C213" s="1389">
        <v>340.31200000000001</v>
      </c>
      <c r="D213" s="1389">
        <v>2579.2800000000002</v>
      </c>
      <c r="E213" s="1389">
        <v>1.0116996590630269</v>
      </c>
      <c r="F213" s="1389">
        <v>15.78987975780945</v>
      </c>
      <c r="K213" s="1469">
        <v>42270</v>
      </c>
      <c r="L213" s="1470" t="s">
        <v>2129</v>
      </c>
      <c r="M213" s="1471">
        <v>5.2531000000000001E-2</v>
      </c>
      <c r="N213" s="1472">
        <v>1.0739877830888631</v>
      </c>
      <c r="O213" s="1472">
        <v>1.0739877830888631</v>
      </c>
    </row>
    <row r="214" spans="2:15">
      <c r="B214" s="1388">
        <v>38930</v>
      </c>
      <c r="C214" s="1389">
        <v>341.57400000000001</v>
      </c>
      <c r="D214" s="1389">
        <v>2580.5700000000002</v>
      </c>
      <c r="E214" s="1389">
        <v>1.012562646303421</v>
      </c>
      <c r="F214" s="1389">
        <v>15.988242432380357</v>
      </c>
      <c r="K214" s="1469">
        <v>42271</v>
      </c>
      <c r="L214" s="1470" t="s">
        <v>2129</v>
      </c>
      <c r="M214" s="1471">
        <v>5.2531000000000001E-2</v>
      </c>
      <c r="N214" s="1472">
        <v>1.0745519596111974</v>
      </c>
      <c r="O214" s="1472">
        <v>1.0745519596111974</v>
      </c>
    </row>
    <row r="215" spans="2:15" ht="13.5" customHeight="1">
      <c r="B215" s="1388">
        <v>38961</v>
      </c>
      <c r="C215" s="1389">
        <v>342.56099999999998</v>
      </c>
      <c r="D215" s="1389">
        <v>2585.9899999999998</v>
      </c>
      <c r="E215" s="1389">
        <v>1.0105730983323107</v>
      </c>
      <c r="F215" s="1389">
        <v>16.157287691778738</v>
      </c>
      <c r="K215" s="1469">
        <v>42272</v>
      </c>
      <c r="L215" s="1470" t="s">
        <v>2129</v>
      </c>
      <c r="M215" s="1471">
        <v>5.2531000000000001E-2</v>
      </c>
      <c r="N215" s="1472">
        <v>1.0751164325011009</v>
      </c>
      <c r="O215" s="1472">
        <v>1.0751164325011009</v>
      </c>
    </row>
    <row r="216" spans="2:15">
      <c r="B216" s="1388">
        <v>38991</v>
      </c>
      <c r="C216" s="1389">
        <v>344.15499999999997</v>
      </c>
      <c r="D216" s="1389">
        <v>2594.52</v>
      </c>
      <c r="E216" s="1389">
        <v>1.0109424441222723</v>
      </c>
      <c r="F216" s="1389">
        <v>16.334087909513503</v>
      </c>
      <c r="K216" s="1469">
        <v>42273</v>
      </c>
      <c r="L216" s="1470"/>
      <c r="M216" s="1471">
        <v>0</v>
      </c>
      <c r="N216" s="1472">
        <v>1.0751164325011009</v>
      </c>
      <c r="O216" s="1472">
        <v>1.0751164325011009</v>
      </c>
    </row>
    <row r="217" spans="2:15">
      <c r="B217" s="1388">
        <v>39022</v>
      </c>
      <c r="C217" s="1389">
        <v>346.74599999999998</v>
      </c>
      <c r="D217" s="1389">
        <v>2602.56</v>
      </c>
      <c r="E217" s="1389">
        <v>1.0102060517349183</v>
      </c>
      <c r="F217" s="1389">
        <v>16.500794455760701</v>
      </c>
      <c r="K217" s="1469">
        <v>42274</v>
      </c>
      <c r="L217" s="1470"/>
      <c r="M217" s="1471">
        <v>0</v>
      </c>
      <c r="N217" s="1472">
        <v>1.0751164325011009</v>
      </c>
      <c r="O217" s="1472">
        <v>1.0751164325011009</v>
      </c>
    </row>
    <row r="218" spans="2:15">
      <c r="B218" s="1388">
        <v>39052</v>
      </c>
      <c r="C218" s="1389">
        <v>347.84199999999998</v>
      </c>
      <c r="D218" s="1389">
        <v>2615.0500000000002</v>
      </c>
      <c r="E218" s="1389">
        <v>1.0098788606332807</v>
      </c>
      <c r="F218" s="1389">
        <v>16.663803504527571</v>
      </c>
      <c r="K218" s="1469">
        <v>42275</v>
      </c>
      <c r="L218" s="1470" t="s">
        <v>2129</v>
      </c>
      <c r="M218" s="1471">
        <v>5.2531000000000001E-2</v>
      </c>
      <c r="N218" s="1472">
        <v>1.0756812019142581</v>
      </c>
      <c r="O218" s="1472">
        <v>1.0756812019142581</v>
      </c>
    </row>
    <row r="219" spans="2:15">
      <c r="B219" s="1388">
        <v>39083</v>
      </c>
      <c r="C219" s="1389">
        <v>349.59300000000002</v>
      </c>
      <c r="D219" s="1389">
        <v>2626.56</v>
      </c>
      <c r="E219" s="1389">
        <v>1.0108280266006449</v>
      </c>
      <c r="F219" s="1389">
        <v>16.844239612142516</v>
      </c>
      <c r="K219" s="1469">
        <v>42276</v>
      </c>
      <c r="L219" s="1470" t="s">
        <v>2129</v>
      </c>
      <c r="M219" s="1471">
        <v>5.2531000000000001E-2</v>
      </c>
      <c r="N219" s="1472">
        <v>1.0762462680064357</v>
      </c>
      <c r="O219" s="1472">
        <v>1.0762462680064357</v>
      </c>
    </row>
    <row r="220" spans="2:15">
      <c r="B220" s="1388">
        <v>39114</v>
      </c>
      <c r="C220" s="1389">
        <v>350.524</v>
      </c>
      <c r="D220" s="1389">
        <v>2638.12</v>
      </c>
      <c r="E220" s="1389">
        <v>1.008724844950982</v>
      </c>
      <c r="F220" s="1389">
        <v>16.991202991075649</v>
      </c>
      <c r="K220" s="1469">
        <v>42277</v>
      </c>
      <c r="L220" s="1470" t="s">
        <v>2129</v>
      </c>
      <c r="M220" s="1471">
        <v>5.2531000000000001E-2</v>
      </c>
      <c r="N220" s="1472">
        <v>1.0768116309334823</v>
      </c>
      <c r="O220" s="1472">
        <v>1.0768116309334823</v>
      </c>
    </row>
    <row r="221" spans="2:15">
      <c r="B221" s="1388">
        <v>39142</v>
      </c>
      <c r="C221" s="1389">
        <v>351.71699999999998</v>
      </c>
      <c r="D221" s="1389">
        <v>2647.88</v>
      </c>
      <c r="E221" s="1389">
        <v>1.0105222327764332</v>
      </c>
      <c r="F221" s="1389">
        <v>17.169988384099376</v>
      </c>
      <c r="K221" s="1469">
        <v>42278</v>
      </c>
      <c r="L221" s="1470" t="s">
        <v>2129</v>
      </c>
      <c r="M221" s="1471">
        <v>5.2531000000000001E-2</v>
      </c>
      <c r="N221" s="1472">
        <v>1.0773772908513279</v>
      </c>
      <c r="O221" s="1472">
        <v>1.0773772908513279</v>
      </c>
    </row>
    <row r="222" spans="2:15">
      <c r="B222" s="1388">
        <v>39173</v>
      </c>
      <c r="C222" s="1389">
        <v>351.86900000000003</v>
      </c>
      <c r="D222" s="1389">
        <v>2654.5</v>
      </c>
      <c r="E222" s="1389">
        <v>1.0094482340398951</v>
      </c>
      <c r="F222" s="1389">
        <v>17.332214452814629</v>
      </c>
      <c r="K222" s="1469">
        <v>42279</v>
      </c>
      <c r="L222" s="1470" t="s">
        <v>2129</v>
      </c>
      <c r="M222" s="1471">
        <v>5.2531000000000001E-2</v>
      </c>
      <c r="N222" s="1472">
        <v>1.0779432479159849</v>
      </c>
      <c r="O222" s="1472">
        <v>1.0779432479159849</v>
      </c>
    </row>
    <row r="223" spans="2:15">
      <c r="B223" s="1388">
        <v>39203</v>
      </c>
      <c r="C223" s="1389">
        <v>352.02</v>
      </c>
      <c r="D223" s="1389">
        <v>2661.93</v>
      </c>
      <c r="E223" s="1389">
        <v>1.0102807696314628</v>
      </c>
      <c r="F223" s="1389">
        <v>17.510402956807127</v>
      </c>
      <c r="K223" s="1469">
        <v>42280</v>
      </c>
      <c r="L223" s="1470"/>
      <c r="M223" s="1471">
        <v>0</v>
      </c>
      <c r="N223" s="1472">
        <v>1.0779432479159849</v>
      </c>
      <c r="O223" s="1472">
        <v>1.0779432479159849</v>
      </c>
    </row>
    <row r="224" spans="2:15">
      <c r="B224" s="1388">
        <v>39234</v>
      </c>
      <c r="C224" s="1389">
        <v>352.93599999999998</v>
      </c>
      <c r="D224" s="1389">
        <v>2669.38</v>
      </c>
      <c r="E224" s="1389">
        <v>1.0090562894719608</v>
      </c>
      <c r="F224" s="1389">
        <v>17.668982234754651</v>
      </c>
      <c r="K224" s="1469">
        <v>42281</v>
      </c>
      <c r="L224" s="1470"/>
      <c r="M224" s="1471">
        <v>0</v>
      </c>
      <c r="N224" s="1472">
        <v>1.0779432479159849</v>
      </c>
      <c r="O224" s="1472">
        <v>1.0779432479159849</v>
      </c>
    </row>
    <row r="225" spans="2:15">
      <c r="B225" s="1388">
        <v>39264</v>
      </c>
      <c r="C225" s="1389">
        <v>353.92</v>
      </c>
      <c r="D225" s="1389">
        <v>2675.79</v>
      </c>
      <c r="E225" s="1389">
        <v>1.0097263257608722</v>
      </c>
      <c r="F225" s="1389">
        <v>17.840836511832936</v>
      </c>
      <c r="K225" s="1469">
        <v>42282</v>
      </c>
      <c r="L225" s="1470" t="s">
        <v>2129</v>
      </c>
      <c r="M225" s="1471">
        <v>5.2531000000000001E-2</v>
      </c>
      <c r="N225" s="1472">
        <v>1.0785095022835478</v>
      </c>
      <c r="O225" s="1472">
        <v>1.0785095022835478</v>
      </c>
    </row>
    <row r="226" spans="2:15">
      <c r="B226" s="1388">
        <v>39295</v>
      </c>
      <c r="C226" s="1389">
        <v>357.404</v>
      </c>
      <c r="D226" s="1389">
        <v>2688.37</v>
      </c>
      <c r="E226" s="1389">
        <v>1.0099263513682912</v>
      </c>
      <c r="F226" s="1389">
        <v>18.017930923753628</v>
      </c>
      <c r="K226" s="1469">
        <v>42283</v>
      </c>
      <c r="L226" s="1470" t="s">
        <v>2129</v>
      </c>
      <c r="M226" s="1471">
        <v>5.2531000000000001E-2</v>
      </c>
      <c r="N226" s="1472">
        <v>1.0790760541101925</v>
      </c>
      <c r="O226" s="1472">
        <v>1.0790760541101925</v>
      </c>
    </row>
    <row r="227" spans="2:15">
      <c r="B227" s="1388">
        <v>39326</v>
      </c>
      <c r="C227" s="1389">
        <v>361.99700000000001</v>
      </c>
      <c r="D227" s="1389">
        <v>2693.21</v>
      </c>
      <c r="E227" s="1389">
        <v>1.0080496134415582</v>
      </c>
      <c r="F227" s="1389">
        <v>18.162968302706542</v>
      </c>
      <c r="K227" s="1469">
        <v>42284</v>
      </c>
      <c r="L227" s="1470" t="s">
        <v>2129</v>
      </c>
      <c r="M227" s="1471">
        <v>5.2531000000000001E-2</v>
      </c>
      <c r="N227" s="1472">
        <v>1.0796429035521771</v>
      </c>
      <c r="O227" s="1472">
        <v>1.0796429035521771</v>
      </c>
    </row>
    <row r="228" spans="2:15">
      <c r="B228" s="1388">
        <v>39356</v>
      </c>
      <c r="C228" s="1389">
        <v>365.79399999999998</v>
      </c>
      <c r="D228" s="1389">
        <v>2701.29</v>
      </c>
      <c r="E228" s="1389">
        <v>1.0092949262855189</v>
      </c>
      <c r="F228" s="1389">
        <v>18.331791754206414</v>
      </c>
      <c r="K228" s="1469">
        <v>42285</v>
      </c>
      <c r="L228" s="1470" t="s">
        <v>2129</v>
      </c>
      <c r="M228" s="1471">
        <v>5.2531000000000001E-2</v>
      </c>
      <c r="N228" s="1472">
        <v>1.0802100507658421</v>
      </c>
      <c r="O228" s="1472">
        <v>1.0802100507658421</v>
      </c>
    </row>
    <row r="229" spans="2:15">
      <c r="B229" s="1388">
        <v>39387</v>
      </c>
      <c r="C229" s="1389">
        <v>368.334</v>
      </c>
      <c r="D229" s="1389">
        <v>2711.55</v>
      </c>
      <c r="E229" s="1389">
        <v>1.0084467048252397</v>
      </c>
      <c r="F229" s="1389">
        <v>18.486634988071959</v>
      </c>
      <c r="K229" s="1469">
        <v>42286</v>
      </c>
      <c r="L229" s="1470" t="s">
        <v>2129</v>
      </c>
      <c r="M229" s="1471">
        <v>5.2531000000000001E-2</v>
      </c>
      <c r="N229" s="1472">
        <v>1.08077749590761</v>
      </c>
      <c r="O229" s="1472">
        <v>1.08077749590761</v>
      </c>
    </row>
    <row r="230" spans="2:15">
      <c r="B230" s="1388">
        <v>39417</v>
      </c>
      <c r="C230" s="1389">
        <v>374.815</v>
      </c>
      <c r="D230" s="1389">
        <v>2731.62</v>
      </c>
      <c r="E230" s="1389">
        <v>1.0084467048252395</v>
      </c>
      <c r="F230" s="1389">
        <v>18.642786137028146</v>
      </c>
      <c r="K230" s="1469">
        <v>42287</v>
      </c>
      <c r="L230" s="1470"/>
      <c r="M230" s="1471">
        <v>0</v>
      </c>
      <c r="N230" s="1472">
        <v>1.08077749590761</v>
      </c>
      <c r="O230" s="1472">
        <v>1.08077749590761</v>
      </c>
    </row>
    <row r="231" spans="2:15">
      <c r="B231" s="1388">
        <v>39448</v>
      </c>
      <c r="C231" s="1389">
        <v>378.9</v>
      </c>
      <c r="D231" s="1389">
        <v>2746.37</v>
      </c>
      <c r="E231" s="1389">
        <v>1.0092938367057227</v>
      </c>
      <c r="F231" s="1389">
        <v>18.816049147125398</v>
      </c>
      <c r="K231" s="1469">
        <v>42288</v>
      </c>
      <c r="L231" s="1470"/>
      <c r="M231" s="1471">
        <v>0</v>
      </c>
      <c r="N231" s="1472">
        <v>1.08077749590761</v>
      </c>
      <c r="O231" s="1472">
        <v>1.08077749590761</v>
      </c>
    </row>
    <row r="232" spans="2:15">
      <c r="B232" s="1388">
        <v>39479</v>
      </c>
      <c r="C232" s="1389">
        <v>380.90600000000001</v>
      </c>
      <c r="D232" s="1389">
        <v>2759.83</v>
      </c>
      <c r="E232" s="1389">
        <v>1.0080223173492819</v>
      </c>
      <c r="F232" s="1389">
        <v>18.966997464643324</v>
      </c>
      <c r="K232" s="1469">
        <v>42289</v>
      </c>
      <c r="L232" s="1470"/>
      <c r="M232" s="1471">
        <v>0</v>
      </c>
      <c r="N232" s="1472">
        <v>1.08077749590761</v>
      </c>
      <c r="O232" s="1472">
        <v>1.08077749590761</v>
      </c>
    </row>
    <row r="233" spans="2:15">
      <c r="B233" s="1388">
        <v>39508</v>
      </c>
      <c r="C233" s="1389">
        <v>383.73099999999999</v>
      </c>
      <c r="D233" s="1389">
        <v>2773.08</v>
      </c>
      <c r="E233" s="1389">
        <v>1.0084459790490408</v>
      </c>
      <c r="F233" s="1389">
        <v>19.12719232785291</v>
      </c>
      <c r="K233" s="1469">
        <v>42290</v>
      </c>
      <c r="L233" s="1470" t="s">
        <v>2129</v>
      </c>
      <c r="M233" s="1471">
        <v>5.2531000000000001E-2</v>
      </c>
      <c r="N233" s="1472">
        <v>1.0813452391339853</v>
      </c>
      <c r="O233" s="1472">
        <v>1.0813452391339853</v>
      </c>
    </row>
    <row r="234" spans="2:15">
      <c r="B234" s="1388">
        <v>39539</v>
      </c>
      <c r="C234" s="1389">
        <v>386.38</v>
      </c>
      <c r="D234" s="1389">
        <v>2788.33</v>
      </c>
      <c r="E234" s="1389">
        <v>1.0090142575644072</v>
      </c>
      <c r="F234" s="1389">
        <v>19.299609765980129</v>
      </c>
      <c r="K234" s="1469">
        <v>42291</v>
      </c>
      <c r="L234" s="1470" t="s">
        <v>2129</v>
      </c>
      <c r="M234" s="1471">
        <v>5.2531000000000001E-2</v>
      </c>
      <c r="N234" s="1472">
        <v>1.0819132806015548</v>
      </c>
      <c r="O234" s="1472">
        <v>1.0819132806015548</v>
      </c>
    </row>
    <row r="235" spans="2:15">
      <c r="B235" s="1388">
        <v>39569</v>
      </c>
      <c r="C235" s="1389">
        <v>392.59199999999998</v>
      </c>
      <c r="D235" s="1389">
        <v>2810.36</v>
      </c>
      <c r="E235" s="1389">
        <v>1.0087678287685495</v>
      </c>
      <c r="F235" s="1389">
        <v>19.46882543970807</v>
      </c>
      <c r="K235" s="1469">
        <v>42292</v>
      </c>
      <c r="L235" s="1470" t="s">
        <v>2129</v>
      </c>
      <c r="M235" s="1471">
        <v>5.2531000000000001E-2</v>
      </c>
      <c r="N235" s="1472">
        <v>1.0824816204669876</v>
      </c>
      <c r="O235" s="1472">
        <v>1.0824816204669876</v>
      </c>
    </row>
    <row r="236" spans="2:15">
      <c r="B236" s="1388">
        <v>39600</v>
      </c>
      <c r="C236" s="1389">
        <v>400.38200000000001</v>
      </c>
      <c r="D236" s="1389">
        <v>2831.16</v>
      </c>
      <c r="E236" s="1389">
        <v>1.0095559246898425</v>
      </c>
      <c r="F236" s="1389">
        <v>19.654868069409609</v>
      </c>
      <c r="K236" s="1469">
        <v>42293</v>
      </c>
      <c r="L236" s="1470" t="s">
        <v>2129</v>
      </c>
      <c r="M236" s="1471">
        <v>5.2531000000000001E-2</v>
      </c>
      <c r="N236" s="1472">
        <v>1.0830502588870352</v>
      </c>
      <c r="O236" s="1472">
        <v>1.0830502588870352</v>
      </c>
    </row>
    <row r="237" spans="2:15">
      <c r="B237" s="1388">
        <v>39630</v>
      </c>
      <c r="C237" s="1389">
        <v>407.44600000000003</v>
      </c>
      <c r="D237" s="1389">
        <v>2846.16</v>
      </c>
      <c r="E237" s="1389">
        <v>1.0106967121371</v>
      </c>
      <c r="F237" s="1389">
        <v>19.865110535240763</v>
      </c>
      <c r="K237" s="1469">
        <v>42294</v>
      </c>
      <c r="L237" s="1470"/>
      <c r="M237" s="1471">
        <v>0</v>
      </c>
      <c r="N237" s="1472">
        <v>1.0830502588870352</v>
      </c>
      <c r="O237" s="1472">
        <v>1.0830502588870352</v>
      </c>
    </row>
    <row r="238" spans="2:15">
      <c r="B238" s="1388">
        <v>39661</v>
      </c>
      <c r="C238" s="1389">
        <v>406.12700000000001</v>
      </c>
      <c r="D238" s="1389">
        <v>2854.13</v>
      </c>
      <c r="E238" s="1389">
        <v>1.0101765713502602</v>
      </c>
      <c r="F238" s="1389">
        <v>20.067269249983447</v>
      </c>
      <c r="K238" s="1469">
        <v>42295</v>
      </c>
      <c r="L238" s="1470"/>
      <c r="M238" s="1471">
        <v>0</v>
      </c>
      <c r="N238" s="1472">
        <v>1.0830502588870352</v>
      </c>
      <c r="O238" s="1472">
        <v>1.0830502588870352</v>
      </c>
    </row>
    <row r="239" spans="2:15">
      <c r="B239" s="1388">
        <v>39692</v>
      </c>
      <c r="C239" s="1389">
        <v>406.55700000000002</v>
      </c>
      <c r="D239" s="1389">
        <v>2861.55</v>
      </c>
      <c r="E239" s="1389">
        <v>1.011030909274969</v>
      </c>
      <c r="F239" s="1389">
        <v>20.288629476476387</v>
      </c>
      <c r="K239" s="1469">
        <v>42296</v>
      </c>
      <c r="L239" s="1470" t="s">
        <v>2129</v>
      </c>
      <c r="M239" s="1471">
        <v>5.2531000000000001E-2</v>
      </c>
      <c r="N239" s="1472">
        <v>1.0836191960185311</v>
      </c>
      <c r="O239" s="1472">
        <v>1.0836191960185311</v>
      </c>
    </row>
    <row r="240" spans="2:15">
      <c r="B240" s="1388">
        <v>39722</v>
      </c>
      <c r="C240" s="1389">
        <v>410.524</v>
      </c>
      <c r="D240" s="1389">
        <v>2874.43</v>
      </c>
      <c r="E240" s="1389">
        <v>1.0117587656900342</v>
      </c>
      <c r="F240" s="1389">
        <v>20.527198716662195</v>
      </c>
      <c r="K240" s="1469">
        <v>42297</v>
      </c>
      <c r="L240" s="1470" t="s">
        <v>2129</v>
      </c>
      <c r="M240" s="1471">
        <v>5.2531000000000001E-2</v>
      </c>
      <c r="N240" s="1472">
        <v>1.0841884320183917</v>
      </c>
      <c r="O240" s="1472">
        <v>1.0841884320183917</v>
      </c>
    </row>
    <row r="241" spans="2:15">
      <c r="B241" s="1388">
        <v>39753</v>
      </c>
      <c r="C241" s="1389">
        <v>412.10399999999998</v>
      </c>
      <c r="D241" s="1389">
        <v>2884.78</v>
      </c>
      <c r="E241" s="1389">
        <v>1.0101996908301405</v>
      </c>
      <c r="F241" s="1389">
        <v>20.736569797181005</v>
      </c>
      <c r="K241" s="1469">
        <v>42298</v>
      </c>
      <c r="L241" s="1470" t="s">
        <v>2129</v>
      </c>
      <c r="M241" s="1471">
        <v>5.2531000000000001E-2</v>
      </c>
      <c r="N241" s="1472">
        <v>1.0847579670436152</v>
      </c>
      <c r="O241" s="1472">
        <v>1.0847579670436152</v>
      </c>
    </row>
    <row r="242" spans="2:15">
      <c r="B242" s="1388">
        <v>39783</v>
      </c>
      <c r="C242" s="1389">
        <v>411.57499999999999</v>
      </c>
      <c r="D242" s="1389">
        <v>2892.86</v>
      </c>
      <c r="E242" s="1389">
        <v>1.0112409294280835</v>
      </c>
      <c r="F242" s="1389">
        <v>20.969668114851643</v>
      </c>
      <c r="K242" s="1469">
        <v>42299</v>
      </c>
      <c r="L242" s="1470" t="s">
        <v>2129</v>
      </c>
      <c r="M242" s="1471">
        <v>5.2531000000000001E-2</v>
      </c>
      <c r="N242" s="1472">
        <v>1.0853278012512828</v>
      </c>
      <c r="O242" s="1472">
        <v>1.0853278012512828</v>
      </c>
    </row>
    <row r="243" spans="2:15">
      <c r="B243" s="1388">
        <v>39814</v>
      </c>
      <c r="C243" s="1389">
        <v>409.78199999999998</v>
      </c>
      <c r="D243" s="1389">
        <v>2906.74</v>
      </c>
      <c r="E243" s="1389">
        <v>1.0104780743150839</v>
      </c>
      <c r="F243" s="1389">
        <v>21.189389855721704</v>
      </c>
      <c r="K243" s="1469">
        <v>42300</v>
      </c>
      <c r="L243" s="1470" t="s">
        <v>2129</v>
      </c>
      <c r="M243" s="1471">
        <v>5.2531000000000001E-2</v>
      </c>
      <c r="N243" s="1472">
        <v>1.0858979347985582</v>
      </c>
      <c r="O243" s="1472">
        <v>1.0858979347985582</v>
      </c>
    </row>
    <row r="244" spans="2:15">
      <c r="B244" s="1388">
        <v>39845</v>
      </c>
      <c r="C244" s="1389">
        <v>410.84899999999999</v>
      </c>
      <c r="D244" s="1389">
        <v>2922.73</v>
      </c>
      <c r="E244" s="1389">
        <v>1.0085508573858042</v>
      </c>
      <c r="F244" s="1389">
        <v>21.370577306470185</v>
      </c>
      <c r="K244" s="1469">
        <v>42301</v>
      </c>
      <c r="L244" s="1470"/>
      <c r="M244" s="1471">
        <v>0</v>
      </c>
      <c r="N244" s="1472">
        <v>1.0858979347985582</v>
      </c>
      <c r="O244" s="1472">
        <v>1.0858979347985582</v>
      </c>
    </row>
    <row r="245" spans="2:15">
      <c r="B245" s="1388">
        <v>39873</v>
      </c>
      <c r="C245" s="1389">
        <v>407.80799999999999</v>
      </c>
      <c r="D245" s="1389">
        <v>2928.57</v>
      </c>
      <c r="E245" s="1389">
        <v>1.0097088387156097</v>
      </c>
      <c r="F245" s="1389">
        <v>21.578060794798173</v>
      </c>
      <c r="K245" s="1469">
        <v>42302</v>
      </c>
      <c r="L245" s="1470"/>
      <c r="M245" s="1471">
        <v>0</v>
      </c>
      <c r="N245" s="1472">
        <v>1.0858979347985582</v>
      </c>
      <c r="O245" s="1472">
        <v>1.0858979347985582</v>
      </c>
    </row>
    <row r="246" spans="2:15">
      <c r="B246" s="1388">
        <v>39904</v>
      </c>
      <c r="C246" s="1389">
        <v>407.18099999999998</v>
      </c>
      <c r="D246" s="1389">
        <v>2942.63</v>
      </c>
      <c r="E246" s="1389">
        <v>1.008395669248594</v>
      </c>
      <c r="F246" s="1389">
        <v>21.759223056257351</v>
      </c>
      <c r="K246" s="1469">
        <v>42303</v>
      </c>
      <c r="L246" s="1470" t="s">
        <v>2129</v>
      </c>
      <c r="M246" s="1471">
        <v>5.2531000000000001E-2</v>
      </c>
      <c r="N246" s="1472">
        <v>1.0864683678426872</v>
      </c>
      <c r="O246" s="1472">
        <v>1.0864683678426872</v>
      </c>
    </row>
    <row r="247" spans="2:15">
      <c r="B247" s="1388">
        <v>39934</v>
      </c>
      <c r="C247" s="1389">
        <v>406.88499999999999</v>
      </c>
      <c r="D247" s="1389">
        <v>2956.46</v>
      </c>
      <c r="E247" s="1389">
        <v>1.0077089274459567</v>
      </c>
      <c r="F247" s="1389">
        <v>21.926963328078429</v>
      </c>
      <c r="K247" s="1469">
        <v>42304</v>
      </c>
      <c r="L247" s="1470" t="s">
        <v>2129</v>
      </c>
      <c r="M247" s="1471">
        <v>5.2531000000000001E-2</v>
      </c>
      <c r="N247" s="1472">
        <v>1.0870391005409987</v>
      </c>
      <c r="O247" s="1472">
        <v>1.0870391005409987</v>
      </c>
    </row>
    <row r="248" spans="2:15">
      <c r="B248" s="1388">
        <v>39965</v>
      </c>
      <c r="C248" s="1389">
        <v>406.48599999999999</v>
      </c>
      <c r="D248" s="1389">
        <v>2967.1</v>
      </c>
      <c r="E248" s="1389">
        <v>1.0076218232644543</v>
      </c>
      <c r="F248" s="1389">
        <v>22.094086767291213</v>
      </c>
      <c r="K248" s="1469">
        <v>42305</v>
      </c>
      <c r="L248" s="1470" t="s">
        <v>2129</v>
      </c>
      <c r="M248" s="1471">
        <v>5.2531000000000001E-2</v>
      </c>
      <c r="N248" s="1472">
        <v>1.0876101330509038</v>
      </c>
      <c r="O248" s="1472">
        <v>1.0876101330509038</v>
      </c>
    </row>
    <row r="249" spans="2:15">
      <c r="B249" s="1388">
        <v>39995</v>
      </c>
      <c r="C249" s="1389">
        <v>404.71800000000002</v>
      </c>
      <c r="D249" s="1389">
        <v>2974.22</v>
      </c>
      <c r="E249" s="1389">
        <v>1.0079014252372847</v>
      </c>
      <c r="F249" s="1389">
        <v>22.268661542069044</v>
      </c>
      <c r="K249" s="1469">
        <v>42306</v>
      </c>
      <c r="L249" s="1470" t="s">
        <v>2129</v>
      </c>
      <c r="M249" s="1471">
        <v>5.2531000000000001E-2</v>
      </c>
      <c r="N249" s="1472">
        <v>1.0881814655298967</v>
      </c>
      <c r="O249" s="1472">
        <v>1.0881814655298967</v>
      </c>
    </row>
    <row r="250" spans="2:15">
      <c r="B250" s="1388">
        <v>40026</v>
      </c>
      <c r="C250" s="1389">
        <v>403.25299999999999</v>
      </c>
      <c r="D250" s="1389">
        <v>2978.68</v>
      </c>
      <c r="E250" s="1389">
        <v>1.0069374854840563</v>
      </c>
      <c r="F250" s="1389">
        <v>22.423150058266511</v>
      </c>
      <c r="K250" s="1469">
        <v>42307</v>
      </c>
      <c r="L250" s="1470" t="s">
        <v>2129</v>
      </c>
      <c r="M250" s="1471">
        <v>5.2531000000000001E-2</v>
      </c>
      <c r="N250" s="1472">
        <v>1.0887530981355542</v>
      </c>
      <c r="O250" s="1472">
        <v>1.0887530981355542</v>
      </c>
    </row>
    <row r="251" spans="2:15">
      <c r="B251" s="1388">
        <v>40057</v>
      </c>
      <c r="C251" s="1389">
        <v>404.94499999999999</v>
      </c>
      <c r="D251" s="1389">
        <v>2985.83</v>
      </c>
      <c r="E251" s="1389">
        <v>1.0069374854840563</v>
      </c>
      <c r="F251" s="1389">
        <v>22.578710336302549</v>
      </c>
      <c r="K251" s="1469">
        <v>42308</v>
      </c>
      <c r="L251" s="1470"/>
      <c r="M251" s="1471">
        <v>0</v>
      </c>
      <c r="N251" s="1472">
        <v>1.0887530981355542</v>
      </c>
      <c r="O251" s="1472">
        <v>1.0887530981355542</v>
      </c>
    </row>
    <row r="252" spans="2:15">
      <c r="B252" s="1388">
        <v>40087</v>
      </c>
      <c r="C252" s="1389">
        <v>405.12900000000002</v>
      </c>
      <c r="D252" s="1389">
        <v>2994.19</v>
      </c>
      <c r="E252" s="1389">
        <v>1.006937485484056</v>
      </c>
      <c r="F252" s="1389">
        <v>22.735349811509355</v>
      </c>
      <c r="K252" s="1469">
        <v>42309</v>
      </c>
      <c r="L252" s="1470"/>
      <c r="M252" s="1471">
        <v>0</v>
      </c>
      <c r="N252" s="1472">
        <v>1.0887530981355542</v>
      </c>
      <c r="O252" s="1472">
        <v>1.0887530981355542</v>
      </c>
    </row>
    <row r="253" spans="2:15">
      <c r="B253" s="1388">
        <v>40118</v>
      </c>
      <c r="C253" s="1389">
        <v>405.548</v>
      </c>
      <c r="D253" s="1389">
        <v>3006.47</v>
      </c>
      <c r="E253" s="1389">
        <v>1.006606040313162</v>
      </c>
      <c r="F253" s="1389">
        <v>22.885540448898027</v>
      </c>
      <c r="K253" s="1469">
        <v>42310</v>
      </c>
      <c r="L253" s="1470"/>
      <c r="M253" s="1471">
        <v>0</v>
      </c>
      <c r="N253" s="1472">
        <v>1.0887530981355542</v>
      </c>
      <c r="O253" s="1472">
        <v>1.0887530981355542</v>
      </c>
    </row>
    <row r="254" spans="2:15">
      <c r="B254" s="1388">
        <v>40148</v>
      </c>
      <c r="C254" s="1389">
        <v>404.49900000000002</v>
      </c>
      <c r="D254" s="1389">
        <v>3017.59</v>
      </c>
      <c r="E254" s="1389">
        <v>1.0072686672230315</v>
      </c>
      <c r="F254" s="1389">
        <v>23.051887826640293</v>
      </c>
      <c r="K254" s="1469">
        <v>42311</v>
      </c>
      <c r="L254" s="1470" t="s">
        <v>2129</v>
      </c>
      <c r="M254" s="1471">
        <v>5.2531000000000001E-2</v>
      </c>
      <c r="N254" s="1472">
        <v>1.0893250310255358</v>
      </c>
      <c r="O254" s="1472">
        <v>1.0893250310255358</v>
      </c>
    </row>
    <row r="255" spans="2:15">
      <c r="B255" s="1388">
        <v>40179</v>
      </c>
      <c r="C255" s="1389">
        <v>407.04899999999998</v>
      </c>
      <c r="D255" s="1389">
        <v>3040.22</v>
      </c>
      <c r="E255" s="1389">
        <v>1.0066056679915218</v>
      </c>
      <c r="F255" s="1389">
        <v>23.204160944200883</v>
      </c>
      <c r="K255" s="1469">
        <v>42312</v>
      </c>
      <c r="L255" s="1470" t="s">
        <v>2129</v>
      </c>
      <c r="M255" s="1471">
        <v>5.2531000000000001E-2</v>
      </c>
      <c r="N255" s="1472">
        <v>1.0898972643575837</v>
      </c>
      <c r="O255" s="1472">
        <v>1.0898972643575837</v>
      </c>
    </row>
    <row r="256" spans="2:15">
      <c r="B256" s="1388">
        <v>40210</v>
      </c>
      <c r="C256" s="1389">
        <v>411.84300000000002</v>
      </c>
      <c r="D256" s="1389">
        <v>3063.93</v>
      </c>
      <c r="E256" s="1389">
        <v>1.0059434772325486</v>
      </c>
      <c r="F256" s="1389">
        <v>23.342074346473133</v>
      </c>
      <c r="K256" s="1469">
        <v>42313</v>
      </c>
      <c r="L256" s="1470" t="s">
        <v>2129</v>
      </c>
      <c r="M256" s="1471">
        <v>5.2531000000000001E-2</v>
      </c>
      <c r="N256" s="1472">
        <v>1.0904697982895235</v>
      </c>
      <c r="O256" s="1472">
        <v>1.0904697982895235</v>
      </c>
    </row>
    <row r="257" spans="2:15">
      <c r="B257" s="1388">
        <v>40238</v>
      </c>
      <c r="C257" s="1389">
        <v>415.73399999999998</v>
      </c>
      <c r="D257" s="1389">
        <v>3079.86</v>
      </c>
      <c r="E257" s="1389">
        <v>1.0076007032666325</v>
      </c>
      <c r="F257" s="1389">
        <v>23.519490527208351</v>
      </c>
      <c r="K257" s="1469">
        <v>42314</v>
      </c>
      <c r="L257" s="1470" t="s">
        <v>2129</v>
      </c>
      <c r="M257" s="1471">
        <v>5.2531000000000001E-2</v>
      </c>
      <c r="N257" s="1472">
        <v>1.0910426329792631</v>
      </c>
      <c r="O257" s="1472">
        <v>1.0910426329792631</v>
      </c>
    </row>
    <row r="258" spans="2:15">
      <c r="B258" s="1388">
        <v>40269</v>
      </c>
      <c r="C258" s="1389">
        <v>418.91699999999997</v>
      </c>
      <c r="D258" s="1389">
        <v>3097.42</v>
      </c>
      <c r="E258" s="1389">
        <v>1.0066591320264642</v>
      </c>
      <c r="F258" s="1389">
        <v>23.676109919824206</v>
      </c>
      <c r="K258" s="1469">
        <v>42315</v>
      </c>
      <c r="L258" s="1470"/>
      <c r="M258" s="1471">
        <v>0</v>
      </c>
      <c r="N258" s="1472">
        <v>1.0910426329792631</v>
      </c>
      <c r="O258" s="1472">
        <v>1.0910426329792631</v>
      </c>
    </row>
    <row r="259" spans="2:15">
      <c r="B259" s="1388">
        <v>40299</v>
      </c>
      <c r="C259" s="1389">
        <v>423.88499999999999</v>
      </c>
      <c r="D259" s="1389">
        <v>3110.74</v>
      </c>
      <c r="E259" s="1389">
        <v>1.0075136425194853</v>
      </c>
      <c r="F259" s="1389">
        <v>23.854003746013806</v>
      </c>
      <c r="K259" s="1469">
        <v>42316</v>
      </c>
      <c r="L259" s="1470"/>
      <c r="M259" s="1471">
        <v>0</v>
      </c>
      <c r="N259" s="1472">
        <v>1.0910426329792631</v>
      </c>
      <c r="O259" s="1472">
        <v>1.0910426329792631</v>
      </c>
    </row>
    <row r="260" spans="2:15">
      <c r="B260" s="1388">
        <v>40330</v>
      </c>
      <c r="C260" s="1389">
        <v>427.48899999999998</v>
      </c>
      <c r="D260" s="1389">
        <v>3110.74</v>
      </c>
      <c r="E260" s="1389">
        <v>1.0079257581819461</v>
      </c>
      <c r="F260" s="1389">
        <v>24.043064811375949</v>
      </c>
      <c r="K260" s="1469">
        <v>42317</v>
      </c>
      <c r="L260" s="1470" t="s">
        <v>2129</v>
      </c>
      <c r="M260" s="1471">
        <v>5.2531000000000001E-2</v>
      </c>
      <c r="N260" s="1472">
        <v>1.0916157685847934</v>
      </c>
      <c r="O260" s="1472">
        <v>1.0916157685847934</v>
      </c>
    </row>
    <row r="261" spans="2:15">
      <c r="B261" s="1388">
        <v>40360</v>
      </c>
      <c r="C261" s="1389">
        <v>428.15</v>
      </c>
      <c r="D261" s="1389">
        <v>3111.05</v>
      </c>
      <c r="E261" s="1389">
        <v>1.0086102956499179</v>
      </c>
      <c r="F261" s="1389">
        <v>24.250082707732034</v>
      </c>
      <c r="K261" s="1469">
        <v>42318</v>
      </c>
      <c r="L261" s="1470" t="s">
        <v>2129</v>
      </c>
      <c r="M261" s="1471">
        <v>5.2531000000000001E-2</v>
      </c>
      <c r="N261" s="1472">
        <v>1.0921892052641886</v>
      </c>
      <c r="O261" s="1472">
        <v>1.0921892052641886</v>
      </c>
    </row>
    <row r="262" spans="2:15">
      <c r="B262" s="1388">
        <v>40391</v>
      </c>
      <c r="C262" s="1389">
        <v>431.44499999999999</v>
      </c>
      <c r="D262" s="1389">
        <v>3112.29</v>
      </c>
      <c r="E262" s="1389">
        <v>1.0088820963555043</v>
      </c>
      <c r="F262" s="1389">
        <v>24.465474278971058</v>
      </c>
      <c r="K262" s="1469">
        <v>42319</v>
      </c>
      <c r="L262" s="1470" t="s">
        <v>2129</v>
      </c>
      <c r="M262" s="1471">
        <v>5.2531000000000001E-2</v>
      </c>
      <c r="N262" s="1472">
        <v>1.0927629431756058</v>
      </c>
      <c r="O262" s="1472">
        <v>1.0927629431756058</v>
      </c>
    </row>
    <row r="263" spans="2:15">
      <c r="B263" s="1388">
        <v>40422</v>
      </c>
      <c r="C263" s="1389">
        <v>436.423</v>
      </c>
      <c r="D263" s="1389">
        <v>3126.29</v>
      </c>
      <c r="E263" s="1389">
        <v>1.0084766584844942</v>
      </c>
      <c r="F263" s="1389">
        <v>24.672859749095071</v>
      </c>
      <c r="K263" s="1469">
        <v>42320</v>
      </c>
      <c r="L263" s="1470" t="s">
        <v>2129</v>
      </c>
      <c r="M263" s="1471">
        <v>5.2531000000000001E-2</v>
      </c>
      <c r="N263" s="1472">
        <v>1.0933369824772854</v>
      </c>
      <c r="O263" s="1472">
        <v>1.0933369824772854</v>
      </c>
    </row>
    <row r="264" spans="2:15">
      <c r="B264" s="1388">
        <v>40452</v>
      </c>
      <c r="C264" s="1389">
        <v>440.82900000000001</v>
      </c>
      <c r="D264" s="1389">
        <v>3149.74</v>
      </c>
      <c r="E264" s="1389">
        <v>1.0080713835461668</v>
      </c>
      <c r="F264" s="1389">
        <v>24.872003863310798</v>
      </c>
      <c r="K264" s="1469">
        <v>42321</v>
      </c>
      <c r="L264" s="1470" t="s">
        <v>2129</v>
      </c>
      <c r="M264" s="1471">
        <v>5.2531000000000001E-2</v>
      </c>
      <c r="N264" s="1472">
        <v>1.0939113233275506</v>
      </c>
      <c r="O264" s="1472">
        <v>1.0939113233275506</v>
      </c>
    </row>
    <row r="265" spans="2:15">
      <c r="B265" s="1388">
        <v>40483</v>
      </c>
      <c r="C265" s="1389">
        <v>447.20600000000002</v>
      </c>
      <c r="D265" s="1389">
        <v>3175.88</v>
      </c>
      <c r="E265" s="1389">
        <v>1.008071383546167</v>
      </c>
      <c r="F265" s="1389">
        <v>25.072755346053327</v>
      </c>
      <c r="K265" s="1469">
        <v>42322</v>
      </c>
      <c r="L265" s="1470"/>
      <c r="M265" s="1471">
        <v>0</v>
      </c>
      <c r="N265" s="1472">
        <v>1.0939113233275506</v>
      </c>
      <c r="O265" s="1472">
        <v>1.0939113233275506</v>
      </c>
    </row>
    <row r="266" spans="2:15">
      <c r="B266" s="1388">
        <v>40513</v>
      </c>
      <c r="C266" s="1389">
        <v>450.30099999999999</v>
      </c>
      <c r="D266" s="1389">
        <v>3195.89</v>
      </c>
      <c r="E266" s="1389">
        <v>1.0092887868177591</v>
      </c>
      <c r="F266" s="1389">
        <v>25.305650825396647</v>
      </c>
      <c r="K266" s="1469">
        <v>42323</v>
      </c>
      <c r="L266" s="1470"/>
      <c r="M266" s="1471">
        <v>0</v>
      </c>
      <c r="N266" s="1472">
        <v>1.0939113233275506</v>
      </c>
      <c r="O266" s="1472">
        <v>1.0939113233275506</v>
      </c>
    </row>
    <row r="267" spans="2:15">
      <c r="B267" s="1388">
        <v>40544</v>
      </c>
      <c r="C267" s="1389">
        <v>453.875</v>
      </c>
      <c r="D267" s="1389">
        <v>3222.42</v>
      </c>
      <c r="E267" s="1389">
        <v>1.0086232010755674</v>
      </c>
      <c r="F267" s="1389">
        <v>25.52386654081214</v>
      </c>
      <c r="K267" s="1469">
        <v>42324</v>
      </c>
      <c r="L267" s="1470" t="s">
        <v>2129</v>
      </c>
      <c r="M267" s="1471">
        <v>5.2531000000000001E-2</v>
      </c>
      <c r="N267" s="1472">
        <v>1.0944859658848078</v>
      </c>
      <c r="O267" s="1472">
        <v>1.0944859658848078</v>
      </c>
    </row>
    <row r="268" spans="2:15">
      <c r="B268" s="1388">
        <v>40575</v>
      </c>
      <c r="C268" s="1389">
        <v>458.39699999999999</v>
      </c>
      <c r="D268" s="1389">
        <v>3248.2</v>
      </c>
      <c r="E268" s="1389">
        <v>1.0084390842010735</v>
      </c>
      <c r="F268" s="1389">
        <v>25.739264599687019</v>
      </c>
      <c r="K268" s="1469">
        <v>42325</v>
      </c>
      <c r="L268" s="1470" t="s">
        <v>2129</v>
      </c>
      <c r="M268" s="1471">
        <v>5.2531000000000001E-2</v>
      </c>
      <c r="N268" s="1472">
        <v>1.0950609103075468</v>
      </c>
      <c r="O268" s="1472">
        <v>1.0950609103075468</v>
      </c>
    </row>
    <row r="269" spans="2:15">
      <c r="B269" s="1388">
        <v>40603</v>
      </c>
      <c r="C269" s="1389">
        <v>461.24900000000002</v>
      </c>
      <c r="D269" s="1389">
        <v>3273.86</v>
      </c>
      <c r="E269" s="1389">
        <v>1.0092045846073012</v>
      </c>
      <c r="F269" s="1389">
        <v>25.97618383842455</v>
      </c>
      <c r="K269" s="1469">
        <v>42326</v>
      </c>
      <c r="L269" s="1470" t="s">
        <v>2129</v>
      </c>
      <c r="M269" s="1471">
        <v>5.2531000000000001E-2</v>
      </c>
      <c r="N269" s="1472">
        <v>1.0956361567543405</v>
      </c>
      <c r="O269" s="1472">
        <v>1.0956361567543405</v>
      </c>
    </row>
    <row r="270" spans="2:15">
      <c r="B270" s="1388">
        <v>40634</v>
      </c>
      <c r="C270" s="1389">
        <v>463.31099999999998</v>
      </c>
      <c r="D270" s="1389">
        <v>3299.07</v>
      </c>
      <c r="E270" s="1389">
        <v>1.0084015541577225</v>
      </c>
      <c r="F270" s="1389">
        <v>26.194424153754028</v>
      </c>
      <c r="K270" s="1469">
        <v>42327</v>
      </c>
      <c r="L270" s="1470" t="s">
        <v>2129</v>
      </c>
      <c r="M270" s="1471">
        <v>5.2531000000000001E-2</v>
      </c>
      <c r="N270" s="1472">
        <v>1.0962117053838452</v>
      </c>
      <c r="O270" s="1472">
        <v>1.0962117053838452</v>
      </c>
    </row>
    <row r="271" spans="2:15">
      <c r="B271" s="1388">
        <v>40664</v>
      </c>
      <c r="C271" s="1389">
        <v>465.31099999999998</v>
      </c>
      <c r="D271" s="1389">
        <v>3314.58</v>
      </c>
      <c r="E271" s="1389">
        <v>1.0098798495673293</v>
      </c>
      <c r="F271" s="1389">
        <v>26.453221123895936</v>
      </c>
      <c r="K271" s="1469">
        <v>42328</v>
      </c>
      <c r="L271" s="1470" t="s">
        <v>2129</v>
      </c>
      <c r="M271" s="1471">
        <v>5.2531000000000001E-2</v>
      </c>
      <c r="N271" s="1472">
        <v>1.0967875563548004</v>
      </c>
      <c r="O271" s="1472">
        <v>1.0967875563548004</v>
      </c>
    </row>
    <row r="272" spans="2:15">
      <c r="B272" s="1388">
        <v>40695</v>
      </c>
      <c r="C272" s="1389">
        <v>464.46300000000002</v>
      </c>
      <c r="D272" s="1389">
        <v>3319.55</v>
      </c>
      <c r="E272" s="1389">
        <v>1.0095627565914342</v>
      </c>
      <c r="F272" s="1389">
        <v>26.706186838563141</v>
      </c>
      <c r="K272" s="1469">
        <v>42329</v>
      </c>
      <c r="L272" s="1470"/>
      <c r="M272" s="1471">
        <v>0</v>
      </c>
      <c r="N272" s="1472">
        <v>1.0967875563548004</v>
      </c>
      <c r="O272" s="1472">
        <v>1.0967875563548004</v>
      </c>
    </row>
    <row r="273" spans="2:15">
      <c r="B273" s="1388">
        <v>40725</v>
      </c>
      <c r="C273" s="1389">
        <v>463.92700000000002</v>
      </c>
      <c r="D273" s="1389">
        <v>3324.86</v>
      </c>
      <c r="E273" s="1389">
        <v>1.0096788504099796</v>
      </c>
      <c r="F273" s="1389">
        <v>26.96467202599456</v>
      </c>
      <c r="K273" s="1469">
        <v>42330</v>
      </c>
      <c r="L273" s="1470"/>
      <c r="M273" s="1471">
        <v>0</v>
      </c>
      <c r="N273" s="1472">
        <v>1.0967875563548004</v>
      </c>
      <c r="O273" s="1472">
        <v>1.0967875563548004</v>
      </c>
    </row>
    <row r="274" spans="2:15">
      <c r="B274" s="1388">
        <v>40756</v>
      </c>
      <c r="C274" s="1389">
        <v>465.96800000000002</v>
      </c>
      <c r="D274" s="1389">
        <v>3337.16</v>
      </c>
      <c r="E274" s="1389">
        <v>1.0107406292787873</v>
      </c>
      <c r="F274" s="1389">
        <v>27.254289571849853</v>
      </c>
      <c r="K274" s="1469">
        <v>42331</v>
      </c>
      <c r="L274" s="1470" t="s">
        <v>2129</v>
      </c>
      <c r="M274" s="1471">
        <v>5.2531000000000001E-2</v>
      </c>
      <c r="N274" s="1472">
        <v>1.0973637098260292</v>
      </c>
      <c r="O274" s="1472">
        <v>1.0973637098260292</v>
      </c>
    </row>
    <row r="275" spans="2:15">
      <c r="B275" s="1388">
        <v>40787</v>
      </c>
      <c r="C275" s="1389">
        <v>468.97500000000002</v>
      </c>
      <c r="D275" s="1389">
        <v>3354.85</v>
      </c>
      <c r="E275" s="1389">
        <v>1.00941760689889</v>
      </c>
      <c r="F275" s="1389">
        <v>27.510959757346054</v>
      </c>
      <c r="K275" s="1469">
        <v>42332</v>
      </c>
      <c r="L275" s="1470" t="s">
        <v>2129</v>
      </c>
      <c r="M275" s="1471">
        <v>5.2531000000000001E-2</v>
      </c>
      <c r="N275" s="1472">
        <v>1.0979401659564378</v>
      </c>
      <c r="O275" s="1472">
        <v>1.0979401659564378</v>
      </c>
    </row>
    <row r="276" spans="2:15">
      <c r="B276" s="1388">
        <v>40817</v>
      </c>
      <c r="C276" s="1389">
        <v>471.46600000000001</v>
      </c>
      <c r="D276" s="1389">
        <v>3369.28</v>
      </c>
      <c r="E276" s="1389">
        <v>1.0088195463919019</v>
      </c>
      <c r="F276" s="1389">
        <v>27.753593943211712</v>
      </c>
      <c r="K276" s="1469">
        <v>42333</v>
      </c>
      <c r="L276" s="1470" t="s">
        <v>2129</v>
      </c>
      <c r="M276" s="1471">
        <v>5.2531000000000001E-2</v>
      </c>
      <c r="N276" s="1472">
        <v>1.0985169249050164</v>
      </c>
      <c r="O276" s="1472">
        <v>1.0985169249050164</v>
      </c>
    </row>
    <row r="277" spans="2:15">
      <c r="B277" s="1388">
        <v>40848</v>
      </c>
      <c r="C277" s="1389">
        <v>473.80799999999999</v>
      </c>
      <c r="D277" s="1389">
        <v>3386.8</v>
      </c>
      <c r="E277" s="1389">
        <v>1.0086047745492386</v>
      </c>
      <c r="F277" s="1389">
        <v>27.992407362024164</v>
      </c>
      <c r="K277" s="1469">
        <v>42334</v>
      </c>
      <c r="L277" s="1470" t="s">
        <v>2129</v>
      </c>
      <c r="M277" s="1471">
        <v>5.2531000000000001E-2</v>
      </c>
      <c r="N277" s="1472">
        <v>1.0990939868308383</v>
      </c>
      <c r="O277" s="1472">
        <v>1.0990939868308383</v>
      </c>
    </row>
    <row r="278" spans="2:15">
      <c r="B278" s="1388">
        <v>40878</v>
      </c>
      <c r="C278" s="1389">
        <v>473.25200000000001</v>
      </c>
      <c r="D278" s="1389">
        <v>3403.73</v>
      </c>
      <c r="E278" s="1389">
        <v>1.0090732804800764</v>
      </c>
      <c r="F278" s="1389">
        <v>28.246390325332364</v>
      </c>
      <c r="K278" s="1469">
        <v>42335</v>
      </c>
      <c r="L278" s="1470" t="s">
        <v>2129</v>
      </c>
      <c r="M278" s="1471">
        <v>5.2531000000000001E-2</v>
      </c>
      <c r="N278" s="1472">
        <v>1.0996713518930603</v>
      </c>
      <c r="O278" s="1472">
        <v>1.0996713518930603</v>
      </c>
    </row>
    <row r="279" spans="2:15">
      <c r="B279" s="1388">
        <v>40909</v>
      </c>
      <c r="C279" s="1389">
        <v>474.42899999999997</v>
      </c>
      <c r="D279" s="1389">
        <v>3422.79</v>
      </c>
      <c r="E279" s="1389">
        <v>1.0089101617717657</v>
      </c>
      <c r="F279" s="1389">
        <v>28.498070232599513</v>
      </c>
      <c r="K279" s="1469">
        <v>42336</v>
      </c>
      <c r="L279" s="1470"/>
      <c r="M279" s="1471">
        <v>0</v>
      </c>
      <c r="N279" s="1472">
        <v>1.0996713518930603</v>
      </c>
      <c r="O279" s="1472">
        <v>1.0996713518930603</v>
      </c>
    </row>
    <row r="280" spans="2:15">
      <c r="B280" s="1388">
        <v>40940</v>
      </c>
      <c r="C280" s="1389">
        <v>474.13799999999998</v>
      </c>
      <c r="D280" s="1389">
        <v>3438.19</v>
      </c>
      <c r="E280" s="1389">
        <v>1.0074877292470876</v>
      </c>
      <c r="F280" s="1389">
        <v>28.711456066565706</v>
      </c>
      <c r="K280" s="1469">
        <v>42337</v>
      </c>
      <c r="L280" s="1470"/>
      <c r="M280" s="1471">
        <v>0</v>
      </c>
      <c r="N280" s="1472">
        <v>1.0996713518930603</v>
      </c>
      <c r="O280" s="1472">
        <v>1.0996713518930603</v>
      </c>
    </row>
    <row r="281" spans="2:15">
      <c r="B281" s="1388">
        <v>40969</v>
      </c>
      <c r="C281" s="1389">
        <v>476.166</v>
      </c>
      <c r="D281" s="1389">
        <v>3445.41</v>
      </c>
      <c r="E281" s="1389">
        <v>1.0082113884808406</v>
      </c>
      <c r="F281" s="1389">
        <v>28.947216986178862</v>
      </c>
      <c r="K281" s="1469">
        <v>42338</v>
      </c>
      <c r="L281" s="1470" t="s">
        <v>2129</v>
      </c>
      <c r="M281" s="1471">
        <v>5.2531000000000001E-2</v>
      </c>
      <c r="N281" s="1472">
        <v>1.1002490202509232</v>
      </c>
      <c r="O281" s="1472">
        <v>1.1002490202509232</v>
      </c>
    </row>
    <row r="282" spans="2:15">
      <c r="B282" s="1388">
        <v>41000</v>
      </c>
      <c r="C282" s="1389">
        <v>480.22899999999998</v>
      </c>
      <c r="D282" s="1389">
        <v>3467.46</v>
      </c>
      <c r="E282" s="1389">
        <v>1.0071187588624242</v>
      </c>
      <c r="F282" s="1389">
        <v>29.15328524364174</v>
      </c>
      <c r="K282" s="1469">
        <v>42339</v>
      </c>
      <c r="L282" s="1470" t="s">
        <v>2129</v>
      </c>
      <c r="M282" s="1471">
        <v>5.2531000000000001E-2</v>
      </c>
      <c r="N282" s="1472">
        <v>1.1008269920637512</v>
      </c>
      <c r="O282" s="1472">
        <v>1.1008269920637512</v>
      </c>
    </row>
    <row r="283" spans="2:15">
      <c r="B283" s="1388">
        <v>41030</v>
      </c>
      <c r="C283" s="1389">
        <v>485.14</v>
      </c>
      <c r="D283" s="1389">
        <v>3479.94</v>
      </c>
      <c r="E283" s="1389">
        <v>1.007447242329657</v>
      </c>
      <c r="F283" s="1389">
        <v>29.370396823556753</v>
      </c>
      <c r="G283" s="11"/>
      <c r="K283" s="1469">
        <v>42340</v>
      </c>
      <c r="L283" s="1470" t="s">
        <v>2129</v>
      </c>
      <c r="M283" s="1471">
        <v>5.2531000000000001E-2</v>
      </c>
      <c r="N283" s="1472">
        <v>1.1014052674909522</v>
      </c>
      <c r="O283" s="1472">
        <v>1.1014052674909522</v>
      </c>
    </row>
    <row r="284" spans="2:15">
      <c r="B284" s="1388">
        <v>41061</v>
      </c>
      <c r="C284" s="1389">
        <v>488.34199999999998</v>
      </c>
      <c r="D284" s="1389">
        <v>3482.72</v>
      </c>
      <c r="E284" s="1389">
        <v>1.0064150263426446</v>
      </c>
      <c r="F284" s="1389">
        <v>29.558808692873793</v>
      </c>
      <c r="K284" s="1469">
        <v>42341</v>
      </c>
      <c r="L284" s="1470" t="s">
        <v>2129</v>
      </c>
      <c r="M284" s="1471">
        <v>5.2531000000000001E-2</v>
      </c>
      <c r="N284" s="1472">
        <v>1.101983846692018</v>
      </c>
      <c r="O284" s="1472">
        <v>1.101983846692018</v>
      </c>
    </row>
    <row r="285" spans="2:15">
      <c r="B285" s="1388">
        <v>41091</v>
      </c>
      <c r="C285" s="1389">
        <v>494.89100000000002</v>
      </c>
      <c r="D285" s="1389">
        <v>3497.7</v>
      </c>
      <c r="E285" s="1389">
        <v>1.0067996486835762</v>
      </c>
      <c r="F285" s="1389">
        <v>29.759798207490373</v>
      </c>
      <c r="K285" s="1469">
        <v>42342</v>
      </c>
      <c r="L285" s="1470" t="s">
        <v>2129</v>
      </c>
      <c r="M285" s="1471">
        <v>5.2531000000000001E-2</v>
      </c>
      <c r="N285" s="1472">
        <v>1.1025627298265237</v>
      </c>
      <c r="O285" s="1472">
        <v>1.1025627298265237</v>
      </c>
    </row>
    <row r="286" spans="2:15">
      <c r="B286" s="1388">
        <v>41122</v>
      </c>
      <c r="C286" s="1389">
        <v>501.95699999999999</v>
      </c>
      <c r="D286" s="1389">
        <v>3512.04</v>
      </c>
      <c r="E286" s="1389">
        <v>1.0069181066014252</v>
      </c>
      <c r="F286" s="1389">
        <v>29.965679663926696</v>
      </c>
      <c r="K286" s="1469">
        <v>42343</v>
      </c>
      <c r="L286" s="1470"/>
      <c r="M286" s="1471">
        <v>0</v>
      </c>
      <c r="N286" s="1472">
        <v>1.1025627298265237</v>
      </c>
      <c r="O286" s="1472">
        <v>1.1025627298265237</v>
      </c>
    </row>
    <row r="287" spans="2:15">
      <c r="B287" s="1388">
        <v>41153</v>
      </c>
      <c r="C287" s="1389">
        <v>506.80399999999997</v>
      </c>
      <c r="D287" s="1389">
        <v>3532.06</v>
      </c>
      <c r="E287" s="1389">
        <v>1.0053899533259578</v>
      </c>
      <c r="F287" s="1389">
        <v>30.127193278695866</v>
      </c>
      <c r="K287" s="1469">
        <v>42344</v>
      </c>
      <c r="L287" s="1470"/>
      <c r="M287" s="1471">
        <v>0</v>
      </c>
      <c r="N287" s="1472">
        <v>1.1025627298265237</v>
      </c>
      <c r="O287" s="1472">
        <v>1.1025627298265237</v>
      </c>
    </row>
    <row r="288" spans="2:15">
      <c r="B288" s="1388">
        <v>41183</v>
      </c>
      <c r="C288" s="1389">
        <v>506.92599999999999</v>
      </c>
      <c r="D288" s="1389">
        <v>3552.9</v>
      </c>
      <c r="E288" s="1389">
        <v>1.0061133864051108</v>
      </c>
      <c r="F288" s="1389">
        <v>30.311372452509993</v>
      </c>
      <c r="K288" s="1469">
        <v>42345</v>
      </c>
      <c r="L288" s="1470" t="s">
        <v>2129</v>
      </c>
      <c r="M288" s="1471">
        <v>5.2531000000000001E-2</v>
      </c>
      <c r="N288" s="1472">
        <v>1.1031419170541288</v>
      </c>
      <c r="O288" s="1472">
        <v>1.1031419170541288</v>
      </c>
    </row>
    <row r="289" spans="2:15">
      <c r="B289" s="1388">
        <v>41214</v>
      </c>
      <c r="C289" s="1389">
        <v>506.79500000000002</v>
      </c>
      <c r="D289" s="1389">
        <v>3574.22</v>
      </c>
      <c r="E289" s="1389">
        <v>1.0054884576647556</v>
      </c>
      <c r="F289" s="1389">
        <v>30.477735136976232</v>
      </c>
      <c r="K289" s="1469">
        <v>42346</v>
      </c>
      <c r="L289" s="1470" t="s">
        <v>2129</v>
      </c>
      <c r="M289" s="1471">
        <v>5.2531000000000001E-2</v>
      </c>
      <c r="N289" s="1472">
        <v>1.1037214085345766</v>
      </c>
      <c r="O289" s="1472">
        <v>1.1037214085345766</v>
      </c>
    </row>
    <row r="290" spans="2:15">
      <c r="B290" s="1388">
        <v>41244</v>
      </c>
      <c r="C290" s="1389">
        <v>510.25200000000001</v>
      </c>
      <c r="D290" s="1389">
        <v>3602.46</v>
      </c>
      <c r="E290" s="1389">
        <v>1.0055015154231364</v>
      </c>
      <c r="F290" s="1389">
        <v>30.645408866894574</v>
      </c>
      <c r="K290" s="1469">
        <v>42347</v>
      </c>
      <c r="L290" s="1470" t="s">
        <v>2129</v>
      </c>
      <c r="M290" s="1471">
        <v>5.2531000000000001E-2</v>
      </c>
      <c r="N290" s="1472">
        <v>1.1043012044276939</v>
      </c>
      <c r="O290" s="1472">
        <v>1.1043012044276939</v>
      </c>
    </row>
    <row r="291" spans="2:15">
      <c r="B291" s="1388">
        <v>41275</v>
      </c>
      <c r="C291" s="1389">
        <v>511.97699999999998</v>
      </c>
      <c r="D291" s="1389">
        <v>3633.44</v>
      </c>
      <c r="E291" s="1389">
        <v>1.0060143970219473</v>
      </c>
      <c r="F291" s="1389">
        <v>30.82972252271998</v>
      </c>
      <c r="K291" s="1469">
        <v>42348</v>
      </c>
      <c r="L291" s="1470" t="s">
        <v>2129</v>
      </c>
      <c r="M291" s="1471">
        <v>5.2531000000000001E-2</v>
      </c>
      <c r="N291" s="1472">
        <v>1.1048813048933919</v>
      </c>
      <c r="O291" s="1472">
        <v>1.1048813048933919</v>
      </c>
    </row>
    <row r="292" spans="2:15">
      <c r="B292" s="1388">
        <v>41306</v>
      </c>
      <c r="C292" s="1389">
        <v>513.46699999999998</v>
      </c>
      <c r="D292" s="1389">
        <v>3655.24</v>
      </c>
      <c r="E292" s="1389">
        <v>1.0049274991744226</v>
      </c>
      <c r="F292" s="1389">
        <v>30.98163595499836</v>
      </c>
      <c r="K292" s="1469">
        <v>42349</v>
      </c>
      <c r="L292" s="1470" t="s">
        <v>2129</v>
      </c>
      <c r="M292" s="1471">
        <v>5.2531000000000001E-2</v>
      </c>
      <c r="N292" s="1472">
        <v>1.1054617100916655</v>
      </c>
      <c r="O292" s="1472">
        <v>1.1054617100916655</v>
      </c>
    </row>
    <row r="293" spans="2:15">
      <c r="B293" s="1388">
        <v>41334</v>
      </c>
      <c r="C293" s="1389">
        <v>514.52599999999995</v>
      </c>
      <c r="D293" s="1389">
        <v>3672.42</v>
      </c>
      <c r="E293" s="1389">
        <v>1.0054940366101026</v>
      </c>
      <c r="F293" s="1389">
        <v>31.151850197175992</v>
      </c>
      <c r="K293" s="1469">
        <v>42350</v>
      </c>
      <c r="L293" s="1470"/>
      <c r="M293" s="1471">
        <v>0</v>
      </c>
      <c r="N293" s="1472">
        <v>1.1054617100916655</v>
      </c>
      <c r="O293" s="1472">
        <v>1.1054617100916655</v>
      </c>
    </row>
    <row r="294" spans="2:15">
      <c r="B294" s="1388">
        <v>41365</v>
      </c>
      <c r="C294" s="1389">
        <v>515.27599999999995</v>
      </c>
      <c r="D294" s="1389">
        <v>3692.62</v>
      </c>
      <c r="E294" s="1389">
        <v>1.0061364605097283</v>
      </c>
      <c r="F294" s="1389">
        <v>31.343012295715933</v>
      </c>
      <c r="K294" s="1469">
        <v>42351</v>
      </c>
      <c r="L294" s="1470"/>
      <c r="M294" s="1471">
        <v>0</v>
      </c>
      <c r="N294" s="1472">
        <v>1.1054617100916655</v>
      </c>
      <c r="O294" s="1472">
        <v>1.1054617100916655</v>
      </c>
    </row>
    <row r="295" spans="2:15">
      <c r="B295" s="1388">
        <v>41395</v>
      </c>
      <c r="C295" s="1389">
        <v>515.29899999999998</v>
      </c>
      <c r="D295" s="1389">
        <v>3706.28</v>
      </c>
      <c r="E295" s="1389">
        <v>1.0059853629993882</v>
      </c>
      <c r="F295" s="1389">
        <v>31.530611601800082</v>
      </c>
      <c r="K295" s="1469">
        <v>42352</v>
      </c>
      <c r="L295" s="1470" t="s">
        <v>2129</v>
      </c>
      <c r="M295" s="1471">
        <v>5.2531000000000001E-2</v>
      </c>
      <c r="N295" s="1472">
        <v>1.1060424201825938</v>
      </c>
      <c r="O295" s="1472">
        <v>1.1060424201825938</v>
      </c>
    </row>
    <row r="296" spans="2:15">
      <c r="B296" s="1388">
        <v>41426</v>
      </c>
      <c r="C296" s="1389">
        <v>519.15300000000002</v>
      </c>
      <c r="D296" s="1389">
        <v>3715.92</v>
      </c>
      <c r="E296" s="1389">
        <v>1.0060527337434972</v>
      </c>
      <c r="F296" s="1389">
        <v>31.721457998595405</v>
      </c>
      <c r="G296" s="66"/>
      <c r="K296" s="1469">
        <v>42353</v>
      </c>
      <c r="L296" s="1470" t="s">
        <v>2129</v>
      </c>
      <c r="M296" s="1471">
        <v>5.2531000000000001E-2</v>
      </c>
      <c r="N296" s="1472">
        <v>1.10662343532634</v>
      </c>
      <c r="O296" s="1472">
        <v>1.10662343532634</v>
      </c>
    </row>
    <row r="297" spans="2:15">
      <c r="B297" s="1388">
        <v>41456</v>
      </c>
      <c r="C297" s="1389">
        <v>520.50800000000004</v>
      </c>
      <c r="D297" s="1389">
        <v>3717.03</v>
      </c>
      <c r="E297" s="1389">
        <v>1.0072409169740031</v>
      </c>
      <c r="F297" s="1389">
        <v>31.951150442257561</v>
      </c>
      <c r="K297" s="1469">
        <v>42354</v>
      </c>
      <c r="L297" s="1470" t="s">
        <v>2129</v>
      </c>
      <c r="M297" s="1471">
        <v>5.2531000000000001E-2</v>
      </c>
      <c r="N297" s="1472">
        <v>1.1072047556831512</v>
      </c>
      <c r="O297" s="1472">
        <v>1.1072047556831512</v>
      </c>
    </row>
    <row r="298" spans="2:15">
      <c r="B298" s="1388">
        <v>41487</v>
      </c>
      <c r="C298" s="1389">
        <v>521.27</v>
      </c>
      <c r="D298" s="1389">
        <v>3725.95</v>
      </c>
      <c r="E298" s="1389">
        <v>1.0071031495053051</v>
      </c>
      <c r="F298" s="1389">
        <v>32.178104240715413</v>
      </c>
      <c r="K298" s="1469">
        <v>42355</v>
      </c>
      <c r="L298" s="1470" t="s">
        <v>2129</v>
      </c>
      <c r="M298" s="1471">
        <v>5.2531000000000001E-2</v>
      </c>
      <c r="N298" s="1472">
        <v>1.1077863814133591</v>
      </c>
      <c r="O298" s="1472">
        <v>1.1077863814133591</v>
      </c>
    </row>
    <row r="299" spans="2:15">
      <c r="B299" s="1388">
        <v>41518</v>
      </c>
      <c r="C299" s="1389">
        <v>529.08500000000004</v>
      </c>
      <c r="D299" s="1389">
        <v>3738.99</v>
      </c>
      <c r="E299" s="1389">
        <v>1.0071302882501354</v>
      </c>
      <c r="F299" s="1389">
        <v>32.407543399294617</v>
      </c>
      <c r="K299" s="1469">
        <v>42356</v>
      </c>
      <c r="L299" s="1470" t="s">
        <v>2129</v>
      </c>
      <c r="M299" s="1471">
        <v>5.2531000000000001E-2</v>
      </c>
      <c r="N299" s="1472">
        <v>1.1083683126773793</v>
      </c>
      <c r="O299" s="1472">
        <v>1.1083683126773793</v>
      </c>
    </row>
    <row r="300" spans="2:15">
      <c r="B300" s="1388">
        <v>41548</v>
      </c>
      <c r="C300" s="1389">
        <v>533.62099999999998</v>
      </c>
      <c r="D300" s="1389">
        <v>3760.3</v>
      </c>
      <c r="E300" s="1389">
        <v>1.0081051023495244</v>
      </c>
      <c r="F300" s="1389">
        <v>32.670209855442558</v>
      </c>
      <c r="G300" s="67"/>
      <c r="K300" s="1469">
        <v>42357</v>
      </c>
      <c r="L300" s="1470"/>
      <c r="M300" s="1471">
        <v>0</v>
      </c>
      <c r="N300" s="1472">
        <v>1.1083683126773793</v>
      </c>
      <c r="O300" s="1472">
        <v>1.1083683126773793</v>
      </c>
    </row>
    <row r="301" spans="2:15">
      <c r="B301" s="1388">
        <v>41579</v>
      </c>
      <c r="C301" s="1389">
        <v>535.16800000000001</v>
      </c>
      <c r="D301" s="1389">
        <v>3780.61</v>
      </c>
      <c r="E301" s="1389">
        <v>1.0071920752752215</v>
      </c>
      <c r="F301" s="1389">
        <v>32.905176463980183</v>
      </c>
      <c r="G301" s="67"/>
      <c r="K301" s="1469">
        <v>42358</v>
      </c>
      <c r="L301" s="1470"/>
      <c r="M301" s="1471">
        <v>0</v>
      </c>
      <c r="N301" s="1472">
        <v>1.1083683126773793</v>
      </c>
      <c r="O301" s="1472">
        <v>1.1083683126773793</v>
      </c>
    </row>
    <row r="302" spans="2:15">
      <c r="B302" s="1388">
        <v>41609</v>
      </c>
      <c r="C302" s="1389">
        <v>538.37</v>
      </c>
      <c r="D302" s="1389">
        <v>3815.39</v>
      </c>
      <c r="E302" s="1389">
        <v>1.0078974581644051</v>
      </c>
      <c r="F302" s="1389">
        <v>33.165043718496833</v>
      </c>
      <c r="G302" s="66"/>
      <c r="K302" s="1469">
        <v>42359</v>
      </c>
      <c r="L302" s="1470" t="s">
        <v>2129</v>
      </c>
      <c r="M302" s="1471">
        <v>5.2531000000000001E-2</v>
      </c>
      <c r="N302" s="1472">
        <v>1.1089505496357119</v>
      </c>
      <c r="O302" s="1472">
        <v>1.1089505496357119</v>
      </c>
    </row>
    <row r="303" spans="2:15">
      <c r="B303" s="1388">
        <v>41640</v>
      </c>
      <c r="C303" s="1389">
        <v>540.95899999999995</v>
      </c>
      <c r="D303" s="1389">
        <v>3836.38</v>
      </c>
      <c r="E303" s="1389">
        <v>1.0084934395272054</v>
      </c>
      <c r="F303" s="1389">
        <v>33.446729011737006</v>
      </c>
      <c r="K303" s="1469">
        <v>42360</v>
      </c>
      <c r="L303" s="1470" t="s">
        <v>2129</v>
      </c>
      <c r="M303" s="1471">
        <v>5.2531000000000001E-2</v>
      </c>
      <c r="N303" s="1472">
        <v>1.109533092448941</v>
      </c>
      <c r="O303" s="1472">
        <v>1.109533092448941</v>
      </c>
    </row>
    <row r="304" spans="2:15">
      <c r="B304" s="1388">
        <v>41671</v>
      </c>
      <c r="C304" s="1389">
        <v>543.03800000000001</v>
      </c>
      <c r="D304" s="1389">
        <v>3862.84</v>
      </c>
      <c r="E304" s="1389">
        <v>1.007901464239193</v>
      </c>
      <c r="F304" s="1389">
        <v>33.711007144941227</v>
      </c>
      <c r="K304" s="1469">
        <v>42361</v>
      </c>
      <c r="L304" s="1470" t="s">
        <v>2129</v>
      </c>
      <c r="M304" s="1471">
        <v>5.2531000000000001E-2</v>
      </c>
      <c r="N304" s="1472">
        <v>1.1101159412777355</v>
      </c>
      <c r="O304" s="1472">
        <v>1.1101159412777355</v>
      </c>
    </row>
    <row r="305" spans="2:15">
      <c r="B305" s="1388">
        <v>41699</v>
      </c>
      <c r="C305" s="1389">
        <v>552.08699999999999</v>
      </c>
      <c r="D305" s="1389">
        <v>3898.38</v>
      </c>
      <c r="E305" s="1389">
        <v>1.0076595732083427</v>
      </c>
      <c r="F305" s="1389">
        <v>33.969219072094866</v>
      </c>
      <c r="K305" s="1469">
        <v>42362</v>
      </c>
      <c r="L305" s="1470" t="s">
        <v>2129</v>
      </c>
      <c r="M305" s="1471">
        <v>5.2531000000000001E-2</v>
      </c>
      <c r="N305" s="1472">
        <v>1.110699096282848</v>
      </c>
      <c r="O305" s="1472">
        <v>1.110699096282848</v>
      </c>
    </row>
    <row r="306" spans="2:15">
      <c r="B306" s="1388">
        <v>41730</v>
      </c>
      <c r="C306" s="1389">
        <v>556.41999999999996</v>
      </c>
      <c r="D306" s="1389">
        <v>3924.5</v>
      </c>
      <c r="E306" s="1389">
        <v>1.0082266762081393</v>
      </c>
      <c r="F306" s="1389">
        <v>34.248672838444342</v>
      </c>
      <c r="K306" s="1469">
        <v>42363</v>
      </c>
      <c r="L306" s="1470"/>
      <c r="M306" s="1471">
        <v>0</v>
      </c>
      <c r="N306" s="1472">
        <v>1.110699096282848</v>
      </c>
      <c r="O306" s="1472">
        <v>1.110699096282848</v>
      </c>
    </row>
    <row r="307" spans="2:15">
      <c r="B307" s="1388">
        <v>41760</v>
      </c>
      <c r="C307" s="1389">
        <v>555.67899999999997</v>
      </c>
      <c r="D307" s="1389">
        <v>3942.55</v>
      </c>
      <c r="E307" s="1389">
        <v>1.0086587318278823</v>
      </c>
      <c r="F307" s="1389">
        <v>34.545222912013308</v>
      </c>
      <c r="K307" s="1469">
        <v>42364</v>
      </c>
      <c r="L307" s="1470"/>
      <c r="M307" s="1471">
        <v>0</v>
      </c>
      <c r="N307" s="1472">
        <v>1.110699096282848</v>
      </c>
      <c r="O307" s="1472">
        <v>1.110699096282848</v>
      </c>
    </row>
    <row r="308" spans="2:15">
      <c r="B308" s="1388">
        <v>41791</v>
      </c>
      <c r="C308" s="1389">
        <v>551.55399999999997</v>
      </c>
      <c r="D308" s="1389">
        <v>3958.32</v>
      </c>
      <c r="E308" s="1389">
        <v>1.0082447163000285</v>
      </c>
      <c r="F308" s="1389">
        <v>34.830038474444102</v>
      </c>
      <c r="K308" s="1469">
        <v>42365</v>
      </c>
      <c r="L308" s="1470"/>
      <c r="M308" s="1471">
        <v>0</v>
      </c>
      <c r="N308" s="1472">
        <v>1.110699096282848</v>
      </c>
      <c r="O308" s="1472">
        <v>1.110699096282848</v>
      </c>
    </row>
    <row r="309" spans="2:15">
      <c r="B309" s="1388">
        <v>41821</v>
      </c>
      <c r="C309" s="1389">
        <v>548.202</v>
      </c>
      <c r="D309" s="1389">
        <v>3958.72</v>
      </c>
      <c r="E309" s="1389">
        <v>1.0094872729749897</v>
      </c>
      <c r="F309" s="1389">
        <v>35.160480557180549</v>
      </c>
      <c r="K309" s="1469">
        <v>42366</v>
      </c>
      <c r="L309" s="1470" t="s">
        <v>2129</v>
      </c>
      <c r="M309" s="1471">
        <v>5.2531000000000001E-2</v>
      </c>
      <c r="N309" s="1472">
        <v>1.1112825576251164</v>
      </c>
      <c r="O309" s="1472">
        <v>1.1112825576251164</v>
      </c>
    </row>
    <row r="310" spans="2:15">
      <c r="B310" s="1388">
        <v>41852</v>
      </c>
      <c r="C310" s="1389">
        <v>546.745</v>
      </c>
      <c r="D310" s="1389">
        <v>3968.62</v>
      </c>
      <c r="E310" s="1389">
        <v>1.0086598207325679</v>
      </c>
      <c r="F310" s="1389">
        <v>35.464964015676671</v>
      </c>
      <c r="K310" s="1469">
        <v>42367</v>
      </c>
      <c r="L310" s="1470" t="s">
        <v>2129</v>
      </c>
      <c r="M310" s="1471">
        <v>5.2531000000000001E-2</v>
      </c>
      <c r="N310" s="1472">
        <v>1.1118663254654624</v>
      </c>
      <c r="O310" s="1472">
        <v>1.1118663254654624</v>
      </c>
    </row>
    <row r="311" spans="2:15">
      <c r="B311" s="1388">
        <v>41883</v>
      </c>
      <c r="C311" s="1389">
        <v>547.83900000000006</v>
      </c>
      <c r="D311" s="1389">
        <v>3991.24</v>
      </c>
      <c r="E311" s="1389">
        <v>1.0090729173629331</v>
      </c>
      <c r="F311" s="1389">
        <v>35.786734703470302</v>
      </c>
      <c r="K311" s="1469">
        <v>42368</v>
      </c>
      <c r="L311" s="1470" t="s">
        <v>2129</v>
      </c>
      <c r="M311" s="1471">
        <v>5.2531000000000001E-2</v>
      </c>
      <c r="N311" s="1472">
        <v>1.1124503999648927</v>
      </c>
      <c r="O311" s="1472">
        <v>1.1124503999648927</v>
      </c>
    </row>
    <row r="312" spans="2:15">
      <c r="B312" s="1388">
        <v>41913</v>
      </c>
      <c r="C312" s="1389">
        <v>549.39599999999996</v>
      </c>
      <c r="D312" s="1389">
        <v>4008</v>
      </c>
      <c r="E312" s="1389">
        <v>1.009505315279368</v>
      </c>
      <c r="F312" s="1389">
        <v>36.126898899645887</v>
      </c>
      <c r="K312" s="1469">
        <v>42369</v>
      </c>
      <c r="L312" s="1470" t="s">
        <v>2129</v>
      </c>
      <c r="M312" s="1471">
        <v>5.2531000000000001E-2</v>
      </c>
      <c r="N312" s="1472">
        <v>1.1130347812844983</v>
      </c>
      <c r="O312" s="1472">
        <v>1.1130347812844983</v>
      </c>
    </row>
    <row r="313" spans="2:15">
      <c r="B313" s="1388">
        <v>41944</v>
      </c>
      <c r="C313" s="1389">
        <v>554.76900000000001</v>
      </c>
      <c r="D313" s="1389">
        <v>4028.44</v>
      </c>
      <c r="E313" s="1389">
        <v>1.0084249317586502</v>
      </c>
      <c r="F313" s="1389">
        <v>36.431265557527063</v>
      </c>
      <c r="K313" s="1469">
        <v>42370</v>
      </c>
      <c r="L313" s="1470"/>
      <c r="M313" s="1471">
        <v>0</v>
      </c>
      <c r="N313" s="1472">
        <v>1.1130347812844983</v>
      </c>
      <c r="O313" s="1472">
        <v>1.1130347812844983</v>
      </c>
    </row>
    <row r="314" spans="2:15">
      <c r="B314" s="1388">
        <v>41974</v>
      </c>
      <c r="C314" s="1389">
        <v>558.21299999999997</v>
      </c>
      <c r="D314" s="1389">
        <v>4059.86</v>
      </c>
      <c r="E314" s="1389">
        <v>1.0096129495106978</v>
      </c>
      <c r="F314" s="1389">
        <v>36.781477473942395</v>
      </c>
      <c r="K314" s="1469">
        <v>42371</v>
      </c>
      <c r="L314" s="1470"/>
      <c r="M314" s="1471">
        <v>0</v>
      </c>
      <c r="N314" s="1472">
        <v>1.1130347812844983</v>
      </c>
      <c r="O314" s="1472">
        <v>1.1130347812844983</v>
      </c>
    </row>
    <row r="315" spans="2:15">
      <c r="B315" s="1388">
        <v>42005</v>
      </c>
      <c r="C315" s="1389">
        <v>562.48199999999997</v>
      </c>
      <c r="D315" s="1389">
        <v>4110.2</v>
      </c>
      <c r="E315" s="1389">
        <v>1.0093507541041149</v>
      </c>
      <c r="F315" s="1389">
        <v>37.12541202538727</v>
      </c>
      <c r="K315" s="1469">
        <v>42372</v>
      </c>
      <c r="L315" s="1470"/>
      <c r="M315" s="1471">
        <v>0</v>
      </c>
      <c r="N315" s="1472">
        <v>1.1130347812844983</v>
      </c>
      <c r="O315" s="1472">
        <v>1.1130347812844983</v>
      </c>
    </row>
    <row r="316" spans="2:15">
      <c r="B316" s="1388">
        <v>42036</v>
      </c>
      <c r="C316" s="1389">
        <v>564.00400000000002</v>
      </c>
      <c r="D316" s="1389">
        <v>4160.34</v>
      </c>
      <c r="E316" s="1389">
        <v>1.0082241099890967</v>
      </c>
      <c r="F316" s="1389">
        <v>37.43073549727459</v>
      </c>
      <c r="K316" s="1469">
        <v>42373</v>
      </c>
      <c r="L316" s="1470" t="s">
        <v>2129</v>
      </c>
      <c r="M316" s="1471">
        <v>5.2531000000000001E-2</v>
      </c>
      <c r="N316" s="1472">
        <v>1.1136194695854549</v>
      </c>
      <c r="O316" s="1472">
        <v>1.1136194695854549</v>
      </c>
    </row>
    <row r="317" spans="2:15">
      <c r="B317" s="1388">
        <v>42064</v>
      </c>
      <c r="C317" s="1389">
        <v>569.53599999999994</v>
      </c>
      <c r="D317" s="1389">
        <v>4215.26</v>
      </c>
      <c r="E317" s="1389">
        <v>1.0103996710699541</v>
      </c>
      <c r="F317" s="1389">
        <v>37.820002834352699</v>
      </c>
      <c r="K317" s="1469">
        <v>42374</v>
      </c>
      <c r="L317" s="1470" t="s">
        <v>2129</v>
      </c>
      <c r="M317" s="1471">
        <v>5.2531000000000001E-2</v>
      </c>
      <c r="N317" s="1472">
        <v>1.1142044650290228</v>
      </c>
      <c r="O317" s="1472">
        <v>1.1142044650290228</v>
      </c>
    </row>
    <row r="318" spans="2:15">
      <c r="B318" s="1388">
        <v>42095</v>
      </c>
      <c r="C318" s="1389">
        <v>576.17499999999995</v>
      </c>
      <c r="D318" s="1389">
        <v>4245.1899999999996</v>
      </c>
      <c r="E318" s="1389">
        <v>1.0095179160892187</v>
      </c>
      <c r="F318" s="1389">
        <v>38.179970447824083</v>
      </c>
      <c r="K318" s="1469">
        <v>42375</v>
      </c>
      <c r="L318" s="1470" t="s">
        <v>2129</v>
      </c>
      <c r="M318" s="1471">
        <v>5.2531000000000001E-2</v>
      </c>
      <c r="N318" s="1472">
        <v>1.1147897677765473</v>
      </c>
      <c r="O318" s="1472">
        <v>1.1147897677765473</v>
      </c>
    </row>
    <row r="319" spans="2:15">
      <c r="B319" s="1388">
        <v>42125</v>
      </c>
      <c r="C319" s="1389">
        <v>578.51599999999996</v>
      </c>
      <c r="D319" s="1389">
        <v>4276.6000000000004</v>
      </c>
      <c r="E319" s="1389">
        <v>1.0098532226245138</v>
      </c>
      <c r="F319" s="1389">
        <v>38.556166196443854</v>
      </c>
      <c r="K319" s="1469">
        <v>42376</v>
      </c>
      <c r="L319" s="1470" t="s">
        <v>2129</v>
      </c>
      <c r="M319" s="1471">
        <v>5.2531000000000001E-2</v>
      </c>
      <c r="N319" s="1472">
        <v>1.115375377989458</v>
      </c>
      <c r="O319" s="1472">
        <v>1.115375377989458</v>
      </c>
    </row>
    <row r="320" spans="2:15">
      <c r="B320" s="1388">
        <v>42156</v>
      </c>
      <c r="C320" s="1389">
        <v>582.40099999999995</v>
      </c>
      <c r="D320" s="1389">
        <v>4310.3900000000003</v>
      </c>
      <c r="E320" s="1389">
        <v>1.0106667572412273</v>
      </c>
      <c r="F320" s="1389">
        <v>38.967435461413736</v>
      </c>
      <c r="K320" s="1469">
        <v>42377</v>
      </c>
      <c r="L320" s="1470" t="s">
        <v>2129</v>
      </c>
      <c r="M320" s="1471">
        <v>5.2531000000000001E-2</v>
      </c>
      <c r="N320" s="1472">
        <v>1.1159612958292695</v>
      </c>
      <c r="O320" s="1472">
        <v>1.1159612958292695</v>
      </c>
    </row>
    <row r="321" spans="2:15">
      <c r="B321" s="1388">
        <v>42186</v>
      </c>
      <c r="C321" s="1389">
        <v>586.42600000000004</v>
      </c>
      <c r="D321" s="1389">
        <v>4337.1099999999997</v>
      </c>
      <c r="E321" s="1389">
        <v>1.0117819838421735</v>
      </c>
      <c r="F321" s="1389">
        <v>39.426549156391054</v>
      </c>
      <c r="K321" s="1469">
        <v>42378</v>
      </c>
      <c r="L321" s="1470"/>
      <c r="M321" s="1471">
        <v>0</v>
      </c>
      <c r="N321" s="1472">
        <v>1.1159612958292695</v>
      </c>
      <c r="O321" s="1472">
        <v>1.1159612958292695</v>
      </c>
    </row>
    <row r="322" spans="2:15">
      <c r="B322" s="1388">
        <v>42217</v>
      </c>
      <c r="C322" s="1389">
        <v>588.04200000000003</v>
      </c>
      <c r="D322" s="1389">
        <v>4346.6499999999996</v>
      </c>
      <c r="E322" s="1389">
        <v>1.0110896528780247</v>
      </c>
      <c r="F322" s="1389">
        <v>39.863775900713804</v>
      </c>
      <c r="K322" s="1469">
        <v>42379</v>
      </c>
      <c r="L322" s="1470"/>
      <c r="M322" s="1471">
        <v>0</v>
      </c>
      <c r="N322" s="1472">
        <v>1.1159612958292695</v>
      </c>
      <c r="O322" s="1472">
        <v>1.1159612958292695</v>
      </c>
    </row>
    <row r="323" spans="2:15">
      <c r="B323" s="1388">
        <v>42248</v>
      </c>
      <c r="C323" s="1389">
        <v>593.60599999999999</v>
      </c>
      <c r="D323" s="1389">
        <v>4370.12</v>
      </c>
      <c r="E323" s="1389">
        <v>1.0110896528780244</v>
      </c>
      <c r="F323" s="1389">
        <v>40.305851337860076</v>
      </c>
      <c r="K323" s="1469">
        <v>42380</v>
      </c>
      <c r="L323" s="1470" t="s">
        <v>2129</v>
      </c>
      <c r="M323" s="1471">
        <v>5.2531000000000001E-2</v>
      </c>
      <c r="N323" s="1472">
        <v>1.1165475214575815</v>
      </c>
      <c r="O323" s="1472">
        <v>1.1165475214575815</v>
      </c>
    </row>
    <row r="324" spans="2:15">
      <c r="B324" s="1388">
        <v>42278</v>
      </c>
      <c r="C324" s="1389">
        <v>604.83199999999999</v>
      </c>
      <c r="D324" s="1389">
        <v>4405.95</v>
      </c>
      <c r="E324" s="1389">
        <v>1.0110896528780242</v>
      </c>
      <c r="F324" s="1389">
        <v>40.752829238150191</v>
      </c>
      <c r="K324" s="1469">
        <v>42381</v>
      </c>
      <c r="L324" s="1470" t="s">
        <v>2129</v>
      </c>
      <c r="M324" s="1471">
        <v>5.2531000000000001E-2</v>
      </c>
      <c r="N324" s="1472">
        <v>1.1171340550360784</v>
      </c>
      <c r="O324" s="1472">
        <v>1.1171340550360784</v>
      </c>
    </row>
    <row r="325" spans="2:15">
      <c r="B325" s="1388">
        <v>42309</v>
      </c>
      <c r="C325" s="1389">
        <v>614.05100000000004</v>
      </c>
      <c r="D325" s="1389">
        <v>4450.45</v>
      </c>
      <c r="E325" s="1389">
        <v>1.0105587962367735</v>
      </c>
      <c r="F325" s="1389">
        <v>41.183130058147846</v>
      </c>
      <c r="K325" s="1469">
        <v>42382</v>
      </c>
      <c r="L325" s="1470" t="s">
        <v>2129</v>
      </c>
      <c r="M325" s="1471">
        <v>5.2531000000000001E-2</v>
      </c>
      <c r="N325" s="1472">
        <v>1.1177208967265295</v>
      </c>
      <c r="O325" s="1472">
        <v>1.1177208967265295</v>
      </c>
    </row>
    <row r="326" spans="2:15">
      <c r="B326" s="1388">
        <v>42339</v>
      </c>
      <c r="C326" s="1389">
        <v>617.04399999999998</v>
      </c>
      <c r="D326" s="1389">
        <v>4493.17</v>
      </c>
      <c r="E326" s="1389">
        <v>1.0116207883835777</v>
      </c>
      <c r="F326" s="1389">
        <v>41.66171049752694</v>
      </c>
      <c r="K326" s="1469">
        <v>42383</v>
      </c>
      <c r="L326" s="1470" t="s">
        <v>2129</v>
      </c>
      <c r="M326" s="1471">
        <v>5.2531000000000001E-2</v>
      </c>
      <c r="N326" s="1472">
        <v>1.1183080466907889</v>
      </c>
      <c r="O326" s="1472">
        <v>1.1183080466907889</v>
      </c>
    </row>
    <row r="327" spans="2:15">
      <c r="B327" s="1388">
        <v>42370</v>
      </c>
      <c r="C327" s="1389">
        <v>624.05999999999995</v>
      </c>
      <c r="D327" s="1389">
        <v>4550.2299999999996</v>
      </c>
      <c r="E327" s="1389">
        <v>1.0105587962367735</v>
      </c>
      <c r="F327" s="1389">
        <v>42.101608009545771</v>
      </c>
      <c r="K327" s="1469">
        <v>42384</v>
      </c>
      <c r="L327" s="1470" t="s">
        <v>2129</v>
      </c>
      <c r="M327" s="1471">
        <v>5.2531000000000001E-2</v>
      </c>
      <c r="N327" s="1472">
        <v>1.118895505090796</v>
      </c>
      <c r="O327" s="1472">
        <v>1.118895505090796</v>
      </c>
    </row>
    <row r="328" spans="2:15">
      <c r="B328" s="1388">
        <v>42401</v>
      </c>
      <c r="C328" s="1389">
        <v>632.11400000000003</v>
      </c>
      <c r="D328" s="1389">
        <v>4591.18</v>
      </c>
      <c r="E328" s="1389">
        <v>1.0100282183134115</v>
      </c>
      <c r="F328" s="1389">
        <v>42.523812126011173</v>
      </c>
      <c r="K328" s="1469">
        <v>42385</v>
      </c>
      <c r="L328" s="1470"/>
      <c r="M328" s="1471">
        <v>0</v>
      </c>
      <c r="N328" s="1472">
        <v>1.118895505090796</v>
      </c>
      <c r="O328" s="1472">
        <v>1.118895505090796</v>
      </c>
    </row>
    <row r="329" spans="2:15">
      <c r="B329" s="1388">
        <v>42430</v>
      </c>
      <c r="C329" s="1389">
        <v>635.34900000000005</v>
      </c>
      <c r="D329" s="1389">
        <v>4610.92</v>
      </c>
      <c r="E329" s="1389">
        <v>1.0116207883835779</v>
      </c>
      <c r="F329" s="1389">
        <v>43.017972347990572</v>
      </c>
      <c r="K329" s="1469">
        <v>42386</v>
      </c>
      <c r="L329" s="1470"/>
      <c r="M329" s="1471">
        <v>0</v>
      </c>
      <c r="N329" s="1472">
        <v>1.118895505090796</v>
      </c>
      <c r="O329" s="1472">
        <v>1.118895505090796</v>
      </c>
    </row>
    <row r="330" spans="2:15">
      <c r="B330" s="1388">
        <v>42461</v>
      </c>
      <c r="C330" s="1389">
        <v>637.43399999999997</v>
      </c>
      <c r="D330" s="1389">
        <v>4639.05</v>
      </c>
      <c r="E330" s="1389">
        <v>1.0105587962367735</v>
      </c>
      <c r="F330" s="1389">
        <v>43.472190352532159</v>
      </c>
      <c r="K330" s="1469">
        <v>42387</v>
      </c>
      <c r="L330" s="1470" t="s">
        <v>2129</v>
      </c>
      <c r="M330" s="1471">
        <v>5.2531000000000001E-2</v>
      </c>
      <c r="N330" s="1472">
        <v>1.1194832720885752</v>
      </c>
      <c r="O330" s="1472">
        <v>1.1194832720885752</v>
      </c>
    </row>
    <row r="331" spans="2:15">
      <c r="B331" s="1388">
        <v>42491</v>
      </c>
      <c r="C331" s="1389">
        <v>642.65099999999995</v>
      </c>
      <c r="D331" s="1389">
        <v>4675.2299999999996</v>
      </c>
      <c r="E331" s="1389">
        <v>1.0110896528780244</v>
      </c>
      <c r="F331" s="1389">
        <v>43.954281853389141</v>
      </c>
      <c r="K331" s="1469">
        <v>42388</v>
      </c>
      <c r="L331" s="1470" t="s">
        <v>2129</v>
      </c>
      <c r="M331" s="1471">
        <v>5.2531000000000001E-2</v>
      </c>
      <c r="N331" s="1472">
        <v>1.1200713478462361</v>
      </c>
      <c r="O331" s="1472">
        <v>1.1200713478462361</v>
      </c>
    </row>
    <row r="332" spans="2:15">
      <c r="B332" s="1388">
        <v>42522</v>
      </c>
      <c r="C332" s="1389">
        <v>653.49599999999998</v>
      </c>
      <c r="D332" s="1389">
        <v>4691.59</v>
      </c>
      <c r="E332" s="1389">
        <v>1.0116207883835777</v>
      </c>
      <c r="F332" s="1389">
        <v>44.465065261359506</v>
      </c>
      <c r="K332" s="1469">
        <v>42389</v>
      </c>
      <c r="L332" s="1470" t="s">
        <v>2129</v>
      </c>
      <c r="M332" s="1471">
        <v>5.2531000000000001E-2</v>
      </c>
      <c r="N332" s="1472">
        <v>1.1206597325259733</v>
      </c>
      <c r="O332" s="1472">
        <v>1.1206597325259733</v>
      </c>
    </row>
    <row r="333" spans="2:15">
      <c r="B333" s="1388">
        <v>42552</v>
      </c>
      <c r="C333" s="1389">
        <v>654.64099999999996</v>
      </c>
      <c r="D333" s="1389">
        <v>4715.99</v>
      </c>
      <c r="E333" s="1389">
        <v>1.0110896528780242</v>
      </c>
      <c r="F333" s="1389">
        <v>44.958167400306678</v>
      </c>
      <c r="K333" s="1469">
        <v>42390</v>
      </c>
      <c r="L333" s="1470" t="s">
        <v>2129</v>
      </c>
      <c r="M333" s="1471">
        <v>5.2531000000000001E-2</v>
      </c>
      <c r="N333" s="1472">
        <v>1.1212484262900666</v>
      </c>
      <c r="O333" s="1472">
        <v>1.1212484262900666</v>
      </c>
    </row>
    <row r="334" spans="2:15">
      <c r="B334" s="1388">
        <v>42583</v>
      </c>
      <c r="C334" s="1389">
        <v>655.60199999999998</v>
      </c>
      <c r="D334" s="1389">
        <v>4736.74</v>
      </c>
      <c r="E334" s="1389">
        <v>1.0121522028999232</v>
      </c>
      <c r="F334" s="1389">
        <v>45.504508172563916</v>
      </c>
      <c r="K334" s="1469">
        <v>42391</v>
      </c>
      <c r="L334" s="1470" t="s">
        <v>2129</v>
      </c>
      <c r="M334" s="1471">
        <v>5.2531000000000001E-2</v>
      </c>
      <c r="N334" s="1472">
        <v>1.121837429300881</v>
      </c>
      <c r="O334" s="1472">
        <v>1.121837429300881</v>
      </c>
    </row>
    <row r="335" spans="2:15">
      <c r="B335" s="1388">
        <v>42614</v>
      </c>
      <c r="C335" s="1389">
        <v>656.89400000000001</v>
      </c>
      <c r="D335" s="1389">
        <v>4740.53</v>
      </c>
      <c r="E335" s="1389">
        <v>1.0110896528780247</v>
      </c>
      <c r="F335" s="1389">
        <v>46.009137372582884</v>
      </c>
      <c r="K335" s="1469">
        <v>42392</v>
      </c>
      <c r="L335" s="1470"/>
      <c r="M335" s="1471">
        <v>0</v>
      </c>
      <c r="N335" s="1472">
        <v>1.121837429300881</v>
      </c>
      <c r="O335" s="1472">
        <v>1.121837429300881</v>
      </c>
    </row>
    <row r="336" spans="2:15">
      <c r="B336" s="1388">
        <v>42644</v>
      </c>
      <c r="C336" s="1389">
        <v>657.92700000000002</v>
      </c>
      <c r="D336" s="1389">
        <v>4752.8599999999997</v>
      </c>
      <c r="E336" s="1389">
        <v>1.0104884196148551</v>
      </c>
      <c r="F336" s="1389">
        <v>46.491700511464046</v>
      </c>
      <c r="K336" s="1469">
        <v>42393</v>
      </c>
      <c r="L336" s="1470"/>
      <c r="M336" s="1471">
        <v>0</v>
      </c>
      <c r="N336" s="1472">
        <v>1.121837429300881</v>
      </c>
      <c r="O336" s="1472">
        <v>1.121837429300881</v>
      </c>
    </row>
    <row r="337" spans="2:15">
      <c r="B337" s="1388">
        <v>42675</v>
      </c>
      <c r="C337" s="1389">
        <v>657.75199999999995</v>
      </c>
      <c r="D337" s="1389">
        <v>4761.42</v>
      </c>
      <c r="E337" s="1389">
        <v>1.0103828638714687</v>
      </c>
      <c r="F337" s="1389">
        <v>46.974417509027667</v>
      </c>
      <c r="K337" s="1469">
        <v>42394</v>
      </c>
      <c r="L337" s="1470" t="s">
        <v>2129</v>
      </c>
      <c r="M337" s="1471">
        <v>5.2531000000000001E-2</v>
      </c>
      <c r="N337" s="1472">
        <v>1.1224267417208671</v>
      </c>
      <c r="O337" s="1472">
        <v>1.1224267417208671</v>
      </c>
    </row>
    <row r="338" spans="2:15">
      <c r="B338" s="1388">
        <v>42705</v>
      </c>
      <c r="C338" s="1389">
        <v>661.30399999999997</v>
      </c>
      <c r="D338" s="1389">
        <v>4775.7</v>
      </c>
      <c r="E338" s="1389">
        <v>1.0112331468569866</v>
      </c>
      <c r="F338" s="1389">
        <v>47.502088039427981</v>
      </c>
      <c r="K338" s="1469">
        <v>42395</v>
      </c>
      <c r="L338" s="1470" t="s">
        <v>2129</v>
      </c>
      <c r="M338" s="1471">
        <v>5.2531000000000001E-2</v>
      </c>
      <c r="N338" s="1472">
        <v>1.1230163637125605</v>
      </c>
      <c r="O338" s="1472">
        <v>1.1230163637125605</v>
      </c>
    </row>
    <row r="339" spans="2:15">
      <c r="B339" s="1388">
        <v>42736</v>
      </c>
      <c r="C339" s="1389">
        <v>665.54200000000003</v>
      </c>
      <c r="D339" s="1389">
        <v>4793.8500000000004</v>
      </c>
      <c r="E339" s="1389">
        <v>1.0108612048503447</v>
      </c>
      <c r="F339" s="1389">
        <v>48.018017948443315</v>
      </c>
      <c r="K339" s="1469">
        <v>42396</v>
      </c>
      <c r="L339" s="1470" t="s">
        <v>2129</v>
      </c>
      <c r="M339" s="1471">
        <v>5.2531000000000001E-2</v>
      </c>
      <c r="N339" s="1472">
        <v>1.1236062954385824</v>
      </c>
      <c r="O339" s="1472">
        <v>1.1236062954385824</v>
      </c>
    </row>
    <row r="340" spans="2:15">
      <c r="B340" s="1388">
        <v>42767</v>
      </c>
      <c r="C340" s="1389">
        <v>666.09900000000005</v>
      </c>
      <c r="D340" s="1389">
        <v>4809.67</v>
      </c>
      <c r="E340" s="1389">
        <v>1.0086508422083289</v>
      </c>
      <c r="F340" s="1389">
        <v>48.433414244872004</v>
      </c>
      <c r="K340" s="1469">
        <v>42397</v>
      </c>
      <c r="L340" s="1470" t="s">
        <v>2129</v>
      </c>
      <c r="M340" s="1471">
        <v>5.2531000000000001E-2</v>
      </c>
      <c r="N340" s="1472">
        <v>1.1241965370616391</v>
      </c>
      <c r="O340" s="1472">
        <v>1.1241965370616391</v>
      </c>
    </row>
    <row r="341" spans="2:15">
      <c r="B341" s="1388">
        <v>42795</v>
      </c>
      <c r="C341" s="1389">
        <v>666.197</v>
      </c>
      <c r="D341" s="1389">
        <v>4821.6899999999996</v>
      </c>
      <c r="E341" s="1389">
        <v>1.0105205646045978</v>
      </c>
      <c r="F341" s="1389">
        <v>48.94296110845643</v>
      </c>
      <c r="K341" s="1469">
        <v>42398</v>
      </c>
      <c r="L341" s="1470" t="s">
        <v>2129</v>
      </c>
      <c r="M341" s="1471">
        <v>5.2531000000000001E-2</v>
      </c>
      <c r="N341" s="1472">
        <v>1.124787088744523</v>
      </c>
      <c r="O341" s="1472">
        <v>1.124787088744523</v>
      </c>
    </row>
    <row r="342" spans="2:15">
      <c r="B342" s="1388">
        <v>42826</v>
      </c>
      <c r="C342" s="1389">
        <v>658.89800000000002</v>
      </c>
      <c r="D342" s="1389">
        <v>4828.4399999999996</v>
      </c>
      <c r="E342" s="1389">
        <v>1.0078658059100756</v>
      </c>
      <c r="F342" s="1389">
        <v>49.327936941199923</v>
      </c>
      <c r="K342" s="1469">
        <v>42399</v>
      </c>
      <c r="L342" s="1470"/>
      <c r="M342" s="1471">
        <v>0</v>
      </c>
      <c r="N342" s="1472">
        <v>1.124787088744523</v>
      </c>
      <c r="O342" s="1472">
        <v>1.124787088744523</v>
      </c>
    </row>
    <row r="343" spans="2:15">
      <c r="B343" s="1388">
        <v>42856</v>
      </c>
      <c r="C343" s="1389">
        <v>652.75800000000004</v>
      </c>
      <c r="D343" s="1389">
        <v>4843.41</v>
      </c>
      <c r="E343" s="1389">
        <v>1.0092713189779878</v>
      </c>
      <c r="F343" s="1389">
        <v>49.785271979107854</v>
      </c>
      <c r="K343" s="1469">
        <v>42400</v>
      </c>
      <c r="L343" s="1470"/>
      <c r="M343" s="1471">
        <v>0</v>
      </c>
      <c r="N343" s="1472">
        <v>1.124787088744523</v>
      </c>
      <c r="O343" s="1472">
        <v>1.124787088744523</v>
      </c>
    </row>
    <row r="344" spans="2:15">
      <c r="B344" s="1388">
        <v>42887</v>
      </c>
      <c r="C344" s="1389">
        <v>648.40899999999999</v>
      </c>
      <c r="D344" s="1389">
        <v>4832.2700000000004</v>
      </c>
      <c r="E344" s="1389">
        <v>1.0080886926571575</v>
      </c>
      <c r="F344" s="1389">
        <v>50.187969742999854</v>
      </c>
      <c r="K344" s="1469">
        <v>42401</v>
      </c>
      <c r="L344" s="1470" t="s">
        <v>2129</v>
      </c>
      <c r="M344" s="1471">
        <v>5.2531000000000001E-2</v>
      </c>
      <c r="N344" s="1472">
        <v>1.1253779506501114</v>
      </c>
      <c r="O344" s="1472">
        <v>1.1253779506501114</v>
      </c>
    </row>
    <row r="345" spans="2:15">
      <c r="B345" s="1388">
        <v>42917</v>
      </c>
      <c r="C345" s="1389">
        <v>643.76599999999996</v>
      </c>
      <c r="D345" s="1389">
        <v>4843.87</v>
      </c>
      <c r="E345" s="1389">
        <v>1.0079792299470567</v>
      </c>
      <c r="F345" s="1389">
        <v>50.588431094155176</v>
      </c>
      <c r="K345" s="1469">
        <v>42402</v>
      </c>
      <c r="L345" s="1470" t="s">
        <v>2129</v>
      </c>
      <c r="M345" s="1471">
        <v>5.2531000000000001E-2</v>
      </c>
      <c r="N345" s="1472">
        <v>1.1259691229413673</v>
      </c>
      <c r="O345" s="1472">
        <v>1.1259691229413673</v>
      </c>
    </row>
    <row r="346" spans="2:15">
      <c r="B346" s="1388">
        <v>42948</v>
      </c>
      <c r="C346" s="1389">
        <v>644.38300000000004</v>
      </c>
      <c r="D346" s="1389">
        <v>4853.07</v>
      </c>
      <c r="E346" s="1389">
        <v>1.0080228940119034</v>
      </c>
      <c r="F346" s="1389">
        <v>50.994296715052059</v>
      </c>
      <c r="K346" s="1469">
        <v>42403</v>
      </c>
      <c r="L346" s="1470" t="s">
        <v>2129</v>
      </c>
      <c r="M346" s="1471">
        <v>5.2531000000000001E-2</v>
      </c>
      <c r="N346" s="1472">
        <v>1.1265606057813395</v>
      </c>
      <c r="O346" s="1472">
        <v>1.1265606057813395</v>
      </c>
    </row>
    <row r="347" spans="2:15">
      <c r="B347" s="1388">
        <v>42979</v>
      </c>
      <c r="C347" s="1389">
        <v>647.4</v>
      </c>
      <c r="D347" s="1389">
        <v>4860.83</v>
      </c>
      <c r="E347" s="1389">
        <v>1.0063846003708505</v>
      </c>
      <c r="F347" s="1389">
        <v>51.319874920770239</v>
      </c>
      <c r="K347" s="1469">
        <v>42404</v>
      </c>
      <c r="L347" s="1470" t="s">
        <v>2129</v>
      </c>
      <c r="M347" s="1471">
        <v>5.2531000000000001E-2</v>
      </c>
      <c r="N347" s="1472">
        <v>1.1271523993331625</v>
      </c>
      <c r="O347" s="1472">
        <v>1.1271523993331625</v>
      </c>
    </row>
    <row r="348" spans="2:15">
      <c r="B348" s="1388">
        <v>43009</v>
      </c>
      <c r="C348" s="1389">
        <v>648.67200000000003</v>
      </c>
      <c r="D348" s="1389">
        <v>4881.25</v>
      </c>
      <c r="E348" s="1389">
        <v>1.0064393014601032</v>
      </c>
      <c r="F348" s="1389">
        <v>51.650339066279869</v>
      </c>
      <c r="K348" s="1469">
        <v>42405</v>
      </c>
      <c r="L348" s="1470" t="s">
        <v>2129</v>
      </c>
      <c r="M348" s="1471">
        <v>5.2531000000000001E-2</v>
      </c>
      <c r="N348" s="1472">
        <v>1.1277445037600562</v>
      </c>
      <c r="O348" s="1472">
        <v>1.1277445037600562</v>
      </c>
    </row>
    <row r="349" spans="2:15">
      <c r="B349" s="1388">
        <v>43040</v>
      </c>
      <c r="C349" s="1389">
        <v>652.07299999999998</v>
      </c>
      <c r="D349" s="1389">
        <v>4894.92</v>
      </c>
      <c r="E349" s="1389">
        <v>1.0056818783789492</v>
      </c>
      <c r="F349" s="1389">
        <v>51.943810011085958</v>
      </c>
      <c r="K349" s="1469">
        <v>42406</v>
      </c>
      <c r="L349" s="1470"/>
      <c r="M349" s="1471">
        <v>0</v>
      </c>
      <c r="N349" s="1472">
        <v>1.1277445037600562</v>
      </c>
      <c r="O349" s="1472">
        <v>1.1277445037600562</v>
      </c>
    </row>
    <row r="350" spans="2:15">
      <c r="B350" s="1388">
        <v>43070</v>
      </c>
      <c r="C350" s="1389">
        <v>657.85900000000004</v>
      </c>
      <c r="D350" s="1389">
        <v>4916.46</v>
      </c>
      <c r="E350" s="1389">
        <v>1.0053840004998948</v>
      </c>
      <c r="F350" s="1389">
        <v>52.223475510152085</v>
      </c>
      <c r="K350" s="1469">
        <v>42407</v>
      </c>
      <c r="L350" s="1470"/>
      <c r="M350" s="1471">
        <v>0</v>
      </c>
      <c r="N350" s="1472">
        <v>1.1277445037600562</v>
      </c>
      <c r="O350" s="1472">
        <v>1.1277445037600562</v>
      </c>
    </row>
    <row r="351" spans="2:15">
      <c r="B351" s="1388">
        <v>43101</v>
      </c>
      <c r="C351" s="1389">
        <v>662.82600000000002</v>
      </c>
      <c r="D351" s="1389">
        <v>4930.72</v>
      </c>
      <c r="E351" s="1389">
        <v>1.0058420473548675</v>
      </c>
      <c r="F351" s="1389">
        <v>52.528567527118156</v>
      </c>
      <c r="K351" s="1469">
        <v>42408</v>
      </c>
      <c r="L351" s="1470"/>
      <c r="M351" s="1471">
        <v>0</v>
      </c>
      <c r="N351" s="1472">
        <v>1.1277445037600562</v>
      </c>
      <c r="O351" s="1472">
        <v>1.1277445037600562</v>
      </c>
    </row>
    <row r="352" spans="2:15">
      <c r="B352" s="1388">
        <v>43132</v>
      </c>
      <c r="C352" s="1389">
        <v>663.31100000000004</v>
      </c>
      <c r="D352" s="1389">
        <v>4946.5</v>
      </c>
      <c r="E352" s="1389">
        <v>1.0046560161193037</v>
      </c>
      <c r="F352" s="1389">
        <v>52.773141384248348</v>
      </c>
      <c r="K352" s="1469">
        <v>42409</v>
      </c>
      <c r="L352" s="1470"/>
      <c r="M352" s="1471">
        <v>0</v>
      </c>
      <c r="N352" s="1472">
        <v>1.1277445037600562</v>
      </c>
      <c r="O352" s="1472">
        <v>1.1277445037600562</v>
      </c>
    </row>
    <row r="353" spans="2:15">
      <c r="B353" s="1388">
        <v>43160</v>
      </c>
      <c r="C353" s="1389">
        <v>667.524</v>
      </c>
      <c r="D353" s="1389">
        <v>4950.95</v>
      </c>
      <c r="E353" s="1389">
        <v>1.0053234480536677</v>
      </c>
      <c r="F353" s="1389">
        <v>53.054076461036253</v>
      </c>
      <c r="K353" s="1469">
        <v>42410</v>
      </c>
      <c r="L353" s="1470" t="s">
        <v>2129</v>
      </c>
      <c r="M353" s="1471">
        <v>5.2531000000000001E-2</v>
      </c>
      <c r="N353" s="1472">
        <v>1.1283369192253263</v>
      </c>
      <c r="O353" s="1472">
        <v>1.1283369192253263</v>
      </c>
    </row>
    <row r="354" spans="2:15">
      <c r="B354" s="1388">
        <v>43191</v>
      </c>
      <c r="C354" s="1389">
        <v>671.327</v>
      </c>
      <c r="D354" s="1389">
        <v>4961.84</v>
      </c>
      <c r="E354" s="1389">
        <v>1.0051829489023658</v>
      </c>
      <c r="F354" s="1389">
        <v>53.329053028396011</v>
      </c>
      <c r="K354" s="1469">
        <v>42411</v>
      </c>
      <c r="L354" s="1470" t="s">
        <v>2129</v>
      </c>
      <c r="M354" s="1471">
        <v>5.2531000000000001E-2</v>
      </c>
      <c r="N354" s="1472">
        <v>1.1289296458923646</v>
      </c>
      <c r="O354" s="1472">
        <v>1.1289296458923646</v>
      </c>
    </row>
    <row r="355" spans="2:15">
      <c r="B355" s="1388">
        <v>43221</v>
      </c>
      <c r="C355" s="1389">
        <v>680.57899999999995</v>
      </c>
      <c r="D355" s="1389">
        <v>4981.6899999999996</v>
      </c>
      <c r="E355" s="1389">
        <v>1.0051829489023656</v>
      </c>
      <c r="F355" s="1389">
        <v>53.605454785253734</v>
      </c>
      <c r="G355" s="491"/>
      <c r="K355" s="1469">
        <v>42412</v>
      </c>
      <c r="L355" s="1470" t="s">
        <v>2129</v>
      </c>
      <c r="M355" s="1471">
        <v>5.2531000000000001E-2</v>
      </c>
      <c r="N355" s="1472">
        <v>1.1295226839246482</v>
      </c>
      <c r="O355" s="1472">
        <v>1.1295226839246482</v>
      </c>
    </row>
    <row r="356" spans="2:15">
      <c r="B356" s="1388">
        <v>43252</v>
      </c>
      <c r="C356" s="1389">
        <v>693.28700000000003</v>
      </c>
      <c r="D356" s="1389">
        <v>5044.46</v>
      </c>
      <c r="E356" s="1389">
        <v>1.0051829489023654</v>
      </c>
      <c r="F356" s="1389">
        <v>53.88328911829376</v>
      </c>
      <c r="G356" s="10"/>
      <c r="I356" s="10"/>
      <c r="K356" s="1469">
        <v>42413</v>
      </c>
      <c r="L356" s="1470"/>
      <c r="M356" s="1471">
        <v>0</v>
      </c>
      <c r="N356" s="1472">
        <v>1.1295226839246482</v>
      </c>
      <c r="O356" s="1472">
        <v>1.1295226839246482</v>
      </c>
    </row>
    <row r="357" spans="2:15">
      <c r="B357" s="1388">
        <v>43282</v>
      </c>
      <c r="C357" s="1389">
        <v>696.8</v>
      </c>
      <c r="D357" s="1389">
        <v>5061.1099999999997</v>
      </c>
      <c r="E357" s="1389">
        <v>1.0054304249443857</v>
      </c>
      <c r="F357" s="1389">
        <v>54.175898275607288</v>
      </c>
      <c r="G357" s="10"/>
      <c r="K357" s="1469">
        <v>42414</v>
      </c>
      <c r="L357" s="1470"/>
      <c r="M357" s="1471">
        <v>0</v>
      </c>
      <c r="N357" s="1472">
        <v>1.1295226839246482</v>
      </c>
      <c r="O357" s="1472">
        <v>1.1295226839246482</v>
      </c>
    </row>
    <row r="358" spans="2:15">
      <c r="B358" s="1388">
        <v>43313</v>
      </c>
      <c r="C358" s="1389">
        <v>701.67700000000002</v>
      </c>
      <c r="D358" s="1389">
        <v>5056.5600000000004</v>
      </c>
      <c r="E358" s="1389">
        <v>1.0056779619150069</v>
      </c>
      <c r="F358" s="1389">
        <v>54.483506962727475</v>
      </c>
      <c r="K358" s="1469">
        <v>42415</v>
      </c>
      <c r="L358" s="1470" t="s">
        <v>2129</v>
      </c>
      <c r="M358" s="1471">
        <v>5.2531000000000001E-2</v>
      </c>
      <c r="N358" s="1472">
        <v>1.1301160334857405</v>
      </c>
      <c r="O358" s="1472">
        <v>1.1301160334857405</v>
      </c>
    </row>
    <row r="359" spans="2:15">
      <c r="B359" s="1388">
        <v>43344</v>
      </c>
      <c r="C359" s="1389">
        <v>712.37300000000005</v>
      </c>
      <c r="D359" s="1389">
        <v>5080.83</v>
      </c>
      <c r="E359" s="1389">
        <v>1.0046881795441467</v>
      </c>
      <c r="F359" s="1389">
        <v>54.738935425563504</v>
      </c>
      <c r="K359" s="1469">
        <v>42416</v>
      </c>
      <c r="L359" s="1470" t="s">
        <v>2129</v>
      </c>
      <c r="M359" s="1471">
        <v>5.2531000000000001E-2</v>
      </c>
      <c r="N359" s="1472">
        <v>1.1307096947392909</v>
      </c>
      <c r="O359" s="1472">
        <v>1.1307096947392909</v>
      </c>
    </row>
    <row r="360" spans="2:15">
      <c r="B360" s="1388">
        <v>43374</v>
      </c>
      <c r="C360" s="1389">
        <v>718.68399999999997</v>
      </c>
      <c r="D360" s="1389">
        <v>5103.6899999999996</v>
      </c>
      <c r="E360" s="1389">
        <v>1.0054304249443855</v>
      </c>
      <c r="F360" s="1389">
        <v>55.036191105927593</v>
      </c>
      <c r="K360" s="1469">
        <v>42417</v>
      </c>
      <c r="L360" s="1470" t="s">
        <v>2129</v>
      </c>
      <c r="M360" s="1471">
        <v>5.2531000000000001E-2</v>
      </c>
      <c r="N360" s="1472">
        <v>1.1313036678490345</v>
      </c>
      <c r="O360" s="1472">
        <v>1.1313036678490345</v>
      </c>
    </row>
    <row r="361" spans="2:15">
      <c r="B361" s="1388">
        <v>43405</v>
      </c>
      <c r="C361" s="1389">
        <v>715.16600000000005</v>
      </c>
      <c r="D361" s="1389">
        <v>5092.97</v>
      </c>
      <c r="E361" s="1389">
        <v>1.0049355337739507</v>
      </c>
      <c r="F361" s="1389">
        <v>55.307824085920508</v>
      </c>
      <c r="K361" s="1469">
        <v>42418</v>
      </c>
      <c r="L361" s="1470" t="s">
        <v>2129</v>
      </c>
      <c r="M361" s="1471">
        <v>5.2531000000000001E-2</v>
      </c>
      <c r="N361" s="1472">
        <v>1.1318979529787923</v>
      </c>
      <c r="O361" s="1472">
        <v>1.1318979529787923</v>
      </c>
    </row>
    <row r="362" spans="2:15">
      <c r="B362" s="1388">
        <v>43435</v>
      </c>
      <c r="C362" s="1389">
        <v>707.44100000000003</v>
      </c>
      <c r="D362" s="1389">
        <v>5100.6099999999997</v>
      </c>
      <c r="E362" s="1389">
        <v>1.0049355337739507</v>
      </c>
      <c r="F362" s="1389">
        <v>55.580797719660296</v>
      </c>
      <c r="K362" s="1469">
        <v>42419</v>
      </c>
      <c r="L362" s="1470" t="s">
        <v>2129</v>
      </c>
      <c r="M362" s="1471">
        <v>5.2531000000000001E-2</v>
      </c>
      <c r="N362" s="1472">
        <v>1.1324925502924716</v>
      </c>
      <c r="O362" s="1472">
        <v>1.1324925502924716</v>
      </c>
    </row>
    <row r="363" spans="2:15">
      <c r="B363" s="1388">
        <v>43466</v>
      </c>
      <c r="C363" s="1389">
        <v>707.48800000000006</v>
      </c>
      <c r="D363" s="1389">
        <v>5116.93</v>
      </c>
      <c r="E363" s="1389">
        <v>1.0054304249443855</v>
      </c>
      <c r="F363" s="1389">
        <v>55.882625070025988</v>
      </c>
      <c r="K363" s="1469">
        <v>42420</v>
      </c>
      <c r="L363" s="1470"/>
      <c r="M363" s="1471">
        <v>0</v>
      </c>
      <c r="N363" s="1472">
        <v>1.1324925502924716</v>
      </c>
      <c r="O363" s="1472">
        <v>1.1324925502924716</v>
      </c>
    </row>
    <row r="364" spans="2:15">
      <c r="B364" s="1388">
        <v>43497</v>
      </c>
      <c r="C364" s="1389">
        <v>713.74699999999996</v>
      </c>
      <c r="D364" s="1389">
        <v>5138.93</v>
      </c>
      <c r="E364" s="1389">
        <v>1.0049355337739507</v>
      </c>
      <c r="F364" s="1389">
        <v>56.158435653436129</v>
      </c>
      <c r="K364" s="1469">
        <v>42421</v>
      </c>
      <c r="L364" s="1470"/>
      <c r="M364" s="1471">
        <v>0</v>
      </c>
      <c r="N364" s="1472">
        <v>1.1324925502924716</v>
      </c>
      <c r="O364" s="1472">
        <v>1.1324925502924716</v>
      </c>
    </row>
    <row r="365" spans="2:15">
      <c r="B365" s="1388">
        <v>43525</v>
      </c>
      <c r="C365" s="1389">
        <v>722.70699999999999</v>
      </c>
      <c r="D365" s="1389">
        <v>5177.47</v>
      </c>
      <c r="E365" s="1389">
        <v>1.0046881795441467</v>
      </c>
      <c r="F365" s="1389">
        <v>56.421716482697846</v>
      </c>
      <c r="K365" s="1469">
        <v>42422</v>
      </c>
      <c r="L365" s="1470" t="s">
        <v>2129</v>
      </c>
      <c r="M365" s="1471">
        <v>5.2531000000000001E-2</v>
      </c>
      <c r="N365" s="1472">
        <v>1.1330874599540657</v>
      </c>
      <c r="O365" s="1472">
        <v>1.1330874599540657</v>
      </c>
    </row>
    <row r="366" spans="2:15">
      <c r="B366" s="1388">
        <v>43556</v>
      </c>
      <c r="C366" s="1389">
        <v>729.346</v>
      </c>
      <c r="D366" s="1389">
        <v>5206.9799999999996</v>
      </c>
      <c r="E366" s="1389">
        <v>1.0051829489023654</v>
      </c>
      <c r="F366" s="1389">
        <v>56.714147356211413</v>
      </c>
      <c r="K366" s="1469">
        <v>42423</v>
      </c>
      <c r="L366" s="1470" t="s">
        <v>2129</v>
      </c>
      <c r="M366" s="1471">
        <v>5.2531000000000001E-2</v>
      </c>
      <c r="N366" s="1472">
        <v>1.1336826821276542</v>
      </c>
      <c r="O366" s="1472">
        <v>1.1336826821276542</v>
      </c>
    </row>
    <row r="367" spans="2:15">
      <c r="B367" s="1388">
        <v>43586</v>
      </c>
      <c r="C367" s="1389">
        <v>732.59500000000003</v>
      </c>
      <c r="D367" s="1389">
        <v>5213.75</v>
      </c>
      <c r="E367" s="1389">
        <v>1.0054304249443855</v>
      </c>
      <c r="F367" s="1389">
        <v>57.022129276714139</v>
      </c>
      <c r="K367" s="1469">
        <v>42424</v>
      </c>
      <c r="L367" s="1470" t="s">
        <v>2129</v>
      </c>
      <c r="M367" s="1471">
        <v>5.2531000000000001E-2</v>
      </c>
      <c r="N367" s="1472">
        <v>1.1342782169774026</v>
      </c>
      <c r="O367" s="1472">
        <v>1.1342782169774026</v>
      </c>
    </row>
    <row r="368" spans="2:15">
      <c r="B368" s="1388">
        <v>43617</v>
      </c>
      <c r="C368" s="1389">
        <v>738.42100000000005</v>
      </c>
      <c r="D368" s="1389">
        <v>5214.2700000000004</v>
      </c>
      <c r="E368" s="1389">
        <v>1.0046881795441465</v>
      </c>
      <c r="F368" s="1389">
        <v>57.289459256752906</v>
      </c>
      <c r="K368" s="1469">
        <v>42425</v>
      </c>
      <c r="L368" s="1470" t="s">
        <v>2129</v>
      </c>
      <c r="M368" s="1471">
        <v>5.2531000000000001E-2</v>
      </c>
      <c r="N368" s="1472">
        <v>1.134874064667563</v>
      </c>
      <c r="O368" s="1472">
        <v>1.134874064667563</v>
      </c>
    </row>
    <row r="369" spans="2:15">
      <c r="B369" s="1388">
        <v>43647</v>
      </c>
      <c r="C369" s="1389">
        <v>741.346</v>
      </c>
      <c r="D369" s="1389">
        <v>5224.18</v>
      </c>
      <c r="E369" s="1389">
        <v>1.0056779619150069</v>
      </c>
      <c r="F369" s="1389">
        <v>57.61474662454409</v>
      </c>
      <c r="K369" s="1469">
        <v>42426</v>
      </c>
      <c r="L369" s="1470" t="s">
        <v>2129</v>
      </c>
      <c r="M369" s="1471">
        <v>5.2531000000000001E-2</v>
      </c>
      <c r="N369" s="1472">
        <v>1.1354702253624736</v>
      </c>
      <c r="O369" s="1472">
        <v>1.1354702253624736</v>
      </c>
    </row>
    <row r="370" spans="2:15">
      <c r="B370" s="1388">
        <v>43678</v>
      </c>
      <c r="C370" s="1389">
        <v>736.40200000000004</v>
      </c>
      <c r="D370" s="1389">
        <v>5229.93</v>
      </c>
      <c r="E370" s="1389">
        <v>1.0050171948996307</v>
      </c>
      <c r="F370" s="1389">
        <v>57.903811037452265</v>
      </c>
      <c r="K370" s="1469">
        <v>42427</v>
      </c>
      <c r="L370" s="1470"/>
      <c r="M370" s="1471">
        <v>0</v>
      </c>
      <c r="N370" s="1472">
        <v>1.1354702253624736</v>
      </c>
      <c r="O370" s="1472">
        <v>1.1354702253624736</v>
      </c>
    </row>
    <row r="371" spans="2:15">
      <c r="B371" s="1388">
        <v>43709</v>
      </c>
      <c r="C371" s="1389">
        <v>736.36199999999997</v>
      </c>
      <c r="D371" s="1389">
        <v>5227.84</v>
      </c>
      <c r="E371" s="1389">
        <v>1.0046375999081099</v>
      </c>
      <c r="F371" s="1389">
        <v>58.172345746198765</v>
      </c>
      <c r="K371" s="1469">
        <v>42428</v>
      </c>
      <c r="L371" s="1470"/>
      <c r="M371" s="1471">
        <v>0</v>
      </c>
      <c r="N371" s="1472">
        <v>1.1354702253624736</v>
      </c>
      <c r="O371" s="1472">
        <v>1.1354702253624736</v>
      </c>
    </row>
    <row r="372" spans="2:15">
      <c r="B372" s="1388">
        <v>43739</v>
      </c>
      <c r="C372" s="1389">
        <v>741.33299999999997</v>
      </c>
      <c r="D372" s="1389">
        <v>5233.07</v>
      </c>
      <c r="E372" s="1389">
        <v>1.0047926409835022</v>
      </c>
      <c r="F372" s="1389">
        <v>58.451144914528456</v>
      </c>
      <c r="K372" s="1469">
        <v>42429</v>
      </c>
      <c r="L372" s="1470" t="s">
        <v>2129</v>
      </c>
      <c r="M372" s="1471">
        <v>5.2531000000000001E-2</v>
      </c>
      <c r="N372" s="1472">
        <v>1.1360666992265587</v>
      </c>
      <c r="O372" s="1472">
        <v>1.1360666992265587</v>
      </c>
    </row>
    <row r="373" spans="2:15">
      <c r="B373" s="1388">
        <v>43770</v>
      </c>
      <c r="C373" s="1389">
        <v>743.55799999999999</v>
      </c>
      <c r="D373" s="1389">
        <v>5259.76</v>
      </c>
      <c r="E373" s="1389">
        <v>1.0038038559813272</v>
      </c>
      <c r="F373" s="1389">
        <v>58.673484651727009</v>
      </c>
      <c r="K373" s="1469">
        <v>42430</v>
      </c>
      <c r="L373" s="1470" t="s">
        <v>2129</v>
      </c>
      <c r="M373" s="1471">
        <v>5.2531000000000001E-2</v>
      </c>
      <c r="N373" s="1472">
        <v>1.1366634864243295</v>
      </c>
      <c r="O373" s="1472">
        <v>1.1366634864243295</v>
      </c>
    </row>
    <row r="374" spans="2:15">
      <c r="B374" s="1388">
        <v>43800</v>
      </c>
      <c r="C374" s="1389">
        <v>759.11199999999997</v>
      </c>
      <c r="D374" s="1389">
        <v>5320.25</v>
      </c>
      <c r="E374" s="1389">
        <v>1.0037470387078873</v>
      </c>
      <c r="F374" s="1389">
        <v>58.893336469843661</v>
      </c>
      <c r="K374" s="1469">
        <v>42431</v>
      </c>
      <c r="L374" s="1470" t="s">
        <v>2129</v>
      </c>
      <c r="M374" s="1471">
        <v>5.2531000000000001E-2</v>
      </c>
      <c r="N374" s="1472">
        <v>1.1372605871203831</v>
      </c>
      <c r="O374" s="1472">
        <v>1.1372605871203831</v>
      </c>
    </row>
    <row r="375" spans="2:15">
      <c r="B375" s="1388">
        <v>43831</v>
      </c>
      <c r="C375" s="1389">
        <v>762.73299999999995</v>
      </c>
      <c r="D375" s="1389">
        <v>5331.42</v>
      </c>
      <c r="E375" s="1389">
        <v>1.00376633367529</v>
      </c>
      <c r="F375" s="1389">
        <v>59.115148426240218</v>
      </c>
      <c r="K375" s="1469">
        <v>42432</v>
      </c>
      <c r="L375" s="1470" t="s">
        <v>2129</v>
      </c>
      <c r="M375" s="1471">
        <v>5.2531000000000001E-2</v>
      </c>
      <c r="N375" s="1472">
        <v>1.1378580014794033</v>
      </c>
      <c r="O375" s="1472">
        <v>1.1378580014794033</v>
      </c>
    </row>
    <row r="376" spans="2:15">
      <c r="B376" s="1388">
        <v>43862</v>
      </c>
      <c r="C376" s="1389">
        <v>762.423</v>
      </c>
      <c r="D376" s="1389">
        <v>5344.75</v>
      </c>
      <c r="E376" s="1389">
        <v>1.0029372863155552</v>
      </c>
      <c r="F376" s="1389">
        <v>59.288786542754629</v>
      </c>
      <c r="K376" s="1469">
        <v>42433</v>
      </c>
      <c r="L376" s="1470" t="s">
        <v>2129</v>
      </c>
      <c r="M376" s="1471">
        <v>5.2531000000000001E-2</v>
      </c>
      <c r="N376" s="1472">
        <v>1.1384557296661604</v>
      </c>
      <c r="O376" s="1472">
        <v>1.1384557296661604</v>
      </c>
    </row>
    <row r="377" spans="2:15">
      <c r="B377" s="1388">
        <v>43891</v>
      </c>
      <c r="C377" s="1389">
        <v>771.90800000000002</v>
      </c>
      <c r="D377" s="1389">
        <v>5348.49</v>
      </c>
      <c r="E377" s="1389">
        <v>1.0033836914846632</v>
      </c>
      <c r="F377" s="1389">
        <v>59.489401504915364</v>
      </c>
      <c r="K377" s="1469">
        <v>42434</v>
      </c>
      <c r="L377" s="1470"/>
      <c r="M377" s="1471">
        <v>0</v>
      </c>
      <c r="N377" s="1472">
        <v>1.1384557296661604</v>
      </c>
      <c r="O377" s="1472">
        <v>1.1384557296661604</v>
      </c>
    </row>
    <row r="378" spans="2:15">
      <c r="B378" s="1388">
        <v>43922</v>
      </c>
      <c r="C378" s="1389">
        <v>778.101</v>
      </c>
      <c r="D378" s="1389">
        <v>5331.91</v>
      </c>
      <c r="E378" s="1389">
        <v>1.0028492490278405</v>
      </c>
      <c r="F378" s="1389">
        <v>59.658901624320052</v>
      </c>
      <c r="K378" s="1469">
        <v>42435</v>
      </c>
      <c r="L378" s="1470"/>
      <c r="M378" s="1471">
        <v>0</v>
      </c>
      <c r="N378" s="1472">
        <v>1.1384557296661604</v>
      </c>
      <c r="O378" s="1472">
        <v>1.1384557296661604</v>
      </c>
    </row>
    <row r="379" spans="2:15">
      <c r="B379" s="1388">
        <v>43952</v>
      </c>
      <c r="C379" s="1389">
        <v>780.28</v>
      </c>
      <c r="D379" s="1389">
        <v>5311.65</v>
      </c>
      <c r="E379" s="1389">
        <v>1.0023580961930716</v>
      </c>
      <c r="F379" s="1389">
        <v>59.799583053123193</v>
      </c>
      <c r="K379" s="1469">
        <v>42436</v>
      </c>
      <c r="L379" s="1470" t="s">
        <v>2129</v>
      </c>
      <c r="M379" s="1471">
        <v>5.2531000000000001E-2</v>
      </c>
      <c r="N379" s="1472">
        <v>1.1390537718455114</v>
      </c>
      <c r="O379" s="1472">
        <v>1.1390537718455114</v>
      </c>
    </row>
    <row r="380" spans="2:15">
      <c r="B380" s="1388">
        <v>43983</v>
      </c>
      <c r="C380" s="1389">
        <v>792.42899999999997</v>
      </c>
      <c r="D380" s="1389">
        <v>5325.46</v>
      </c>
      <c r="E380" s="1389">
        <v>1.0021233217736718</v>
      </c>
      <c r="F380" s="1389">
        <v>59.926556809876388</v>
      </c>
      <c r="K380" s="1469">
        <v>42437</v>
      </c>
      <c r="L380" s="1470" t="s">
        <v>2129</v>
      </c>
      <c r="M380" s="1471">
        <v>5.2531000000000001E-2</v>
      </c>
      <c r="N380" s="1472">
        <v>1.1396521281823995</v>
      </c>
      <c r="O380" s="1472">
        <v>1.1396521281823995</v>
      </c>
    </row>
    <row r="381" spans="2:15">
      <c r="B381" s="1388">
        <v>44013</v>
      </c>
      <c r="C381" s="1389">
        <v>810.08299999999997</v>
      </c>
      <c r="D381" s="1389">
        <v>5344.63</v>
      </c>
      <c r="E381" s="1389">
        <v>1.0019434641302636</v>
      </c>
      <c r="F381" s="1389">
        <v>60.043021923486585</v>
      </c>
      <c r="K381" s="1469">
        <v>42438</v>
      </c>
      <c r="L381" s="1470" t="s">
        <v>2129</v>
      </c>
      <c r="M381" s="1471">
        <v>5.2531000000000001E-2</v>
      </c>
      <c r="N381" s="1472">
        <v>1.1402507988418549</v>
      </c>
      <c r="O381" s="1472">
        <v>1.1402507988418549</v>
      </c>
    </row>
    <row r="382" spans="2:15">
      <c r="B382" s="1388">
        <v>44044</v>
      </c>
      <c r="C382" s="1389">
        <v>832.31299999999999</v>
      </c>
      <c r="D382" s="1389">
        <v>5357.46</v>
      </c>
      <c r="E382" s="1389">
        <v>1.0015988959789295</v>
      </c>
      <c r="F382" s="1389">
        <v>60.13902446980282</v>
      </c>
      <c r="K382" s="1469">
        <v>42439</v>
      </c>
      <c r="L382" s="1470" t="s">
        <v>2129</v>
      </c>
      <c r="M382" s="1471">
        <v>5.2531000000000001E-2</v>
      </c>
      <c r="N382" s="1472">
        <v>1.1408497839889944</v>
      </c>
      <c r="O382" s="1472">
        <v>1.1408497839889944</v>
      </c>
    </row>
    <row r="383" spans="2:15">
      <c r="B383" s="1388">
        <v>44075</v>
      </c>
      <c r="C383" s="1389">
        <v>868.44200000000001</v>
      </c>
      <c r="D383" s="1389">
        <v>5391.75</v>
      </c>
      <c r="E383" s="1389">
        <v>1.0015696620595307</v>
      </c>
      <c r="F383" s="1389">
        <v>60.233422414810256</v>
      </c>
      <c r="K383" s="1469">
        <v>42440</v>
      </c>
      <c r="L383" s="1470" t="s">
        <v>2129</v>
      </c>
      <c r="M383" s="1471">
        <v>5.2531000000000001E-2</v>
      </c>
      <c r="N383" s="1472">
        <v>1.1414490837890217</v>
      </c>
      <c r="O383" s="1472">
        <v>1.1414490837890217</v>
      </c>
    </row>
    <row r="384" spans="2:15">
      <c r="B384" s="1388">
        <v>44105</v>
      </c>
      <c r="C384" s="1389">
        <v>896.505</v>
      </c>
      <c r="D384" s="1389">
        <v>5438.12</v>
      </c>
      <c r="E384" s="1389">
        <v>1.00156966205953</v>
      </c>
      <c r="F384" s="1389">
        <v>60.327968532690427</v>
      </c>
      <c r="K384" s="1469">
        <v>42441</v>
      </c>
      <c r="L384" s="1470"/>
      <c r="M384" s="1471">
        <v>0</v>
      </c>
      <c r="N384" s="1472">
        <v>1.1414490837890217</v>
      </c>
      <c r="O384" s="1472">
        <v>1.1414490837890217</v>
      </c>
    </row>
    <row r="385" spans="2:15">
      <c r="B385" s="1388">
        <v>44136</v>
      </c>
      <c r="C385" s="1389">
        <v>925.88699999999994</v>
      </c>
      <c r="D385" s="1389">
        <v>5486.52</v>
      </c>
      <c r="E385" s="1389">
        <v>1.0014948604084073</v>
      </c>
      <c r="F385" s="1389">
        <v>60.418150424369585</v>
      </c>
      <c r="K385" s="1469">
        <v>42442</v>
      </c>
      <c r="L385" s="1470"/>
      <c r="M385" s="1471">
        <v>0</v>
      </c>
      <c r="N385" s="1472">
        <v>1.1414490837890217</v>
      </c>
      <c r="O385" s="1472">
        <v>1.1414490837890217</v>
      </c>
    </row>
    <row r="386" spans="2:15">
      <c r="B386" s="1388">
        <v>44166</v>
      </c>
      <c r="C386" s="1389">
        <v>934.75800000000004</v>
      </c>
      <c r="D386" s="1389">
        <v>5560.59</v>
      </c>
      <c r="E386" s="1389">
        <v>1.0016444692975899</v>
      </c>
      <c r="F386" s="1389">
        <v>60.517506217759632</v>
      </c>
      <c r="K386" s="1469">
        <v>42443</v>
      </c>
      <c r="L386" s="1470" t="s">
        <v>2129</v>
      </c>
      <c r="M386" s="1471">
        <v>5.2531000000000001E-2</v>
      </c>
      <c r="N386" s="1472">
        <v>1.1420486984072269</v>
      </c>
      <c r="O386" s="1472">
        <v>1.1420486984072269</v>
      </c>
    </row>
    <row r="387" spans="2:15">
      <c r="B387" s="1388">
        <v>44197</v>
      </c>
      <c r="C387" s="1389">
        <v>958.84400000000005</v>
      </c>
      <c r="D387" s="1389">
        <v>5574.49</v>
      </c>
      <c r="E387" s="1389">
        <v>1.0014948604084077</v>
      </c>
      <c r="F387" s="1389">
        <v>60.607971441820126</v>
      </c>
      <c r="K387" s="1469">
        <v>42444</v>
      </c>
      <c r="L387" s="1470" t="s">
        <v>2129</v>
      </c>
      <c r="M387" s="1471">
        <v>5.2531000000000001E-2</v>
      </c>
      <c r="N387" s="1472">
        <v>1.1426486280089871</v>
      </c>
      <c r="O387" s="1472">
        <v>1.1426486280089871</v>
      </c>
    </row>
    <row r="388" spans="2:15">
      <c r="B388" s="1388">
        <v>44228</v>
      </c>
      <c r="C388" s="1389">
        <v>983.06299999999999</v>
      </c>
      <c r="D388" s="1389">
        <v>5622.43</v>
      </c>
      <c r="E388" s="1389">
        <v>1.0013452738652961</v>
      </c>
      <c r="F388" s="1389">
        <v>60.689505761829423</v>
      </c>
      <c r="K388" s="1469">
        <v>42445</v>
      </c>
      <c r="L388" s="1470" t="s">
        <v>2129</v>
      </c>
      <c r="M388" s="1471">
        <v>5.2531000000000001E-2</v>
      </c>
      <c r="N388" s="1472">
        <v>1.1432488727597665</v>
      </c>
      <c r="O388" s="1472">
        <v>1.1432488727597665</v>
      </c>
    </row>
    <row r="389" spans="2:15">
      <c r="B389" s="1388">
        <v>44256</v>
      </c>
      <c r="C389" s="1389">
        <v>1011.948</v>
      </c>
      <c r="D389" s="1389">
        <v>5674.72</v>
      </c>
      <c r="E389" s="1389">
        <v>1.0020107988327946</v>
      </c>
      <c r="F389" s="1389">
        <v>60.811540149178192</v>
      </c>
      <c r="K389" s="1469">
        <v>42446</v>
      </c>
      <c r="L389" s="1470" t="s">
        <v>2129</v>
      </c>
      <c r="M389" s="1471">
        <v>5.2531000000000001E-2</v>
      </c>
      <c r="N389" s="1472">
        <v>1.1438494328251159</v>
      </c>
      <c r="O389" s="1472">
        <v>1.1438494328251159</v>
      </c>
    </row>
    <row r="390" spans="2:15">
      <c r="B390" s="1388">
        <v>44287</v>
      </c>
      <c r="C390" s="1389">
        <v>1027.211</v>
      </c>
      <c r="D390" s="1389">
        <v>5692.31</v>
      </c>
      <c r="E390" s="1389">
        <v>1.0020778480243349</v>
      </c>
      <c r="F390" s="1389">
        <v>60.937897287733925</v>
      </c>
      <c r="K390" s="1469">
        <v>42447</v>
      </c>
      <c r="L390" s="1470" t="s">
        <v>2129</v>
      </c>
      <c r="M390" s="1471">
        <v>5.2531000000000001E-2</v>
      </c>
      <c r="N390" s="1472">
        <v>1.1444503083706732</v>
      </c>
      <c r="O390" s="1472">
        <v>1.1444503083706732</v>
      </c>
    </row>
    <row r="391" spans="2:15">
      <c r="B391" s="1388">
        <v>44317</v>
      </c>
      <c r="C391" s="1389">
        <v>1069.289</v>
      </c>
      <c r="D391" s="1389">
        <v>5739.56</v>
      </c>
      <c r="E391" s="1389">
        <v>1.0027032626398216</v>
      </c>
      <c r="F391" s="1389">
        <v>61.102628428821141</v>
      </c>
      <c r="K391" s="1469">
        <v>42448</v>
      </c>
      <c r="L391" s="1470"/>
      <c r="M391" s="1471">
        <v>0</v>
      </c>
      <c r="N391" s="1472">
        <v>1.1444503083706732</v>
      </c>
      <c r="O391" s="1472">
        <v>1.1444503083706732</v>
      </c>
    </row>
    <row r="392" spans="2:15">
      <c r="B392" s="1388">
        <v>44348</v>
      </c>
      <c r="C392" s="1389">
        <v>1075.7329999999999</v>
      </c>
      <c r="D392" s="1389">
        <v>5769.98</v>
      </c>
      <c r="E392" s="1389">
        <v>1.0030777896833167</v>
      </c>
      <c r="F392" s="1389">
        <v>61.290689468222901</v>
      </c>
      <c r="K392" s="1469">
        <v>42449</v>
      </c>
      <c r="L392" s="1470"/>
      <c r="M392" s="1471">
        <v>0</v>
      </c>
      <c r="N392" s="1472">
        <v>1.1444503083706732</v>
      </c>
      <c r="O392" s="1472">
        <v>1.1444503083706732</v>
      </c>
    </row>
    <row r="393" spans="2:15">
      <c r="B393" s="1388">
        <v>44378</v>
      </c>
      <c r="C393" s="1389">
        <v>1084.095</v>
      </c>
      <c r="D393" s="1389">
        <v>5825.37</v>
      </c>
      <c r="E393" s="1389">
        <v>1.003556161780192</v>
      </c>
      <c r="F393" s="1389">
        <v>61.508649075591414</v>
      </c>
      <c r="K393" s="1469">
        <v>42450</v>
      </c>
      <c r="L393" s="1470" t="s">
        <v>2129</v>
      </c>
      <c r="M393" s="1471">
        <v>5.2531000000000001E-2</v>
      </c>
      <c r="N393" s="1472">
        <v>1.1450514995621635</v>
      </c>
      <c r="O393" s="1472">
        <v>1.1450514995621635</v>
      </c>
    </row>
    <row r="394" spans="2:15">
      <c r="B394" s="1388">
        <v>44409</v>
      </c>
      <c r="C394" s="1389">
        <v>1091.29</v>
      </c>
      <c r="D394" s="1389">
        <v>5876.05</v>
      </c>
      <c r="E394" s="1389">
        <v>1.0042795247734253</v>
      </c>
      <c r="F394" s="1389">
        <v>61.771876863090334</v>
      </c>
      <c r="K394" s="1469">
        <v>42451</v>
      </c>
      <c r="L394" s="1470" t="s">
        <v>2129</v>
      </c>
      <c r="M394" s="1471">
        <v>5.2531000000000001E-2</v>
      </c>
      <c r="N394" s="1472">
        <v>1.1456530065653985</v>
      </c>
      <c r="O394" s="1472">
        <v>1.1456530065653985</v>
      </c>
    </row>
    <row r="395" spans="2:15">
      <c r="B395" s="1388">
        <v>44440</v>
      </c>
      <c r="C395" s="1389">
        <v>1084.3119999999999</v>
      </c>
      <c r="D395" s="1389">
        <v>5944.21</v>
      </c>
      <c r="E395" s="1389">
        <v>1.0044199933223523</v>
      </c>
      <c r="F395" s="1389">
        <v>62.044908146334365</v>
      </c>
      <c r="K395" s="1469">
        <v>42452</v>
      </c>
      <c r="L395" s="1470" t="s">
        <v>2129</v>
      </c>
      <c r="M395" s="1471">
        <v>5.2531000000000001E-2</v>
      </c>
      <c r="N395" s="1472">
        <v>1.1462548295462773</v>
      </c>
      <c r="O395" s="1472">
        <v>1.1462548295462773</v>
      </c>
    </row>
    <row r="396" spans="2:15">
      <c r="B396" s="1388">
        <v>44470</v>
      </c>
      <c r="C396" s="1389">
        <v>1091.2829999999999</v>
      </c>
      <c r="D396" s="1389">
        <v>6018.51</v>
      </c>
      <c r="E396" s="1389">
        <v>1.0048599610251685</v>
      </c>
      <c r="F396" s="1389">
        <v>62.34644398173571</v>
      </c>
      <c r="K396" s="1469">
        <v>42453</v>
      </c>
      <c r="L396" s="1470" t="s">
        <v>2129</v>
      </c>
      <c r="M396" s="1471">
        <v>5.2531000000000001E-2</v>
      </c>
      <c r="N396" s="1472">
        <v>1.1468569686707863</v>
      </c>
      <c r="O396" s="1472">
        <v>1.1468569686707863</v>
      </c>
    </row>
    <row r="397" spans="2:15">
      <c r="B397" s="1388">
        <v>44501</v>
      </c>
      <c r="C397" s="1389">
        <v>1091.4829999999999</v>
      </c>
      <c r="D397" s="1389">
        <v>6075.69</v>
      </c>
      <c r="E397" s="1389">
        <v>1.0058674909390046</v>
      </c>
      <c r="F397" s="1389">
        <v>62.712261176877703</v>
      </c>
      <c r="K397" s="1469">
        <v>42454</v>
      </c>
      <c r="L397" s="1470"/>
      <c r="M397" s="1471">
        <v>0</v>
      </c>
      <c r="N397" s="1472">
        <v>1.1468569686707863</v>
      </c>
      <c r="O397" s="1472">
        <v>1.1468569686707863</v>
      </c>
    </row>
    <row r="398" spans="2:15">
      <c r="B398" s="1388">
        <v>44531</v>
      </c>
      <c r="C398" s="1389">
        <v>1100.9880000000001</v>
      </c>
      <c r="D398" s="1389">
        <v>6120.04</v>
      </c>
      <c r="E398" s="1389">
        <v>1.0076908308186336</v>
      </c>
      <c r="F398" s="1389">
        <v>63.194570567843037</v>
      </c>
      <c r="K398" s="1469">
        <v>42455</v>
      </c>
      <c r="L398" s="1470"/>
      <c r="M398" s="1471">
        <v>0</v>
      </c>
      <c r="N398" s="1472">
        <v>1.1468569686707863</v>
      </c>
      <c r="O398" s="1472">
        <v>1.1468569686707863</v>
      </c>
    </row>
    <row r="399" spans="2:15">
      <c r="B399" s="1388">
        <v>44562</v>
      </c>
      <c r="C399" s="1389">
        <v>1120.999</v>
      </c>
      <c r="D399" s="1389">
        <v>6153.09</v>
      </c>
      <c r="E399" s="1389">
        <v>1.0073227032460901</v>
      </c>
      <c r="F399" s="1389">
        <v>63.65732565487545</v>
      </c>
      <c r="K399" s="1469">
        <v>42456</v>
      </c>
      <c r="L399" s="1470"/>
      <c r="M399" s="1471">
        <v>0</v>
      </c>
      <c r="N399" s="1472">
        <v>1.1468569686707863</v>
      </c>
      <c r="O399" s="1472">
        <v>1.1468569686707863</v>
      </c>
    </row>
    <row r="400" spans="2:15">
      <c r="B400" s="1388">
        <v>44593</v>
      </c>
      <c r="C400" s="1389">
        <v>1141.546</v>
      </c>
      <c r="D400" s="1389">
        <v>6215.24</v>
      </c>
      <c r="E400" s="1389">
        <v>1.0075504098703885</v>
      </c>
      <c r="F400" s="1389">
        <v>64.13796455482256</v>
      </c>
      <c r="K400" s="1469">
        <v>42457</v>
      </c>
      <c r="L400" s="1470" t="s">
        <v>2129</v>
      </c>
      <c r="M400" s="1471">
        <v>5.2531000000000001E-2</v>
      </c>
      <c r="N400" s="1472">
        <v>1.1474594241049989</v>
      </c>
      <c r="O400" s="1472">
        <v>1.1474594241049989</v>
      </c>
    </row>
    <row r="401" spans="2:15">
      <c r="B401" s="1388">
        <v>44621</v>
      </c>
      <c r="C401" s="1389">
        <v>1161.4179999999999</v>
      </c>
      <c r="D401" s="1389">
        <v>6315.93</v>
      </c>
      <c r="E401" s="1389">
        <v>1.0092705386289318</v>
      </c>
      <c r="F401" s="1389">
        <v>64.732558032809095</v>
      </c>
      <c r="K401" s="1469">
        <v>42458</v>
      </c>
      <c r="L401" s="1470" t="s">
        <v>2129</v>
      </c>
      <c r="M401" s="1471">
        <v>5.2531000000000001E-2</v>
      </c>
      <c r="N401" s="1472">
        <v>1.1480621960150754</v>
      </c>
      <c r="O401" s="1472">
        <v>1.1480621960150754</v>
      </c>
    </row>
    <row r="402" spans="2:15">
      <c r="B402" s="1388">
        <v>44652</v>
      </c>
      <c r="C402" s="1389">
        <v>1177.809</v>
      </c>
      <c r="D402" s="1389">
        <v>6382.88</v>
      </c>
      <c r="E402" s="1389">
        <v>1.0083432052372134</v>
      </c>
      <c r="F402" s="1389">
        <v>65.272635050006656</v>
      </c>
      <c r="K402" s="1469">
        <v>42459</v>
      </c>
      <c r="L402" s="1470" t="s">
        <v>2129</v>
      </c>
      <c r="M402" s="1471">
        <v>5.2531000000000001E-2</v>
      </c>
      <c r="N402" s="1472">
        <v>1.148665284567264</v>
      </c>
      <c r="O402" s="1472">
        <v>1.148665284567264</v>
      </c>
    </row>
    <row r="403" spans="2:15">
      <c r="B403" s="1388">
        <v>44682</v>
      </c>
      <c r="C403" s="1389">
        <v>1183.953</v>
      </c>
      <c r="D403" s="1389">
        <v>6412.88</v>
      </c>
      <c r="E403" s="1389">
        <v>1.0103459230153136</v>
      </c>
      <c r="F403" s="1389">
        <v>65.947940707240676</v>
      </c>
      <c r="K403" s="1469">
        <v>42460</v>
      </c>
      <c r="L403" s="1470" t="s">
        <v>2129</v>
      </c>
      <c r="M403" s="1471">
        <v>5.2531000000000001E-2</v>
      </c>
      <c r="N403" s="1472">
        <v>1.1492686899279001</v>
      </c>
      <c r="O403" s="1472">
        <v>1.1492686899279001</v>
      </c>
    </row>
    <row r="404" spans="2:15">
      <c r="B404" s="1388">
        <v>44713</v>
      </c>
      <c r="C404" s="1389">
        <v>1190.8820000000001</v>
      </c>
      <c r="D404" s="1389">
        <v>6455.85</v>
      </c>
      <c r="E404" s="1389">
        <v>1.0101531560893695</v>
      </c>
      <c r="F404" s="1389">
        <v>66.617520443013774</v>
      </c>
      <c r="K404" s="1469">
        <v>42461</v>
      </c>
      <c r="L404" s="1470" t="s">
        <v>2129</v>
      </c>
      <c r="M404" s="1471">
        <v>5.2531000000000001E-2</v>
      </c>
      <c r="N404" s="1472">
        <v>1.1498724122634061</v>
      </c>
      <c r="O404" s="1472">
        <v>1.1498724122634061</v>
      </c>
    </row>
    <row r="405" spans="2:15">
      <c r="B405" s="1388">
        <v>44743</v>
      </c>
      <c r="C405" s="1389">
        <v>1193.337</v>
      </c>
      <c r="D405" s="1389">
        <v>6411.95</v>
      </c>
      <c r="E405" s="1389">
        <v>1.0103484243492924</v>
      </c>
      <c r="F405" s="1389">
        <v>67.306906813655743</v>
      </c>
      <c r="K405" s="1469">
        <v>42462</v>
      </c>
      <c r="L405" s="1470"/>
      <c r="M405" s="1471">
        <v>0</v>
      </c>
      <c r="N405" s="1472">
        <v>1.1498724122634061</v>
      </c>
      <c r="O405" s="1472">
        <v>1.1498724122634061</v>
      </c>
    </row>
    <row r="406" spans="2:15">
      <c r="B406" s="1388">
        <v>44774</v>
      </c>
      <c r="C406" s="1389">
        <v>1185.0039999999999</v>
      </c>
      <c r="D406" s="1389">
        <v>6388.87</v>
      </c>
      <c r="E406" s="1389">
        <v>1.0116936128000631</v>
      </c>
      <c r="F406" s="1389">
        <v>68.093967720704555</v>
      </c>
      <c r="K406" s="1469">
        <v>42463</v>
      </c>
      <c r="L406" s="1470"/>
      <c r="M406" s="1471">
        <v>0</v>
      </c>
      <c r="N406" s="1472">
        <v>1.1498724122634061</v>
      </c>
      <c r="O406" s="1472">
        <v>1.1498724122634061</v>
      </c>
    </row>
    <row r="407" spans="2:15">
      <c r="B407" s="1388">
        <v>44805</v>
      </c>
      <c r="C407" s="1389">
        <v>1188.5886370999999</v>
      </c>
      <c r="D407" s="1389">
        <v>6404.6441200300005</v>
      </c>
      <c r="E407" s="1389">
        <v>1.010719822473549</v>
      </c>
      <c r="F407" s="1389">
        <v>68.823922966190082</v>
      </c>
      <c r="K407" s="1469">
        <v>42464</v>
      </c>
      <c r="L407" s="1470" t="s">
        <v>2129</v>
      </c>
      <c r="M407" s="1471">
        <v>5.2531000000000001E-2</v>
      </c>
      <c r="N407" s="1472">
        <v>1.1504764517402921</v>
      </c>
      <c r="O407" s="1472">
        <v>1.1504764517402921</v>
      </c>
    </row>
    <row r="408" spans="2:15">
      <c r="B408" s="1388">
        <v>44835</v>
      </c>
      <c r="C408" s="1389">
        <v>1195.4598680110751</v>
      </c>
      <c r="D408" s="1389">
        <v>6437.1220703626732</v>
      </c>
      <c r="E408" s="1389">
        <v>1.0102067586649579</v>
      </c>
      <c r="F408" s="1389">
        <v>69.526392138281636</v>
      </c>
      <c r="K408" s="1469">
        <v>42465</v>
      </c>
      <c r="L408" s="1470" t="s">
        <v>2129</v>
      </c>
      <c r="M408" s="1471">
        <v>5.2531000000000001E-2</v>
      </c>
      <c r="N408" s="1472">
        <v>1.1510808085251558</v>
      </c>
      <c r="O408" s="1472">
        <v>1.1510808085251558</v>
      </c>
    </row>
    <row r="409" spans="2:15">
      <c r="B409" s="1388">
        <v>44866</v>
      </c>
      <c r="C409" s="1389">
        <v>1202.90399660918</v>
      </c>
      <c r="D409" s="1389">
        <v>6470.2603747808998</v>
      </c>
      <c r="E409" s="1389">
        <v>1.0102067586649579</v>
      </c>
      <c r="F409" s="1389">
        <v>70.236031243682305</v>
      </c>
      <c r="K409" s="1469">
        <v>42466</v>
      </c>
      <c r="L409" s="1470" t="s">
        <v>2129</v>
      </c>
      <c r="M409" s="1471">
        <v>5.2531000000000001E-2</v>
      </c>
      <c r="N409" s="1472">
        <v>1.1516854827846821</v>
      </c>
      <c r="O409" s="1472">
        <v>1.1516854827846821</v>
      </c>
    </row>
    <row r="410" spans="2:15">
      <c r="B410" s="1388">
        <v>44896</v>
      </c>
      <c r="C410" s="1389">
        <v>1210.0636811969978</v>
      </c>
      <c r="D410" s="1389">
        <v>6518.3732309277702</v>
      </c>
      <c r="E410" s="1389">
        <v>1.0112331468569864</v>
      </c>
      <c r="F410" s="1389">
        <v>71.02500289729447</v>
      </c>
      <c r="K410" s="1469">
        <v>42467</v>
      </c>
      <c r="L410" s="1470" t="s">
        <v>2129</v>
      </c>
      <c r="M410" s="1471">
        <v>5.2531000000000001E-2</v>
      </c>
      <c r="N410" s="1472">
        <v>1.1522904746856437</v>
      </c>
      <c r="O410" s="1472">
        <v>1.1522904746856437</v>
      </c>
    </row>
    <row r="411" spans="2:15">
      <c r="B411" s="1388">
        <v>44927</v>
      </c>
      <c r="C411" s="1389">
        <v>1216.2204852069281</v>
      </c>
      <c r="D411" s="1389">
        <v>6562.8546098556208</v>
      </c>
      <c r="E411" s="1389">
        <v>1.0112331468569866</v>
      </c>
      <c r="F411" s="1389">
        <v>71.822837185357685</v>
      </c>
      <c r="K411" s="1469">
        <v>42468</v>
      </c>
      <c r="L411" s="1470" t="s">
        <v>2129</v>
      </c>
      <c r="M411" s="1471">
        <v>5.2531000000000001E-2</v>
      </c>
      <c r="N411" s="1472">
        <v>1.1528957843949008</v>
      </c>
      <c r="O411" s="1472">
        <v>1.1528957843949008</v>
      </c>
    </row>
    <row r="412" spans="2:15">
      <c r="B412" s="1388">
        <v>44958</v>
      </c>
      <c r="C412" s="1389">
        <v>1221.2130702987026</v>
      </c>
      <c r="D412" s="1389">
        <v>6605.2243992168487</v>
      </c>
      <c r="E412" s="1389">
        <v>1.0091814122432907</v>
      </c>
      <c r="F412" s="1389">
        <v>72.482272262039203</v>
      </c>
      <c r="K412" s="1469">
        <v>42469</v>
      </c>
      <c r="L412" s="1470"/>
      <c r="M412" s="1471">
        <v>0</v>
      </c>
      <c r="N412" s="1472">
        <v>1.1528957843949008</v>
      </c>
      <c r="O412" s="1472">
        <v>1.1528957843949008</v>
      </c>
    </row>
    <row r="413" spans="2:15">
      <c r="B413" s="1388">
        <v>44986</v>
      </c>
      <c r="C413" s="1389">
        <v>1226.0405255655935</v>
      </c>
      <c r="D413" s="1389">
        <v>6636.5860046643302</v>
      </c>
      <c r="E413" s="1389">
        <v>1.0117467319476126</v>
      </c>
      <c r="F413" s="1389">
        <v>73.333702085255254</v>
      </c>
      <c r="K413" s="1469">
        <v>42470</v>
      </c>
      <c r="L413" s="1470"/>
      <c r="M413" s="1471">
        <v>0</v>
      </c>
      <c r="N413" s="1472">
        <v>1.1528957843949008</v>
      </c>
      <c r="O413" s="1472">
        <v>1.1528957843949008</v>
      </c>
    </row>
    <row r="414" spans="2:15">
      <c r="B414" s="1388">
        <v>45017</v>
      </c>
      <c r="C414" s="1389">
        <v>1230.1955769067354</v>
      </c>
      <c r="D414" s="1389">
        <v>6667.1143002857852</v>
      </c>
      <c r="E414" s="1389">
        <v>1.0091814122432907</v>
      </c>
      <c r="F414" s="1389">
        <v>74.007009035426648</v>
      </c>
      <c r="K414" s="1469">
        <v>42471</v>
      </c>
      <c r="L414" s="1470" t="s">
        <v>2129</v>
      </c>
      <c r="M414" s="1471">
        <v>5.2531000000000001E-2</v>
      </c>
      <c r="N414" s="1472">
        <v>1.1535014120794014</v>
      </c>
      <c r="O414" s="1472">
        <v>1.1535014120794014</v>
      </c>
    </row>
    <row r="415" spans="2:15">
      <c r="B415" s="1388">
        <v>45047</v>
      </c>
      <c r="C415" s="1389">
        <v>1233.7926687736106</v>
      </c>
      <c r="D415" s="1389">
        <v>6689.8024902496581</v>
      </c>
      <c r="E415" s="1389">
        <v>1.0112331468569866</v>
      </c>
      <c r="F415" s="1389">
        <v>74.838340636367931</v>
      </c>
      <c r="K415" s="1469">
        <v>42472</v>
      </c>
      <c r="L415" s="1470" t="s">
        <v>2129</v>
      </c>
      <c r="M415" s="1471">
        <v>5.2531000000000001E-2</v>
      </c>
      <c r="N415" s="1472">
        <v>1.1541073579061809</v>
      </c>
      <c r="O415" s="1472">
        <v>1.1541073579061809</v>
      </c>
    </row>
    <row r="416" spans="2:15">
      <c r="B416" s="1388">
        <v>45078</v>
      </c>
      <c r="C416" s="1389">
        <v>1238.0924362242865</v>
      </c>
      <c r="D416" s="1389">
        <v>6710.8887476989257</v>
      </c>
      <c r="E416" s="1389">
        <v>1.010719822473549</v>
      </c>
      <c r="F416" s="1389">
        <v>75.64059436220478</v>
      </c>
      <c r="K416" s="1469">
        <v>42473</v>
      </c>
      <c r="L416" s="1470" t="s">
        <v>2129</v>
      </c>
      <c r="M416" s="1471">
        <v>5.2531000000000001E-2</v>
      </c>
      <c r="N416" s="1472">
        <v>1.1547136220423626</v>
      </c>
      <c r="O416" s="1472">
        <v>1.1547136220423626</v>
      </c>
    </row>
    <row r="417" spans="2:15">
      <c r="B417" s="1388">
        <v>45108</v>
      </c>
      <c r="C417" s="1389">
        <v>1241.6878566590819</v>
      </c>
      <c r="D417" s="1389">
        <v>6731.658948373054</v>
      </c>
      <c r="E417" s="1389">
        <v>1.0107198224735483</v>
      </c>
      <c r="F417" s="1389">
        <v>76.451448105561298</v>
      </c>
      <c r="K417" s="1469">
        <v>42474</v>
      </c>
      <c r="L417" s="1470" t="s">
        <v>2129</v>
      </c>
      <c r="M417" s="1471">
        <v>5.2531000000000001E-2</v>
      </c>
      <c r="N417" s="1472">
        <v>1.1553202046551576</v>
      </c>
      <c r="O417" s="1472">
        <v>1.1553202046551576</v>
      </c>
    </row>
    <row r="418" spans="2:15">
      <c r="B418" s="1388">
        <v>45139</v>
      </c>
      <c r="C418" s="1389">
        <v>1245.6153153496946</v>
      </c>
      <c r="D418" s="1389">
        <v>6747.6399067164921</v>
      </c>
      <c r="E418" s="1389">
        <v>1.0117467319476126</v>
      </c>
      <c r="F418" s="1389">
        <v>77.349502773464138</v>
      </c>
      <c r="K418" s="1469">
        <v>42475</v>
      </c>
      <c r="L418" s="1470" t="s">
        <v>2129</v>
      </c>
      <c r="M418" s="1471">
        <v>5.2531000000000001E-2</v>
      </c>
      <c r="N418" s="1472">
        <v>1.155927105911865</v>
      </c>
      <c r="O418" s="1472">
        <v>1.155927105911865</v>
      </c>
    </row>
    <row r="419" spans="2:15">
      <c r="B419" s="1388">
        <v>45170</v>
      </c>
      <c r="C419" s="1389">
        <v>1251.1570578876854</v>
      </c>
      <c r="D419" s="1389">
        <v>6769.6169698926678</v>
      </c>
      <c r="E419" s="1389">
        <v>1.0102067586649579</v>
      </c>
      <c r="F419" s="1389">
        <v>78.138990481127379</v>
      </c>
      <c r="K419" s="1469">
        <v>42476</v>
      </c>
      <c r="L419" s="1470"/>
      <c r="M419" s="1471">
        <v>0</v>
      </c>
      <c r="N419" s="1472">
        <v>1.155927105911865</v>
      </c>
      <c r="O419" s="1472">
        <v>1.155927105911865</v>
      </c>
    </row>
    <row r="420" spans="2:15">
      <c r="B420" s="1388">
        <v>45200</v>
      </c>
      <c r="C420" s="1389">
        <v>1257.0750307714941</v>
      </c>
      <c r="D420" s="1389">
        <v>6796.3637265407142</v>
      </c>
      <c r="E420" s="1389">
        <v>1.0107198224735487</v>
      </c>
      <c r="F420" s="1389">
        <v>78.976626587347383</v>
      </c>
      <c r="K420" s="1469">
        <v>42477</v>
      </c>
      <c r="L420" s="1470"/>
      <c r="M420" s="1471">
        <v>0</v>
      </c>
      <c r="N420" s="1472">
        <v>1.155927105911865</v>
      </c>
      <c r="O420" s="1472">
        <v>1.155927105911865</v>
      </c>
    </row>
    <row r="421" spans="2:15">
      <c r="B421" s="1388">
        <v>45231</v>
      </c>
      <c r="C421" s="1389">
        <v>1262.6702717334581</v>
      </c>
      <c r="D421" s="1389">
        <v>6821.4830868740082</v>
      </c>
      <c r="E421" s="1389">
        <v>1.0102067586649577</v>
      </c>
      <c r="F421" s="1389">
        <v>79.782721955096918</v>
      </c>
      <c r="K421" s="1469">
        <v>42478</v>
      </c>
      <c r="L421" s="1470" t="s">
        <v>2129</v>
      </c>
      <c r="M421" s="1471">
        <v>5.2531000000000001E-2</v>
      </c>
      <c r="N421" s="1472">
        <v>1.1565343259798715</v>
      </c>
      <c r="O421" s="1472">
        <v>1.1565343259798715</v>
      </c>
    </row>
    <row r="422" spans="2:15">
      <c r="B422" s="1388">
        <v>45261</v>
      </c>
      <c r="C422" s="1389">
        <v>1268.1742514479442</v>
      </c>
      <c r="D422" s="1389">
        <v>6857.9166280410027</v>
      </c>
      <c r="E422" s="1389">
        <v>1.0102067586649579</v>
      </c>
      <c r="F422" s="1389">
        <v>80.597044943726033</v>
      </c>
      <c r="K422" s="1469">
        <v>42479</v>
      </c>
      <c r="L422" s="1470" t="s">
        <v>2129</v>
      </c>
      <c r="M422" s="1471">
        <v>5.2531000000000001E-2</v>
      </c>
      <c r="N422" s="1472">
        <v>1.1571418650266521</v>
      </c>
      <c r="O422" s="1472">
        <v>1.1571418650266521</v>
      </c>
    </row>
    <row r="423" spans="2:15">
      <c r="B423" s="1388">
        <v>45292</v>
      </c>
      <c r="C423" s="1389" t="e">
        <v>#N/A</v>
      </c>
      <c r="D423" s="1389" t="e">
        <v>#N/A</v>
      </c>
      <c r="E423" s="1389" t="e">
        <v>#N/A</v>
      </c>
      <c r="F423" s="1389" t="e">
        <f t="shared" ref="F423:F483" si="0">F422*E423</f>
        <v>#N/A</v>
      </c>
      <c r="K423" s="1469">
        <v>42480</v>
      </c>
      <c r="L423" s="1470" t="s">
        <v>2129</v>
      </c>
      <c r="M423" s="1471">
        <v>5.2531000000000001E-2</v>
      </c>
      <c r="N423" s="1472">
        <v>1.1577497232197693</v>
      </c>
      <c r="O423" s="1472">
        <v>1.1577497232197693</v>
      </c>
    </row>
    <row r="424" spans="2:15">
      <c r="B424" s="1388">
        <v>45323</v>
      </c>
      <c r="C424" s="1389" t="e">
        <v>#N/A</v>
      </c>
      <c r="D424" s="1389" t="e">
        <v>#N/A</v>
      </c>
      <c r="E424" s="1389" t="e">
        <v>#N/A</v>
      </c>
      <c r="F424" s="1389" t="e">
        <f t="shared" si="0"/>
        <v>#N/A</v>
      </c>
      <c r="K424" s="1469">
        <v>42481</v>
      </c>
      <c r="L424" s="1470"/>
      <c r="M424" s="1471">
        <v>0</v>
      </c>
      <c r="N424" s="1472">
        <v>1.1577497232197693</v>
      </c>
      <c r="O424" s="1472">
        <v>1.1577497232197693</v>
      </c>
    </row>
    <row r="425" spans="2:15">
      <c r="B425" s="1388">
        <v>45352</v>
      </c>
      <c r="C425" s="1389" t="e">
        <v>#N/A</v>
      </c>
      <c r="D425" s="1389" t="e">
        <v>#N/A</v>
      </c>
      <c r="E425" s="1389" t="e">
        <v>#N/A</v>
      </c>
      <c r="F425" s="1389" t="e">
        <f t="shared" si="0"/>
        <v>#N/A</v>
      </c>
      <c r="K425" s="1469">
        <v>42482</v>
      </c>
      <c r="L425" s="1470" t="s">
        <v>2129</v>
      </c>
      <c r="M425" s="1471">
        <v>5.2531000000000001E-2</v>
      </c>
      <c r="N425" s="1472">
        <v>1.1583579007268738</v>
      </c>
      <c r="O425" s="1472">
        <v>1.1583579007268738</v>
      </c>
    </row>
    <row r="426" spans="2:15">
      <c r="B426" s="1388">
        <v>45383</v>
      </c>
      <c r="C426" s="1389" t="e">
        <v>#N/A</v>
      </c>
      <c r="D426" s="1389" t="e">
        <v>#N/A</v>
      </c>
      <c r="E426" s="1389" t="e">
        <v>#N/A</v>
      </c>
      <c r="F426" s="1389" t="e">
        <f t="shared" si="0"/>
        <v>#N/A</v>
      </c>
      <c r="K426" s="1469">
        <v>42483</v>
      </c>
      <c r="L426" s="1470"/>
      <c r="M426" s="1471">
        <v>0</v>
      </c>
      <c r="N426" s="1472">
        <v>1.1583579007268738</v>
      </c>
      <c r="O426" s="1472">
        <v>1.1583579007268738</v>
      </c>
    </row>
    <row r="427" spans="2:15">
      <c r="B427" s="1388">
        <v>45413</v>
      </c>
      <c r="C427" s="1389" t="e">
        <v>#N/A</v>
      </c>
      <c r="D427" s="1389" t="e">
        <v>#N/A</v>
      </c>
      <c r="E427" s="1389" t="e">
        <v>#N/A</v>
      </c>
      <c r="F427" s="1389" t="e">
        <f t="shared" si="0"/>
        <v>#N/A</v>
      </c>
      <c r="K427" s="1469">
        <v>42484</v>
      </c>
      <c r="L427" s="1470"/>
      <c r="M427" s="1471">
        <v>0</v>
      </c>
      <c r="N427" s="1472">
        <v>1.1583579007268738</v>
      </c>
      <c r="O427" s="1472">
        <v>1.1583579007268738</v>
      </c>
    </row>
    <row r="428" spans="2:15">
      <c r="B428" s="1388">
        <v>45444</v>
      </c>
      <c r="C428" s="1389" t="e">
        <v>#N/A</v>
      </c>
      <c r="D428" s="1389" t="e">
        <v>#N/A</v>
      </c>
      <c r="E428" s="1389" t="e">
        <v>#N/A</v>
      </c>
      <c r="F428" s="1389" t="e">
        <f t="shared" si="0"/>
        <v>#N/A</v>
      </c>
      <c r="K428" s="1469">
        <v>42485</v>
      </c>
      <c r="L428" s="1470" t="s">
        <v>2129</v>
      </c>
      <c r="M428" s="1471">
        <v>5.2531000000000001E-2</v>
      </c>
      <c r="N428" s="1472">
        <v>1.1589663977157048</v>
      </c>
      <c r="O428" s="1472">
        <v>1.1589663977157048</v>
      </c>
    </row>
    <row r="429" spans="2:15">
      <c r="B429" s="1388">
        <v>45474</v>
      </c>
      <c r="C429" s="1389" t="e">
        <v>#N/A</v>
      </c>
      <c r="D429" s="1389" t="e">
        <v>#N/A</v>
      </c>
      <c r="E429" s="1389" t="e">
        <v>#N/A</v>
      </c>
      <c r="F429" s="1389" t="e">
        <f t="shared" si="0"/>
        <v>#N/A</v>
      </c>
      <c r="K429" s="1469">
        <v>42486</v>
      </c>
      <c r="L429" s="1470" t="s">
        <v>2129</v>
      </c>
      <c r="M429" s="1471">
        <v>5.2531000000000001E-2</v>
      </c>
      <c r="N429" s="1472">
        <v>1.1595752143540887</v>
      </c>
      <c r="O429" s="1472">
        <v>1.1595752143540887</v>
      </c>
    </row>
    <row r="430" spans="2:15">
      <c r="B430" s="1388">
        <v>45505</v>
      </c>
      <c r="C430" s="1389" t="e">
        <v>#N/A</v>
      </c>
      <c r="D430" s="1389" t="e">
        <v>#N/A</v>
      </c>
      <c r="E430" s="1389" t="e">
        <v>#N/A</v>
      </c>
      <c r="F430" s="1389" t="e">
        <f t="shared" si="0"/>
        <v>#N/A</v>
      </c>
      <c r="K430" s="1469">
        <v>42487</v>
      </c>
      <c r="L430" s="1470" t="s">
        <v>2129</v>
      </c>
      <c r="M430" s="1471">
        <v>5.2531000000000001E-2</v>
      </c>
      <c r="N430" s="1472">
        <v>1.160184350809941</v>
      </c>
      <c r="O430" s="1472">
        <v>1.160184350809941</v>
      </c>
    </row>
    <row r="431" spans="2:15">
      <c r="B431" s="1388">
        <v>45536</v>
      </c>
      <c r="C431" s="1389" t="e">
        <v>#N/A</v>
      </c>
      <c r="D431" s="1389" t="e">
        <v>#N/A</v>
      </c>
      <c r="E431" s="1389" t="e">
        <v>#N/A</v>
      </c>
      <c r="F431" s="1389" t="e">
        <f t="shared" si="0"/>
        <v>#N/A</v>
      </c>
      <c r="K431" s="1469">
        <v>42488</v>
      </c>
      <c r="L431" s="1470" t="s">
        <v>2129</v>
      </c>
      <c r="M431" s="1471">
        <v>5.2531000000000001E-2</v>
      </c>
      <c r="N431" s="1472">
        <v>1.1607938072512649</v>
      </c>
      <c r="O431" s="1472">
        <v>1.1607938072512649</v>
      </c>
    </row>
    <row r="432" spans="2:15">
      <c r="B432" s="1388">
        <v>45566</v>
      </c>
      <c r="C432" s="1389" t="e">
        <v>#N/A</v>
      </c>
      <c r="D432" s="1389" t="e">
        <v>#N/A</v>
      </c>
      <c r="E432" s="1389" t="e">
        <v>#N/A</v>
      </c>
      <c r="F432" s="1389" t="e">
        <f t="shared" si="0"/>
        <v>#N/A</v>
      </c>
      <c r="K432" s="1469">
        <v>42489</v>
      </c>
      <c r="L432" s="1470" t="s">
        <v>2129</v>
      </c>
      <c r="M432" s="1471">
        <v>5.2531000000000001E-2</v>
      </c>
      <c r="N432" s="1472">
        <v>1.1614035838461521</v>
      </c>
      <c r="O432" s="1472">
        <v>1.1614035838461521</v>
      </c>
    </row>
    <row r="433" spans="2:15">
      <c r="B433" s="1388">
        <v>45597</v>
      </c>
      <c r="C433" s="1389" t="e">
        <v>#N/A</v>
      </c>
      <c r="D433" s="1389" t="e">
        <v>#N/A</v>
      </c>
      <c r="E433" s="1389" t="e">
        <v>#N/A</v>
      </c>
      <c r="F433" s="1389" t="e">
        <f t="shared" si="0"/>
        <v>#N/A</v>
      </c>
      <c r="K433" s="1469">
        <v>42490</v>
      </c>
      <c r="L433" s="1470"/>
      <c r="M433" s="1471">
        <v>0</v>
      </c>
      <c r="N433" s="1472">
        <v>1.1614035838461521</v>
      </c>
      <c r="O433" s="1472">
        <v>1.1614035838461521</v>
      </c>
    </row>
    <row r="434" spans="2:15">
      <c r="B434" s="1388">
        <v>45627</v>
      </c>
      <c r="C434" s="1389" t="e">
        <v>#N/A</v>
      </c>
      <c r="D434" s="1389" t="e">
        <v>#N/A</v>
      </c>
      <c r="E434" s="1389" t="e">
        <v>#N/A</v>
      </c>
      <c r="F434" s="1389" t="e">
        <f t="shared" si="0"/>
        <v>#N/A</v>
      </c>
      <c r="K434" s="1469">
        <v>42491</v>
      </c>
      <c r="L434" s="1470"/>
      <c r="M434" s="1471">
        <v>0</v>
      </c>
      <c r="N434" s="1472">
        <v>1.1614035838461521</v>
      </c>
      <c r="O434" s="1472">
        <v>1.1614035838461521</v>
      </c>
    </row>
    <row r="435" spans="2:15">
      <c r="B435" s="1388">
        <v>45658</v>
      </c>
      <c r="C435" s="1389" t="e">
        <v>#N/A</v>
      </c>
      <c r="D435" s="1389" t="e">
        <v>#N/A</v>
      </c>
      <c r="E435" s="1389" t="e">
        <v>#N/A</v>
      </c>
      <c r="F435" s="1389" t="e">
        <f t="shared" si="0"/>
        <v>#N/A</v>
      </c>
      <c r="K435" s="1469">
        <v>42492</v>
      </c>
      <c r="L435" s="1470" t="s">
        <v>2129</v>
      </c>
      <c r="M435" s="1471">
        <v>5.2531000000000001E-2</v>
      </c>
      <c r="N435" s="1472">
        <v>1.1620136807627823</v>
      </c>
      <c r="O435" s="1472">
        <v>1.1620136807627823</v>
      </c>
    </row>
    <row r="436" spans="2:15">
      <c r="B436" s="1388">
        <v>45689</v>
      </c>
      <c r="C436" s="1389" t="e">
        <v>#N/A</v>
      </c>
      <c r="D436" s="1389" t="e">
        <v>#N/A</v>
      </c>
      <c r="E436" s="1389" t="e">
        <v>#N/A</v>
      </c>
      <c r="F436" s="1389" t="e">
        <f t="shared" si="0"/>
        <v>#N/A</v>
      </c>
      <c r="K436" s="1469">
        <v>42493</v>
      </c>
      <c r="L436" s="1470" t="s">
        <v>2129</v>
      </c>
      <c r="M436" s="1471">
        <v>5.2531000000000001E-2</v>
      </c>
      <c r="N436" s="1472">
        <v>1.1626240981694238</v>
      </c>
      <c r="O436" s="1472">
        <v>1.1626240981694238</v>
      </c>
    </row>
    <row r="437" spans="2:15">
      <c r="B437" s="1388">
        <v>45717</v>
      </c>
      <c r="C437" s="1389" t="e">
        <v>#N/A</v>
      </c>
      <c r="D437" s="1389" t="e">
        <v>#N/A</v>
      </c>
      <c r="E437" s="1389" t="e">
        <v>#N/A</v>
      </c>
      <c r="F437" s="1389" t="e">
        <f t="shared" si="0"/>
        <v>#N/A</v>
      </c>
      <c r="K437" s="1469">
        <v>42494</v>
      </c>
      <c r="L437" s="1470" t="s">
        <v>2129</v>
      </c>
      <c r="M437" s="1471">
        <v>5.2531000000000001E-2</v>
      </c>
      <c r="N437" s="1472">
        <v>1.1632348362344331</v>
      </c>
      <c r="O437" s="1472">
        <v>1.1632348362344331</v>
      </c>
    </row>
    <row r="438" spans="2:15">
      <c r="B438" s="1388">
        <v>45748</v>
      </c>
      <c r="C438" s="1389" t="e">
        <v>#N/A</v>
      </c>
      <c r="D438" s="1389" t="e">
        <v>#N/A</v>
      </c>
      <c r="E438" s="1389" t="e">
        <v>#N/A</v>
      </c>
      <c r="F438" s="1389" t="e">
        <f t="shared" si="0"/>
        <v>#N/A</v>
      </c>
      <c r="K438" s="1469">
        <v>42495</v>
      </c>
      <c r="L438" s="1470" t="s">
        <v>2129</v>
      </c>
      <c r="M438" s="1471">
        <v>5.2531000000000001E-2</v>
      </c>
      <c r="N438" s="1472">
        <v>1.1638458951262554</v>
      </c>
      <c r="O438" s="1472">
        <v>1.1638458951262554</v>
      </c>
    </row>
    <row r="439" spans="2:15">
      <c r="B439" s="1388">
        <v>45778</v>
      </c>
      <c r="C439" s="1389" t="e">
        <v>#N/A</v>
      </c>
      <c r="D439" s="1389" t="e">
        <v>#N/A</v>
      </c>
      <c r="E439" s="1389" t="e">
        <v>#N/A</v>
      </c>
      <c r="F439" s="1389" t="e">
        <f t="shared" si="0"/>
        <v>#N/A</v>
      </c>
      <c r="K439" s="1469">
        <v>42496</v>
      </c>
      <c r="L439" s="1470" t="s">
        <v>2129</v>
      </c>
      <c r="M439" s="1471">
        <v>5.2531000000000001E-2</v>
      </c>
      <c r="N439" s="1472">
        <v>1.1644572750134241</v>
      </c>
      <c r="O439" s="1472">
        <v>1.1644572750134241</v>
      </c>
    </row>
    <row r="440" spans="2:15">
      <c r="B440" s="1388">
        <v>45809</v>
      </c>
      <c r="C440" s="1389" t="e">
        <v>#N/A</v>
      </c>
      <c r="D440" s="1389" t="e">
        <v>#N/A</v>
      </c>
      <c r="E440" s="1389" t="e">
        <v>#N/A</v>
      </c>
      <c r="F440" s="1389" t="e">
        <f t="shared" si="0"/>
        <v>#N/A</v>
      </c>
      <c r="K440" s="1469">
        <v>42497</v>
      </c>
      <c r="L440" s="1470"/>
      <c r="M440" s="1471">
        <v>0</v>
      </c>
      <c r="N440" s="1472">
        <v>1.1644572750134241</v>
      </c>
      <c r="O440" s="1472">
        <v>1.1644572750134241</v>
      </c>
    </row>
    <row r="441" spans="2:15">
      <c r="B441" s="1388">
        <v>45839</v>
      </c>
      <c r="C441" s="1389" t="e">
        <v>#N/A</v>
      </c>
      <c r="D441" s="1389" t="e">
        <v>#N/A</v>
      </c>
      <c r="E441" s="1389" t="e">
        <v>#N/A</v>
      </c>
      <c r="F441" s="1389" t="e">
        <f t="shared" si="0"/>
        <v>#N/A</v>
      </c>
      <c r="K441" s="1469">
        <v>42498</v>
      </c>
      <c r="L441" s="1470"/>
      <c r="M441" s="1471">
        <v>0</v>
      </c>
      <c r="N441" s="1472">
        <v>1.1644572750134241</v>
      </c>
      <c r="O441" s="1472">
        <v>1.1644572750134241</v>
      </c>
    </row>
    <row r="442" spans="2:15">
      <c r="B442" s="1388">
        <v>45870</v>
      </c>
      <c r="C442" s="1389" t="e">
        <v>#N/A</v>
      </c>
      <c r="D442" s="1389" t="e">
        <v>#N/A</v>
      </c>
      <c r="E442" s="1389" t="e">
        <v>#N/A</v>
      </c>
      <c r="F442" s="1389" t="e">
        <f t="shared" si="0"/>
        <v>#N/A</v>
      </c>
      <c r="K442" s="1469">
        <v>42499</v>
      </c>
      <c r="L442" s="1470" t="s">
        <v>2129</v>
      </c>
      <c r="M442" s="1471">
        <v>5.2531000000000001E-2</v>
      </c>
      <c r="N442" s="1472">
        <v>1.1650689760645614</v>
      </c>
      <c r="O442" s="1472">
        <v>1.1650689760645614</v>
      </c>
    </row>
    <row r="443" spans="2:15">
      <c r="B443" s="1388">
        <v>45901</v>
      </c>
      <c r="C443" s="1389" t="e">
        <v>#N/A</v>
      </c>
      <c r="D443" s="1389" t="e">
        <v>#N/A</v>
      </c>
      <c r="E443" s="1389" t="e">
        <v>#N/A</v>
      </c>
      <c r="F443" s="1389" t="e">
        <f t="shared" si="0"/>
        <v>#N/A</v>
      </c>
      <c r="K443" s="1469">
        <v>42500</v>
      </c>
      <c r="L443" s="1470" t="s">
        <v>2129</v>
      </c>
      <c r="M443" s="1471">
        <v>5.2531000000000001E-2</v>
      </c>
      <c r="N443" s="1472">
        <v>1.1656809984483778</v>
      </c>
      <c r="O443" s="1472">
        <v>1.1656809984483778</v>
      </c>
    </row>
    <row r="444" spans="2:15">
      <c r="B444" s="1388">
        <v>45931</v>
      </c>
      <c r="C444" s="1389" t="e">
        <v>#N/A</v>
      </c>
      <c r="D444" s="1389" t="e">
        <v>#N/A</v>
      </c>
      <c r="E444" s="1389" t="e">
        <v>#N/A</v>
      </c>
      <c r="F444" s="1389" t="e">
        <f t="shared" si="0"/>
        <v>#N/A</v>
      </c>
      <c r="K444" s="1469">
        <v>42501</v>
      </c>
      <c r="L444" s="1470" t="s">
        <v>2129</v>
      </c>
      <c r="M444" s="1471">
        <v>5.2531000000000001E-2</v>
      </c>
      <c r="N444" s="1472">
        <v>1.1662933423336728</v>
      </c>
      <c r="O444" s="1472">
        <v>1.1662933423336728</v>
      </c>
    </row>
    <row r="445" spans="2:15">
      <c r="B445" s="1388">
        <v>45962</v>
      </c>
      <c r="C445" s="1389" t="e">
        <v>#N/A</v>
      </c>
      <c r="D445" s="1389" t="e">
        <v>#N/A</v>
      </c>
      <c r="E445" s="1389" t="e">
        <v>#N/A</v>
      </c>
      <c r="F445" s="1389" t="e">
        <f t="shared" si="0"/>
        <v>#N/A</v>
      </c>
      <c r="K445" s="1469">
        <v>42502</v>
      </c>
      <c r="L445" s="1470" t="s">
        <v>2129</v>
      </c>
      <c r="M445" s="1471">
        <v>5.2531000000000001E-2</v>
      </c>
      <c r="N445" s="1472">
        <v>1.1669060078893341</v>
      </c>
      <c r="O445" s="1472">
        <v>1.1669060078893341</v>
      </c>
    </row>
    <row r="446" spans="2:15">
      <c r="B446" s="1388">
        <v>45992</v>
      </c>
      <c r="C446" s="1389" t="e">
        <v>#N/A</v>
      </c>
      <c r="D446" s="1389" t="e">
        <v>#N/A</v>
      </c>
      <c r="E446" s="1389" t="e">
        <v>#N/A</v>
      </c>
      <c r="F446" s="1389" t="e">
        <f t="shared" si="0"/>
        <v>#N/A</v>
      </c>
      <c r="K446" s="1469">
        <v>42503</v>
      </c>
      <c r="L446" s="1470" t="s">
        <v>2129</v>
      </c>
      <c r="M446" s="1471">
        <v>5.2531000000000001E-2</v>
      </c>
      <c r="N446" s="1472">
        <v>1.1675189952843383</v>
      </c>
      <c r="O446" s="1472">
        <v>1.1675189952843383</v>
      </c>
    </row>
    <row r="447" spans="2:15">
      <c r="B447" s="1388">
        <v>46023</v>
      </c>
      <c r="C447" s="1389" t="e">
        <v>#N/A</v>
      </c>
      <c r="D447" s="1389" t="e">
        <v>#N/A</v>
      </c>
      <c r="E447" s="1389" t="e">
        <v>#N/A</v>
      </c>
      <c r="F447" s="1389" t="e">
        <f t="shared" si="0"/>
        <v>#N/A</v>
      </c>
      <c r="K447" s="1469">
        <v>42504</v>
      </c>
      <c r="L447" s="1470"/>
      <c r="M447" s="1471">
        <v>0</v>
      </c>
      <c r="N447" s="1472">
        <v>1.1675189952843383</v>
      </c>
      <c r="O447" s="1472">
        <v>1.1675189952843383</v>
      </c>
    </row>
    <row r="448" spans="2:15">
      <c r="B448" s="1388">
        <v>46054</v>
      </c>
      <c r="C448" s="1389" t="e">
        <v>#N/A</v>
      </c>
      <c r="D448" s="1389" t="e">
        <v>#N/A</v>
      </c>
      <c r="E448" s="1389" t="e">
        <v>#N/A</v>
      </c>
      <c r="F448" s="1389" t="e">
        <f t="shared" si="0"/>
        <v>#N/A</v>
      </c>
      <c r="K448" s="1469">
        <v>42505</v>
      </c>
      <c r="L448" s="1470"/>
      <c r="M448" s="1471">
        <v>0</v>
      </c>
      <c r="N448" s="1472">
        <v>1.1675189952843383</v>
      </c>
      <c r="O448" s="1472">
        <v>1.1675189952843383</v>
      </c>
    </row>
    <row r="449" spans="2:15">
      <c r="B449" s="1388">
        <v>46082</v>
      </c>
      <c r="C449" s="1389" t="e">
        <v>#N/A</v>
      </c>
      <c r="D449" s="1389" t="e">
        <v>#N/A</v>
      </c>
      <c r="E449" s="1389" t="e">
        <v>#N/A</v>
      </c>
      <c r="F449" s="1389" t="e">
        <f t="shared" si="0"/>
        <v>#N/A</v>
      </c>
      <c r="K449" s="1469">
        <v>42506</v>
      </c>
      <c r="L449" s="1470" t="s">
        <v>2129</v>
      </c>
      <c r="M449" s="1471">
        <v>5.2531000000000001E-2</v>
      </c>
      <c r="N449" s="1472">
        <v>1.1681323046877512</v>
      </c>
      <c r="O449" s="1472">
        <v>1.1681323046877512</v>
      </c>
    </row>
    <row r="450" spans="2:15">
      <c r="B450" s="1388">
        <v>46113</v>
      </c>
      <c r="C450" s="1389" t="e">
        <v>#N/A</v>
      </c>
      <c r="D450" s="1389" t="e">
        <v>#N/A</v>
      </c>
      <c r="E450" s="1389" t="e">
        <v>#N/A</v>
      </c>
      <c r="F450" s="1389" t="e">
        <f t="shared" si="0"/>
        <v>#N/A</v>
      </c>
      <c r="K450" s="1469">
        <v>42507</v>
      </c>
      <c r="L450" s="1470" t="s">
        <v>2129</v>
      </c>
      <c r="M450" s="1471">
        <v>5.2531000000000001E-2</v>
      </c>
      <c r="N450" s="1472">
        <v>1.1687459362687267</v>
      </c>
      <c r="O450" s="1472">
        <v>1.1687459362687267</v>
      </c>
    </row>
    <row r="451" spans="2:15">
      <c r="B451" s="1388">
        <v>46143</v>
      </c>
      <c r="C451" s="1389" t="e">
        <v>#N/A</v>
      </c>
      <c r="D451" s="1389" t="e">
        <v>#N/A</v>
      </c>
      <c r="E451" s="1389" t="e">
        <v>#N/A</v>
      </c>
      <c r="F451" s="1389" t="e">
        <f t="shared" si="0"/>
        <v>#N/A</v>
      </c>
      <c r="K451" s="1469">
        <v>42508</v>
      </c>
      <c r="L451" s="1470" t="s">
        <v>2129</v>
      </c>
      <c r="M451" s="1471">
        <v>5.2531000000000001E-2</v>
      </c>
      <c r="N451" s="1472">
        <v>1.1693598901965081</v>
      </c>
      <c r="O451" s="1472">
        <v>1.1693598901965081</v>
      </c>
    </row>
    <row r="452" spans="2:15">
      <c r="B452" s="1388">
        <v>46174</v>
      </c>
      <c r="C452" s="1389" t="e">
        <v>#N/A</v>
      </c>
      <c r="D452" s="1389" t="e">
        <v>#N/A</v>
      </c>
      <c r="E452" s="1389" t="e">
        <v>#N/A</v>
      </c>
      <c r="F452" s="1389" t="e">
        <f t="shared" si="0"/>
        <v>#N/A</v>
      </c>
      <c r="K452" s="1469">
        <v>42509</v>
      </c>
      <c r="L452" s="1470" t="s">
        <v>2129</v>
      </c>
      <c r="M452" s="1471">
        <v>5.2531000000000001E-2</v>
      </c>
      <c r="N452" s="1472">
        <v>1.1699741666404273</v>
      </c>
      <c r="O452" s="1472">
        <v>1.1699741666404273</v>
      </c>
    </row>
    <row r="453" spans="2:15">
      <c r="B453" s="1388">
        <v>46204</v>
      </c>
      <c r="C453" s="1389" t="e">
        <v>#N/A</v>
      </c>
      <c r="D453" s="1389" t="e">
        <v>#N/A</v>
      </c>
      <c r="E453" s="1389" t="e">
        <v>#N/A</v>
      </c>
      <c r="F453" s="1389" t="e">
        <f t="shared" si="0"/>
        <v>#N/A</v>
      </c>
      <c r="K453" s="1469">
        <v>42510</v>
      </c>
      <c r="L453" s="1470" t="s">
        <v>2129</v>
      </c>
      <c r="M453" s="1471">
        <v>5.2531000000000001E-2</v>
      </c>
      <c r="N453" s="1472">
        <v>1.1705887657699052</v>
      </c>
      <c r="O453" s="1472">
        <v>1.1705887657699052</v>
      </c>
    </row>
    <row r="454" spans="2:15">
      <c r="B454" s="1388">
        <v>46235</v>
      </c>
      <c r="C454" s="1389" t="e">
        <v>#N/A</v>
      </c>
      <c r="D454" s="1389" t="e">
        <v>#N/A</v>
      </c>
      <c r="E454" s="1389" t="e">
        <v>#N/A</v>
      </c>
      <c r="F454" s="1389" t="e">
        <f t="shared" si="0"/>
        <v>#N/A</v>
      </c>
      <c r="K454" s="1469">
        <v>42511</v>
      </c>
      <c r="L454" s="1470"/>
      <c r="M454" s="1471">
        <v>0</v>
      </c>
      <c r="N454" s="1472">
        <v>1.1705887657699052</v>
      </c>
      <c r="O454" s="1472">
        <v>1.1705887657699052</v>
      </c>
    </row>
    <row r="455" spans="2:15">
      <c r="B455" s="1388">
        <v>46266</v>
      </c>
      <c r="C455" s="1389" t="e">
        <v>#N/A</v>
      </c>
      <c r="D455" s="1389" t="e">
        <v>#N/A</v>
      </c>
      <c r="E455" s="1389" t="e">
        <v>#N/A</v>
      </c>
      <c r="F455" s="1389" t="e">
        <f t="shared" si="0"/>
        <v>#N/A</v>
      </c>
      <c r="K455" s="1469">
        <v>42512</v>
      </c>
      <c r="L455" s="1470"/>
      <c r="M455" s="1471">
        <v>0</v>
      </c>
      <c r="N455" s="1472">
        <v>1.1705887657699052</v>
      </c>
      <c r="O455" s="1472">
        <v>1.1705887657699052</v>
      </c>
    </row>
    <row r="456" spans="2:15">
      <c r="B456" s="1388">
        <v>46296</v>
      </c>
      <c r="C456" s="1389" t="e">
        <v>#N/A</v>
      </c>
      <c r="D456" s="1389" t="e">
        <v>#N/A</v>
      </c>
      <c r="E456" s="1389" t="e">
        <v>#N/A</v>
      </c>
      <c r="F456" s="1389" t="e">
        <f t="shared" si="0"/>
        <v>#N/A</v>
      </c>
      <c r="K456" s="1469">
        <v>42513</v>
      </c>
      <c r="L456" s="1470" t="s">
        <v>2129</v>
      </c>
      <c r="M456" s="1471">
        <v>5.2531000000000001E-2</v>
      </c>
      <c r="N456" s="1472">
        <v>1.1712036877544518</v>
      </c>
      <c r="O456" s="1472">
        <v>1.1712036877544518</v>
      </c>
    </row>
    <row r="457" spans="2:15">
      <c r="B457" s="1388">
        <v>46327</v>
      </c>
      <c r="C457" s="1389" t="e">
        <v>#N/A</v>
      </c>
      <c r="D457" s="1389" t="e">
        <v>#N/A</v>
      </c>
      <c r="E457" s="1389" t="e">
        <v>#N/A</v>
      </c>
      <c r="F457" s="1389" t="e">
        <f t="shared" si="0"/>
        <v>#N/A</v>
      </c>
      <c r="K457" s="1469">
        <v>42514</v>
      </c>
      <c r="L457" s="1470" t="s">
        <v>2129</v>
      </c>
      <c r="M457" s="1471">
        <v>5.2531000000000001E-2</v>
      </c>
      <c r="N457" s="1472">
        <v>1.1718189327636661</v>
      </c>
      <c r="O457" s="1472">
        <v>1.1718189327636661</v>
      </c>
    </row>
    <row r="458" spans="2:15">
      <c r="B458" s="1388">
        <v>46357</v>
      </c>
      <c r="C458" s="1389" t="e">
        <v>#N/A</v>
      </c>
      <c r="D458" s="1389" t="e">
        <v>#N/A</v>
      </c>
      <c r="E458" s="1389" t="e">
        <v>#N/A</v>
      </c>
      <c r="F458" s="1389" t="e">
        <f t="shared" si="0"/>
        <v>#N/A</v>
      </c>
      <c r="K458" s="1469">
        <v>42515</v>
      </c>
      <c r="L458" s="1470" t="s">
        <v>2129</v>
      </c>
      <c r="M458" s="1471">
        <v>5.2531000000000001E-2</v>
      </c>
      <c r="N458" s="1472">
        <v>1.1724345009672361</v>
      </c>
      <c r="O458" s="1472">
        <v>1.1724345009672361</v>
      </c>
    </row>
    <row r="459" spans="2:15">
      <c r="B459" s="1388">
        <v>46388</v>
      </c>
      <c r="C459" s="1389" t="e">
        <v>#N/A</v>
      </c>
      <c r="D459" s="1389" t="e">
        <v>#N/A</v>
      </c>
      <c r="E459" s="1389" t="e">
        <v>#N/A</v>
      </c>
      <c r="F459" s="1389" t="e">
        <f t="shared" si="0"/>
        <v>#N/A</v>
      </c>
      <c r="K459" s="1469">
        <v>42516</v>
      </c>
      <c r="L459" s="1470"/>
      <c r="M459" s="1471">
        <v>0</v>
      </c>
      <c r="N459" s="1472">
        <v>1.1724345009672361</v>
      </c>
      <c r="O459" s="1472">
        <v>1.1724345009672361</v>
      </c>
    </row>
    <row r="460" spans="2:15">
      <c r="B460" s="1388">
        <v>46419</v>
      </c>
      <c r="C460" s="1389" t="e">
        <v>#N/A</v>
      </c>
      <c r="D460" s="1389" t="e">
        <v>#N/A</v>
      </c>
      <c r="E460" s="1389" t="e">
        <v>#N/A</v>
      </c>
      <c r="F460" s="1389" t="e">
        <f t="shared" si="0"/>
        <v>#N/A</v>
      </c>
      <c r="K460" s="1469">
        <v>42517</v>
      </c>
      <c r="L460" s="1470" t="s">
        <v>2129</v>
      </c>
      <c r="M460" s="1471">
        <v>5.2531000000000001E-2</v>
      </c>
      <c r="N460" s="1472">
        <v>1.1730503925349391</v>
      </c>
      <c r="O460" s="1472">
        <v>1.1730503925349391</v>
      </c>
    </row>
    <row r="461" spans="2:15">
      <c r="B461" s="1388">
        <v>46447</v>
      </c>
      <c r="C461" s="1389" t="e">
        <v>#N/A</v>
      </c>
      <c r="D461" s="1389" t="e">
        <v>#N/A</v>
      </c>
      <c r="E461" s="1389" t="e">
        <v>#N/A</v>
      </c>
      <c r="F461" s="1389" t="e">
        <f t="shared" si="0"/>
        <v>#N/A</v>
      </c>
      <c r="K461" s="1469">
        <v>42518</v>
      </c>
      <c r="L461" s="1470"/>
      <c r="M461" s="1471">
        <v>0</v>
      </c>
      <c r="N461" s="1472">
        <v>1.1730503925349391</v>
      </c>
      <c r="O461" s="1472">
        <v>1.1730503925349391</v>
      </c>
    </row>
    <row r="462" spans="2:15">
      <c r="B462" s="1388">
        <v>46478</v>
      </c>
      <c r="C462" s="1389" t="e">
        <v>#N/A</v>
      </c>
      <c r="D462" s="1389" t="e">
        <v>#N/A</v>
      </c>
      <c r="E462" s="1389" t="e">
        <v>#N/A</v>
      </c>
      <c r="F462" s="1389" t="e">
        <f t="shared" si="0"/>
        <v>#N/A</v>
      </c>
      <c r="K462" s="1469">
        <v>42519</v>
      </c>
      <c r="L462" s="1470"/>
      <c r="M462" s="1471">
        <v>0</v>
      </c>
      <c r="N462" s="1472">
        <v>1.1730503925349391</v>
      </c>
      <c r="O462" s="1472">
        <v>1.1730503925349391</v>
      </c>
    </row>
    <row r="463" spans="2:15">
      <c r="B463" s="1388">
        <v>46508</v>
      </c>
      <c r="C463" s="1389" t="e">
        <v>#N/A</v>
      </c>
      <c r="D463" s="1389" t="e">
        <v>#N/A</v>
      </c>
      <c r="E463" s="1389" t="e">
        <v>#N/A</v>
      </c>
      <c r="F463" s="1389" t="e">
        <f t="shared" si="0"/>
        <v>#N/A</v>
      </c>
      <c r="K463" s="1469">
        <v>42520</v>
      </c>
      <c r="L463" s="1470" t="s">
        <v>2129</v>
      </c>
      <c r="M463" s="1471">
        <v>5.2531000000000001E-2</v>
      </c>
      <c r="N463" s="1472">
        <v>1.1736666076366418</v>
      </c>
      <c r="O463" s="1472">
        <v>1.1736666076366418</v>
      </c>
    </row>
    <row r="464" spans="2:15">
      <c r="B464" s="1388">
        <v>46539</v>
      </c>
      <c r="C464" s="1389" t="e">
        <v>#N/A</v>
      </c>
      <c r="D464" s="1389" t="e">
        <v>#N/A</v>
      </c>
      <c r="E464" s="1389" t="e">
        <v>#N/A</v>
      </c>
      <c r="F464" s="1389" t="e">
        <f t="shared" si="0"/>
        <v>#N/A</v>
      </c>
      <c r="K464" s="1469">
        <v>42521</v>
      </c>
      <c r="L464" s="1470" t="s">
        <v>2129</v>
      </c>
      <c r="M464" s="1471">
        <v>5.2531000000000001E-2</v>
      </c>
      <c r="N464" s="1472">
        <v>1.1742831464422994</v>
      </c>
      <c r="O464" s="1472">
        <v>1.1742831464422994</v>
      </c>
    </row>
    <row r="465" spans="2:15">
      <c r="B465" s="1388">
        <v>46569</v>
      </c>
      <c r="C465" s="1389" t="e">
        <v>#N/A</v>
      </c>
      <c r="D465" s="1389" t="e">
        <v>#N/A</v>
      </c>
      <c r="E465" s="1389" t="e">
        <v>#N/A</v>
      </c>
      <c r="F465" s="1389" t="e">
        <f t="shared" si="0"/>
        <v>#N/A</v>
      </c>
      <c r="K465" s="1469">
        <v>42522</v>
      </c>
      <c r="L465" s="1470" t="s">
        <v>2129</v>
      </c>
      <c r="M465" s="1471">
        <v>5.2531000000000001E-2</v>
      </c>
      <c r="N465" s="1472">
        <v>1.174900009121957</v>
      </c>
      <c r="O465" s="1472">
        <v>1.174900009121957</v>
      </c>
    </row>
    <row r="466" spans="2:15">
      <c r="B466" s="1388">
        <v>46600</v>
      </c>
      <c r="C466" s="1389" t="e">
        <v>#N/A</v>
      </c>
      <c r="D466" s="1389" t="e">
        <v>#N/A</v>
      </c>
      <c r="E466" s="1389" t="e">
        <v>#N/A</v>
      </c>
      <c r="F466" s="1389" t="e">
        <f t="shared" si="0"/>
        <v>#N/A</v>
      </c>
      <c r="K466" s="1469">
        <v>42523</v>
      </c>
      <c r="L466" s="1470" t="s">
        <v>2129</v>
      </c>
      <c r="M466" s="1471">
        <v>5.2531000000000001E-2</v>
      </c>
      <c r="N466" s="1472">
        <v>1.1755171958457489</v>
      </c>
      <c r="O466" s="1472">
        <v>1.1755171958457489</v>
      </c>
    </row>
    <row r="467" spans="2:15">
      <c r="B467" s="1388">
        <v>46631</v>
      </c>
      <c r="C467" s="1389" t="e">
        <v>#N/A</v>
      </c>
      <c r="D467" s="1389" t="e">
        <v>#N/A</v>
      </c>
      <c r="E467" s="1389" t="e">
        <v>#N/A</v>
      </c>
      <c r="F467" s="1389" t="e">
        <f t="shared" si="0"/>
        <v>#N/A</v>
      </c>
      <c r="K467" s="1469">
        <v>42524</v>
      </c>
      <c r="L467" s="1470" t="s">
        <v>2129</v>
      </c>
      <c r="M467" s="1471">
        <v>5.2531000000000001E-2</v>
      </c>
      <c r="N467" s="1472">
        <v>1.1761347067838985</v>
      </c>
      <c r="O467" s="1472">
        <v>1.1761347067838985</v>
      </c>
    </row>
    <row r="468" spans="2:15">
      <c r="B468" s="1388">
        <v>46661</v>
      </c>
      <c r="C468" s="1389" t="e">
        <v>#N/A</v>
      </c>
      <c r="D468" s="1389" t="e">
        <v>#N/A</v>
      </c>
      <c r="E468" s="1389" t="e">
        <v>#N/A</v>
      </c>
      <c r="F468" s="1389" t="e">
        <f t="shared" si="0"/>
        <v>#N/A</v>
      </c>
      <c r="K468" s="1469">
        <v>42525</v>
      </c>
      <c r="L468" s="1470"/>
      <c r="M468" s="1471">
        <v>0</v>
      </c>
      <c r="N468" s="1472">
        <v>1.1761347067838985</v>
      </c>
      <c r="O468" s="1472">
        <v>1.1761347067838985</v>
      </c>
    </row>
    <row r="469" spans="2:15">
      <c r="B469" s="1388">
        <v>46692</v>
      </c>
      <c r="C469" s="1389" t="e">
        <v>#N/A</v>
      </c>
      <c r="D469" s="1389" t="e">
        <v>#N/A</v>
      </c>
      <c r="E469" s="1389" t="e">
        <v>#N/A</v>
      </c>
      <c r="F469" s="1389" t="e">
        <f t="shared" si="0"/>
        <v>#N/A</v>
      </c>
      <c r="K469" s="1469">
        <v>42526</v>
      </c>
      <c r="L469" s="1470"/>
      <c r="M469" s="1471">
        <v>0</v>
      </c>
      <c r="N469" s="1472">
        <v>1.1761347067838985</v>
      </c>
      <c r="O469" s="1472">
        <v>1.1761347067838985</v>
      </c>
    </row>
    <row r="470" spans="2:15">
      <c r="B470" s="1388">
        <v>46722</v>
      </c>
      <c r="C470" s="1389" t="e">
        <v>#N/A</v>
      </c>
      <c r="D470" s="1389" t="e">
        <v>#N/A</v>
      </c>
      <c r="E470" s="1389" t="e">
        <v>#N/A</v>
      </c>
      <c r="F470" s="1389" t="e">
        <f t="shared" si="0"/>
        <v>#N/A</v>
      </c>
      <c r="K470" s="1469">
        <v>42527</v>
      </c>
      <c r="L470" s="1470" t="s">
        <v>2129</v>
      </c>
      <c r="M470" s="1471">
        <v>5.2531000000000001E-2</v>
      </c>
      <c r="N470" s="1472">
        <v>1.1767525421067191</v>
      </c>
      <c r="O470" s="1472">
        <v>1.1767525421067191</v>
      </c>
    </row>
    <row r="471" spans="2:15">
      <c r="B471" s="1388">
        <v>46753</v>
      </c>
      <c r="C471" s="1389" t="e">
        <v>#N/A</v>
      </c>
      <c r="D471" s="1389" t="e">
        <v>#N/A</v>
      </c>
      <c r="E471" s="1389" t="e">
        <v>#N/A</v>
      </c>
      <c r="F471" s="1389" t="e">
        <f t="shared" si="0"/>
        <v>#N/A</v>
      </c>
      <c r="K471" s="1469">
        <v>42528</v>
      </c>
      <c r="L471" s="1470" t="s">
        <v>2129</v>
      </c>
      <c r="M471" s="1471">
        <v>5.2531000000000001E-2</v>
      </c>
      <c r="N471" s="1472">
        <v>1.1773707019846131</v>
      </c>
      <c r="O471" s="1472">
        <v>1.1773707019846131</v>
      </c>
    </row>
    <row r="472" spans="2:15">
      <c r="B472" s="1388">
        <v>46784</v>
      </c>
      <c r="C472" s="1389" t="e">
        <v>#N/A</v>
      </c>
      <c r="D472" s="1389" t="e">
        <v>#N/A</v>
      </c>
      <c r="E472" s="1389" t="e">
        <v>#N/A</v>
      </c>
      <c r="F472" s="1389" t="e">
        <f t="shared" si="0"/>
        <v>#N/A</v>
      </c>
      <c r="K472" s="1469">
        <v>42529</v>
      </c>
      <c r="L472" s="1470" t="s">
        <v>2129</v>
      </c>
      <c r="M472" s="1471">
        <v>5.2531000000000001E-2</v>
      </c>
      <c r="N472" s="1472">
        <v>1.1779891865880727</v>
      </c>
      <c r="O472" s="1472">
        <v>1.1779891865880727</v>
      </c>
    </row>
    <row r="473" spans="2:15">
      <c r="B473" s="1388">
        <v>46813</v>
      </c>
      <c r="C473" s="1389" t="e">
        <v>#N/A</v>
      </c>
      <c r="D473" s="1389" t="e">
        <v>#N/A</v>
      </c>
      <c r="E473" s="1389" t="e">
        <v>#N/A</v>
      </c>
      <c r="F473" s="1389" t="e">
        <f t="shared" si="0"/>
        <v>#N/A</v>
      </c>
      <c r="K473" s="1469">
        <v>42530</v>
      </c>
      <c r="L473" s="1470" t="s">
        <v>2129</v>
      </c>
      <c r="M473" s="1471">
        <v>5.2531000000000001E-2</v>
      </c>
      <c r="N473" s="1472">
        <v>1.1786079960876794</v>
      </c>
      <c r="O473" s="1472">
        <v>1.1786079960876794</v>
      </c>
    </row>
    <row r="474" spans="2:15">
      <c r="B474" s="1388">
        <v>46844</v>
      </c>
      <c r="C474" s="1389" t="e">
        <v>#N/A</v>
      </c>
      <c r="D474" s="1389" t="e">
        <v>#N/A</v>
      </c>
      <c r="E474" s="1389" t="e">
        <v>#N/A</v>
      </c>
      <c r="F474" s="1389" t="e">
        <f t="shared" si="0"/>
        <v>#N/A</v>
      </c>
      <c r="K474" s="1469">
        <v>42531</v>
      </c>
      <c r="L474" s="1470" t="s">
        <v>2129</v>
      </c>
      <c r="M474" s="1471">
        <v>5.2531000000000001E-2</v>
      </c>
      <c r="N474" s="1472">
        <v>1.1792271306541042</v>
      </c>
      <c r="O474" s="1472">
        <v>1.1792271306541042</v>
      </c>
    </row>
    <row r="475" spans="2:15">
      <c r="B475" s="1388">
        <v>46874</v>
      </c>
      <c r="C475" s="1389" t="e">
        <v>#N/A</v>
      </c>
      <c r="D475" s="1389" t="e">
        <v>#N/A</v>
      </c>
      <c r="E475" s="1389" t="e">
        <v>#N/A</v>
      </c>
      <c r="F475" s="1389" t="e">
        <f t="shared" si="0"/>
        <v>#N/A</v>
      </c>
      <c r="K475" s="1469">
        <v>42532</v>
      </c>
      <c r="L475" s="1470"/>
      <c r="M475" s="1471">
        <v>0</v>
      </c>
      <c r="N475" s="1472">
        <v>1.1792271306541042</v>
      </c>
      <c r="O475" s="1472">
        <v>1.1792271306541042</v>
      </c>
    </row>
    <row r="476" spans="2:15">
      <c r="B476" s="1388">
        <v>46905</v>
      </c>
      <c r="C476" s="1389" t="e">
        <v>#N/A</v>
      </c>
      <c r="D476" s="1389" t="e">
        <v>#N/A</v>
      </c>
      <c r="E476" s="1389" t="e">
        <v>#N/A</v>
      </c>
      <c r="F476" s="1389" t="e">
        <f t="shared" si="0"/>
        <v>#N/A</v>
      </c>
      <c r="K476" s="1469">
        <v>42533</v>
      </c>
      <c r="L476" s="1470"/>
      <c r="M476" s="1471">
        <v>0</v>
      </c>
      <c r="N476" s="1472">
        <v>1.1792271306541042</v>
      </c>
      <c r="O476" s="1472">
        <v>1.1792271306541042</v>
      </c>
    </row>
    <row r="477" spans="2:15">
      <c r="B477" s="1388">
        <v>46935</v>
      </c>
      <c r="C477" s="1389" t="e">
        <v>#N/A</v>
      </c>
      <c r="D477" s="1389" t="e">
        <v>#N/A</v>
      </c>
      <c r="E477" s="1389" t="e">
        <v>#N/A</v>
      </c>
      <c r="F477" s="1389" t="e">
        <f t="shared" si="0"/>
        <v>#N/A</v>
      </c>
      <c r="K477" s="1469">
        <v>42534</v>
      </c>
      <c r="L477" s="1470" t="s">
        <v>2129</v>
      </c>
      <c r="M477" s="1471">
        <v>5.2531000000000001E-2</v>
      </c>
      <c r="N477" s="1472">
        <v>1.1798465904581081</v>
      </c>
      <c r="O477" s="1472">
        <v>1.1798465904581081</v>
      </c>
    </row>
    <row r="478" spans="2:15">
      <c r="B478" s="1388">
        <v>46966</v>
      </c>
      <c r="C478" s="1389" t="e">
        <v>#N/A</v>
      </c>
      <c r="D478" s="1389" t="e">
        <v>#N/A</v>
      </c>
      <c r="E478" s="1389" t="e">
        <v>#N/A</v>
      </c>
      <c r="F478" s="1389" t="e">
        <f t="shared" si="0"/>
        <v>#N/A</v>
      </c>
      <c r="K478" s="1469">
        <v>42535</v>
      </c>
      <c r="L478" s="1470" t="s">
        <v>2129</v>
      </c>
      <c r="M478" s="1471">
        <v>5.2531000000000001E-2</v>
      </c>
      <c r="N478" s="1472">
        <v>1.1804663756705416</v>
      </c>
      <c r="O478" s="1472">
        <v>1.1804663756705416</v>
      </c>
    </row>
    <row r="479" spans="2:15">
      <c r="B479" s="1388">
        <v>46997</v>
      </c>
      <c r="C479" s="1389" t="e">
        <v>#N/A</v>
      </c>
      <c r="D479" s="1389" t="e">
        <v>#N/A</v>
      </c>
      <c r="E479" s="1389" t="e">
        <v>#N/A</v>
      </c>
      <c r="F479" s="1389" t="e">
        <f t="shared" si="0"/>
        <v>#N/A</v>
      </c>
      <c r="K479" s="1469">
        <v>42536</v>
      </c>
      <c r="L479" s="1470" t="s">
        <v>2129</v>
      </c>
      <c r="M479" s="1471">
        <v>5.2531000000000001E-2</v>
      </c>
      <c r="N479" s="1472">
        <v>1.1810864864623452</v>
      </c>
      <c r="O479" s="1472">
        <v>1.1810864864623452</v>
      </c>
    </row>
    <row r="480" spans="2:15">
      <c r="B480" s="1388">
        <v>47027</v>
      </c>
      <c r="C480" s="1389" t="e">
        <v>#N/A</v>
      </c>
      <c r="D480" s="1389" t="e">
        <v>#N/A</v>
      </c>
      <c r="E480" s="1389" t="e">
        <v>#N/A</v>
      </c>
      <c r="F480" s="1389" t="e">
        <f t="shared" si="0"/>
        <v>#N/A</v>
      </c>
      <c r="K480" s="1469">
        <v>42537</v>
      </c>
      <c r="L480" s="1470" t="s">
        <v>2129</v>
      </c>
      <c r="M480" s="1471">
        <v>5.2531000000000001E-2</v>
      </c>
      <c r="N480" s="1472">
        <v>1.1817069230045487</v>
      </c>
      <c r="O480" s="1472">
        <v>1.1817069230045487</v>
      </c>
    </row>
    <row r="481" spans="2:15">
      <c r="B481" s="1388">
        <v>47058</v>
      </c>
      <c r="C481" s="1389" t="e">
        <v>#N/A</v>
      </c>
      <c r="D481" s="1389" t="e">
        <v>#N/A</v>
      </c>
      <c r="E481" s="1389" t="e">
        <v>#N/A</v>
      </c>
      <c r="F481" s="1389" t="e">
        <f t="shared" si="0"/>
        <v>#N/A</v>
      </c>
      <c r="K481" s="1469">
        <v>42538</v>
      </c>
      <c r="L481" s="1470" t="s">
        <v>2129</v>
      </c>
      <c r="M481" s="1471">
        <v>5.2531000000000001E-2</v>
      </c>
      <c r="N481" s="1472">
        <v>1.1823276854682723</v>
      </c>
      <c r="O481" s="1472">
        <v>1.1823276854682723</v>
      </c>
    </row>
    <row r="482" spans="2:15">
      <c r="B482" s="1388">
        <v>47088</v>
      </c>
      <c r="C482" s="1389" t="e">
        <v>#N/A</v>
      </c>
      <c r="D482" s="1389" t="e">
        <v>#N/A</v>
      </c>
      <c r="E482" s="1389" t="e">
        <v>#N/A</v>
      </c>
      <c r="F482" s="1389" t="e">
        <f t="shared" si="0"/>
        <v>#N/A</v>
      </c>
      <c r="K482" s="1469">
        <v>42539</v>
      </c>
      <c r="L482" s="1470"/>
      <c r="M482" s="1471">
        <v>0</v>
      </c>
      <c r="N482" s="1472">
        <v>1.1823276854682723</v>
      </c>
      <c r="O482" s="1472">
        <v>1.1823276854682723</v>
      </c>
    </row>
    <row r="483" spans="2:15">
      <c r="B483" s="1388">
        <v>47119</v>
      </c>
      <c r="C483" s="1389" t="e">
        <v>#N/A</v>
      </c>
      <c r="D483" s="1389" t="e">
        <v>#N/A</v>
      </c>
      <c r="E483" s="1389" t="e">
        <v>#N/A</v>
      </c>
      <c r="F483" s="1389" t="e">
        <f t="shared" si="0"/>
        <v>#N/A</v>
      </c>
      <c r="K483" s="1469">
        <v>42540</v>
      </c>
      <c r="L483" s="1470"/>
      <c r="M483" s="1471">
        <v>0</v>
      </c>
      <c r="N483" s="1472">
        <v>1.1823276854682723</v>
      </c>
      <c r="O483" s="1472">
        <v>1.1823276854682723</v>
      </c>
    </row>
    <row r="484" spans="2:15">
      <c r="B484" s="1388">
        <v>47150</v>
      </c>
      <c r="C484" s="1389" t="e">
        <v>#N/A</v>
      </c>
      <c r="D484" s="1389" t="e">
        <v>#N/A</v>
      </c>
      <c r="E484" s="1389" t="e">
        <v>#N/A</v>
      </c>
      <c r="F484" s="1389" t="e">
        <f t="shared" ref="F484:F500" si="1">F483*E484</f>
        <v>#N/A</v>
      </c>
      <c r="K484" s="1469">
        <v>42541</v>
      </c>
      <c r="L484" s="1470" t="s">
        <v>2129</v>
      </c>
      <c r="M484" s="1471">
        <v>5.2531000000000001E-2</v>
      </c>
      <c r="N484" s="1472">
        <v>1.1829487740247255</v>
      </c>
      <c r="O484" s="1472">
        <v>1.1829487740247255</v>
      </c>
    </row>
    <row r="485" spans="2:15">
      <c r="B485" s="1388">
        <v>47178</v>
      </c>
      <c r="C485" s="1389" t="e">
        <v>#N/A</v>
      </c>
      <c r="D485" s="1389" t="e">
        <v>#N/A</v>
      </c>
      <c r="E485" s="1389" t="e">
        <v>#N/A</v>
      </c>
      <c r="F485" s="1389" t="e">
        <f t="shared" si="1"/>
        <v>#N/A</v>
      </c>
      <c r="K485" s="1469">
        <v>42542</v>
      </c>
      <c r="L485" s="1470" t="s">
        <v>2129</v>
      </c>
      <c r="M485" s="1471">
        <v>5.2531000000000001E-2</v>
      </c>
      <c r="N485" s="1472">
        <v>1.1835701888452084</v>
      </c>
      <c r="O485" s="1472">
        <v>1.1835701888452084</v>
      </c>
    </row>
    <row r="486" spans="2:15">
      <c r="B486" s="1388">
        <v>47209</v>
      </c>
      <c r="C486" s="1389" t="e">
        <v>#N/A</v>
      </c>
      <c r="D486" s="1389" t="e">
        <v>#N/A</v>
      </c>
      <c r="E486" s="1389" t="e">
        <v>#N/A</v>
      </c>
      <c r="F486" s="1389" t="e">
        <f t="shared" si="1"/>
        <v>#N/A</v>
      </c>
      <c r="K486" s="1469">
        <v>42543</v>
      </c>
      <c r="L486" s="1470" t="s">
        <v>2129</v>
      </c>
      <c r="M486" s="1471">
        <v>5.2531000000000001E-2</v>
      </c>
      <c r="N486" s="1472">
        <v>1.1841919301011106</v>
      </c>
      <c r="O486" s="1472">
        <v>1.1841919301011106</v>
      </c>
    </row>
    <row r="487" spans="2:15">
      <c r="B487" s="1388">
        <v>47239</v>
      </c>
      <c r="C487" s="1389" t="e">
        <v>#N/A</v>
      </c>
      <c r="D487" s="1389" t="e">
        <v>#N/A</v>
      </c>
      <c r="E487" s="1389" t="e">
        <v>#N/A</v>
      </c>
      <c r="F487" s="1389" t="e">
        <f t="shared" si="1"/>
        <v>#N/A</v>
      </c>
      <c r="K487" s="1469">
        <v>42544</v>
      </c>
      <c r="L487" s="1470" t="s">
        <v>2129</v>
      </c>
      <c r="M487" s="1471">
        <v>5.2531000000000001E-2</v>
      </c>
      <c r="N487" s="1472">
        <v>1.1848139979639121</v>
      </c>
      <c r="O487" s="1472">
        <v>1.1848139979639121</v>
      </c>
    </row>
    <row r="488" spans="2:15">
      <c r="B488" s="1388">
        <v>47270</v>
      </c>
      <c r="C488" s="1389" t="e">
        <v>#N/A</v>
      </c>
      <c r="D488" s="1389" t="e">
        <v>#N/A</v>
      </c>
      <c r="E488" s="1389" t="e">
        <v>#N/A</v>
      </c>
      <c r="F488" s="1389" t="e">
        <f t="shared" si="1"/>
        <v>#N/A</v>
      </c>
      <c r="K488" s="1469">
        <v>42545</v>
      </c>
      <c r="L488" s="1470" t="s">
        <v>2129</v>
      </c>
      <c r="M488" s="1471">
        <v>5.2531000000000001E-2</v>
      </c>
      <c r="N488" s="1472">
        <v>1.1854363926051825</v>
      </c>
      <c r="O488" s="1472">
        <v>1.1854363926051825</v>
      </c>
    </row>
    <row r="489" spans="2:15">
      <c r="B489" s="1388">
        <v>47300</v>
      </c>
      <c r="C489" s="1389" t="e">
        <v>#N/A</v>
      </c>
      <c r="D489" s="1389" t="e">
        <v>#N/A</v>
      </c>
      <c r="E489" s="1389" t="e">
        <v>#N/A</v>
      </c>
      <c r="F489" s="1389" t="e">
        <f t="shared" si="1"/>
        <v>#N/A</v>
      </c>
      <c r="K489" s="1469">
        <v>42546</v>
      </c>
      <c r="L489" s="1470"/>
      <c r="M489" s="1471">
        <v>0</v>
      </c>
      <c r="N489" s="1472">
        <v>1.1854363926051825</v>
      </c>
      <c r="O489" s="1472">
        <v>1.1854363926051825</v>
      </c>
    </row>
    <row r="490" spans="2:15">
      <c r="B490" s="1388">
        <v>47331</v>
      </c>
      <c r="C490" s="1389" t="e">
        <v>#N/A</v>
      </c>
      <c r="D490" s="1389" t="e">
        <v>#N/A</v>
      </c>
      <c r="E490" s="1389" t="e">
        <v>#N/A</v>
      </c>
      <c r="F490" s="1389" t="e">
        <f t="shared" si="1"/>
        <v>#N/A</v>
      </c>
      <c r="K490" s="1469">
        <v>42547</v>
      </c>
      <c r="L490" s="1470"/>
      <c r="M490" s="1471">
        <v>0</v>
      </c>
      <c r="N490" s="1472">
        <v>1.1854363926051825</v>
      </c>
      <c r="O490" s="1472">
        <v>1.1854363926051825</v>
      </c>
    </row>
    <row r="491" spans="2:15">
      <c r="B491" s="1388">
        <v>47362</v>
      </c>
      <c r="C491" s="1389" t="e">
        <v>#N/A</v>
      </c>
      <c r="D491" s="1389" t="e">
        <v>#N/A</v>
      </c>
      <c r="E491" s="1389" t="e">
        <v>#N/A</v>
      </c>
      <c r="F491" s="1389" t="e">
        <f t="shared" si="1"/>
        <v>#N/A</v>
      </c>
      <c r="K491" s="1469">
        <v>42548</v>
      </c>
      <c r="L491" s="1470" t="s">
        <v>2129</v>
      </c>
      <c r="M491" s="1471">
        <v>5.2531000000000001E-2</v>
      </c>
      <c r="N491" s="1472">
        <v>1.1860591141965819</v>
      </c>
      <c r="O491" s="1472">
        <v>1.1860591141965819</v>
      </c>
    </row>
    <row r="492" spans="2:15">
      <c r="B492" s="1388">
        <v>47392</v>
      </c>
      <c r="C492" s="1389" t="e">
        <v>#N/A</v>
      </c>
      <c r="D492" s="1389" t="e">
        <v>#N/A</v>
      </c>
      <c r="E492" s="1389" t="e">
        <v>#N/A</v>
      </c>
      <c r="F492" s="1389" t="e">
        <f t="shared" si="1"/>
        <v>#N/A</v>
      </c>
      <c r="K492" s="1469">
        <v>42549</v>
      </c>
      <c r="L492" s="1470" t="s">
        <v>2129</v>
      </c>
      <c r="M492" s="1471">
        <v>5.2531000000000001E-2</v>
      </c>
      <c r="N492" s="1472">
        <v>1.1866821629098605</v>
      </c>
      <c r="O492" s="1472">
        <v>1.1866821629098605</v>
      </c>
    </row>
    <row r="493" spans="2:15">
      <c r="B493" s="1388">
        <v>47423</v>
      </c>
      <c r="C493" s="1389" t="e">
        <v>#N/A</v>
      </c>
      <c r="D493" s="1389" t="e">
        <v>#N/A</v>
      </c>
      <c r="E493" s="1389" t="e">
        <v>#N/A</v>
      </c>
      <c r="F493" s="1389" t="e">
        <f t="shared" si="1"/>
        <v>#N/A</v>
      </c>
      <c r="K493" s="1469">
        <v>42550</v>
      </c>
      <c r="L493" s="1470" t="s">
        <v>2129</v>
      </c>
      <c r="M493" s="1471">
        <v>5.2531000000000001E-2</v>
      </c>
      <c r="N493" s="1472">
        <v>1.1873055389168587</v>
      </c>
      <c r="O493" s="1472">
        <v>1.1873055389168587</v>
      </c>
    </row>
    <row r="494" spans="2:15">
      <c r="B494" s="1388">
        <v>47453</v>
      </c>
      <c r="C494" s="1389" t="e">
        <v>#N/A</v>
      </c>
      <c r="D494" s="1389" t="e">
        <v>#N/A</v>
      </c>
      <c r="E494" s="1389" t="e">
        <v>#N/A</v>
      </c>
      <c r="F494" s="1389" t="e">
        <f t="shared" si="1"/>
        <v>#N/A</v>
      </c>
      <c r="K494" s="1469">
        <v>42551</v>
      </c>
      <c r="L494" s="1470" t="s">
        <v>2129</v>
      </c>
      <c r="M494" s="1471">
        <v>5.2531000000000001E-2</v>
      </c>
      <c r="N494" s="1472">
        <v>1.1879292423895071</v>
      </c>
      <c r="O494" s="1472">
        <v>1.1879292423895071</v>
      </c>
    </row>
    <row r="495" spans="2:15">
      <c r="B495" s="1388">
        <v>47484</v>
      </c>
      <c r="C495" s="1389" t="e">
        <v>#N/A</v>
      </c>
      <c r="D495" s="1389" t="e">
        <v>#N/A</v>
      </c>
      <c r="E495" s="1389" t="e">
        <v>#N/A</v>
      </c>
      <c r="F495" s="1389" t="e">
        <f t="shared" si="1"/>
        <v>#N/A</v>
      </c>
      <c r="K495" s="1469">
        <v>42552</v>
      </c>
      <c r="L495" s="1470" t="s">
        <v>2129</v>
      </c>
      <c r="M495" s="1471">
        <v>5.2531000000000001E-2</v>
      </c>
      <c r="N495" s="1472">
        <v>1.1885532734998268</v>
      </c>
      <c r="O495" s="1472">
        <v>1.1885532734998268</v>
      </c>
    </row>
    <row r="496" spans="2:15">
      <c r="B496" s="1388">
        <v>47515</v>
      </c>
      <c r="C496" s="1389" t="e">
        <v>#N/A</v>
      </c>
      <c r="D496" s="1389" t="e">
        <v>#N/A</v>
      </c>
      <c r="E496" s="1389" t="e">
        <v>#N/A</v>
      </c>
      <c r="F496" s="1389" t="e">
        <f t="shared" si="1"/>
        <v>#N/A</v>
      </c>
      <c r="K496" s="1469">
        <v>42553</v>
      </c>
      <c r="L496" s="1470"/>
      <c r="M496" s="1471">
        <v>0</v>
      </c>
      <c r="N496" s="1472">
        <v>1.1885532734998268</v>
      </c>
      <c r="O496" s="1472">
        <v>1.1885532734998268</v>
      </c>
    </row>
    <row r="497" spans="2:15">
      <c r="B497" s="1388">
        <v>47543</v>
      </c>
      <c r="C497" s="1389" t="e">
        <v>#N/A</v>
      </c>
      <c r="D497" s="1389" t="e">
        <v>#N/A</v>
      </c>
      <c r="E497" s="1389" t="e">
        <v>#N/A</v>
      </c>
      <c r="F497" s="1389" t="e">
        <f t="shared" si="1"/>
        <v>#N/A</v>
      </c>
      <c r="K497" s="1469">
        <v>42554</v>
      </c>
      <c r="L497" s="1470"/>
      <c r="M497" s="1471">
        <v>0</v>
      </c>
      <c r="N497" s="1472">
        <v>1.1885532734998268</v>
      </c>
      <c r="O497" s="1472">
        <v>1.1885532734998268</v>
      </c>
    </row>
    <row r="498" spans="2:15">
      <c r="B498" s="1388">
        <v>47574</v>
      </c>
      <c r="C498" s="1389" t="e">
        <v>#N/A</v>
      </c>
      <c r="D498" s="1389" t="e">
        <v>#N/A</v>
      </c>
      <c r="E498" s="1389" t="e">
        <v>#N/A</v>
      </c>
      <c r="F498" s="1389" t="e">
        <f t="shared" si="1"/>
        <v>#N/A</v>
      </c>
      <c r="K498" s="1469">
        <v>42555</v>
      </c>
      <c r="L498" s="1470" t="s">
        <v>2129</v>
      </c>
      <c r="M498" s="1471">
        <v>5.2531000000000001E-2</v>
      </c>
      <c r="N498" s="1472">
        <v>1.189177632419929</v>
      </c>
      <c r="O498" s="1472">
        <v>1.189177632419929</v>
      </c>
    </row>
    <row r="499" spans="2:15">
      <c r="B499" s="1388">
        <v>47604</v>
      </c>
      <c r="C499" s="1389" t="e">
        <v>#N/A</v>
      </c>
      <c r="D499" s="1389" t="e">
        <v>#N/A</v>
      </c>
      <c r="E499" s="1389" t="e">
        <v>#N/A</v>
      </c>
      <c r="F499" s="1389" t="e">
        <f t="shared" si="1"/>
        <v>#N/A</v>
      </c>
      <c r="K499" s="1469">
        <v>42556</v>
      </c>
      <c r="L499" s="1470" t="s">
        <v>2129</v>
      </c>
      <c r="M499" s="1471">
        <v>5.2531000000000001E-2</v>
      </c>
      <c r="N499" s="1472">
        <v>1.1898023193220155</v>
      </c>
      <c r="O499" s="1472">
        <v>1.1898023193220155</v>
      </c>
    </row>
    <row r="500" spans="2:15">
      <c r="B500" s="1388">
        <v>47635</v>
      </c>
      <c r="C500" s="1389" t="e">
        <v>#N/A</v>
      </c>
      <c r="D500" s="1389" t="e">
        <v>#N/A</v>
      </c>
      <c r="E500" s="1389" t="e">
        <v>#N/A</v>
      </c>
      <c r="F500" s="1389" t="e">
        <f t="shared" si="1"/>
        <v>#N/A</v>
      </c>
      <c r="K500" s="1469">
        <v>42557</v>
      </c>
      <c r="L500" s="1470" t="s">
        <v>2129</v>
      </c>
      <c r="M500" s="1471">
        <v>5.2531000000000001E-2</v>
      </c>
      <c r="N500" s="1472">
        <v>1.1904273343783787</v>
      </c>
      <c r="O500" s="1472">
        <v>1.1904273343783787</v>
      </c>
    </row>
    <row r="501" spans="2:15">
      <c r="K501" s="1469">
        <v>42558</v>
      </c>
      <c r="L501" s="1470" t="s">
        <v>2129</v>
      </c>
      <c r="M501" s="1471">
        <v>5.2531000000000001E-2</v>
      </c>
      <c r="N501" s="1472">
        <v>1.191052677761401</v>
      </c>
      <c r="O501" s="1472">
        <v>1.191052677761401</v>
      </c>
    </row>
    <row r="502" spans="2:15">
      <c r="K502" s="1469">
        <v>42559</v>
      </c>
      <c r="L502" s="1470" t="s">
        <v>2129</v>
      </c>
      <c r="M502" s="1471">
        <v>5.2531000000000001E-2</v>
      </c>
      <c r="N502" s="1472">
        <v>1.1916783496435559</v>
      </c>
      <c r="O502" s="1472">
        <v>1.1916783496435559</v>
      </c>
    </row>
    <row r="503" spans="2:15">
      <c r="K503" s="1469">
        <v>42560</v>
      </c>
      <c r="L503" s="1470"/>
      <c r="M503" s="1471">
        <v>0</v>
      </c>
      <c r="N503" s="1472">
        <v>1.1916783496435559</v>
      </c>
      <c r="O503" s="1472">
        <v>1.1916783496435559</v>
      </c>
    </row>
    <row r="504" spans="2:15">
      <c r="K504" s="1469">
        <v>42561</v>
      </c>
      <c r="L504" s="1470"/>
      <c r="M504" s="1471">
        <v>0</v>
      </c>
      <c r="N504" s="1472">
        <v>1.1916783496435559</v>
      </c>
      <c r="O504" s="1472">
        <v>1.1916783496435559</v>
      </c>
    </row>
    <row r="505" spans="2:15">
      <c r="K505" s="1469">
        <v>42562</v>
      </c>
      <c r="L505" s="1470" t="s">
        <v>2129</v>
      </c>
      <c r="M505" s="1471">
        <v>5.2531000000000001E-2</v>
      </c>
      <c r="N505" s="1472">
        <v>1.1923043501974071</v>
      </c>
      <c r="O505" s="1472">
        <v>1.1923043501974071</v>
      </c>
    </row>
    <row r="506" spans="2:15">
      <c r="K506" s="1469">
        <v>42563</v>
      </c>
      <c r="L506" s="1470" t="s">
        <v>2129</v>
      </c>
      <c r="M506" s="1471">
        <v>5.2531000000000001E-2</v>
      </c>
      <c r="N506" s="1472">
        <v>1.1929306795956094</v>
      </c>
      <c r="O506" s="1472">
        <v>1.1929306795956094</v>
      </c>
    </row>
    <row r="507" spans="2:15">
      <c r="K507" s="1469">
        <v>42564</v>
      </c>
      <c r="L507" s="1470" t="s">
        <v>2129</v>
      </c>
      <c r="M507" s="1471">
        <v>5.2531000000000001E-2</v>
      </c>
      <c r="N507" s="1472">
        <v>1.1935573380109077</v>
      </c>
      <c r="O507" s="1472">
        <v>1.1935573380109077</v>
      </c>
    </row>
    <row r="508" spans="2:15">
      <c r="K508" s="1469">
        <v>42565</v>
      </c>
      <c r="L508" s="1470" t="s">
        <v>2129</v>
      </c>
      <c r="M508" s="1471">
        <v>5.2531000000000001E-2</v>
      </c>
      <c r="N508" s="1472">
        <v>1.1941843256161382</v>
      </c>
      <c r="O508" s="1472">
        <v>1.1941843256161382</v>
      </c>
    </row>
    <row r="509" spans="2:15">
      <c r="K509" s="1469">
        <v>42566</v>
      </c>
      <c r="L509" s="1470" t="s">
        <v>2129</v>
      </c>
      <c r="M509" s="1471">
        <v>5.2531000000000001E-2</v>
      </c>
      <c r="N509" s="1472">
        <v>1.1948116425842277</v>
      </c>
      <c r="O509" s="1472">
        <v>1.1948116425842277</v>
      </c>
    </row>
    <row r="510" spans="2:15">
      <c r="K510" s="1469">
        <v>42567</v>
      </c>
      <c r="L510" s="1470"/>
      <c r="M510" s="1471">
        <v>0</v>
      </c>
      <c r="N510" s="1472">
        <v>1.1948116425842277</v>
      </c>
      <c r="O510" s="1472">
        <v>1.1948116425842277</v>
      </c>
    </row>
    <row r="511" spans="2:15">
      <c r="K511" s="1469">
        <v>42568</v>
      </c>
      <c r="L511" s="1470"/>
      <c r="M511" s="1471">
        <v>0</v>
      </c>
      <c r="N511" s="1472">
        <v>1.1948116425842277</v>
      </c>
      <c r="O511" s="1472">
        <v>1.1948116425842277</v>
      </c>
    </row>
    <row r="512" spans="2:15">
      <c r="K512" s="1469">
        <v>42569</v>
      </c>
      <c r="L512" s="1470" t="s">
        <v>2129</v>
      </c>
      <c r="M512" s="1471">
        <v>5.2531000000000001E-2</v>
      </c>
      <c r="N512" s="1472">
        <v>1.1954392890881935</v>
      </c>
      <c r="O512" s="1472">
        <v>1.1954392890881935</v>
      </c>
    </row>
    <row r="513" spans="11:15">
      <c r="K513" s="1469">
        <v>42570</v>
      </c>
      <c r="L513" s="1470" t="s">
        <v>2129</v>
      </c>
      <c r="M513" s="1471">
        <v>5.2531000000000001E-2</v>
      </c>
      <c r="N513" s="1472">
        <v>1.1960672653011444</v>
      </c>
      <c r="O513" s="1472">
        <v>1.1960672653011444</v>
      </c>
    </row>
    <row r="514" spans="11:15">
      <c r="K514" s="1469">
        <v>42571</v>
      </c>
      <c r="L514" s="1470" t="s">
        <v>2129</v>
      </c>
      <c r="M514" s="1471">
        <v>5.2531000000000001E-2</v>
      </c>
      <c r="N514" s="1472">
        <v>1.1966955713962797</v>
      </c>
      <c r="O514" s="1472">
        <v>1.1966955713962797</v>
      </c>
    </row>
    <row r="515" spans="11:15">
      <c r="K515" s="1469">
        <v>42572</v>
      </c>
      <c r="L515" s="1470" t="s">
        <v>2129</v>
      </c>
      <c r="M515" s="1471">
        <v>5.2531000000000001E-2</v>
      </c>
      <c r="N515" s="1472">
        <v>1.19732420754689</v>
      </c>
      <c r="O515" s="1472">
        <v>1.19732420754689</v>
      </c>
    </row>
    <row r="516" spans="11:15">
      <c r="K516" s="1469">
        <v>42573</v>
      </c>
      <c r="L516" s="1470" t="s">
        <v>2129</v>
      </c>
      <c r="M516" s="1471">
        <v>5.2531000000000001E-2</v>
      </c>
      <c r="N516" s="1472">
        <v>1.1979531739263565</v>
      </c>
      <c r="O516" s="1472">
        <v>1.1979531739263565</v>
      </c>
    </row>
    <row r="517" spans="11:15">
      <c r="K517" s="1469">
        <v>42574</v>
      </c>
      <c r="L517" s="1470"/>
      <c r="M517" s="1471">
        <v>0</v>
      </c>
      <c r="N517" s="1472">
        <v>1.1979531739263565</v>
      </c>
      <c r="O517" s="1472">
        <v>1.1979531739263565</v>
      </c>
    </row>
    <row r="518" spans="11:15">
      <c r="K518" s="1469">
        <v>42575</v>
      </c>
      <c r="L518" s="1470"/>
      <c r="M518" s="1471">
        <v>0</v>
      </c>
      <c r="N518" s="1472">
        <v>1.1979531739263565</v>
      </c>
      <c r="O518" s="1472">
        <v>1.1979531739263565</v>
      </c>
    </row>
    <row r="519" spans="11:15">
      <c r="K519" s="1469">
        <v>42576</v>
      </c>
      <c r="L519" s="1470" t="s">
        <v>2129</v>
      </c>
      <c r="M519" s="1471">
        <v>5.2531000000000001E-2</v>
      </c>
      <c r="N519" s="1472">
        <v>1.1985824707081518</v>
      </c>
      <c r="O519" s="1472">
        <v>1.1985824707081518</v>
      </c>
    </row>
    <row r="520" spans="11:15">
      <c r="K520" s="1469">
        <v>42577</v>
      </c>
      <c r="L520" s="1470" t="s">
        <v>2129</v>
      </c>
      <c r="M520" s="1471">
        <v>5.2531000000000001E-2</v>
      </c>
      <c r="N520" s="1472">
        <v>1.1992120980658396</v>
      </c>
      <c r="O520" s="1472">
        <v>1.1992120980658396</v>
      </c>
    </row>
    <row r="521" spans="11:15">
      <c r="K521" s="1469">
        <v>42578</v>
      </c>
      <c r="L521" s="1470" t="s">
        <v>2129</v>
      </c>
      <c r="M521" s="1471">
        <v>5.2531000000000001E-2</v>
      </c>
      <c r="N521" s="1472">
        <v>1.1998420561730745</v>
      </c>
      <c r="O521" s="1472">
        <v>1.1998420561730745</v>
      </c>
    </row>
    <row r="522" spans="11:15">
      <c r="K522" s="1469">
        <v>42579</v>
      </c>
      <c r="L522" s="1470" t="s">
        <v>2129</v>
      </c>
      <c r="M522" s="1471">
        <v>5.2531000000000001E-2</v>
      </c>
      <c r="N522" s="1472">
        <v>1.2004723452036028</v>
      </c>
      <c r="O522" s="1472">
        <v>1.2004723452036028</v>
      </c>
    </row>
    <row r="523" spans="11:15">
      <c r="K523" s="1469">
        <v>42580</v>
      </c>
      <c r="L523" s="1470" t="s">
        <v>2129</v>
      </c>
      <c r="M523" s="1471">
        <v>5.2531000000000001E-2</v>
      </c>
      <c r="N523" s="1472">
        <v>1.2011029653312617</v>
      </c>
      <c r="O523" s="1472">
        <v>1.2011029653312617</v>
      </c>
    </row>
    <row r="524" spans="11:15">
      <c r="K524" s="1469">
        <v>42581</v>
      </c>
      <c r="L524" s="1470"/>
      <c r="M524" s="1471">
        <v>0</v>
      </c>
      <c r="N524" s="1472">
        <v>1.2011029653312617</v>
      </c>
      <c r="O524" s="1472">
        <v>1.2011029653312617</v>
      </c>
    </row>
    <row r="525" spans="11:15">
      <c r="K525" s="1469">
        <v>42582</v>
      </c>
      <c r="L525" s="1470"/>
      <c r="M525" s="1471">
        <v>0</v>
      </c>
      <c r="N525" s="1472">
        <v>1.2011029653312617</v>
      </c>
      <c r="O525" s="1472">
        <v>1.2011029653312617</v>
      </c>
    </row>
    <row r="526" spans="11:15">
      <c r="K526" s="1469">
        <v>42583</v>
      </c>
      <c r="L526" s="1470" t="s">
        <v>2129</v>
      </c>
      <c r="M526" s="1471">
        <v>5.2531000000000001E-2</v>
      </c>
      <c r="N526" s="1472">
        <v>1.2017339167299799</v>
      </c>
      <c r="O526" s="1472">
        <v>1.2017339167299799</v>
      </c>
    </row>
    <row r="527" spans="11:15">
      <c r="K527" s="1469">
        <v>42584</v>
      </c>
      <c r="L527" s="1470" t="s">
        <v>2129</v>
      </c>
      <c r="M527" s="1471">
        <v>5.2531000000000001E-2</v>
      </c>
      <c r="N527" s="1472">
        <v>1.2023651995737772</v>
      </c>
      <c r="O527" s="1472">
        <v>1.2023651995737772</v>
      </c>
    </row>
    <row r="528" spans="11:15">
      <c r="K528" s="1469">
        <v>42585</v>
      </c>
      <c r="L528" s="1470" t="s">
        <v>2129</v>
      </c>
      <c r="M528" s="1471">
        <v>5.2531000000000001E-2</v>
      </c>
      <c r="N528" s="1472">
        <v>1.2029968140367653</v>
      </c>
      <c r="O528" s="1472">
        <v>1.2029968140367653</v>
      </c>
    </row>
    <row r="529" spans="11:15">
      <c r="K529" s="1469">
        <v>42586</v>
      </c>
      <c r="L529" s="1470" t="s">
        <v>2129</v>
      </c>
      <c r="M529" s="1471">
        <v>5.2531000000000001E-2</v>
      </c>
      <c r="N529" s="1472">
        <v>1.203628760293147</v>
      </c>
      <c r="O529" s="1472">
        <v>1.203628760293147</v>
      </c>
    </row>
    <row r="530" spans="11:15">
      <c r="K530" s="1469">
        <v>42587</v>
      </c>
      <c r="L530" s="1470" t="s">
        <v>2129</v>
      </c>
      <c r="M530" s="1471">
        <v>5.2531000000000001E-2</v>
      </c>
      <c r="N530" s="1472">
        <v>1.2042610385172166</v>
      </c>
      <c r="O530" s="1472">
        <v>1.2042610385172166</v>
      </c>
    </row>
    <row r="531" spans="11:15">
      <c r="K531" s="1469">
        <v>42588</v>
      </c>
      <c r="L531" s="1470"/>
      <c r="M531" s="1471">
        <v>0</v>
      </c>
      <c r="N531" s="1472">
        <v>1.2042610385172166</v>
      </c>
      <c r="O531" s="1472">
        <v>1.2042610385172166</v>
      </c>
    </row>
    <row r="532" spans="11:15">
      <c r="K532" s="1469">
        <v>42589</v>
      </c>
      <c r="L532" s="1470"/>
      <c r="M532" s="1471">
        <v>0</v>
      </c>
      <c r="N532" s="1472">
        <v>1.2042610385172166</v>
      </c>
      <c r="O532" s="1472">
        <v>1.2042610385172166</v>
      </c>
    </row>
    <row r="533" spans="11:15">
      <c r="K533" s="1469">
        <v>42590</v>
      </c>
      <c r="L533" s="1470" t="s">
        <v>2129</v>
      </c>
      <c r="M533" s="1471">
        <v>5.2531000000000001E-2</v>
      </c>
      <c r="N533" s="1472">
        <v>1.2048936488833599</v>
      </c>
      <c r="O533" s="1472">
        <v>1.2048936488833599</v>
      </c>
    </row>
    <row r="534" spans="11:15">
      <c r="K534" s="1469">
        <v>42591</v>
      </c>
      <c r="L534" s="1470" t="s">
        <v>2129</v>
      </c>
      <c r="M534" s="1471">
        <v>5.2531000000000001E-2</v>
      </c>
      <c r="N534" s="1472">
        <v>1.2055265915660549</v>
      </c>
      <c r="O534" s="1472">
        <v>1.2055265915660549</v>
      </c>
    </row>
    <row r="535" spans="11:15">
      <c r="K535" s="1469">
        <v>42592</v>
      </c>
      <c r="L535" s="1470" t="s">
        <v>2129</v>
      </c>
      <c r="M535" s="1471">
        <v>5.2531000000000001E-2</v>
      </c>
      <c r="N535" s="1472">
        <v>1.2061598667398705</v>
      </c>
      <c r="O535" s="1472">
        <v>1.2061598667398705</v>
      </c>
    </row>
    <row r="536" spans="11:15">
      <c r="K536" s="1469">
        <v>42593</v>
      </c>
      <c r="L536" s="1470" t="s">
        <v>2129</v>
      </c>
      <c r="M536" s="1471">
        <v>5.2531000000000001E-2</v>
      </c>
      <c r="N536" s="1472">
        <v>1.2067934745794677</v>
      </c>
      <c r="O536" s="1472">
        <v>1.2067934745794677</v>
      </c>
    </row>
    <row r="537" spans="11:15">
      <c r="K537" s="1469">
        <v>42594</v>
      </c>
      <c r="L537" s="1470" t="s">
        <v>2129</v>
      </c>
      <c r="M537" s="1471">
        <v>5.2531000000000001E-2</v>
      </c>
      <c r="N537" s="1472">
        <v>1.2074274152595992</v>
      </c>
      <c r="O537" s="1472">
        <v>1.2074274152595992</v>
      </c>
    </row>
    <row r="538" spans="11:15">
      <c r="K538" s="1469">
        <v>42595</v>
      </c>
      <c r="L538" s="1470"/>
      <c r="M538" s="1471">
        <v>0</v>
      </c>
      <c r="N538" s="1472">
        <v>1.2074274152595992</v>
      </c>
      <c r="O538" s="1472">
        <v>1.2074274152595992</v>
      </c>
    </row>
    <row r="539" spans="11:15">
      <c r="K539" s="1469">
        <v>42596</v>
      </c>
      <c r="L539" s="1470"/>
      <c r="M539" s="1471">
        <v>0</v>
      </c>
      <c r="N539" s="1472">
        <v>1.2074274152595992</v>
      </c>
      <c r="O539" s="1472">
        <v>1.2074274152595992</v>
      </c>
    </row>
    <row r="540" spans="11:15">
      <c r="K540" s="1469">
        <v>42597</v>
      </c>
      <c r="L540" s="1470" t="s">
        <v>2129</v>
      </c>
      <c r="M540" s="1471">
        <v>5.2531000000000001E-2</v>
      </c>
      <c r="N540" s="1472">
        <v>1.2080616889551092</v>
      </c>
      <c r="O540" s="1472">
        <v>1.2080616889551092</v>
      </c>
    </row>
    <row r="541" spans="11:15">
      <c r="K541" s="1469">
        <v>42598</v>
      </c>
      <c r="L541" s="1470" t="s">
        <v>2129</v>
      </c>
      <c r="M541" s="1471">
        <v>5.2531000000000001E-2</v>
      </c>
      <c r="N541" s="1472">
        <v>1.2086962958409342</v>
      </c>
      <c r="O541" s="1472">
        <v>1.2086962958409342</v>
      </c>
    </row>
    <row r="542" spans="11:15">
      <c r="K542" s="1469">
        <v>42599</v>
      </c>
      <c r="L542" s="1470" t="s">
        <v>2129</v>
      </c>
      <c r="M542" s="1471">
        <v>5.2531000000000001E-2</v>
      </c>
      <c r="N542" s="1472">
        <v>1.2093312360921025</v>
      </c>
      <c r="O542" s="1472">
        <v>1.2093312360921025</v>
      </c>
    </row>
    <row r="543" spans="11:15">
      <c r="K543" s="1469">
        <v>42600</v>
      </c>
      <c r="L543" s="1470" t="s">
        <v>2129</v>
      </c>
      <c r="M543" s="1471">
        <v>5.2531000000000001E-2</v>
      </c>
      <c r="N543" s="1472">
        <v>1.209966509883734</v>
      </c>
      <c r="O543" s="1472">
        <v>1.209966509883734</v>
      </c>
    </row>
    <row r="544" spans="11:15">
      <c r="K544" s="1469">
        <v>42601</v>
      </c>
      <c r="L544" s="1470" t="s">
        <v>2129</v>
      </c>
      <c r="M544" s="1471">
        <v>5.2531000000000001E-2</v>
      </c>
      <c r="N544" s="1472">
        <v>1.2106021173910411</v>
      </c>
      <c r="O544" s="1472">
        <v>1.2106021173910411</v>
      </c>
    </row>
    <row r="545" spans="11:15">
      <c r="K545" s="1469">
        <v>42602</v>
      </c>
      <c r="L545" s="1470"/>
      <c r="M545" s="1471">
        <v>0</v>
      </c>
      <c r="N545" s="1472">
        <v>1.2106021173910411</v>
      </c>
      <c r="O545" s="1472">
        <v>1.2106021173910411</v>
      </c>
    </row>
    <row r="546" spans="11:15">
      <c r="K546" s="1469">
        <v>42603</v>
      </c>
      <c r="L546" s="1470"/>
      <c r="M546" s="1471">
        <v>0</v>
      </c>
      <c r="N546" s="1472">
        <v>1.2106021173910411</v>
      </c>
      <c r="O546" s="1472">
        <v>1.2106021173910411</v>
      </c>
    </row>
    <row r="547" spans="11:15">
      <c r="K547" s="1469">
        <v>42604</v>
      </c>
      <c r="L547" s="1470" t="s">
        <v>2129</v>
      </c>
      <c r="M547" s="1471">
        <v>5.2531000000000001E-2</v>
      </c>
      <c r="N547" s="1472">
        <v>1.2112380587893277</v>
      </c>
      <c r="O547" s="1472">
        <v>1.2112380587893277</v>
      </c>
    </row>
    <row r="548" spans="11:15">
      <c r="K548" s="1469">
        <v>42605</v>
      </c>
      <c r="L548" s="1470" t="s">
        <v>2129</v>
      </c>
      <c r="M548" s="1471">
        <v>5.2531000000000001E-2</v>
      </c>
      <c r="N548" s="1472">
        <v>1.2118743342539904</v>
      </c>
      <c r="O548" s="1472">
        <v>1.2118743342539904</v>
      </c>
    </row>
    <row r="549" spans="11:15">
      <c r="K549" s="1469">
        <v>42606</v>
      </c>
      <c r="L549" s="1470" t="s">
        <v>2129</v>
      </c>
      <c r="M549" s="1471">
        <v>5.2531000000000001E-2</v>
      </c>
      <c r="N549" s="1472">
        <v>1.2125109439605173</v>
      </c>
      <c r="O549" s="1472">
        <v>1.2125109439605173</v>
      </c>
    </row>
    <row r="550" spans="11:15">
      <c r="K550" s="1469">
        <v>42607</v>
      </c>
      <c r="L550" s="1470" t="s">
        <v>2129</v>
      </c>
      <c r="M550" s="1471">
        <v>5.2531000000000001E-2</v>
      </c>
      <c r="N550" s="1472">
        <v>1.2131478880844893</v>
      </c>
      <c r="O550" s="1472">
        <v>1.2131478880844893</v>
      </c>
    </row>
    <row r="551" spans="11:15">
      <c r="K551" s="1469">
        <v>42608</v>
      </c>
      <c r="L551" s="1470" t="s">
        <v>2129</v>
      </c>
      <c r="M551" s="1471">
        <v>5.2531000000000001E-2</v>
      </c>
      <c r="N551" s="1472">
        <v>1.2137851668015789</v>
      </c>
      <c r="O551" s="1472">
        <v>1.2137851668015789</v>
      </c>
    </row>
    <row r="552" spans="11:15">
      <c r="K552" s="1469">
        <v>42609</v>
      </c>
      <c r="L552" s="1470"/>
      <c r="M552" s="1471">
        <v>0</v>
      </c>
      <c r="N552" s="1472">
        <v>1.2137851668015789</v>
      </c>
      <c r="O552" s="1472">
        <v>1.2137851668015789</v>
      </c>
    </row>
    <row r="553" spans="11:15">
      <c r="K553" s="1469">
        <v>42610</v>
      </c>
      <c r="L553" s="1470"/>
      <c r="M553" s="1471">
        <v>0</v>
      </c>
      <c r="N553" s="1472">
        <v>1.2137851668015789</v>
      </c>
      <c r="O553" s="1472">
        <v>1.2137851668015789</v>
      </c>
    </row>
    <row r="554" spans="11:15">
      <c r="K554" s="1469">
        <v>42611</v>
      </c>
      <c r="L554" s="1470" t="s">
        <v>2129</v>
      </c>
      <c r="M554" s="1471">
        <v>5.2531000000000001E-2</v>
      </c>
      <c r="N554" s="1472">
        <v>1.2144227802875514</v>
      </c>
      <c r="O554" s="1472">
        <v>1.2144227802875514</v>
      </c>
    </row>
    <row r="555" spans="11:15">
      <c r="K555" s="1469">
        <v>42612</v>
      </c>
      <c r="L555" s="1470" t="s">
        <v>2129</v>
      </c>
      <c r="M555" s="1471">
        <v>5.2531000000000001E-2</v>
      </c>
      <c r="N555" s="1472">
        <v>1.2150607287182642</v>
      </c>
      <c r="O555" s="1472">
        <v>1.2150607287182642</v>
      </c>
    </row>
    <row r="556" spans="11:15">
      <c r="K556" s="1469">
        <v>42613</v>
      </c>
      <c r="L556" s="1470" t="s">
        <v>2129</v>
      </c>
      <c r="M556" s="1471">
        <v>5.2531000000000001E-2</v>
      </c>
      <c r="N556" s="1472">
        <v>1.2156990122696671</v>
      </c>
      <c r="O556" s="1472">
        <v>1.2156990122696671</v>
      </c>
    </row>
    <row r="557" spans="11:15">
      <c r="K557" s="1469">
        <v>42614</v>
      </c>
      <c r="L557" s="1470" t="s">
        <v>2129</v>
      </c>
      <c r="M557" s="1471">
        <v>5.2531000000000001E-2</v>
      </c>
      <c r="N557" s="1472">
        <v>1.2163376311178025</v>
      </c>
      <c r="O557" s="1472">
        <v>1.2163376311178025</v>
      </c>
    </row>
    <row r="558" spans="11:15">
      <c r="K558" s="1469">
        <v>42615</v>
      </c>
      <c r="L558" s="1470" t="s">
        <v>2129</v>
      </c>
      <c r="M558" s="1471">
        <v>5.2531000000000001E-2</v>
      </c>
      <c r="N558" s="1472">
        <v>1.216976585438805</v>
      </c>
      <c r="O558" s="1472">
        <v>1.216976585438805</v>
      </c>
    </row>
    <row r="559" spans="11:15">
      <c r="K559" s="1469">
        <v>42616</v>
      </c>
      <c r="L559" s="1470"/>
      <c r="M559" s="1471">
        <v>0</v>
      </c>
      <c r="N559" s="1472">
        <v>1.216976585438805</v>
      </c>
      <c r="O559" s="1472">
        <v>1.216976585438805</v>
      </c>
    </row>
    <row r="560" spans="11:15">
      <c r="K560" s="1469">
        <v>42617</v>
      </c>
      <c r="L560" s="1470"/>
      <c r="M560" s="1471">
        <v>0</v>
      </c>
      <c r="N560" s="1472">
        <v>1.216976585438805</v>
      </c>
      <c r="O560" s="1472">
        <v>1.216976585438805</v>
      </c>
    </row>
    <row r="561" spans="11:15">
      <c r="K561" s="1469">
        <v>42618</v>
      </c>
      <c r="L561" s="1470" t="s">
        <v>2129</v>
      </c>
      <c r="M561" s="1471">
        <v>5.2531000000000001E-2</v>
      </c>
      <c r="N561" s="1472">
        <v>1.2176158754089019</v>
      </c>
      <c r="O561" s="1472">
        <v>1.2176158754089019</v>
      </c>
    </row>
    <row r="562" spans="11:15">
      <c r="K562" s="1469">
        <v>42619</v>
      </c>
      <c r="L562" s="1470" t="s">
        <v>2129</v>
      </c>
      <c r="M562" s="1471">
        <v>5.2531000000000001E-2</v>
      </c>
      <c r="N562" s="1472">
        <v>1.2182555012044129</v>
      </c>
      <c r="O562" s="1472">
        <v>1.2182555012044129</v>
      </c>
    </row>
    <row r="563" spans="11:15">
      <c r="K563" s="1469">
        <v>42620</v>
      </c>
      <c r="L563" s="1470"/>
      <c r="M563" s="1471">
        <v>0</v>
      </c>
      <c r="N563" s="1472">
        <v>1.2182555012044129</v>
      </c>
      <c r="O563" s="1472">
        <v>1.2182555012044129</v>
      </c>
    </row>
    <row r="564" spans="11:15">
      <c r="K564" s="1469">
        <v>42621</v>
      </c>
      <c r="L564" s="1470" t="s">
        <v>2129</v>
      </c>
      <c r="M564" s="1471">
        <v>5.2531000000000001E-2</v>
      </c>
      <c r="N564" s="1472">
        <v>1.2188954630017506</v>
      </c>
      <c r="O564" s="1472">
        <v>1.2188954630017506</v>
      </c>
    </row>
    <row r="565" spans="11:15">
      <c r="K565" s="1469">
        <v>42622</v>
      </c>
      <c r="L565" s="1470" t="s">
        <v>2129</v>
      </c>
      <c r="M565" s="1471">
        <v>5.2531000000000001E-2</v>
      </c>
      <c r="N565" s="1472">
        <v>1.21953576097742</v>
      </c>
      <c r="O565" s="1472">
        <v>1.21953576097742</v>
      </c>
    </row>
    <row r="566" spans="11:15">
      <c r="K566" s="1469">
        <v>42623</v>
      </c>
      <c r="L566" s="1470"/>
      <c r="M566" s="1471">
        <v>0</v>
      </c>
      <c r="N566" s="1472">
        <v>1.21953576097742</v>
      </c>
      <c r="O566" s="1472">
        <v>1.21953576097742</v>
      </c>
    </row>
    <row r="567" spans="11:15">
      <c r="K567" s="1469">
        <v>42624</v>
      </c>
      <c r="L567" s="1470"/>
      <c r="M567" s="1471">
        <v>0</v>
      </c>
      <c r="N567" s="1472">
        <v>1.21953576097742</v>
      </c>
      <c r="O567" s="1472">
        <v>1.21953576097742</v>
      </c>
    </row>
    <row r="568" spans="11:15">
      <c r="K568" s="1469">
        <v>42625</v>
      </c>
      <c r="L568" s="1470" t="s">
        <v>2129</v>
      </c>
      <c r="M568" s="1471">
        <v>5.2531000000000001E-2</v>
      </c>
      <c r="N568" s="1472">
        <v>1.2201763953080191</v>
      </c>
      <c r="O568" s="1472">
        <v>1.2201763953080191</v>
      </c>
    </row>
    <row r="569" spans="11:15">
      <c r="K569" s="1469">
        <v>42626</v>
      </c>
      <c r="L569" s="1470" t="s">
        <v>2129</v>
      </c>
      <c r="M569" s="1471">
        <v>5.2531000000000001E-2</v>
      </c>
      <c r="N569" s="1472">
        <v>1.2208173661702384</v>
      </c>
      <c r="O569" s="1472">
        <v>1.2208173661702384</v>
      </c>
    </row>
    <row r="570" spans="11:15">
      <c r="K570" s="1469">
        <v>42627</v>
      </c>
      <c r="L570" s="1470" t="s">
        <v>2129</v>
      </c>
      <c r="M570" s="1471">
        <v>5.2531000000000001E-2</v>
      </c>
      <c r="N570" s="1472">
        <v>1.2214586737408613</v>
      </c>
      <c r="O570" s="1472">
        <v>1.2214586737408613</v>
      </c>
    </row>
    <row r="571" spans="11:15">
      <c r="K571" s="1469">
        <v>42628</v>
      </c>
      <c r="L571" s="1470" t="s">
        <v>2129</v>
      </c>
      <c r="M571" s="1471">
        <v>5.2531000000000001E-2</v>
      </c>
      <c r="N571" s="1472">
        <v>1.222100318196764</v>
      </c>
      <c r="O571" s="1472">
        <v>1.222100318196764</v>
      </c>
    </row>
    <row r="572" spans="11:15">
      <c r="K572" s="1469">
        <v>42629</v>
      </c>
      <c r="L572" s="1470" t="s">
        <v>2129</v>
      </c>
      <c r="M572" s="1471">
        <v>5.2531000000000001E-2</v>
      </c>
      <c r="N572" s="1472">
        <v>1.222742299714916</v>
      </c>
      <c r="O572" s="1472">
        <v>1.222742299714916</v>
      </c>
    </row>
    <row r="573" spans="11:15">
      <c r="K573" s="1469">
        <v>42630</v>
      </c>
      <c r="L573" s="1470"/>
      <c r="M573" s="1471">
        <v>0</v>
      </c>
      <c r="N573" s="1472">
        <v>1.222742299714916</v>
      </c>
      <c r="O573" s="1472">
        <v>1.222742299714916</v>
      </c>
    </row>
    <row r="574" spans="11:15">
      <c r="K574" s="1469">
        <v>42631</v>
      </c>
      <c r="L574" s="1470"/>
      <c r="M574" s="1471">
        <v>0</v>
      </c>
      <c r="N574" s="1472">
        <v>1.222742299714916</v>
      </c>
      <c r="O574" s="1472">
        <v>1.222742299714916</v>
      </c>
    </row>
    <row r="575" spans="11:15">
      <c r="K575" s="1469">
        <v>42632</v>
      </c>
      <c r="L575" s="1470" t="s">
        <v>2129</v>
      </c>
      <c r="M575" s="1471">
        <v>5.2531000000000001E-2</v>
      </c>
      <c r="N575" s="1472">
        <v>1.2233846184723793</v>
      </c>
      <c r="O575" s="1472">
        <v>1.2233846184723793</v>
      </c>
    </row>
    <row r="576" spans="11:15">
      <c r="K576" s="1469">
        <v>42633</v>
      </c>
      <c r="L576" s="1470" t="s">
        <v>2129</v>
      </c>
      <c r="M576" s="1471">
        <v>5.2531000000000001E-2</v>
      </c>
      <c r="N576" s="1472">
        <v>1.224027274646309</v>
      </c>
      <c r="O576" s="1472">
        <v>1.224027274646309</v>
      </c>
    </row>
    <row r="577" spans="11:15">
      <c r="K577" s="1469">
        <v>42634</v>
      </c>
      <c r="L577" s="1470" t="s">
        <v>2129</v>
      </c>
      <c r="M577" s="1471">
        <v>5.2531000000000001E-2</v>
      </c>
      <c r="N577" s="1472">
        <v>1.2246702684139534</v>
      </c>
      <c r="O577" s="1472">
        <v>1.2246702684139534</v>
      </c>
    </row>
    <row r="578" spans="11:15">
      <c r="K578" s="1469">
        <v>42635</v>
      </c>
      <c r="L578" s="1470" t="s">
        <v>2129</v>
      </c>
      <c r="M578" s="1471">
        <v>5.2531000000000001E-2</v>
      </c>
      <c r="N578" s="1472">
        <v>1.2253135999526539</v>
      </c>
      <c r="O578" s="1472">
        <v>1.2253135999526539</v>
      </c>
    </row>
    <row r="579" spans="11:15">
      <c r="K579" s="1469">
        <v>42636</v>
      </c>
      <c r="L579" s="1470" t="s">
        <v>2129</v>
      </c>
      <c r="M579" s="1471">
        <v>5.2531000000000001E-2</v>
      </c>
      <c r="N579" s="1472">
        <v>1.2259572694398451</v>
      </c>
      <c r="O579" s="1472">
        <v>1.2259572694398451</v>
      </c>
    </row>
    <row r="580" spans="11:15">
      <c r="K580" s="1469">
        <v>42637</v>
      </c>
      <c r="L580" s="1470"/>
      <c r="M580" s="1471">
        <v>0</v>
      </c>
      <c r="N580" s="1472">
        <v>1.2259572694398451</v>
      </c>
      <c r="O580" s="1472">
        <v>1.2259572694398451</v>
      </c>
    </row>
    <row r="581" spans="11:15">
      <c r="K581" s="1469">
        <v>42638</v>
      </c>
      <c r="L581" s="1470"/>
      <c r="M581" s="1471">
        <v>0</v>
      </c>
      <c r="N581" s="1472">
        <v>1.2259572694398451</v>
      </c>
      <c r="O581" s="1472">
        <v>1.2259572694398451</v>
      </c>
    </row>
    <row r="582" spans="11:15">
      <c r="K582" s="1469">
        <v>42639</v>
      </c>
      <c r="L582" s="1470" t="s">
        <v>2129</v>
      </c>
      <c r="M582" s="1471">
        <v>5.2531000000000001E-2</v>
      </c>
      <c r="N582" s="1472">
        <v>1.2266012770530546</v>
      </c>
      <c r="O582" s="1472">
        <v>1.2266012770530546</v>
      </c>
    </row>
    <row r="583" spans="11:15">
      <c r="K583" s="1469">
        <v>42640</v>
      </c>
      <c r="L583" s="1470" t="s">
        <v>2129</v>
      </c>
      <c r="M583" s="1471">
        <v>5.2531000000000001E-2</v>
      </c>
      <c r="N583" s="1472">
        <v>1.2272456229699034</v>
      </c>
      <c r="O583" s="1472">
        <v>1.2272456229699034</v>
      </c>
    </row>
    <row r="584" spans="11:15">
      <c r="K584" s="1469">
        <v>42641</v>
      </c>
      <c r="L584" s="1470" t="s">
        <v>2129</v>
      </c>
      <c r="M584" s="1471">
        <v>5.2531000000000001E-2</v>
      </c>
      <c r="N584" s="1472">
        <v>1.2278903073681058</v>
      </c>
      <c r="O584" s="1472">
        <v>1.2278903073681058</v>
      </c>
    </row>
    <row r="585" spans="11:15">
      <c r="K585" s="1469">
        <v>42642</v>
      </c>
      <c r="L585" s="1470" t="s">
        <v>2129</v>
      </c>
      <c r="M585" s="1471">
        <v>5.2531000000000001E-2</v>
      </c>
      <c r="N585" s="1472">
        <v>1.2285353304254694</v>
      </c>
      <c r="O585" s="1472">
        <v>1.2285353304254694</v>
      </c>
    </row>
    <row r="586" spans="11:15">
      <c r="K586" s="1469">
        <v>42643</v>
      </c>
      <c r="L586" s="1470" t="s">
        <v>2129</v>
      </c>
      <c r="M586" s="1471">
        <v>5.2531000000000001E-2</v>
      </c>
      <c r="N586" s="1472">
        <v>1.2291806923198951</v>
      </c>
      <c r="O586" s="1472">
        <v>1.2291806923198951</v>
      </c>
    </row>
    <row r="587" spans="11:15">
      <c r="K587" s="1469">
        <v>42644</v>
      </c>
      <c r="L587" s="1470"/>
      <c r="M587" s="1471">
        <v>0</v>
      </c>
      <c r="N587" s="1472">
        <v>1.2291806923198951</v>
      </c>
      <c r="O587" s="1472">
        <v>1.2291806923198951</v>
      </c>
    </row>
    <row r="588" spans="11:15">
      <c r="K588" s="1469">
        <v>42645</v>
      </c>
      <c r="L588" s="1470"/>
      <c r="M588" s="1471">
        <v>0</v>
      </c>
      <c r="N588" s="1472">
        <v>1.2291806923198951</v>
      </c>
      <c r="O588" s="1472">
        <v>1.2291806923198951</v>
      </c>
    </row>
    <row r="589" spans="11:15">
      <c r="K589" s="1469">
        <v>42646</v>
      </c>
      <c r="L589" s="1470" t="s">
        <v>2129</v>
      </c>
      <c r="M589" s="1471">
        <v>5.2531000000000001E-2</v>
      </c>
      <c r="N589" s="1472">
        <v>1.2298263932293776</v>
      </c>
      <c r="O589" s="1472">
        <v>1.2298263932293776</v>
      </c>
    </row>
    <row r="590" spans="11:15">
      <c r="K590" s="1469">
        <v>42647</v>
      </c>
      <c r="L590" s="1470" t="s">
        <v>2129</v>
      </c>
      <c r="M590" s="1471">
        <v>5.2531000000000001E-2</v>
      </c>
      <c r="N590" s="1472">
        <v>1.230472433332005</v>
      </c>
      <c r="O590" s="1472">
        <v>1.230472433332005</v>
      </c>
    </row>
    <row r="591" spans="11:15">
      <c r="K591" s="1469">
        <v>42648</v>
      </c>
      <c r="L591" s="1470" t="s">
        <v>2129</v>
      </c>
      <c r="M591" s="1471">
        <v>5.2531000000000001E-2</v>
      </c>
      <c r="N591" s="1472">
        <v>1.2311188128059587</v>
      </c>
      <c r="O591" s="1472">
        <v>1.2311188128059587</v>
      </c>
    </row>
    <row r="592" spans="11:15">
      <c r="K592" s="1469">
        <v>42649</v>
      </c>
      <c r="L592" s="1470" t="s">
        <v>2129</v>
      </c>
      <c r="M592" s="1471">
        <v>5.2531000000000001E-2</v>
      </c>
      <c r="N592" s="1472">
        <v>1.2317655318295138</v>
      </c>
      <c r="O592" s="1472">
        <v>1.2317655318295138</v>
      </c>
    </row>
    <row r="593" spans="11:15">
      <c r="K593" s="1469">
        <v>42650</v>
      </c>
      <c r="L593" s="1470" t="s">
        <v>2129</v>
      </c>
      <c r="M593" s="1471">
        <v>5.2531000000000001E-2</v>
      </c>
      <c r="N593" s="1472">
        <v>1.232412590581039</v>
      </c>
      <c r="O593" s="1472">
        <v>1.232412590581039</v>
      </c>
    </row>
    <row r="594" spans="11:15">
      <c r="K594" s="1469">
        <v>42651</v>
      </c>
      <c r="L594" s="1470"/>
      <c r="M594" s="1471">
        <v>0</v>
      </c>
      <c r="N594" s="1472">
        <v>1.232412590581039</v>
      </c>
      <c r="O594" s="1472">
        <v>1.232412590581039</v>
      </c>
    </row>
    <row r="595" spans="11:15">
      <c r="K595" s="1469">
        <v>42652</v>
      </c>
      <c r="L595" s="1470"/>
      <c r="M595" s="1471">
        <v>0</v>
      </c>
      <c r="N595" s="1472">
        <v>1.232412590581039</v>
      </c>
      <c r="O595" s="1472">
        <v>1.232412590581039</v>
      </c>
    </row>
    <row r="596" spans="11:15">
      <c r="K596" s="1469">
        <v>42653</v>
      </c>
      <c r="L596" s="1470" t="s">
        <v>2129</v>
      </c>
      <c r="M596" s="1471">
        <v>5.2531000000000001E-2</v>
      </c>
      <c r="N596" s="1472">
        <v>1.2330599892389971</v>
      </c>
      <c r="O596" s="1472">
        <v>1.2330599892389971</v>
      </c>
    </row>
    <row r="597" spans="11:15">
      <c r="K597" s="1469">
        <v>42654</v>
      </c>
      <c r="L597" s="1470" t="s">
        <v>2129</v>
      </c>
      <c r="M597" s="1471">
        <v>5.2531000000000001E-2</v>
      </c>
      <c r="N597" s="1472">
        <v>1.2337077279819442</v>
      </c>
      <c r="O597" s="1472">
        <v>1.2337077279819442</v>
      </c>
    </row>
    <row r="598" spans="11:15">
      <c r="K598" s="1469">
        <v>42655</v>
      </c>
      <c r="L598" s="1470"/>
      <c r="M598" s="1471">
        <v>0</v>
      </c>
      <c r="N598" s="1472">
        <v>1.2337077279819442</v>
      </c>
      <c r="O598" s="1472">
        <v>1.2337077279819442</v>
      </c>
    </row>
    <row r="599" spans="11:15">
      <c r="K599" s="1469">
        <v>42656</v>
      </c>
      <c r="L599" s="1470" t="s">
        <v>2129</v>
      </c>
      <c r="M599" s="1471">
        <v>5.2531000000000001E-2</v>
      </c>
      <c r="N599" s="1472">
        <v>1.2343558069885303</v>
      </c>
      <c r="O599" s="1472">
        <v>1.2343558069885303</v>
      </c>
    </row>
    <row r="600" spans="11:15">
      <c r="K600" s="1469">
        <v>42657</v>
      </c>
      <c r="L600" s="1470" t="s">
        <v>2129</v>
      </c>
      <c r="M600" s="1471">
        <v>5.2531000000000001E-2</v>
      </c>
      <c r="N600" s="1472">
        <v>1.2350042264374994</v>
      </c>
      <c r="O600" s="1472">
        <v>1.2350042264374994</v>
      </c>
    </row>
    <row r="601" spans="11:15">
      <c r="K601" s="1469">
        <v>42658</v>
      </c>
      <c r="L601" s="1470"/>
      <c r="M601" s="1471">
        <v>0</v>
      </c>
      <c r="N601" s="1472">
        <v>1.2350042264374994</v>
      </c>
      <c r="O601" s="1472">
        <v>1.2350042264374994</v>
      </c>
    </row>
    <row r="602" spans="11:15">
      <c r="K602" s="1469">
        <v>42659</v>
      </c>
      <c r="L602" s="1470"/>
      <c r="M602" s="1471">
        <v>0</v>
      </c>
      <c r="N602" s="1472">
        <v>1.2350042264374994</v>
      </c>
      <c r="O602" s="1472">
        <v>1.2350042264374994</v>
      </c>
    </row>
    <row r="603" spans="11:15">
      <c r="K603" s="1469">
        <v>42660</v>
      </c>
      <c r="L603" s="1470" t="s">
        <v>2129</v>
      </c>
      <c r="M603" s="1471">
        <v>5.2531000000000001E-2</v>
      </c>
      <c r="N603" s="1472">
        <v>1.2356529865076893</v>
      </c>
      <c r="O603" s="1472">
        <v>1.2356529865076893</v>
      </c>
    </row>
    <row r="604" spans="11:15">
      <c r="K604" s="1469">
        <v>42661</v>
      </c>
      <c r="L604" s="1470" t="s">
        <v>2129</v>
      </c>
      <c r="M604" s="1471">
        <v>5.2531000000000001E-2</v>
      </c>
      <c r="N604" s="1472">
        <v>1.2363020873780317</v>
      </c>
      <c r="O604" s="1472">
        <v>1.2363020873780317</v>
      </c>
    </row>
    <row r="605" spans="11:15">
      <c r="K605" s="1469">
        <v>42662</v>
      </c>
      <c r="L605" s="1470" t="s">
        <v>2129</v>
      </c>
      <c r="M605" s="1471">
        <v>5.2531000000000001E-2</v>
      </c>
      <c r="N605" s="1472">
        <v>1.2369515292275524</v>
      </c>
      <c r="O605" s="1472">
        <v>1.2369515292275524</v>
      </c>
    </row>
    <row r="606" spans="11:15">
      <c r="K606" s="1469">
        <v>42663</v>
      </c>
      <c r="L606" s="1470" t="s">
        <v>2129</v>
      </c>
      <c r="M606" s="1471">
        <v>5.1659999999999998E-2</v>
      </c>
      <c r="N606" s="1472">
        <v>1.2375905383875514</v>
      </c>
      <c r="O606" s="1472">
        <v>1.2376013122353708</v>
      </c>
    </row>
    <row r="607" spans="11:15">
      <c r="K607" s="1469">
        <v>42664</v>
      </c>
      <c r="L607" s="1470" t="s">
        <v>2129</v>
      </c>
      <c r="M607" s="1471">
        <v>5.1659999999999998E-2</v>
      </c>
      <c r="N607" s="1472">
        <v>1.2382298776596825</v>
      </c>
      <c r="O607" s="1472">
        <v>1.2382514365807011</v>
      </c>
    </row>
    <row r="608" spans="11:15">
      <c r="K608" s="1469">
        <v>42665</v>
      </c>
      <c r="L608" s="1470"/>
      <c r="M608" s="1471">
        <v>0</v>
      </c>
      <c r="N608" s="1472">
        <v>1.2382298776596825</v>
      </c>
      <c r="O608" s="1472">
        <v>1.2382514365807011</v>
      </c>
    </row>
    <row r="609" spans="11:15">
      <c r="K609" s="1469">
        <v>42666</v>
      </c>
      <c r="L609" s="1470"/>
      <c r="M609" s="1471">
        <v>0</v>
      </c>
      <c r="N609" s="1472">
        <v>1.2382298776596825</v>
      </c>
      <c r="O609" s="1472">
        <v>1.2382514365807011</v>
      </c>
    </row>
    <row r="610" spans="11:15">
      <c r="K610" s="1469">
        <v>42667</v>
      </c>
      <c r="L610" s="1470" t="s">
        <v>2129</v>
      </c>
      <c r="M610" s="1471">
        <v>5.1659999999999998E-2</v>
      </c>
      <c r="N610" s="1472">
        <v>1.2388695472144815</v>
      </c>
      <c r="O610" s="1472">
        <v>1.2389019024428514</v>
      </c>
    </row>
    <row r="611" spans="11:15">
      <c r="K611" s="1469">
        <v>42668</v>
      </c>
      <c r="L611" s="1470" t="s">
        <v>2129</v>
      </c>
      <c r="M611" s="1471">
        <v>5.1659999999999998E-2</v>
      </c>
      <c r="N611" s="1472">
        <v>1.2395095472225726</v>
      </c>
      <c r="O611" s="1472">
        <v>1.2395527100012236</v>
      </c>
    </row>
    <row r="612" spans="11:15">
      <c r="K612" s="1469">
        <v>42669</v>
      </c>
      <c r="L612" s="1470" t="s">
        <v>2129</v>
      </c>
      <c r="M612" s="1471">
        <v>5.1659999999999998E-2</v>
      </c>
      <c r="N612" s="1472">
        <v>1.2401498778546678</v>
      </c>
      <c r="O612" s="1472">
        <v>1.2402038594353144</v>
      </c>
    </row>
    <row r="613" spans="11:15">
      <c r="K613" s="1469">
        <v>42670</v>
      </c>
      <c r="L613" s="1470" t="s">
        <v>2129</v>
      </c>
      <c r="M613" s="1471">
        <v>5.1659999999999998E-2</v>
      </c>
      <c r="N613" s="1472">
        <v>1.2407905392815677</v>
      </c>
      <c r="O613" s="1472">
        <v>1.2408553509247144</v>
      </c>
    </row>
    <row r="614" spans="11:15">
      <c r="K614" s="1469">
        <v>42671</v>
      </c>
      <c r="L614" s="1470" t="s">
        <v>2129</v>
      </c>
      <c r="M614" s="1471">
        <v>5.1659999999999998E-2</v>
      </c>
      <c r="N614" s="1472">
        <v>1.2414315316741606</v>
      </c>
      <c r="O614" s="1472">
        <v>1.2415071846491088</v>
      </c>
    </row>
    <row r="615" spans="11:15">
      <c r="K615" s="1469">
        <v>42672</v>
      </c>
      <c r="L615" s="1470"/>
      <c r="M615" s="1471">
        <v>0</v>
      </c>
      <c r="N615" s="1472">
        <v>1.2414315316741606</v>
      </c>
      <c r="O615" s="1472">
        <v>1.2415071846491088</v>
      </c>
    </row>
    <row r="616" spans="11:15">
      <c r="K616" s="1469">
        <v>42673</v>
      </c>
      <c r="L616" s="1470"/>
      <c r="M616" s="1471">
        <v>0</v>
      </c>
      <c r="N616" s="1472">
        <v>1.2414315316741606</v>
      </c>
      <c r="O616" s="1472">
        <v>1.2415071846491088</v>
      </c>
    </row>
    <row r="617" spans="11:15">
      <c r="K617" s="1469">
        <v>42674</v>
      </c>
      <c r="L617" s="1470" t="s">
        <v>2129</v>
      </c>
      <c r="M617" s="1471">
        <v>5.1659999999999998E-2</v>
      </c>
      <c r="N617" s="1472">
        <v>1.2420728552034237</v>
      </c>
      <c r="O617" s="1472">
        <v>1.2421593607882768</v>
      </c>
    </row>
    <row r="618" spans="11:15">
      <c r="K618" s="1469">
        <v>42675</v>
      </c>
      <c r="L618" s="1470" t="s">
        <v>2129</v>
      </c>
      <c r="M618" s="1471">
        <v>5.1659999999999998E-2</v>
      </c>
      <c r="N618" s="1472">
        <v>1.242714510040422</v>
      </c>
      <c r="O618" s="1472">
        <v>1.2428118795220926</v>
      </c>
    </row>
    <row r="619" spans="11:15">
      <c r="K619" s="1469">
        <v>42676</v>
      </c>
      <c r="L619" s="1470"/>
      <c r="M619" s="1471">
        <v>0</v>
      </c>
      <c r="N619" s="1472">
        <v>1.242714510040422</v>
      </c>
      <c r="O619" s="1472">
        <v>1.2428118795220926</v>
      </c>
    </row>
    <row r="620" spans="11:15">
      <c r="K620" s="1469">
        <v>42677</v>
      </c>
      <c r="L620" s="1470" t="s">
        <v>2129</v>
      </c>
      <c r="M620" s="1471">
        <v>5.1659999999999998E-2</v>
      </c>
      <c r="N620" s="1472">
        <v>1.2433564963563091</v>
      </c>
      <c r="O620" s="1472">
        <v>1.2434647410305244</v>
      </c>
    </row>
    <row r="621" spans="11:15">
      <c r="K621" s="1469">
        <v>42678</v>
      </c>
      <c r="L621" s="1470" t="s">
        <v>2129</v>
      </c>
      <c r="M621" s="1471">
        <v>5.1659999999999998E-2</v>
      </c>
      <c r="N621" s="1472">
        <v>1.2439988143223268</v>
      </c>
      <c r="O621" s="1472">
        <v>1.2441179454936351</v>
      </c>
    </row>
    <row r="622" spans="11:15">
      <c r="K622" s="1469">
        <v>42679</v>
      </c>
      <c r="L622" s="1470"/>
      <c r="M622" s="1471">
        <v>0</v>
      </c>
      <c r="N622" s="1472">
        <v>1.2439988143223268</v>
      </c>
      <c r="O622" s="1472">
        <v>1.2441179454936351</v>
      </c>
    </row>
    <row r="623" spans="11:15">
      <c r="K623" s="1469">
        <v>42680</v>
      </c>
      <c r="L623" s="1470"/>
      <c r="M623" s="1471">
        <v>0</v>
      </c>
      <c r="N623" s="1472">
        <v>1.2439988143223268</v>
      </c>
      <c r="O623" s="1472">
        <v>1.2441179454936351</v>
      </c>
    </row>
    <row r="624" spans="11:15">
      <c r="K624" s="1469">
        <v>42681</v>
      </c>
      <c r="L624" s="1470" t="s">
        <v>2129</v>
      </c>
      <c r="M624" s="1471">
        <v>5.1659999999999998E-2</v>
      </c>
      <c r="N624" s="1472">
        <v>1.2446414641098058</v>
      </c>
      <c r="O624" s="1472">
        <v>1.2447714930915823</v>
      </c>
    </row>
    <row r="625" spans="11:15">
      <c r="K625" s="1469">
        <v>42682</v>
      </c>
      <c r="L625" s="1470" t="s">
        <v>2129</v>
      </c>
      <c r="M625" s="1471">
        <v>5.1659999999999998E-2</v>
      </c>
      <c r="N625" s="1472">
        <v>1.2452844458901651</v>
      </c>
      <c r="O625" s="1472">
        <v>1.2454253840046183</v>
      </c>
    </row>
    <row r="626" spans="11:15">
      <c r="K626" s="1469">
        <v>42683</v>
      </c>
      <c r="L626" s="1470" t="s">
        <v>2129</v>
      </c>
      <c r="M626" s="1471">
        <v>5.1659999999999998E-2</v>
      </c>
      <c r="N626" s="1472">
        <v>1.2459277598349121</v>
      </c>
      <c r="O626" s="1472">
        <v>1.2460796184130898</v>
      </c>
    </row>
    <row r="627" spans="11:15">
      <c r="K627" s="1469">
        <v>42684</v>
      </c>
      <c r="L627" s="1470" t="s">
        <v>2129</v>
      </c>
      <c r="M627" s="1471">
        <v>5.1659999999999998E-2</v>
      </c>
      <c r="N627" s="1472">
        <v>1.246571406115643</v>
      </c>
      <c r="O627" s="1472">
        <v>1.2467341964974383</v>
      </c>
    </row>
    <row r="628" spans="11:15">
      <c r="K628" s="1469">
        <v>42685</v>
      </c>
      <c r="L628" s="1470" t="s">
        <v>2129</v>
      </c>
      <c r="M628" s="1471">
        <v>5.1659999999999998E-2</v>
      </c>
      <c r="N628" s="1472">
        <v>1.2472153849040424</v>
      </c>
      <c r="O628" s="1472">
        <v>1.2473891184382004</v>
      </c>
    </row>
    <row r="629" spans="11:15">
      <c r="K629" s="1469">
        <v>42686</v>
      </c>
      <c r="L629" s="1470"/>
      <c r="M629" s="1471">
        <v>0</v>
      </c>
      <c r="N629" s="1472">
        <v>1.2472153849040424</v>
      </c>
      <c r="O629" s="1472">
        <v>1.2473891184382004</v>
      </c>
    </row>
    <row r="630" spans="11:15">
      <c r="K630" s="1469">
        <v>42687</v>
      </c>
      <c r="L630" s="1470"/>
      <c r="M630" s="1471">
        <v>0</v>
      </c>
      <c r="N630" s="1472">
        <v>1.2472153849040424</v>
      </c>
      <c r="O630" s="1472">
        <v>1.2473891184382004</v>
      </c>
    </row>
    <row r="631" spans="11:15">
      <c r="K631" s="1469">
        <v>42688</v>
      </c>
      <c r="L631" s="1470" t="s">
        <v>2129</v>
      </c>
      <c r="M631" s="1471">
        <v>5.1659999999999998E-2</v>
      </c>
      <c r="N631" s="1472">
        <v>1.247859696371884</v>
      </c>
      <c r="O631" s="1472">
        <v>1.2480443844160072</v>
      </c>
    </row>
    <row r="632" spans="11:15">
      <c r="K632" s="1469">
        <v>42689</v>
      </c>
      <c r="L632" s="1470"/>
      <c r="M632" s="1471">
        <v>0</v>
      </c>
      <c r="N632" s="1472">
        <v>1.247859696371884</v>
      </c>
      <c r="O632" s="1472">
        <v>1.2480443844160072</v>
      </c>
    </row>
    <row r="633" spans="11:15">
      <c r="K633" s="1469">
        <v>42690</v>
      </c>
      <c r="L633" s="1470" t="s">
        <v>2129</v>
      </c>
      <c r="M633" s="1471">
        <v>5.1659999999999998E-2</v>
      </c>
      <c r="N633" s="1472">
        <v>1.2485043406910299</v>
      </c>
      <c r="O633" s="1472">
        <v>1.2486999946115847</v>
      </c>
    </row>
    <row r="634" spans="11:15">
      <c r="K634" s="1469">
        <v>42691</v>
      </c>
      <c r="L634" s="1470" t="s">
        <v>2129</v>
      </c>
      <c r="M634" s="1471">
        <v>5.1659999999999998E-2</v>
      </c>
      <c r="N634" s="1472">
        <v>1.249149318033431</v>
      </c>
      <c r="O634" s="1472">
        <v>1.249355949205754</v>
      </c>
    </row>
    <row r="635" spans="11:15">
      <c r="K635" s="1469">
        <v>42692</v>
      </c>
      <c r="L635" s="1470" t="s">
        <v>2129</v>
      </c>
      <c r="M635" s="1471">
        <v>5.1659999999999998E-2</v>
      </c>
      <c r="N635" s="1472">
        <v>1.2497946285711272</v>
      </c>
      <c r="O635" s="1472">
        <v>1.2500122483794314</v>
      </c>
    </row>
    <row r="636" spans="11:15">
      <c r="K636" s="1469">
        <v>42693</v>
      </c>
      <c r="L636" s="1470"/>
      <c r="M636" s="1471">
        <v>0</v>
      </c>
      <c r="N636" s="1472">
        <v>1.2497946285711272</v>
      </c>
      <c r="O636" s="1472">
        <v>1.2500122483794314</v>
      </c>
    </row>
    <row r="637" spans="11:15">
      <c r="K637" s="1469">
        <v>42694</v>
      </c>
      <c r="L637" s="1470"/>
      <c r="M637" s="1471">
        <v>0</v>
      </c>
      <c r="N637" s="1472">
        <v>1.2497946285711272</v>
      </c>
      <c r="O637" s="1472">
        <v>1.2500122483794314</v>
      </c>
    </row>
    <row r="638" spans="11:15">
      <c r="K638" s="1469">
        <v>42695</v>
      </c>
      <c r="L638" s="1470" t="s">
        <v>2129</v>
      </c>
      <c r="M638" s="1471">
        <v>5.1659999999999998E-2</v>
      </c>
      <c r="N638" s="1472">
        <v>1.2504402724762471</v>
      </c>
      <c r="O638" s="1472">
        <v>1.2506688923136275</v>
      </c>
    </row>
    <row r="639" spans="11:15">
      <c r="K639" s="1469">
        <v>42696</v>
      </c>
      <c r="L639" s="1470" t="s">
        <v>2129</v>
      </c>
      <c r="M639" s="1471">
        <v>5.1659999999999998E-2</v>
      </c>
      <c r="N639" s="1472">
        <v>1.2510862499210085</v>
      </c>
      <c r="O639" s="1472">
        <v>1.2513258811894488</v>
      </c>
    </row>
    <row r="640" spans="11:15">
      <c r="K640" s="1469">
        <v>42697</v>
      </c>
      <c r="L640" s="1470" t="s">
        <v>2129</v>
      </c>
      <c r="M640" s="1471">
        <v>5.1659999999999998E-2</v>
      </c>
      <c r="N640" s="1472">
        <v>1.2517325610777177</v>
      </c>
      <c r="O640" s="1472">
        <v>1.2519832151880963</v>
      </c>
    </row>
    <row r="641" spans="11:15">
      <c r="K641" s="1469">
        <v>42698</v>
      </c>
      <c r="L641" s="1470" t="s">
        <v>2129</v>
      </c>
      <c r="M641" s="1471">
        <v>5.1659999999999998E-2</v>
      </c>
      <c r="N641" s="1472">
        <v>1.2523792061187706</v>
      </c>
      <c r="O641" s="1472">
        <v>1.2526408944908667</v>
      </c>
    </row>
    <row r="642" spans="11:15">
      <c r="K642" s="1469">
        <v>42699</v>
      </c>
      <c r="L642" s="1470" t="s">
        <v>2129</v>
      </c>
      <c r="M642" s="1471">
        <v>5.1659999999999998E-2</v>
      </c>
      <c r="N642" s="1472">
        <v>1.2530261852166518</v>
      </c>
      <c r="O642" s="1472">
        <v>1.2532989192791517</v>
      </c>
    </row>
    <row r="643" spans="11:15">
      <c r="K643" s="1469">
        <v>42700</v>
      </c>
      <c r="L643" s="1470"/>
      <c r="M643" s="1471">
        <v>0</v>
      </c>
      <c r="N643" s="1472">
        <v>1.2530261852166518</v>
      </c>
      <c r="O643" s="1472">
        <v>1.2532989192791517</v>
      </c>
    </row>
    <row r="644" spans="11:15">
      <c r="K644" s="1469">
        <v>42701</v>
      </c>
      <c r="L644" s="1470"/>
      <c r="M644" s="1471">
        <v>0</v>
      </c>
      <c r="N644" s="1472">
        <v>1.2530261852166518</v>
      </c>
      <c r="O644" s="1472">
        <v>1.2532989192791517</v>
      </c>
    </row>
    <row r="645" spans="11:15">
      <c r="K645" s="1469">
        <v>42702</v>
      </c>
      <c r="L645" s="1470" t="s">
        <v>2129</v>
      </c>
      <c r="M645" s="1471">
        <v>5.1659999999999998E-2</v>
      </c>
      <c r="N645" s="1472">
        <v>1.2536734985439348</v>
      </c>
      <c r="O645" s="1472">
        <v>1.2539572897344382</v>
      </c>
    </row>
    <row r="646" spans="11:15">
      <c r="K646" s="1469">
        <v>42703</v>
      </c>
      <c r="L646" s="1470" t="s">
        <v>2129</v>
      </c>
      <c r="M646" s="1471">
        <v>5.1659999999999998E-2</v>
      </c>
      <c r="N646" s="1472">
        <v>1.2543211462732828</v>
      </c>
      <c r="O646" s="1472">
        <v>1.2546160060383087</v>
      </c>
    </row>
    <row r="647" spans="11:15">
      <c r="K647" s="1469">
        <v>42704</v>
      </c>
      <c r="L647" s="1470" t="s">
        <v>2129</v>
      </c>
      <c r="M647" s="1471">
        <v>5.1659999999999998E-2</v>
      </c>
      <c r="N647" s="1472">
        <v>1.2549691285774478</v>
      </c>
      <c r="O647" s="1472">
        <v>1.2552750683724407</v>
      </c>
    </row>
    <row r="648" spans="11:15">
      <c r="K648" s="1469">
        <v>42705</v>
      </c>
      <c r="L648" s="1470" t="s">
        <v>2129</v>
      </c>
      <c r="M648" s="1471">
        <v>5.0788E-2</v>
      </c>
      <c r="N648" s="1472">
        <v>1.2556065022984697</v>
      </c>
      <c r="O648" s="1472">
        <v>1.2559344769186074</v>
      </c>
    </row>
    <row r="649" spans="11:15">
      <c r="K649" s="1469">
        <v>42706</v>
      </c>
      <c r="L649" s="1470" t="s">
        <v>2129</v>
      </c>
      <c r="M649" s="1471">
        <v>5.0788E-2</v>
      </c>
      <c r="N649" s="1472">
        <v>1.2562441997288571</v>
      </c>
      <c r="O649" s="1472">
        <v>1.2565942318586776</v>
      </c>
    </row>
    <row r="650" spans="11:15">
      <c r="K650" s="1469">
        <v>42707</v>
      </c>
      <c r="L650" s="1470"/>
      <c r="M650" s="1471">
        <v>0</v>
      </c>
      <c r="N650" s="1472">
        <v>1.2562441997288571</v>
      </c>
      <c r="O650" s="1472">
        <v>1.2565942318586776</v>
      </c>
    </row>
    <row r="651" spans="11:15">
      <c r="K651" s="1469">
        <v>42708</v>
      </c>
      <c r="L651" s="1470"/>
      <c r="M651" s="1471">
        <v>0</v>
      </c>
      <c r="N651" s="1472">
        <v>1.2562441997288571</v>
      </c>
      <c r="O651" s="1472">
        <v>1.2565942318586776</v>
      </c>
    </row>
    <row r="652" spans="11:15">
      <c r="K652" s="1469">
        <v>42709</v>
      </c>
      <c r="L652" s="1470" t="s">
        <v>2129</v>
      </c>
      <c r="M652" s="1471">
        <v>5.0788E-2</v>
      </c>
      <c r="N652" s="1472">
        <v>1.2568822210330155</v>
      </c>
      <c r="O652" s="1472">
        <v>1.2572543333746153</v>
      </c>
    </row>
    <row r="653" spans="11:15">
      <c r="K653" s="1469">
        <v>42710</v>
      </c>
      <c r="L653" s="1470" t="s">
        <v>2129</v>
      </c>
      <c r="M653" s="1471">
        <v>5.0788E-2</v>
      </c>
      <c r="N653" s="1472">
        <v>1.2575205663754339</v>
      </c>
      <c r="O653" s="1472">
        <v>1.2579147816484804</v>
      </c>
    </row>
    <row r="654" spans="11:15">
      <c r="K654" s="1469">
        <v>42711</v>
      </c>
      <c r="L654" s="1470" t="s">
        <v>2129</v>
      </c>
      <c r="M654" s="1471">
        <v>5.0788E-2</v>
      </c>
      <c r="N654" s="1472">
        <v>1.2581592359206846</v>
      </c>
      <c r="O654" s="1472">
        <v>1.258575576862428</v>
      </c>
    </row>
    <row r="655" spans="11:15">
      <c r="K655" s="1469">
        <v>42712</v>
      </c>
      <c r="L655" s="1470" t="s">
        <v>2129</v>
      </c>
      <c r="M655" s="1471">
        <v>5.0788E-2</v>
      </c>
      <c r="N655" s="1472">
        <v>1.2587982298334239</v>
      </c>
      <c r="O655" s="1472">
        <v>1.2592367191987097</v>
      </c>
    </row>
    <row r="656" spans="11:15">
      <c r="K656" s="1469">
        <v>42713</v>
      </c>
      <c r="L656" s="1470" t="s">
        <v>2129</v>
      </c>
      <c r="M656" s="1471">
        <v>5.0788E-2</v>
      </c>
      <c r="N656" s="1472">
        <v>1.2594375482783917</v>
      </c>
      <c r="O656" s="1472">
        <v>1.259898208839672</v>
      </c>
    </row>
    <row r="657" spans="11:15">
      <c r="K657" s="1469">
        <v>42714</v>
      </c>
      <c r="L657" s="1470"/>
      <c r="M657" s="1471">
        <v>0</v>
      </c>
      <c r="N657" s="1472">
        <v>1.2594375482783917</v>
      </c>
      <c r="O657" s="1472">
        <v>1.259898208839672</v>
      </c>
    </row>
    <row r="658" spans="11:15">
      <c r="K658" s="1469">
        <v>42715</v>
      </c>
      <c r="L658" s="1470"/>
      <c r="M658" s="1471">
        <v>0</v>
      </c>
      <c r="N658" s="1472">
        <v>1.2594375482783917</v>
      </c>
      <c r="O658" s="1472">
        <v>1.259898208839672</v>
      </c>
    </row>
    <row r="659" spans="11:15">
      <c r="K659" s="1469">
        <v>42716</v>
      </c>
      <c r="L659" s="1470" t="s">
        <v>2129</v>
      </c>
      <c r="M659" s="1471">
        <v>5.0788E-2</v>
      </c>
      <c r="N659" s="1472">
        <v>1.2600771914204114</v>
      </c>
      <c r="O659" s="1472">
        <v>1.2605600459677575</v>
      </c>
    </row>
    <row r="660" spans="11:15">
      <c r="K660" s="1469">
        <v>42717</v>
      </c>
      <c r="L660" s="1470" t="s">
        <v>2129</v>
      </c>
      <c r="M660" s="1471">
        <v>5.0788E-2</v>
      </c>
      <c r="N660" s="1472">
        <v>1.26071715942439</v>
      </c>
      <c r="O660" s="1472">
        <v>1.2612222307655048</v>
      </c>
    </row>
    <row r="661" spans="11:15">
      <c r="K661" s="1469">
        <v>42718</v>
      </c>
      <c r="L661" s="1470" t="s">
        <v>2129</v>
      </c>
      <c r="M661" s="1471">
        <v>5.0788E-2</v>
      </c>
      <c r="N661" s="1472">
        <v>1.2613574524553184</v>
      </c>
      <c r="O661" s="1472">
        <v>1.2618847634155481</v>
      </c>
    </row>
    <row r="662" spans="11:15">
      <c r="K662" s="1469">
        <v>42719</v>
      </c>
      <c r="L662" s="1470" t="s">
        <v>2129</v>
      </c>
      <c r="M662" s="1471">
        <v>5.0788E-2</v>
      </c>
      <c r="N662" s="1472">
        <v>1.2619980706782714</v>
      </c>
      <c r="O662" s="1472">
        <v>1.262547644100618</v>
      </c>
    </row>
    <row r="663" spans="11:15">
      <c r="K663" s="1469">
        <v>42720</v>
      </c>
      <c r="L663" s="1470" t="s">
        <v>2129</v>
      </c>
      <c r="M663" s="1471">
        <v>5.0788E-2</v>
      </c>
      <c r="N663" s="1472">
        <v>1.2626390142584074</v>
      </c>
      <c r="O663" s="1472">
        <v>1.2632108730035405</v>
      </c>
    </row>
    <row r="664" spans="11:15">
      <c r="K664" s="1469">
        <v>42721</v>
      </c>
      <c r="L664" s="1470"/>
      <c r="M664" s="1471">
        <v>0</v>
      </c>
      <c r="N664" s="1472">
        <v>1.2626390142584074</v>
      </c>
      <c r="O664" s="1472">
        <v>1.2632108730035405</v>
      </c>
    </row>
    <row r="665" spans="11:15">
      <c r="K665" s="1469">
        <v>42722</v>
      </c>
      <c r="L665" s="1470"/>
      <c r="M665" s="1471">
        <v>0</v>
      </c>
      <c r="N665" s="1472">
        <v>1.2626390142584074</v>
      </c>
      <c r="O665" s="1472">
        <v>1.2632108730035405</v>
      </c>
    </row>
    <row r="666" spans="11:15">
      <c r="K666" s="1469">
        <v>42723</v>
      </c>
      <c r="L666" s="1470" t="s">
        <v>2129</v>
      </c>
      <c r="M666" s="1471">
        <v>5.0788E-2</v>
      </c>
      <c r="N666" s="1472">
        <v>1.2632802833609691</v>
      </c>
      <c r="O666" s="1472">
        <v>1.2638744503072381</v>
      </c>
    </row>
    <row r="667" spans="11:15">
      <c r="K667" s="1469">
        <v>42724</v>
      </c>
      <c r="L667" s="1470" t="s">
        <v>2129</v>
      </c>
      <c r="M667" s="1471">
        <v>5.0788E-2</v>
      </c>
      <c r="N667" s="1472">
        <v>1.2639218781512824</v>
      </c>
      <c r="O667" s="1472">
        <v>1.2645383761947291</v>
      </c>
    </row>
    <row r="668" spans="11:15">
      <c r="K668" s="1469">
        <v>42725</v>
      </c>
      <c r="L668" s="1470" t="s">
        <v>2129</v>
      </c>
      <c r="M668" s="1471">
        <v>5.0788E-2</v>
      </c>
      <c r="N668" s="1472">
        <v>1.264563798794758</v>
      </c>
      <c r="O668" s="1472">
        <v>1.2652026508491279</v>
      </c>
    </row>
    <row r="669" spans="11:15">
      <c r="K669" s="1469">
        <v>42726</v>
      </c>
      <c r="L669" s="1470" t="s">
        <v>2129</v>
      </c>
      <c r="M669" s="1471">
        <v>5.0788E-2</v>
      </c>
      <c r="N669" s="1472">
        <v>1.2652060454568899</v>
      </c>
      <c r="O669" s="1472">
        <v>1.2658672744536454</v>
      </c>
    </row>
    <row r="670" spans="11:15">
      <c r="K670" s="1469">
        <v>42727</v>
      </c>
      <c r="L670" s="1470" t="s">
        <v>2129</v>
      </c>
      <c r="M670" s="1471">
        <v>5.0788E-2</v>
      </c>
      <c r="N670" s="1472">
        <v>1.2658486183032565</v>
      </c>
      <c r="O670" s="1472">
        <v>1.2665322471915887</v>
      </c>
    </row>
    <row r="671" spans="11:15">
      <c r="K671" s="1469">
        <v>42728</v>
      </c>
      <c r="L671" s="1470"/>
      <c r="M671" s="1471">
        <v>0</v>
      </c>
      <c r="N671" s="1472">
        <v>1.2658486183032565</v>
      </c>
      <c r="O671" s="1472">
        <v>1.2665322471915887</v>
      </c>
    </row>
    <row r="672" spans="11:15">
      <c r="K672" s="1469">
        <v>42729</v>
      </c>
      <c r="L672" s="1470"/>
      <c r="M672" s="1471">
        <v>0</v>
      </c>
      <c r="N672" s="1472">
        <v>1.2658486183032565</v>
      </c>
      <c r="O672" s="1472">
        <v>1.2665322471915887</v>
      </c>
    </row>
    <row r="673" spans="11:15">
      <c r="K673" s="1469">
        <v>42730</v>
      </c>
      <c r="L673" s="1470" t="s">
        <v>2129</v>
      </c>
      <c r="M673" s="1471">
        <v>5.0788E-2</v>
      </c>
      <c r="N673" s="1472">
        <v>1.2664915174995204</v>
      </c>
      <c r="O673" s="1472">
        <v>1.2671975692463611</v>
      </c>
    </row>
    <row r="674" spans="11:15">
      <c r="K674" s="1469">
        <v>42731</v>
      </c>
      <c r="L674" s="1470" t="s">
        <v>2129</v>
      </c>
      <c r="M674" s="1471">
        <v>5.0788E-2</v>
      </c>
      <c r="N674" s="1472">
        <v>1.2671347432114282</v>
      </c>
      <c r="O674" s="1472">
        <v>1.2678632408014618</v>
      </c>
    </row>
    <row r="675" spans="11:15">
      <c r="K675" s="1469">
        <v>42732</v>
      </c>
      <c r="L675" s="1470" t="s">
        <v>2129</v>
      </c>
      <c r="M675" s="1471">
        <v>5.0788E-2</v>
      </c>
      <c r="N675" s="1472">
        <v>1.2677782956048105</v>
      </c>
      <c r="O675" s="1472">
        <v>1.2685292620404873</v>
      </c>
    </row>
    <row r="676" spans="11:15">
      <c r="K676" s="1469">
        <v>42733</v>
      </c>
      <c r="L676" s="1470" t="s">
        <v>2129</v>
      </c>
      <c r="M676" s="1471">
        <v>5.0788E-2</v>
      </c>
      <c r="N676" s="1472">
        <v>1.2684221748455822</v>
      </c>
      <c r="O676" s="1472">
        <v>1.2691956331471299</v>
      </c>
    </row>
    <row r="677" spans="11:15">
      <c r="K677" s="1469">
        <v>42734</v>
      </c>
      <c r="L677" s="1470" t="s">
        <v>2129</v>
      </c>
      <c r="M677" s="1471">
        <v>5.0788E-2</v>
      </c>
      <c r="N677" s="1472">
        <v>1.2690663810997427</v>
      </c>
      <c r="O677" s="1472">
        <v>1.2698623543051784</v>
      </c>
    </row>
    <row r="678" spans="11:15">
      <c r="K678" s="1469">
        <v>42735</v>
      </c>
      <c r="L678" s="1470"/>
      <c r="M678" s="1471">
        <v>0</v>
      </c>
      <c r="N678" s="1472">
        <v>1.2690663810997427</v>
      </c>
      <c r="O678" s="1472">
        <v>1.2698623543051784</v>
      </c>
    </row>
    <row r="679" spans="11:15">
      <c r="K679" s="1469">
        <v>42736</v>
      </c>
      <c r="L679" s="1470"/>
      <c r="M679" s="1471">
        <v>0</v>
      </c>
      <c r="N679" s="1472">
        <v>1.2690663810997427</v>
      </c>
      <c r="O679" s="1472">
        <v>1.2698623543051784</v>
      </c>
    </row>
    <row r="680" spans="11:15">
      <c r="K680" s="1469">
        <v>42737</v>
      </c>
      <c r="L680" s="1470" t="s">
        <v>2129</v>
      </c>
      <c r="M680" s="1471">
        <v>5.0788E-2</v>
      </c>
      <c r="N680" s="1472">
        <v>1.2697109145333756</v>
      </c>
      <c r="O680" s="1472">
        <v>1.2705294256985185</v>
      </c>
    </row>
    <row r="681" spans="11:15">
      <c r="K681" s="1469">
        <v>42738</v>
      </c>
      <c r="L681" s="1470" t="s">
        <v>2129</v>
      </c>
      <c r="M681" s="1471">
        <v>5.0788E-2</v>
      </c>
      <c r="N681" s="1472">
        <v>1.2703557753126489</v>
      </c>
      <c r="O681" s="1472">
        <v>1.2711968475111322</v>
      </c>
    </row>
    <row r="682" spans="11:15">
      <c r="K682" s="1469">
        <v>42739</v>
      </c>
      <c r="L682" s="1470" t="s">
        <v>2129</v>
      </c>
      <c r="M682" s="1471">
        <v>5.0788E-2</v>
      </c>
      <c r="N682" s="1472">
        <v>1.2710009636038146</v>
      </c>
      <c r="O682" s="1472">
        <v>1.2718646199270982</v>
      </c>
    </row>
    <row r="683" spans="11:15">
      <c r="K683" s="1469">
        <v>42740</v>
      </c>
      <c r="L683" s="1470" t="s">
        <v>2129</v>
      </c>
      <c r="M683" s="1471">
        <v>5.0788E-2</v>
      </c>
      <c r="N683" s="1472">
        <v>1.2716464795732099</v>
      </c>
      <c r="O683" s="1472">
        <v>1.2725327431305922</v>
      </c>
    </row>
    <row r="684" spans="11:15">
      <c r="K684" s="1469">
        <v>42741</v>
      </c>
      <c r="L684" s="1470" t="s">
        <v>2129</v>
      </c>
      <c r="M684" s="1471">
        <v>5.0788E-2</v>
      </c>
      <c r="N684" s="1472">
        <v>1.2722923233872556</v>
      </c>
      <c r="O684" s="1472">
        <v>1.2732012173058862</v>
      </c>
    </row>
    <row r="685" spans="11:15">
      <c r="K685" s="1469">
        <v>42742</v>
      </c>
      <c r="L685" s="1470"/>
      <c r="M685" s="1471">
        <v>0</v>
      </c>
      <c r="N685" s="1472">
        <v>1.2722923233872556</v>
      </c>
      <c r="O685" s="1472">
        <v>1.2732012173058862</v>
      </c>
    </row>
    <row r="686" spans="11:15">
      <c r="K686" s="1469">
        <v>42743</v>
      </c>
      <c r="L686" s="1470"/>
      <c r="M686" s="1471">
        <v>0</v>
      </c>
      <c r="N686" s="1472">
        <v>1.2722923233872556</v>
      </c>
      <c r="O686" s="1472">
        <v>1.2732012173058862</v>
      </c>
    </row>
    <row r="687" spans="11:15">
      <c r="K687" s="1469">
        <v>42744</v>
      </c>
      <c r="L687" s="1470" t="s">
        <v>2129</v>
      </c>
      <c r="M687" s="1471">
        <v>5.0788E-2</v>
      </c>
      <c r="N687" s="1472">
        <v>1.2729384952124576</v>
      </c>
      <c r="O687" s="1472">
        <v>1.2738700426373493</v>
      </c>
    </row>
    <row r="688" spans="11:15">
      <c r="K688" s="1469">
        <v>42745</v>
      </c>
      <c r="L688" s="1470" t="s">
        <v>2129</v>
      </c>
      <c r="M688" s="1471">
        <v>5.0788E-2</v>
      </c>
      <c r="N688" s="1472">
        <v>1.2735849952154061</v>
      </c>
      <c r="O688" s="1472">
        <v>1.2745392193094471</v>
      </c>
    </row>
    <row r="689" spans="11:15">
      <c r="K689" s="1469">
        <v>42746</v>
      </c>
      <c r="L689" s="1470" t="s">
        <v>2129</v>
      </c>
      <c r="M689" s="1471">
        <v>5.0788E-2</v>
      </c>
      <c r="N689" s="1472">
        <v>1.2742318235627761</v>
      </c>
      <c r="O689" s="1472">
        <v>1.2752087475067426</v>
      </c>
    </row>
    <row r="690" spans="11:15">
      <c r="K690" s="1469">
        <v>42747</v>
      </c>
      <c r="L690" s="1470" t="s">
        <v>2129</v>
      </c>
      <c r="M690" s="1471">
        <v>4.8159E-2</v>
      </c>
      <c r="N690" s="1472">
        <v>1.2748454808666856</v>
      </c>
      <c r="O690" s="1472">
        <v>1.2758786274138953</v>
      </c>
    </row>
    <row r="691" spans="11:15">
      <c r="K691" s="1469">
        <v>42748</v>
      </c>
      <c r="L691" s="1470" t="s">
        <v>2129</v>
      </c>
      <c r="M691" s="1471">
        <v>4.8159E-2</v>
      </c>
      <c r="N691" s="1472">
        <v>1.2754594337018161</v>
      </c>
      <c r="O691" s="1472">
        <v>1.2765488592156622</v>
      </c>
    </row>
    <row r="692" spans="11:15">
      <c r="K692" s="1469">
        <v>42749</v>
      </c>
      <c r="L692" s="1470"/>
      <c r="M692" s="1471">
        <v>0</v>
      </c>
      <c r="N692" s="1472">
        <v>1.2754594337018161</v>
      </c>
      <c r="O692" s="1472">
        <v>1.2765488592156622</v>
      </c>
    </row>
    <row r="693" spans="11:15">
      <c r="K693" s="1469">
        <v>42750</v>
      </c>
      <c r="L693" s="1470"/>
      <c r="M693" s="1471">
        <v>0</v>
      </c>
      <c r="N693" s="1472">
        <v>1.2754594337018161</v>
      </c>
      <c r="O693" s="1472">
        <v>1.2765488592156622</v>
      </c>
    </row>
    <row r="694" spans="11:15">
      <c r="K694" s="1469">
        <v>42751</v>
      </c>
      <c r="L694" s="1470" t="s">
        <v>2129</v>
      </c>
      <c r="M694" s="1471">
        <v>4.8159E-2</v>
      </c>
      <c r="N694" s="1472">
        <v>1.2760736822104926</v>
      </c>
      <c r="O694" s="1472">
        <v>1.2772194430968968</v>
      </c>
    </row>
    <row r="695" spans="11:15">
      <c r="K695" s="1469">
        <v>42752</v>
      </c>
      <c r="L695" s="1470" t="s">
        <v>2129</v>
      </c>
      <c r="M695" s="1471">
        <v>4.8159E-2</v>
      </c>
      <c r="N695" s="1472">
        <v>1.2766882265351083</v>
      </c>
      <c r="O695" s="1472">
        <v>1.27789037924255</v>
      </c>
    </row>
    <row r="696" spans="11:15">
      <c r="K696" s="1469">
        <v>42753</v>
      </c>
      <c r="L696" s="1470" t="s">
        <v>2129</v>
      </c>
      <c r="M696" s="1471">
        <v>4.8159E-2</v>
      </c>
      <c r="N696" s="1472">
        <v>1.2773030668181251</v>
      </c>
      <c r="O696" s="1472">
        <v>1.2785616678376699</v>
      </c>
    </row>
    <row r="697" spans="11:15">
      <c r="K697" s="1469">
        <v>42754</v>
      </c>
      <c r="L697" s="1470" t="s">
        <v>2129</v>
      </c>
      <c r="M697" s="1471">
        <v>4.8159E-2</v>
      </c>
      <c r="N697" s="1472">
        <v>1.2779182032020739</v>
      </c>
      <c r="O697" s="1472">
        <v>1.2792333090674017</v>
      </c>
    </row>
    <row r="698" spans="11:15">
      <c r="K698" s="1469">
        <v>42755</v>
      </c>
      <c r="L698" s="1470" t="s">
        <v>2129</v>
      </c>
      <c r="M698" s="1471">
        <v>4.8159E-2</v>
      </c>
      <c r="N698" s="1472">
        <v>1.278533635829554</v>
      </c>
      <c r="O698" s="1472">
        <v>1.279905303116988</v>
      </c>
    </row>
    <row r="699" spans="11:15">
      <c r="K699" s="1469">
        <v>42756</v>
      </c>
      <c r="L699" s="1470"/>
      <c r="M699" s="1471">
        <v>0</v>
      </c>
      <c r="N699" s="1472">
        <v>1.278533635829554</v>
      </c>
      <c r="O699" s="1472">
        <v>1.279905303116988</v>
      </c>
    </row>
    <row r="700" spans="11:15">
      <c r="K700" s="1469">
        <v>42757</v>
      </c>
      <c r="L700" s="1470"/>
      <c r="M700" s="1471">
        <v>0</v>
      </c>
      <c r="N700" s="1472">
        <v>1.278533635829554</v>
      </c>
      <c r="O700" s="1472">
        <v>1.279905303116988</v>
      </c>
    </row>
    <row r="701" spans="11:15">
      <c r="K701" s="1469">
        <v>42758</v>
      </c>
      <c r="L701" s="1470" t="s">
        <v>2129</v>
      </c>
      <c r="M701" s="1471">
        <v>4.8159E-2</v>
      </c>
      <c r="N701" s="1472">
        <v>1.279149364843233</v>
      </c>
      <c r="O701" s="1472">
        <v>1.2805776501717685</v>
      </c>
    </row>
    <row r="702" spans="11:15">
      <c r="K702" s="1469">
        <v>42759</v>
      </c>
      <c r="L702" s="1470" t="s">
        <v>2129</v>
      </c>
      <c r="M702" s="1471">
        <v>4.8159E-2</v>
      </c>
      <c r="N702" s="1472">
        <v>1.2797653903858479</v>
      </c>
      <c r="O702" s="1472">
        <v>1.2812503504171802</v>
      </c>
    </row>
    <row r="703" spans="11:15">
      <c r="K703" s="1469">
        <v>42760</v>
      </c>
      <c r="L703" s="1470" t="s">
        <v>2129</v>
      </c>
      <c r="M703" s="1471">
        <v>4.8159E-2</v>
      </c>
      <c r="N703" s="1472">
        <v>1.2803817126002037</v>
      </c>
      <c r="O703" s="1472">
        <v>1.2819234040387577</v>
      </c>
    </row>
    <row r="704" spans="11:15">
      <c r="K704" s="1469">
        <v>42761</v>
      </c>
      <c r="L704" s="1470" t="s">
        <v>2129</v>
      </c>
      <c r="M704" s="1471">
        <v>4.8159E-2</v>
      </c>
      <c r="N704" s="1472">
        <v>1.2809983316291746</v>
      </c>
      <c r="O704" s="1472">
        <v>1.2825968112221333</v>
      </c>
    </row>
    <row r="705" spans="11:15">
      <c r="K705" s="1469">
        <v>42762</v>
      </c>
      <c r="L705" s="1470" t="s">
        <v>2129</v>
      </c>
      <c r="M705" s="1471">
        <v>4.8159E-2</v>
      </c>
      <c r="N705" s="1472">
        <v>1.2816152476157039</v>
      </c>
      <c r="O705" s="1472">
        <v>1.2832705721530364</v>
      </c>
    </row>
    <row r="706" spans="11:15">
      <c r="K706" s="1469">
        <v>42763</v>
      </c>
      <c r="L706" s="1470"/>
      <c r="M706" s="1471">
        <v>0</v>
      </c>
      <c r="N706" s="1472">
        <v>1.2816152476157039</v>
      </c>
      <c r="O706" s="1472">
        <v>1.2832705721530364</v>
      </c>
    </row>
    <row r="707" spans="11:15">
      <c r="K707" s="1469">
        <v>42764</v>
      </c>
      <c r="L707" s="1470"/>
      <c r="M707" s="1471">
        <v>0</v>
      </c>
      <c r="N707" s="1472">
        <v>1.2816152476157039</v>
      </c>
      <c r="O707" s="1472">
        <v>1.2832705721530364</v>
      </c>
    </row>
    <row r="708" spans="11:15">
      <c r="K708" s="1469">
        <v>42765</v>
      </c>
      <c r="L708" s="1470" t="s">
        <v>2129</v>
      </c>
      <c r="M708" s="1471">
        <v>4.8159E-2</v>
      </c>
      <c r="N708" s="1472">
        <v>1.2822324607028031</v>
      </c>
      <c r="O708" s="1472">
        <v>1.2839446870172941</v>
      </c>
    </row>
    <row r="709" spans="11:15">
      <c r="K709" s="1469">
        <v>42766</v>
      </c>
      <c r="L709" s="1470" t="s">
        <v>2129</v>
      </c>
      <c r="M709" s="1471">
        <v>4.8159E-2</v>
      </c>
      <c r="N709" s="1472">
        <v>1.2828499710335528</v>
      </c>
      <c r="O709" s="1472">
        <v>1.2846191560008311</v>
      </c>
    </row>
    <row r="710" spans="11:15">
      <c r="K710" s="1469">
        <v>42767</v>
      </c>
      <c r="L710" s="1470" t="s">
        <v>2129</v>
      </c>
      <c r="M710" s="1471">
        <v>4.8159E-2</v>
      </c>
      <c r="N710" s="1472">
        <v>1.2834677787511029</v>
      </c>
      <c r="O710" s="1472">
        <v>1.2852939792896698</v>
      </c>
    </row>
    <row r="711" spans="11:15">
      <c r="K711" s="1469">
        <v>42768</v>
      </c>
      <c r="L711" s="1470" t="s">
        <v>2129</v>
      </c>
      <c r="M711" s="1471">
        <v>4.8159E-2</v>
      </c>
      <c r="N711" s="1472">
        <v>1.2840858839986715</v>
      </c>
      <c r="O711" s="1472">
        <v>1.2859691570699305</v>
      </c>
    </row>
    <row r="712" spans="11:15">
      <c r="K712" s="1469">
        <v>42769</v>
      </c>
      <c r="L712" s="1470" t="s">
        <v>2129</v>
      </c>
      <c r="M712" s="1471">
        <v>4.8159E-2</v>
      </c>
      <c r="N712" s="1472">
        <v>1.2847042869195464</v>
      </c>
      <c r="O712" s="1472">
        <v>1.286644689527831</v>
      </c>
    </row>
    <row r="713" spans="11:15">
      <c r="K713" s="1469">
        <v>42770</v>
      </c>
      <c r="L713" s="1470"/>
      <c r="M713" s="1471">
        <v>0</v>
      </c>
      <c r="N713" s="1472">
        <v>1.2847042869195464</v>
      </c>
      <c r="O713" s="1472">
        <v>1.286644689527831</v>
      </c>
    </row>
    <row r="714" spans="11:15">
      <c r="K714" s="1469">
        <v>42771</v>
      </c>
      <c r="L714" s="1470"/>
      <c r="M714" s="1471">
        <v>0</v>
      </c>
      <c r="N714" s="1472">
        <v>1.2847042869195464</v>
      </c>
      <c r="O714" s="1472">
        <v>1.286644689527831</v>
      </c>
    </row>
    <row r="715" spans="11:15">
      <c r="K715" s="1469">
        <v>42772</v>
      </c>
      <c r="L715" s="1470" t="s">
        <v>2129</v>
      </c>
      <c r="M715" s="1471">
        <v>4.8159E-2</v>
      </c>
      <c r="N715" s="1472">
        <v>1.285322987657084</v>
      </c>
      <c r="O715" s="1472">
        <v>1.2873205768496869</v>
      </c>
    </row>
    <row r="716" spans="11:15">
      <c r="K716" s="1469">
        <v>42773</v>
      </c>
      <c r="L716" s="1470" t="s">
        <v>2129</v>
      </c>
      <c r="M716" s="1471">
        <v>4.8159E-2</v>
      </c>
      <c r="N716" s="1472">
        <v>1.2859419863547097</v>
      </c>
      <c r="O716" s="1472">
        <v>1.2879968192219118</v>
      </c>
    </row>
    <row r="717" spans="11:15">
      <c r="K717" s="1469">
        <v>42774</v>
      </c>
      <c r="L717" s="1470" t="s">
        <v>2129</v>
      </c>
      <c r="M717" s="1471">
        <v>4.8159E-2</v>
      </c>
      <c r="N717" s="1472">
        <v>1.2865612831559181</v>
      </c>
      <c r="O717" s="1472">
        <v>1.2886734168310172</v>
      </c>
    </row>
    <row r="718" spans="11:15">
      <c r="K718" s="1469">
        <v>42775</v>
      </c>
      <c r="L718" s="1470" t="s">
        <v>2129</v>
      </c>
      <c r="M718" s="1471">
        <v>4.8159E-2</v>
      </c>
      <c r="N718" s="1472">
        <v>1.2871808782042731</v>
      </c>
      <c r="O718" s="1472">
        <v>1.2893503698636126</v>
      </c>
    </row>
    <row r="719" spans="11:15">
      <c r="K719" s="1469">
        <v>42776</v>
      </c>
      <c r="L719" s="1470" t="s">
        <v>2129</v>
      </c>
      <c r="M719" s="1471">
        <v>4.8159E-2</v>
      </c>
      <c r="N719" s="1472">
        <v>1.2878007716434074</v>
      </c>
      <c r="O719" s="1472">
        <v>1.2900276785064058</v>
      </c>
    </row>
    <row r="720" spans="11:15">
      <c r="K720" s="1469">
        <v>42777</v>
      </c>
      <c r="L720" s="1470"/>
      <c r="M720" s="1471">
        <v>0</v>
      </c>
      <c r="N720" s="1472">
        <v>1.2878007716434074</v>
      </c>
      <c r="O720" s="1472">
        <v>1.2900276785064058</v>
      </c>
    </row>
    <row r="721" spans="11:15">
      <c r="K721" s="1469">
        <v>42778</v>
      </c>
      <c r="L721" s="1470"/>
      <c r="M721" s="1471">
        <v>0</v>
      </c>
      <c r="N721" s="1472">
        <v>1.2878007716434074</v>
      </c>
      <c r="O721" s="1472">
        <v>1.2900276785064058</v>
      </c>
    </row>
    <row r="722" spans="11:15">
      <c r="K722" s="1469">
        <v>42779</v>
      </c>
      <c r="L722" s="1470" t="s">
        <v>2129</v>
      </c>
      <c r="M722" s="1471">
        <v>4.8159E-2</v>
      </c>
      <c r="N722" s="1472">
        <v>1.2884209636170232</v>
      </c>
      <c r="O722" s="1472">
        <v>1.2907053429462019</v>
      </c>
    </row>
    <row r="723" spans="11:15">
      <c r="K723" s="1469">
        <v>42780</v>
      </c>
      <c r="L723" s="1470" t="s">
        <v>2129</v>
      </c>
      <c r="M723" s="1471">
        <v>4.8159E-2</v>
      </c>
      <c r="N723" s="1472">
        <v>1.2890414542688915</v>
      </c>
      <c r="O723" s="1472">
        <v>1.291383363369905</v>
      </c>
    </row>
    <row r="724" spans="11:15">
      <c r="K724" s="1469">
        <v>42781</v>
      </c>
      <c r="L724" s="1470" t="s">
        <v>2129</v>
      </c>
      <c r="M724" s="1471">
        <v>4.8159E-2</v>
      </c>
      <c r="N724" s="1472">
        <v>1.2896622437428527</v>
      </c>
      <c r="O724" s="1472">
        <v>1.2920617399645169</v>
      </c>
    </row>
    <row r="725" spans="11:15">
      <c r="K725" s="1469">
        <v>42782</v>
      </c>
      <c r="L725" s="1470" t="s">
        <v>2129</v>
      </c>
      <c r="M725" s="1471">
        <v>4.8159E-2</v>
      </c>
      <c r="N725" s="1472">
        <v>1.2902833321828167</v>
      </c>
      <c r="O725" s="1472">
        <v>1.2927404729171377</v>
      </c>
    </row>
    <row r="726" spans="11:15">
      <c r="K726" s="1469">
        <v>42783</v>
      </c>
      <c r="L726" s="1470" t="s">
        <v>2129</v>
      </c>
      <c r="M726" s="1471">
        <v>4.8159E-2</v>
      </c>
      <c r="N726" s="1472">
        <v>1.2909047197327626</v>
      </c>
      <c r="O726" s="1472">
        <v>1.2934195624149658</v>
      </c>
    </row>
    <row r="727" spans="11:15">
      <c r="K727" s="1469">
        <v>42784</v>
      </c>
      <c r="L727" s="1470"/>
      <c r="M727" s="1471">
        <v>0</v>
      </c>
      <c r="N727" s="1472">
        <v>1.2909047197327626</v>
      </c>
      <c r="O727" s="1472">
        <v>1.2934195624149658</v>
      </c>
    </row>
    <row r="728" spans="11:15">
      <c r="K728" s="1469">
        <v>42785</v>
      </c>
      <c r="L728" s="1470"/>
      <c r="M728" s="1471">
        <v>0</v>
      </c>
      <c r="N728" s="1472">
        <v>1.2909047197327626</v>
      </c>
      <c r="O728" s="1472">
        <v>1.2934195624149658</v>
      </c>
    </row>
    <row r="729" spans="11:15">
      <c r="K729" s="1469">
        <v>42786</v>
      </c>
      <c r="L729" s="1470" t="s">
        <v>2129</v>
      </c>
      <c r="M729" s="1471">
        <v>4.8159E-2</v>
      </c>
      <c r="N729" s="1472">
        <v>1.2915264065367384</v>
      </c>
      <c r="O729" s="1472">
        <v>1.2940990086452979</v>
      </c>
    </row>
    <row r="730" spans="11:15">
      <c r="K730" s="1469">
        <v>42787</v>
      </c>
      <c r="L730" s="1470" t="s">
        <v>2129</v>
      </c>
      <c r="M730" s="1471">
        <v>4.8159E-2</v>
      </c>
      <c r="N730" s="1472">
        <v>1.2921483927388624</v>
      </c>
      <c r="O730" s="1472">
        <v>1.2947788117955294</v>
      </c>
    </row>
    <row r="731" spans="11:15">
      <c r="K731" s="1469">
        <v>42788</v>
      </c>
      <c r="L731" s="1470" t="s">
        <v>2129</v>
      </c>
      <c r="M731" s="1471">
        <v>4.8159E-2</v>
      </c>
      <c r="N731" s="1472">
        <v>1.2927706784833215</v>
      </c>
      <c r="O731" s="1472">
        <v>1.2954589720531537</v>
      </c>
    </row>
    <row r="732" spans="11:15">
      <c r="K732" s="1469">
        <v>42789</v>
      </c>
      <c r="L732" s="1470" t="s">
        <v>2129</v>
      </c>
      <c r="M732" s="1471">
        <v>4.5512999999999998E-2</v>
      </c>
      <c r="N732" s="1472">
        <v>1.2933590572022196</v>
      </c>
      <c r="O732" s="1472">
        <v>1.296139489605763</v>
      </c>
    </row>
    <row r="733" spans="11:15">
      <c r="K733" s="1469">
        <v>42790</v>
      </c>
      <c r="L733" s="1470" t="s">
        <v>2129</v>
      </c>
      <c r="M733" s="1471">
        <v>4.5512999999999998E-2</v>
      </c>
      <c r="N733" s="1472">
        <v>1.2939477037099241</v>
      </c>
      <c r="O733" s="1472">
        <v>1.2968203646410479</v>
      </c>
    </row>
    <row r="734" spans="11:15">
      <c r="K734" s="1469">
        <v>42791</v>
      </c>
      <c r="L734" s="1470"/>
      <c r="M734" s="1471">
        <v>0</v>
      </c>
      <c r="N734" s="1472">
        <v>1.2939477037099241</v>
      </c>
      <c r="O734" s="1472">
        <v>1.2968203646410479</v>
      </c>
    </row>
    <row r="735" spans="11:15">
      <c r="K735" s="1469">
        <v>42792</v>
      </c>
      <c r="L735" s="1470"/>
      <c r="M735" s="1471">
        <v>0</v>
      </c>
      <c r="N735" s="1472">
        <v>1.2939477037099241</v>
      </c>
      <c r="O735" s="1472">
        <v>1.2968203646410479</v>
      </c>
    </row>
    <row r="736" spans="11:15">
      <c r="K736" s="1469">
        <v>42793</v>
      </c>
      <c r="L736" s="1470"/>
      <c r="M736" s="1471">
        <v>0</v>
      </c>
      <c r="N736" s="1472">
        <v>1.2939477037099241</v>
      </c>
      <c r="O736" s="1472">
        <v>1.2968203646410479</v>
      </c>
    </row>
    <row r="737" spans="11:15">
      <c r="K737" s="1469">
        <v>42794</v>
      </c>
      <c r="L737" s="1470"/>
      <c r="M737" s="1471">
        <v>0</v>
      </c>
      <c r="N737" s="1472">
        <v>1.2939477037099241</v>
      </c>
      <c r="O737" s="1472">
        <v>1.2968203646410479</v>
      </c>
    </row>
    <row r="738" spans="11:15">
      <c r="K738" s="1469">
        <v>42795</v>
      </c>
      <c r="L738" s="1470" t="s">
        <v>2129</v>
      </c>
      <c r="M738" s="1471">
        <v>4.5512999999999998E-2</v>
      </c>
      <c r="N738" s="1472">
        <v>1.2945366181283136</v>
      </c>
      <c r="O738" s="1472">
        <v>1.2975015973467974</v>
      </c>
    </row>
    <row r="739" spans="11:15">
      <c r="K739" s="1469">
        <v>42796</v>
      </c>
      <c r="L739" s="1470" t="s">
        <v>2129</v>
      </c>
      <c r="M739" s="1471">
        <v>4.5512999999999998E-2</v>
      </c>
      <c r="N739" s="1472">
        <v>1.2951258005793223</v>
      </c>
      <c r="O739" s="1472">
        <v>1.2981831879108996</v>
      </c>
    </row>
    <row r="740" spans="11:15">
      <c r="K740" s="1469">
        <v>42797</v>
      </c>
      <c r="L740" s="1470" t="s">
        <v>2129</v>
      </c>
      <c r="M740" s="1471">
        <v>4.5512999999999998E-2</v>
      </c>
      <c r="N740" s="1472">
        <v>1.2957152511849399</v>
      </c>
      <c r="O740" s="1472">
        <v>1.2988651365213411</v>
      </c>
    </row>
    <row r="741" spans="11:15">
      <c r="K741" s="1469">
        <v>42798</v>
      </c>
      <c r="L741" s="1470"/>
      <c r="M741" s="1471">
        <v>0</v>
      </c>
      <c r="N741" s="1472">
        <v>1.2957152511849399</v>
      </c>
      <c r="O741" s="1472">
        <v>1.2988651365213411</v>
      </c>
    </row>
    <row r="742" spans="11:15">
      <c r="K742" s="1469">
        <v>42799</v>
      </c>
      <c r="L742" s="1470"/>
      <c r="M742" s="1471">
        <v>0</v>
      </c>
      <c r="N742" s="1472">
        <v>1.2957152511849399</v>
      </c>
      <c r="O742" s="1472">
        <v>1.2988651365213411</v>
      </c>
    </row>
    <row r="743" spans="11:15">
      <c r="K743" s="1469">
        <v>42800</v>
      </c>
      <c r="L743" s="1470" t="s">
        <v>2129</v>
      </c>
      <c r="M743" s="1471">
        <v>4.5512999999999998E-2</v>
      </c>
      <c r="N743" s="1472">
        <v>1.2963049700672116</v>
      </c>
      <c r="O743" s="1472">
        <v>1.2995474433662071</v>
      </c>
    </row>
    <row r="744" spans="11:15">
      <c r="K744" s="1469">
        <v>42801</v>
      </c>
      <c r="L744" s="1470" t="s">
        <v>2129</v>
      </c>
      <c r="M744" s="1471">
        <v>4.5512999999999998E-2</v>
      </c>
      <c r="N744" s="1472">
        <v>1.2968949573482382</v>
      </c>
      <c r="O744" s="1472">
        <v>1.3002301086336818</v>
      </c>
    </row>
    <row r="745" spans="11:15">
      <c r="K745" s="1469">
        <v>42802</v>
      </c>
      <c r="L745" s="1470" t="s">
        <v>2129</v>
      </c>
      <c r="M745" s="1471">
        <v>4.5512999999999998E-2</v>
      </c>
      <c r="N745" s="1472">
        <v>1.2974852131501762</v>
      </c>
      <c r="O745" s="1472">
        <v>1.3009131325120482</v>
      </c>
    </row>
    <row r="746" spans="11:15">
      <c r="K746" s="1469">
        <v>42803</v>
      </c>
      <c r="L746" s="1470" t="s">
        <v>2129</v>
      </c>
      <c r="M746" s="1471">
        <v>4.5512999999999998E-2</v>
      </c>
      <c r="N746" s="1472">
        <v>1.2980757375952372</v>
      </c>
      <c r="O746" s="1472">
        <v>1.3015965151896882</v>
      </c>
    </row>
    <row r="747" spans="11:15">
      <c r="K747" s="1469">
        <v>42804</v>
      </c>
      <c r="L747" s="1470" t="s">
        <v>2129</v>
      </c>
      <c r="M747" s="1471">
        <v>4.5512999999999998E-2</v>
      </c>
      <c r="N747" s="1472">
        <v>1.2986665308056888</v>
      </c>
      <c r="O747" s="1472">
        <v>1.3022802568550824</v>
      </c>
    </row>
    <row r="748" spans="11:15">
      <c r="K748" s="1469">
        <v>42805</v>
      </c>
      <c r="L748" s="1470"/>
      <c r="M748" s="1471">
        <v>0</v>
      </c>
      <c r="N748" s="1472">
        <v>1.2986665308056888</v>
      </c>
      <c r="O748" s="1472">
        <v>1.3022802568550824</v>
      </c>
    </row>
    <row r="749" spans="11:15">
      <c r="K749" s="1469">
        <v>42806</v>
      </c>
      <c r="L749" s="1470"/>
      <c r="M749" s="1471">
        <v>0</v>
      </c>
      <c r="N749" s="1472">
        <v>1.2986665308056888</v>
      </c>
      <c r="O749" s="1472">
        <v>1.3022802568550824</v>
      </c>
    </row>
    <row r="750" spans="11:15">
      <c r="K750" s="1469">
        <v>42807</v>
      </c>
      <c r="L750" s="1470" t="s">
        <v>2129</v>
      </c>
      <c r="M750" s="1471">
        <v>4.5512999999999998E-2</v>
      </c>
      <c r="N750" s="1472">
        <v>1.2992575929038543</v>
      </c>
      <c r="O750" s="1472">
        <v>1.3029643576968111</v>
      </c>
    </row>
    <row r="751" spans="11:15">
      <c r="K751" s="1469">
        <v>42808</v>
      </c>
      <c r="L751" s="1470" t="s">
        <v>2129</v>
      </c>
      <c r="M751" s="1471">
        <v>4.5512999999999998E-2</v>
      </c>
      <c r="N751" s="1472">
        <v>1.2998489240121127</v>
      </c>
      <c r="O751" s="1472">
        <v>1.3036488179035528</v>
      </c>
    </row>
    <row r="752" spans="11:15">
      <c r="K752" s="1469">
        <v>42809</v>
      </c>
      <c r="L752" s="1470" t="s">
        <v>2129</v>
      </c>
      <c r="M752" s="1471">
        <v>4.5512999999999998E-2</v>
      </c>
      <c r="N752" s="1472">
        <v>1.3004405242528982</v>
      </c>
      <c r="O752" s="1472">
        <v>1.3043336376640857</v>
      </c>
    </row>
    <row r="753" spans="11:15">
      <c r="K753" s="1469">
        <v>42810</v>
      </c>
      <c r="L753" s="1470" t="s">
        <v>2129</v>
      </c>
      <c r="M753" s="1471">
        <v>4.5512999999999998E-2</v>
      </c>
      <c r="N753" s="1472">
        <v>1.3010323937487014</v>
      </c>
      <c r="O753" s="1472">
        <v>1.305018817167287</v>
      </c>
    </row>
    <row r="754" spans="11:15">
      <c r="K754" s="1469">
        <v>42811</v>
      </c>
      <c r="L754" s="1470" t="s">
        <v>2129</v>
      </c>
      <c r="M754" s="1471">
        <v>4.5512999999999998E-2</v>
      </c>
      <c r="N754" s="1472">
        <v>1.3016245326220681</v>
      </c>
      <c r="O754" s="1472">
        <v>1.3057043566021331</v>
      </c>
    </row>
    <row r="755" spans="11:15">
      <c r="K755" s="1469">
        <v>42812</v>
      </c>
      <c r="L755" s="1470"/>
      <c r="M755" s="1471">
        <v>0</v>
      </c>
      <c r="N755" s="1472">
        <v>1.3016245326220681</v>
      </c>
      <c r="O755" s="1472">
        <v>1.3057043566021331</v>
      </c>
    </row>
    <row r="756" spans="11:15">
      <c r="K756" s="1469">
        <v>42813</v>
      </c>
      <c r="L756" s="1470"/>
      <c r="M756" s="1471">
        <v>0</v>
      </c>
      <c r="N756" s="1472">
        <v>1.3016245326220681</v>
      </c>
      <c r="O756" s="1472">
        <v>1.3057043566021331</v>
      </c>
    </row>
    <row r="757" spans="11:15">
      <c r="K757" s="1469">
        <v>42814</v>
      </c>
      <c r="L757" s="1470" t="s">
        <v>2129</v>
      </c>
      <c r="M757" s="1471">
        <v>4.5512999999999998E-2</v>
      </c>
      <c r="N757" s="1472">
        <v>1.3022169409956004</v>
      </c>
      <c r="O757" s="1472">
        <v>1.3063902561576999</v>
      </c>
    </row>
    <row r="758" spans="11:15">
      <c r="K758" s="1469">
        <v>42815</v>
      </c>
      <c r="L758" s="1470" t="s">
        <v>2129</v>
      </c>
      <c r="M758" s="1471">
        <v>4.5512999999999998E-2</v>
      </c>
      <c r="N758" s="1472">
        <v>1.3028096189919556</v>
      </c>
      <c r="O758" s="1472">
        <v>1.3070765160231621</v>
      </c>
    </row>
    <row r="759" spans="11:15">
      <c r="K759" s="1469">
        <v>42816</v>
      </c>
      <c r="L759" s="1470" t="s">
        <v>2129</v>
      </c>
      <c r="M759" s="1471">
        <v>4.5512999999999998E-2</v>
      </c>
      <c r="N759" s="1472">
        <v>1.3034025667338474</v>
      </c>
      <c r="O759" s="1472">
        <v>1.3077631363877942</v>
      </c>
    </row>
    <row r="760" spans="11:15">
      <c r="K760" s="1469">
        <v>42817</v>
      </c>
      <c r="L760" s="1470" t="s">
        <v>2129</v>
      </c>
      <c r="M760" s="1471">
        <v>4.5512999999999998E-2</v>
      </c>
      <c r="N760" s="1472">
        <v>1.3039957843440448</v>
      </c>
      <c r="O760" s="1472">
        <v>1.30845011744097</v>
      </c>
    </row>
    <row r="761" spans="11:15">
      <c r="K761" s="1469">
        <v>42818</v>
      </c>
      <c r="L761" s="1470" t="s">
        <v>2129</v>
      </c>
      <c r="M761" s="1471">
        <v>4.5512999999999998E-2</v>
      </c>
      <c r="N761" s="1472">
        <v>1.3045892719453733</v>
      </c>
      <c r="O761" s="1472">
        <v>1.309137459372163</v>
      </c>
    </row>
    <row r="762" spans="11:15">
      <c r="K762" s="1469">
        <v>42819</v>
      </c>
      <c r="L762" s="1470"/>
      <c r="M762" s="1471">
        <v>0</v>
      </c>
      <c r="N762" s="1472">
        <v>1.3045892719453733</v>
      </c>
      <c r="O762" s="1472">
        <v>1.309137459372163</v>
      </c>
    </row>
    <row r="763" spans="11:15">
      <c r="K763" s="1469">
        <v>42820</v>
      </c>
      <c r="L763" s="1470"/>
      <c r="M763" s="1471">
        <v>0</v>
      </c>
      <c r="N763" s="1472">
        <v>1.3045892719453733</v>
      </c>
      <c r="O763" s="1472">
        <v>1.309137459372163</v>
      </c>
    </row>
    <row r="764" spans="11:15">
      <c r="K764" s="1469">
        <v>42821</v>
      </c>
      <c r="L764" s="1470" t="s">
        <v>2129</v>
      </c>
      <c r="M764" s="1471">
        <v>4.5512999999999998E-2</v>
      </c>
      <c r="N764" s="1472">
        <v>1.3051830296607139</v>
      </c>
      <c r="O764" s="1472">
        <v>1.3098251623709458</v>
      </c>
    </row>
    <row r="765" spans="11:15">
      <c r="K765" s="1469">
        <v>42822</v>
      </c>
      <c r="L765" s="1470" t="s">
        <v>2129</v>
      </c>
      <c r="M765" s="1471">
        <v>4.5512999999999998E-2</v>
      </c>
      <c r="N765" s="1472">
        <v>1.3057770576130032</v>
      </c>
      <c r="O765" s="1472">
        <v>1.310513226626991</v>
      </c>
    </row>
    <row r="766" spans="11:15">
      <c r="K766" s="1469">
        <v>42823</v>
      </c>
      <c r="L766" s="1470" t="s">
        <v>2129</v>
      </c>
      <c r="M766" s="1471">
        <v>4.5512999999999998E-2</v>
      </c>
      <c r="N766" s="1472">
        <v>1.3063713559252346</v>
      </c>
      <c r="O766" s="1472">
        <v>1.3112016523300705</v>
      </c>
    </row>
    <row r="767" spans="11:15">
      <c r="K767" s="1469">
        <v>42824</v>
      </c>
      <c r="L767" s="1470" t="s">
        <v>2129</v>
      </c>
      <c r="M767" s="1471">
        <v>4.5512999999999998E-2</v>
      </c>
      <c r="N767" s="1472">
        <v>1.3069659247204568</v>
      </c>
      <c r="O767" s="1472">
        <v>1.3118904396700559</v>
      </c>
    </row>
    <row r="768" spans="11:15">
      <c r="K768" s="1469">
        <v>42825</v>
      </c>
      <c r="L768" s="1470" t="s">
        <v>2129</v>
      </c>
      <c r="M768" s="1471">
        <v>4.5512999999999998E-2</v>
      </c>
      <c r="N768" s="1472">
        <v>1.3075607641217748</v>
      </c>
      <c r="O768" s="1472">
        <v>1.3125795888369189</v>
      </c>
    </row>
    <row r="769" spans="11:15">
      <c r="K769" s="1469">
        <v>42826</v>
      </c>
      <c r="L769" s="1470"/>
      <c r="M769" s="1471">
        <v>0</v>
      </c>
      <c r="N769" s="1472">
        <v>1.3075607641217748</v>
      </c>
      <c r="O769" s="1472">
        <v>1.3125795888369189</v>
      </c>
    </row>
    <row r="770" spans="11:15">
      <c r="K770" s="1469">
        <v>42827</v>
      </c>
      <c r="L770" s="1470"/>
      <c r="M770" s="1471">
        <v>0</v>
      </c>
      <c r="N770" s="1472">
        <v>1.3075607641217748</v>
      </c>
      <c r="O770" s="1472">
        <v>1.3125795888369189</v>
      </c>
    </row>
    <row r="771" spans="11:15">
      <c r="K771" s="1469">
        <v>42828</v>
      </c>
      <c r="L771" s="1470" t="s">
        <v>2129</v>
      </c>
      <c r="M771" s="1471">
        <v>4.5512999999999998E-2</v>
      </c>
      <c r="N771" s="1472">
        <v>1.3081558742523496</v>
      </c>
      <c r="O771" s="1472">
        <v>1.3132691000207308</v>
      </c>
    </row>
    <row r="772" spans="11:15">
      <c r="K772" s="1469">
        <v>42829</v>
      </c>
      <c r="L772" s="1470" t="s">
        <v>2129</v>
      </c>
      <c r="M772" s="1471">
        <v>4.5512999999999998E-2</v>
      </c>
      <c r="N772" s="1472">
        <v>1.3087512552353979</v>
      </c>
      <c r="O772" s="1472">
        <v>1.3139589734116628</v>
      </c>
    </row>
    <row r="773" spans="11:15">
      <c r="K773" s="1469">
        <v>42830</v>
      </c>
      <c r="L773" s="1470" t="s">
        <v>2129</v>
      </c>
      <c r="M773" s="1471">
        <v>4.5512999999999998E-2</v>
      </c>
      <c r="N773" s="1472">
        <v>1.3093469071941932</v>
      </c>
      <c r="O773" s="1472">
        <v>1.3146492091999857</v>
      </c>
    </row>
    <row r="774" spans="11:15">
      <c r="K774" s="1469">
        <v>42831</v>
      </c>
      <c r="L774" s="1470" t="s">
        <v>2129</v>
      </c>
      <c r="M774" s="1471">
        <v>4.5512999999999998E-2</v>
      </c>
      <c r="N774" s="1472">
        <v>1.3099428302520644</v>
      </c>
      <c r="O774" s="1472">
        <v>1.3153398075760705</v>
      </c>
    </row>
    <row r="775" spans="11:15">
      <c r="K775" s="1469">
        <v>42832</v>
      </c>
      <c r="L775" s="1470" t="s">
        <v>2129</v>
      </c>
      <c r="M775" s="1471">
        <v>4.5512999999999998E-2</v>
      </c>
      <c r="N775" s="1472">
        <v>1.3105390245323969</v>
      </c>
      <c r="O775" s="1472">
        <v>1.3160307687303883</v>
      </c>
    </row>
    <row r="776" spans="11:15">
      <c r="K776" s="1469">
        <v>42833</v>
      </c>
      <c r="L776" s="1470"/>
      <c r="M776" s="1471">
        <v>0</v>
      </c>
      <c r="N776" s="1472">
        <v>1.3105390245323969</v>
      </c>
      <c r="O776" s="1472">
        <v>1.3160307687303883</v>
      </c>
    </row>
    <row r="777" spans="11:15">
      <c r="K777" s="1469">
        <v>42834</v>
      </c>
      <c r="L777" s="1470"/>
      <c r="M777" s="1471">
        <v>0</v>
      </c>
      <c r="N777" s="1472">
        <v>1.3105390245323969</v>
      </c>
      <c r="O777" s="1472">
        <v>1.3160307687303883</v>
      </c>
    </row>
    <row r="778" spans="11:15">
      <c r="K778" s="1469">
        <v>42835</v>
      </c>
      <c r="L778" s="1470" t="s">
        <v>2129</v>
      </c>
      <c r="M778" s="1471">
        <v>4.5512999999999998E-2</v>
      </c>
      <c r="N778" s="1472">
        <v>1.3111354901586323</v>
      </c>
      <c r="O778" s="1472">
        <v>1.3167220928535099</v>
      </c>
    </row>
    <row r="779" spans="11:15">
      <c r="K779" s="1469">
        <v>42836</v>
      </c>
      <c r="L779" s="1470" t="s">
        <v>2129</v>
      </c>
      <c r="M779" s="1471">
        <v>4.5512999999999998E-2</v>
      </c>
      <c r="N779" s="1472">
        <v>1.3117322272542682</v>
      </c>
      <c r="O779" s="1472">
        <v>1.3174137801361068</v>
      </c>
    </row>
    <row r="780" spans="11:15">
      <c r="K780" s="1469">
        <v>42837</v>
      </c>
      <c r="L780" s="1470" t="s">
        <v>2129</v>
      </c>
      <c r="M780" s="1471">
        <v>4.5512999999999998E-2</v>
      </c>
      <c r="N780" s="1472">
        <v>1.3123292359428584</v>
      </c>
      <c r="O780" s="1472">
        <v>1.3181058307689502</v>
      </c>
    </row>
    <row r="781" spans="11:15">
      <c r="K781" s="1469">
        <v>42838</v>
      </c>
      <c r="L781" s="1470" t="s">
        <v>2129</v>
      </c>
      <c r="M781" s="1471">
        <v>4.1957000000000001E-2</v>
      </c>
      <c r="N781" s="1472">
        <v>1.3128798499203831</v>
      </c>
      <c r="O781" s="1472">
        <v>1.3187982449429114</v>
      </c>
    </row>
    <row r="782" spans="11:15">
      <c r="K782" s="1469">
        <v>42839</v>
      </c>
      <c r="L782" s="1470"/>
      <c r="M782" s="1471">
        <v>0</v>
      </c>
      <c r="N782" s="1472">
        <v>1.3128798499203831</v>
      </c>
      <c r="O782" s="1472">
        <v>1.3187982449429114</v>
      </c>
    </row>
    <row r="783" spans="11:15">
      <c r="K783" s="1469">
        <v>42840</v>
      </c>
      <c r="L783" s="1470"/>
      <c r="M783" s="1471">
        <v>0</v>
      </c>
      <c r="N783" s="1472">
        <v>1.3128798499203831</v>
      </c>
      <c r="O783" s="1472">
        <v>1.3187982449429114</v>
      </c>
    </row>
    <row r="784" spans="11:15">
      <c r="K784" s="1469">
        <v>42841</v>
      </c>
      <c r="L784" s="1470"/>
      <c r="M784" s="1471">
        <v>0</v>
      </c>
      <c r="N784" s="1472">
        <v>1.3128798499203831</v>
      </c>
      <c r="O784" s="1472">
        <v>1.3187982449429114</v>
      </c>
    </row>
    <row r="785" spans="11:15">
      <c r="K785" s="1469">
        <v>42842</v>
      </c>
      <c r="L785" s="1470" t="s">
        <v>2129</v>
      </c>
      <c r="M785" s="1471">
        <v>4.1957000000000001E-2</v>
      </c>
      <c r="N785" s="1472">
        <v>1.3134306949190142</v>
      </c>
      <c r="O785" s="1472">
        <v>1.3194910228489625</v>
      </c>
    </row>
    <row r="786" spans="11:15">
      <c r="K786" s="1469">
        <v>42843</v>
      </c>
      <c r="L786" s="1470" t="s">
        <v>2129</v>
      </c>
      <c r="M786" s="1471">
        <v>4.1957000000000001E-2</v>
      </c>
      <c r="N786" s="1472">
        <v>1.3139817710356814</v>
      </c>
      <c r="O786" s="1472">
        <v>1.3201841646781753</v>
      </c>
    </row>
    <row r="787" spans="11:15">
      <c r="K787" s="1469">
        <v>42844</v>
      </c>
      <c r="L787" s="1470" t="s">
        <v>2129</v>
      </c>
      <c r="M787" s="1471">
        <v>4.1957000000000001E-2</v>
      </c>
      <c r="N787" s="1472">
        <v>1.3145330783673548</v>
      </c>
      <c r="O787" s="1472">
        <v>1.3208776706217225</v>
      </c>
    </row>
    <row r="788" spans="11:15">
      <c r="K788" s="1469">
        <v>42845</v>
      </c>
      <c r="L788" s="1470" t="s">
        <v>2129</v>
      </c>
      <c r="M788" s="1471">
        <v>4.1957000000000001E-2</v>
      </c>
      <c r="N788" s="1472">
        <v>1.3150846170110455</v>
      </c>
      <c r="O788" s="1472">
        <v>1.3215715408708768</v>
      </c>
    </row>
    <row r="789" spans="11:15">
      <c r="K789" s="1469">
        <v>42846</v>
      </c>
      <c r="L789" s="1470"/>
      <c r="M789" s="1471">
        <v>0</v>
      </c>
      <c r="N789" s="1472">
        <v>1.3150846170110455</v>
      </c>
      <c r="O789" s="1472">
        <v>1.3215715408708768</v>
      </c>
    </row>
    <row r="790" spans="11:15">
      <c r="K790" s="1469">
        <v>42847</v>
      </c>
      <c r="L790" s="1470"/>
      <c r="M790" s="1471">
        <v>0</v>
      </c>
      <c r="N790" s="1472">
        <v>1.3150846170110455</v>
      </c>
      <c r="O790" s="1472">
        <v>1.3215715408708768</v>
      </c>
    </row>
    <row r="791" spans="11:15">
      <c r="K791" s="1469">
        <v>42848</v>
      </c>
      <c r="L791" s="1470"/>
      <c r="M791" s="1471">
        <v>0</v>
      </c>
      <c r="N791" s="1472">
        <v>1.3150846170110455</v>
      </c>
      <c r="O791" s="1472">
        <v>1.3215715408708768</v>
      </c>
    </row>
    <row r="792" spans="11:15">
      <c r="K792" s="1469">
        <v>42849</v>
      </c>
      <c r="L792" s="1470" t="s">
        <v>2129</v>
      </c>
      <c r="M792" s="1471">
        <v>4.1957000000000001E-2</v>
      </c>
      <c r="N792" s="1472">
        <v>1.3156363870638048</v>
      </c>
      <c r="O792" s="1472">
        <v>1.3222657756170118</v>
      </c>
    </row>
    <row r="793" spans="11:15">
      <c r="K793" s="1469">
        <v>42850</v>
      </c>
      <c r="L793" s="1470" t="s">
        <v>2129</v>
      </c>
      <c r="M793" s="1471">
        <v>4.1957000000000001E-2</v>
      </c>
      <c r="N793" s="1472">
        <v>1.3161883886227252</v>
      </c>
      <c r="O793" s="1472">
        <v>1.322960375051601</v>
      </c>
    </row>
    <row r="794" spans="11:15">
      <c r="K794" s="1469">
        <v>42851</v>
      </c>
      <c r="L794" s="1470" t="s">
        <v>2129</v>
      </c>
      <c r="M794" s="1471">
        <v>4.1957000000000001E-2</v>
      </c>
      <c r="N794" s="1472">
        <v>1.3167406217849398</v>
      </c>
      <c r="O794" s="1472">
        <v>1.3236553393662194</v>
      </c>
    </row>
    <row r="795" spans="11:15">
      <c r="K795" s="1469">
        <v>42852</v>
      </c>
      <c r="L795" s="1470" t="s">
        <v>2129</v>
      </c>
      <c r="M795" s="1471">
        <v>4.1957000000000001E-2</v>
      </c>
      <c r="N795" s="1472">
        <v>1.3172930866476222</v>
      </c>
      <c r="O795" s="1472">
        <v>1.3243506687525419</v>
      </c>
    </row>
    <row r="796" spans="11:15">
      <c r="K796" s="1469">
        <v>42853</v>
      </c>
      <c r="L796" s="1470" t="s">
        <v>2129</v>
      </c>
      <c r="M796" s="1471">
        <v>4.1957000000000001E-2</v>
      </c>
      <c r="N796" s="1472">
        <v>1.3178457833079871</v>
      </c>
      <c r="O796" s="1472">
        <v>1.3250463634023444</v>
      </c>
    </row>
    <row r="797" spans="11:15">
      <c r="K797" s="1469">
        <v>42854</v>
      </c>
      <c r="L797" s="1470"/>
      <c r="M797" s="1471">
        <v>0</v>
      </c>
      <c r="N797" s="1472">
        <v>1.3178457833079871</v>
      </c>
      <c r="O797" s="1472">
        <v>1.3250463634023444</v>
      </c>
    </row>
    <row r="798" spans="11:15">
      <c r="K798" s="1469">
        <v>42855</v>
      </c>
      <c r="L798" s="1470"/>
      <c r="M798" s="1471">
        <v>0</v>
      </c>
      <c r="N798" s="1472">
        <v>1.3178457833079871</v>
      </c>
      <c r="O798" s="1472">
        <v>1.3250463634023444</v>
      </c>
    </row>
    <row r="799" spans="11:15">
      <c r="K799" s="1469">
        <v>42856</v>
      </c>
      <c r="L799" s="1470"/>
      <c r="M799" s="1471">
        <v>0</v>
      </c>
      <c r="N799" s="1472">
        <v>1.3178457833079871</v>
      </c>
      <c r="O799" s="1472">
        <v>1.3250463634023444</v>
      </c>
    </row>
    <row r="800" spans="11:15">
      <c r="K800" s="1469">
        <v>42857</v>
      </c>
      <c r="L800" s="1470" t="s">
        <v>2129</v>
      </c>
      <c r="M800" s="1471">
        <v>4.1957000000000001E-2</v>
      </c>
      <c r="N800" s="1472">
        <v>1.3183987118632896</v>
      </c>
      <c r="O800" s="1472">
        <v>1.3257424235075033</v>
      </c>
    </row>
    <row r="801" spans="11:15">
      <c r="K801" s="1469">
        <v>42858</v>
      </c>
      <c r="L801" s="1470" t="s">
        <v>2129</v>
      </c>
      <c r="M801" s="1471">
        <v>4.1957000000000001E-2</v>
      </c>
      <c r="N801" s="1472">
        <v>1.3189518724108262</v>
      </c>
      <c r="O801" s="1472">
        <v>1.3264388492599959</v>
      </c>
    </row>
    <row r="802" spans="11:15">
      <c r="K802" s="1469">
        <v>42859</v>
      </c>
      <c r="L802" s="1470" t="s">
        <v>2129</v>
      </c>
      <c r="M802" s="1471">
        <v>4.1957000000000001E-2</v>
      </c>
      <c r="N802" s="1472">
        <v>1.3195052650479338</v>
      </c>
      <c r="O802" s="1472">
        <v>1.3271356408519006</v>
      </c>
    </row>
    <row r="803" spans="11:15">
      <c r="K803" s="1469">
        <v>42860</v>
      </c>
      <c r="L803" s="1470" t="s">
        <v>2129</v>
      </c>
      <c r="M803" s="1471">
        <v>4.1957000000000001E-2</v>
      </c>
      <c r="N803" s="1472">
        <v>1.32005888987199</v>
      </c>
      <c r="O803" s="1472">
        <v>1.3278327984753966</v>
      </c>
    </row>
    <row r="804" spans="11:15">
      <c r="K804" s="1469">
        <v>42861</v>
      </c>
      <c r="L804" s="1470"/>
      <c r="M804" s="1471">
        <v>0</v>
      </c>
      <c r="N804" s="1472">
        <v>1.32005888987199</v>
      </c>
      <c r="O804" s="1472">
        <v>1.3278327984753966</v>
      </c>
    </row>
    <row r="805" spans="11:15">
      <c r="K805" s="1469">
        <v>42862</v>
      </c>
      <c r="L805" s="1470"/>
      <c r="M805" s="1471">
        <v>0</v>
      </c>
      <c r="N805" s="1472">
        <v>1.32005888987199</v>
      </c>
      <c r="O805" s="1472">
        <v>1.3278327984753966</v>
      </c>
    </row>
    <row r="806" spans="11:15">
      <c r="K806" s="1469">
        <v>42863</v>
      </c>
      <c r="L806" s="1470" t="s">
        <v>2129</v>
      </c>
      <c r="M806" s="1471">
        <v>4.1957000000000001E-2</v>
      </c>
      <c r="N806" s="1472">
        <v>1.3206127469804136</v>
      </c>
      <c r="O806" s="1472">
        <v>1.3285303223227638</v>
      </c>
    </row>
    <row r="807" spans="11:15">
      <c r="K807" s="1469">
        <v>42864</v>
      </c>
      <c r="L807" s="1470" t="s">
        <v>2129</v>
      </c>
      <c r="M807" s="1471">
        <v>4.1957000000000001E-2</v>
      </c>
      <c r="N807" s="1472">
        <v>1.3211668364706644</v>
      </c>
      <c r="O807" s="1472">
        <v>1.3292282125863832</v>
      </c>
    </row>
    <row r="808" spans="11:15">
      <c r="K808" s="1469">
        <v>42865</v>
      </c>
      <c r="L808" s="1470" t="s">
        <v>2129</v>
      </c>
      <c r="M808" s="1471">
        <v>4.1957000000000001E-2</v>
      </c>
      <c r="N808" s="1472">
        <v>1.3217211584402424</v>
      </c>
      <c r="O808" s="1472">
        <v>1.3299264694587369</v>
      </c>
    </row>
    <row r="809" spans="11:15">
      <c r="K809" s="1469">
        <v>42866</v>
      </c>
      <c r="L809" s="1470" t="s">
        <v>2129</v>
      </c>
      <c r="M809" s="1471">
        <v>4.1957000000000001E-2</v>
      </c>
      <c r="N809" s="1472">
        <v>1.3222757129866893</v>
      </c>
      <c r="O809" s="1472">
        <v>1.3306250931324084</v>
      </c>
    </row>
    <row r="810" spans="11:15">
      <c r="K810" s="1469">
        <v>42867</v>
      </c>
      <c r="L810" s="1470" t="s">
        <v>2129</v>
      </c>
      <c r="M810" s="1471">
        <v>4.1957000000000001E-2</v>
      </c>
      <c r="N810" s="1472">
        <v>1.3228305002075873</v>
      </c>
      <c r="O810" s="1472">
        <v>1.3313240838000817</v>
      </c>
    </row>
    <row r="811" spans="11:15">
      <c r="K811" s="1469">
        <v>42868</v>
      </c>
      <c r="L811" s="1470"/>
      <c r="M811" s="1471">
        <v>0</v>
      </c>
      <c r="N811" s="1472">
        <v>1.3228305002075873</v>
      </c>
      <c r="O811" s="1472">
        <v>1.3313240838000817</v>
      </c>
    </row>
    <row r="812" spans="11:15">
      <c r="K812" s="1469">
        <v>42869</v>
      </c>
      <c r="L812" s="1470"/>
      <c r="M812" s="1471">
        <v>0</v>
      </c>
      <c r="N812" s="1472">
        <v>1.3228305002075873</v>
      </c>
      <c r="O812" s="1472">
        <v>1.3313240838000817</v>
      </c>
    </row>
    <row r="813" spans="11:15">
      <c r="K813" s="1469">
        <v>42870</v>
      </c>
      <c r="L813" s="1470" t="s">
        <v>2129</v>
      </c>
      <c r="M813" s="1471">
        <v>4.1957000000000001E-2</v>
      </c>
      <c r="N813" s="1472">
        <v>1.3233855202005596</v>
      </c>
      <c r="O813" s="1472">
        <v>1.3320234416545427</v>
      </c>
    </row>
    <row r="814" spans="11:15">
      <c r="K814" s="1469">
        <v>42871</v>
      </c>
      <c r="L814" s="1470" t="s">
        <v>2129</v>
      </c>
      <c r="M814" s="1471">
        <v>4.1957000000000001E-2</v>
      </c>
      <c r="N814" s="1472">
        <v>1.3239407730632702</v>
      </c>
      <c r="O814" s="1472">
        <v>1.3327231668886783</v>
      </c>
    </row>
    <row r="815" spans="11:15">
      <c r="K815" s="1469">
        <v>42872</v>
      </c>
      <c r="L815" s="1470" t="s">
        <v>2129</v>
      </c>
      <c r="M815" s="1471">
        <v>4.1957000000000001E-2</v>
      </c>
      <c r="N815" s="1472">
        <v>1.3244962588934244</v>
      </c>
      <c r="O815" s="1472">
        <v>1.3334232596954767</v>
      </c>
    </row>
    <row r="816" spans="11:15">
      <c r="K816" s="1469">
        <v>42873</v>
      </c>
      <c r="L816" s="1470" t="s">
        <v>2129</v>
      </c>
      <c r="M816" s="1471">
        <v>4.1957000000000001E-2</v>
      </c>
      <c r="N816" s="1472">
        <v>1.3250519777887684</v>
      </c>
      <c r="O816" s="1472">
        <v>1.3341237202680274</v>
      </c>
    </row>
    <row r="817" spans="11:15">
      <c r="K817" s="1469">
        <v>42874</v>
      </c>
      <c r="L817" s="1470" t="s">
        <v>2129</v>
      </c>
      <c r="M817" s="1471">
        <v>4.1957000000000001E-2</v>
      </c>
      <c r="N817" s="1472">
        <v>1.3256079298470893</v>
      </c>
      <c r="O817" s="1472">
        <v>1.3348245487995214</v>
      </c>
    </row>
    <row r="818" spans="11:15">
      <c r="K818" s="1469">
        <v>42875</v>
      </c>
      <c r="L818" s="1470"/>
      <c r="M818" s="1471">
        <v>0</v>
      </c>
      <c r="N818" s="1472">
        <v>1.3256079298470893</v>
      </c>
      <c r="O818" s="1472">
        <v>1.3348245487995214</v>
      </c>
    </row>
    <row r="819" spans="11:15">
      <c r="K819" s="1469">
        <v>42876</v>
      </c>
      <c r="L819" s="1470"/>
      <c r="M819" s="1471">
        <v>0</v>
      </c>
      <c r="N819" s="1472">
        <v>1.3256079298470893</v>
      </c>
      <c r="O819" s="1472">
        <v>1.3348245487995214</v>
      </c>
    </row>
    <row r="820" spans="11:15">
      <c r="K820" s="1469">
        <v>42877</v>
      </c>
      <c r="L820" s="1470" t="s">
        <v>2129</v>
      </c>
      <c r="M820" s="1471">
        <v>4.1957000000000001E-2</v>
      </c>
      <c r="N820" s="1472">
        <v>1.3261641151662154</v>
      </c>
      <c r="O820" s="1472">
        <v>1.3355257454832512</v>
      </c>
    </row>
    <row r="821" spans="11:15">
      <c r="K821" s="1469">
        <v>42878</v>
      </c>
      <c r="L821" s="1470" t="s">
        <v>2129</v>
      </c>
      <c r="M821" s="1471">
        <v>4.1957000000000001E-2</v>
      </c>
      <c r="N821" s="1472">
        <v>1.3267205338440158</v>
      </c>
      <c r="O821" s="1472">
        <v>1.336227310512611</v>
      </c>
    </row>
    <row r="822" spans="11:15">
      <c r="K822" s="1469">
        <v>42879</v>
      </c>
      <c r="L822" s="1470" t="s">
        <v>2129</v>
      </c>
      <c r="M822" s="1471">
        <v>4.1957000000000001E-2</v>
      </c>
      <c r="N822" s="1472">
        <v>1.3272771859784007</v>
      </c>
      <c r="O822" s="1472">
        <v>1.3369292440810965</v>
      </c>
    </row>
    <row r="823" spans="11:15">
      <c r="K823" s="1469">
        <v>42880</v>
      </c>
      <c r="L823" s="1470" t="s">
        <v>2129</v>
      </c>
      <c r="M823" s="1471">
        <v>4.1957000000000001E-2</v>
      </c>
      <c r="N823" s="1472">
        <v>1.3278340716673218</v>
      </c>
      <c r="O823" s="1472">
        <v>1.3376315463823047</v>
      </c>
    </row>
    <row r="824" spans="11:15">
      <c r="K824" s="1469">
        <v>42881</v>
      </c>
      <c r="L824" s="1470" t="s">
        <v>2129</v>
      </c>
      <c r="M824" s="1471">
        <v>4.1957000000000001E-2</v>
      </c>
      <c r="N824" s="1472">
        <v>1.3283911910087713</v>
      </c>
      <c r="O824" s="1472">
        <v>1.3383342176099349</v>
      </c>
    </row>
    <row r="825" spans="11:15">
      <c r="K825" s="1469">
        <v>42882</v>
      </c>
      <c r="L825" s="1470"/>
      <c r="M825" s="1471">
        <v>0</v>
      </c>
      <c r="N825" s="1472">
        <v>1.3283911910087713</v>
      </c>
      <c r="O825" s="1472">
        <v>1.3383342176099349</v>
      </c>
    </row>
    <row r="826" spans="11:15">
      <c r="K826" s="1469">
        <v>42883</v>
      </c>
      <c r="L826" s="1470"/>
      <c r="M826" s="1471">
        <v>0</v>
      </c>
      <c r="N826" s="1472">
        <v>1.3283911910087713</v>
      </c>
      <c r="O826" s="1472">
        <v>1.3383342176099349</v>
      </c>
    </row>
    <row r="827" spans="11:15">
      <c r="K827" s="1469">
        <v>42884</v>
      </c>
      <c r="L827" s="1470" t="s">
        <v>2129</v>
      </c>
      <c r="M827" s="1471">
        <v>4.1957000000000001E-2</v>
      </c>
      <c r="N827" s="1472">
        <v>1.3289485441007829</v>
      </c>
      <c r="O827" s="1472">
        <v>1.3390372579577876</v>
      </c>
    </row>
    <row r="828" spans="11:15">
      <c r="K828" s="1469">
        <v>42885</v>
      </c>
      <c r="L828" s="1470" t="s">
        <v>2129</v>
      </c>
      <c r="M828" s="1471">
        <v>4.1957000000000001E-2</v>
      </c>
      <c r="N828" s="1472">
        <v>1.3295061310414313</v>
      </c>
      <c r="O828" s="1472">
        <v>1.3397406676197654</v>
      </c>
    </row>
    <row r="829" spans="11:15">
      <c r="K829" s="1469">
        <v>42886</v>
      </c>
      <c r="L829" s="1470" t="s">
        <v>2129</v>
      </c>
      <c r="M829" s="1471">
        <v>4.1957000000000001E-2</v>
      </c>
      <c r="N829" s="1472">
        <v>1.3300639519288324</v>
      </c>
      <c r="O829" s="1472">
        <v>1.3404444467898728</v>
      </c>
    </row>
    <row r="830" spans="11:15">
      <c r="K830" s="1469">
        <v>42887</v>
      </c>
      <c r="L830" s="1470" t="s">
        <v>2129</v>
      </c>
      <c r="M830" s="1471">
        <v>3.8370000000000001E-2</v>
      </c>
      <c r="N830" s="1472">
        <v>1.3305742974671875</v>
      </c>
      <c r="O830" s="1472">
        <v>1.341148595662216</v>
      </c>
    </row>
    <row r="831" spans="11:15">
      <c r="K831" s="1469">
        <v>42888</v>
      </c>
      <c r="L831" s="1470" t="s">
        <v>2129</v>
      </c>
      <c r="M831" s="1471">
        <v>3.8370000000000001E-2</v>
      </c>
      <c r="N831" s="1472">
        <v>1.3310848388251255</v>
      </c>
      <c r="O831" s="1472">
        <v>1.3418531144310033</v>
      </c>
    </row>
    <row r="832" spans="11:15">
      <c r="K832" s="1469">
        <v>42889</v>
      </c>
      <c r="L832" s="1470"/>
      <c r="M832" s="1471">
        <v>0</v>
      </c>
      <c r="N832" s="1472">
        <v>1.3310848388251255</v>
      </c>
      <c r="O832" s="1472">
        <v>1.3418531144310033</v>
      </c>
    </row>
    <row r="833" spans="11:15">
      <c r="K833" s="1469">
        <v>42890</v>
      </c>
      <c r="L833" s="1470"/>
      <c r="M833" s="1471">
        <v>0</v>
      </c>
      <c r="N833" s="1472">
        <v>1.3310848388251255</v>
      </c>
      <c r="O833" s="1472">
        <v>1.3418531144310033</v>
      </c>
    </row>
    <row r="834" spans="11:15">
      <c r="K834" s="1469">
        <v>42891</v>
      </c>
      <c r="L834" s="1470" t="s">
        <v>2129</v>
      </c>
      <c r="M834" s="1471">
        <v>3.8370000000000001E-2</v>
      </c>
      <c r="N834" s="1472">
        <v>1.3315955760777827</v>
      </c>
      <c r="O834" s="1472">
        <v>1.3425580032905451</v>
      </c>
    </row>
    <row r="835" spans="11:15">
      <c r="K835" s="1469">
        <v>42892</v>
      </c>
      <c r="L835" s="1470" t="s">
        <v>2129</v>
      </c>
      <c r="M835" s="1471">
        <v>3.8370000000000001E-2</v>
      </c>
      <c r="N835" s="1472">
        <v>1.3321065093003237</v>
      </c>
      <c r="O835" s="1472">
        <v>1.3432632624352536</v>
      </c>
    </row>
    <row r="836" spans="11:15">
      <c r="K836" s="1469">
        <v>42893</v>
      </c>
      <c r="L836" s="1470" t="s">
        <v>2129</v>
      </c>
      <c r="M836" s="1471">
        <v>3.8370000000000001E-2</v>
      </c>
      <c r="N836" s="1472">
        <v>1.3326176385679422</v>
      </c>
      <c r="O836" s="1472">
        <v>1.3439688920596435</v>
      </c>
    </row>
    <row r="837" spans="11:15">
      <c r="K837" s="1469">
        <v>42894</v>
      </c>
      <c r="L837" s="1470" t="s">
        <v>2129</v>
      </c>
      <c r="M837" s="1471">
        <v>3.8370000000000001E-2</v>
      </c>
      <c r="N837" s="1472">
        <v>1.3331289639558608</v>
      </c>
      <c r="O837" s="1472">
        <v>1.3446748923583314</v>
      </c>
    </row>
    <row r="838" spans="11:15">
      <c r="K838" s="1469">
        <v>42895</v>
      </c>
      <c r="L838" s="1470" t="s">
        <v>2129</v>
      </c>
      <c r="M838" s="1471">
        <v>3.8370000000000001E-2</v>
      </c>
      <c r="N838" s="1472">
        <v>1.3336404855393307</v>
      </c>
      <c r="O838" s="1472">
        <v>1.345381263526036</v>
      </c>
    </row>
    <row r="839" spans="11:15">
      <c r="K839" s="1469">
        <v>42896</v>
      </c>
      <c r="L839" s="1470"/>
      <c r="M839" s="1471">
        <v>0</v>
      </c>
      <c r="N839" s="1472">
        <v>1.3336404855393307</v>
      </c>
      <c r="O839" s="1472">
        <v>1.345381263526036</v>
      </c>
    </row>
    <row r="840" spans="11:15">
      <c r="K840" s="1469">
        <v>42897</v>
      </c>
      <c r="L840" s="1470"/>
      <c r="M840" s="1471">
        <v>0</v>
      </c>
      <c r="N840" s="1472">
        <v>1.3336404855393307</v>
      </c>
      <c r="O840" s="1472">
        <v>1.345381263526036</v>
      </c>
    </row>
    <row r="841" spans="11:15">
      <c r="K841" s="1469">
        <v>42898</v>
      </c>
      <c r="L841" s="1470" t="s">
        <v>2129</v>
      </c>
      <c r="M841" s="1471">
        <v>3.8370000000000001E-2</v>
      </c>
      <c r="N841" s="1472">
        <v>1.3341522033936322</v>
      </c>
      <c r="O841" s="1472">
        <v>1.3460880057575788</v>
      </c>
    </row>
    <row r="842" spans="11:15">
      <c r="K842" s="1469">
        <v>42899</v>
      </c>
      <c r="L842" s="1470" t="s">
        <v>2129</v>
      </c>
      <c r="M842" s="1471">
        <v>3.8370000000000001E-2</v>
      </c>
      <c r="N842" s="1472">
        <v>1.3346641175940743</v>
      </c>
      <c r="O842" s="1472">
        <v>1.3467951192478833</v>
      </c>
    </row>
    <row r="843" spans="11:15">
      <c r="K843" s="1469">
        <v>42900</v>
      </c>
      <c r="L843" s="1470" t="s">
        <v>2129</v>
      </c>
      <c r="M843" s="1471">
        <v>3.8370000000000001E-2</v>
      </c>
      <c r="N843" s="1472">
        <v>1.3351762282159951</v>
      </c>
      <c r="O843" s="1472">
        <v>1.3475026041919753</v>
      </c>
    </row>
    <row r="844" spans="11:15">
      <c r="K844" s="1469">
        <v>42901</v>
      </c>
      <c r="L844" s="1470"/>
      <c r="M844" s="1471">
        <v>0</v>
      </c>
      <c r="N844" s="1472">
        <v>1.3351762282159951</v>
      </c>
      <c r="O844" s="1472">
        <v>1.3475026041919753</v>
      </c>
    </row>
    <row r="845" spans="11:15">
      <c r="K845" s="1469">
        <v>42902</v>
      </c>
      <c r="L845" s="1470" t="s">
        <v>2129</v>
      </c>
      <c r="M845" s="1471">
        <v>3.8370000000000001E-2</v>
      </c>
      <c r="N845" s="1472">
        <v>1.3356885353347616</v>
      </c>
      <c r="O845" s="1472">
        <v>1.3482104607849834</v>
      </c>
    </row>
    <row r="846" spans="11:15">
      <c r="K846" s="1469">
        <v>42903</v>
      </c>
      <c r="L846" s="1470"/>
      <c r="M846" s="1471">
        <v>0</v>
      </c>
      <c r="N846" s="1472">
        <v>1.3356885353347616</v>
      </c>
      <c r="O846" s="1472">
        <v>1.3482104607849834</v>
      </c>
    </row>
    <row r="847" spans="11:15">
      <c r="K847" s="1469">
        <v>42904</v>
      </c>
      <c r="L847" s="1470"/>
      <c r="M847" s="1471">
        <v>0</v>
      </c>
      <c r="N847" s="1472">
        <v>1.3356885353347616</v>
      </c>
      <c r="O847" s="1472">
        <v>1.3482104607849834</v>
      </c>
    </row>
    <row r="848" spans="11:15">
      <c r="K848" s="1469">
        <v>42905</v>
      </c>
      <c r="L848" s="1470" t="s">
        <v>2129</v>
      </c>
      <c r="M848" s="1471">
        <v>3.8370000000000001E-2</v>
      </c>
      <c r="N848" s="1472">
        <v>1.3362010390257695</v>
      </c>
      <c r="O848" s="1472">
        <v>1.3489186892221383</v>
      </c>
    </row>
    <row r="849" spans="11:15">
      <c r="K849" s="1469">
        <v>42906</v>
      </c>
      <c r="L849" s="1470" t="s">
        <v>2129</v>
      </c>
      <c r="M849" s="1471">
        <v>3.8370000000000001E-2</v>
      </c>
      <c r="N849" s="1472">
        <v>1.3367137393644437</v>
      </c>
      <c r="O849" s="1472">
        <v>1.3496272896987735</v>
      </c>
    </row>
    <row r="850" spans="11:15">
      <c r="K850" s="1469">
        <v>42907</v>
      </c>
      <c r="L850" s="1470" t="s">
        <v>2129</v>
      </c>
      <c r="M850" s="1471">
        <v>3.8370000000000001E-2</v>
      </c>
      <c r="N850" s="1472">
        <v>1.3372266364262377</v>
      </c>
      <c r="O850" s="1472">
        <v>1.3503362624103252</v>
      </c>
    </row>
    <row r="851" spans="11:15">
      <c r="K851" s="1469">
        <v>42908</v>
      </c>
      <c r="L851" s="1470" t="s">
        <v>2129</v>
      </c>
      <c r="M851" s="1471">
        <v>3.8370000000000001E-2</v>
      </c>
      <c r="N851" s="1472">
        <v>1.3377397302866345</v>
      </c>
      <c r="O851" s="1472">
        <v>1.3510456075523321</v>
      </c>
    </row>
    <row r="852" spans="11:15">
      <c r="K852" s="1469">
        <v>42909</v>
      </c>
      <c r="L852" s="1470" t="s">
        <v>2129</v>
      </c>
      <c r="M852" s="1471">
        <v>3.8370000000000001E-2</v>
      </c>
      <c r="N852" s="1472">
        <v>1.3382530210211454</v>
      </c>
      <c r="O852" s="1472">
        <v>1.3517553253204353</v>
      </c>
    </row>
    <row r="853" spans="11:15">
      <c r="K853" s="1469">
        <v>42910</v>
      </c>
      <c r="L853" s="1470"/>
      <c r="M853" s="1471">
        <v>0</v>
      </c>
      <c r="N853" s="1472">
        <v>1.3382530210211454</v>
      </c>
      <c r="O853" s="1472">
        <v>1.3517553253204353</v>
      </c>
    </row>
    <row r="854" spans="11:15">
      <c r="K854" s="1469">
        <v>42911</v>
      </c>
      <c r="L854" s="1470"/>
      <c r="M854" s="1471">
        <v>0</v>
      </c>
      <c r="N854" s="1472">
        <v>1.3382530210211454</v>
      </c>
      <c r="O854" s="1472">
        <v>1.3517553253204353</v>
      </c>
    </row>
    <row r="855" spans="11:15">
      <c r="K855" s="1469">
        <v>42912</v>
      </c>
      <c r="L855" s="1470" t="s">
        <v>2129</v>
      </c>
      <c r="M855" s="1471">
        <v>3.8370000000000001E-2</v>
      </c>
      <c r="N855" s="1472">
        <v>1.3387665087053111</v>
      </c>
      <c r="O855" s="1472">
        <v>1.3524654159103793</v>
      </c>
    </row>
    <row r="856" spans="11:15">
      <c r="K856" s="1469">
        <v>42913</v>
      </c>
      <c r="L856" s="1470" t="s">
        <v>2129</v>
      </c>
      <c r="M856" s="1471">
        <v>3.8370000000000001E-2</v>
      </c>
      <c r="N856" s="1472">
        <v>1.3392801934147014</v>
      </c>
      <c r="O856" s="1472">
        <v>1.3531758795180111</v>
      </c>
    </row>
    <row r="857" spans="11:15">
      <c r="K857" s="1469">
        <v>42914</v>
      </c>
      <c r="L857" s="1470" t="s">
        <v>2129</v>
      </c>
      <c r="M857" s="1471">
        <v>3.8370000000000001E-2</v>
      </c>
      <c r="N857" s="1472">
        <v>1.3397940752249147</v>
      </c>
      <c r="O857" s="1472">
        <v>1.3538867163392807</v>
      </c>
    </row>
    <row r="858" spans="11:15">
      <c r="K858" s="1469">
        <v>42915</v>
      </c>
      <c r="L858" s="1470" t="s">
        <v>2129</v>
      </c>
      <c r="M858" s="1471">
        <v>3.8370000000000001E-2</v>
      </c>
      <c r="N858" s="1472">
        <v>1.3403081542115785</v>
      </c>
      <c r="O858" s="1472">
        <v>1.3545979265702408</v>
      </c>
    </row>
    <row r="859" spans="11:15">
      <c r="K859" s="1469">
        <v>42916</v>
      </c>
      <c r="L859" s="1470" t="s">
        <v>2129</v>
      </c>
      <c r="M859" s="1471">
        <v>3.8370000000000001E-2</v>
      </c>
      <c r="N859" s="1472">
        <v>1.3408224304503493</v>
      </c>
      <c r="O859" s="1472">
        <v>1.3553095104070474</v>
      </c>
    </row>
    <row r="860" spans="11:15">
      <c r="K860" s="1469">
        <v>42917</v>
      </c>
      <c r="L860" s="1470"/>
      <c r="M860" s="1471">
        <v>0</v>
      </c>
      <c r="N860" s="1472">
        <v>1.3408224304503493</v>
      </c>
      <c r="O860" s="1472">
        <v>1.3553095104070474</v>
      </c>
    </row>
    <row r="861" spans="11:15">
      <c r="K861" s="1469">
        <v>42918</v>
      </c>
      <c r="L861" s="1470"/>
      <c r="M861" s="1471">
        <v>0</v>
      </c>
      <c r="N861" s="1472">
        <v>1.3408224304503493</v>
      </c>
      <c r="O861" s="1472">
        <v>1.3553095104070474</v>
      </c>
    </row>
    <row r="862" spans="11:15">
      <c r="K862" s="1469">
        <v>42919</v>
      </c>
      <c r="L862" s="1470" t="s">
        <v>2129</v>
      </c>
      <c r="M862" s="1471">
        <v>3.8370000000000001E-2</v>
      </c>
      <c r="N862" s="1472">
        <v>1.3413369040169132</v>
      </c>
      <c r="O862" s="1472">
        <v>1.3560214680459592</v>
      </c>
    </row>
    <row r="863" spans="11:15">
      <c r="K863" s="1469">
        <v>42920</v>
      </c>
      <c r="L863" s="1470" t="s">
        <v>2129</v>
      </c>
      <c r="M863" s="1471">
        <v>3.8370000000000001E-2</v>
      </c>
      <c r="N863" s="1472">
        <v>1.3418515749869844</v>
      </c>
      <c r="O863" s="1472">
        <v>1.3567337996833384</v>
      </c>
    </row>
    <row r="864" spans="11:15">
      <c r="K864" s="1469">
        <v>42921</v>
      </c>
      <c r="L864" s="1470" t="s">
        <v>2129</v>
      </c>
      <c r="M864" s="1471">
        <v>3.8370000000000001E-2</v>
      </c>
      <c r="N864" s="1472">
        <v>1.342366443436307</v>
      </c>
      <c r="O864" s="1472">
        <v>1.3574465055156502</v>
      </c>
    </row>
    <row r="865" spans="11:15">
      <c r="K865" s="1469">
        <v>42922</v>
      </c>
      <c r="L865" s="1470" t="s">
        <v>2129</v>
      </c>
      <c r="M865" s="1471">
        <v>3.8370000000000001E-2</v>
      </c>
      <c r="N865" s="1472">
        <v>1.3428815094406534</v>
      </c>
      <c r="O865" s="1472">
        <v>1.3581595857394626</v>
      </c>
    </row>
    <row r="866" spans="11:15">
      <c r="K866" s="1469">
        <v>42923</v>
      </c>
      <c r="L866" s="1470" t="s">
        <v>2129</v>
      </c>
      <c r="M866" s="1471">
        <v>3.8370000000000001E-2</v>
      </c>
      <c r="N866" s="1472">
        <v>1.3433967730758258</v>
      </c>
      <c r="O866" s="1472">
        <v>1.3588730405514473</v>
      </c>
    </row>
    <row r="867" spans="11:15">
      <c r="K867" s="1469">
        <v>42924</v>
      </c>
      <c r="L867" s="1470"/>
      <c r="M867" s="1471">
        <v>0</v>
      </c>
      <c r="N867" s="1472">
        <v>1.3433967730758258</v>
      </c>
      <c r="O867" s="1472">
        <v>1.3588730405514473</v>
      </c>
    </row>
    <row r="868" spans="11:15">
      <c r="K868" s="1469">
        <v>42925</v>
      </c>
      <c r="L868" s="1470"/>
      <c r="M868" s="1471">
        <v>0</v>
      </c>
      <c r="N868" s="1472">
        <v>1.3433967730758258</v>
      </c>
      <c r="O868" s="1472">
        <v>1.3588730405514473</v>
      </c>
    </row>
    <row r="869" spans="11:15">
      <c r="K869" s="1469">
        <v>42926</v>
      </c>
      <c r="L869" s="1470" t="s">
        <v>2129</v>
      </c>
      <c r="M869" s="1471">
        <v>3.8370000000000001E-2</v>
      </c>
      <c r="N869" s="1472">
        <v>1.3439122344176551</v>
      </c>
      <c r="O869" s="1472">
        <v>1.3595868701483793</v>
      </c>
    </row>
    <row r="870" spans="11:15">
      <c r="K870" s="1469">
        <v>42927</v>
      </c>
      <c r="L870" s="1470" t="s">
        <v>2129</v>
      </c>
      <c r="M870" s="1471">
        <v>3.8370000000000001E-2</v>
      </c>
      <c r="N870" s="1472">
        <v>1.3444278935420011</v>
      </c>
      <c r="O870" s="1472">
        <v>1.3603010747271369</v>
      </c>
    </row>
    <row r="871" spans="11:15">
      <c r="K871" s="1469">
        <v>42928</v>
      </c>
      <c r="L871" s="1470" t="s">
        <v>2129</v>
      </c>
      <c r="M871" s="1471">
        <v>3.8370000000000001E-2</v>
      </c>
      <c r="N871" s="1472">
        <v>1.3449437505247532</v>
      </c>
      <c r="O871" s="1472">
        <v>1.3610156544847019</v>
      </c>
    </row>
    <row r="872" spans="11:15">
      <c r="K872" s="1469">
        <v>42929</v>
      </c>
      <c r="L872" s="1470" t="s">
        <v>2129</v>
      </c>
      <c r="M872" s="1471">
        <v>3.8370000000000001E-2</v>
      </c>
      <c r="N872" s="1472">
        <v>1.3454598054418296</v>
      </c>
      <c r="O872" s="1472">
        <v>1.3617306096181592</v>
      </c>
    </row>
    <row r="873" spans="11:15">
      <c r="K873" s="1469">
        <v>42930</v>
      </c>
      <c r="L873" s="1470" t="s">
        <v>2129</v>
      </c>
      <c r="M873" s="1471">
        <v>3.8370000000000001E-2</v>
      </c>
      <c r="N873" s="1472">
        <v>1.3459760583691776</v>
      </c>
      <c r="O873" s="1472">
        <v>1.3624459403246978</v>
      </c>
    </row>
    <row r="874" spans="11:15">
      <c r="K874" s="1469">
        <v>42931</v>
      </c>
      <c r="L874" s="1470"/>
      <c r="M874" s="1471">
        <v>0</v>
      </c>
      <c r="N874" s="1472">
        <v>1.3459760583691776</v>
      </c>
      <c r="O874" s="1472">
        <v>1.3624459403246978</v>
      </c>
    </row>
    <row r="875" spans="11:15">
      <c r="K875" s="1469">
        <v>42932</v>
      </c>
      <c r="L875" s="1470"/>
      <c r="M875" s="1471">
        <v>0</v>
      </c>
      <c r="N875" s="1472">
        <v>1.3459760583691776</v>
      </c>
      <c r="O875" s="1472">
        <v>1.3624459403246978</v>
      </c>
    </row>
    <row r="876" spans="11:15">
      <c r="K876" s="1469">
        <v>42933</v>
      </c>
      <c r="L876" s="1470" t="s">
        <v>2129</v>
      </c>
      <c r="M876" s="1471">
        <v>3.8370000000000001E-2</v>
      </c>
      <c r="N876" s="1472">
        <v>1.3464925093827738</v>
      </c>
      <c r="O876" s="1472">
        <v>1.3631616468016097</v>
      </c>
    </row>
    <row r="877" spans="11:15">
      <c r="K877" s="1469">
        <v>42934</v>
      </c>
      <c r="L877" s="1470" t="s">
        <v>2129</v>
      </c>
      <c r="M877" s="1471">
        <v>3.8370000000000001E-2</v>
      </c>
      <c r="N877" s="1472">
        <v>1.3470091585586239</v>
      </c>
      <c r="O877" s="1472">
        <v>1.3638777292462911</v>
      </c>
    </row>
    <row r="878" spans="11:15">
      <c r="K878" s="1469">
        <v>42935</v>
      </c>
      <c r="L878" s="1470" t="s">
        <v>2129</v>
      </c>
      <c r="M878" s="1471">
        <v>3.8370000000000001E-2</v>
      </c>
      <c r="N878" s="1472">
        <v>1.3475260059727627</v>
      </c>
      <c r="O878" s="1472">
        <v>1.3645941878562415</v>
      </c>
    </row>
    <row r="879" spans="11:15">
      <c r="K879" s="1469">
        <v>42936</v>
      </c>
      <c r="L879" s="1470" t="s">
        <v>2129</v>
      </c>
      <c r="M879" s="1471">
        <v>3.8370000000000001E-2</v>
      </c>
      <c r="N879" s="1472">
        <v>1.3480430517012545</v>
      </c>
      <c r="O879" s="1472">
        <v>1.3653110228290644</v>
      </c>
    </row>
    <row r="880" spans="11:15">
      <c r="K880" s="1469">
        <v>42937</v>
      </c>
      <c r="L880" s="1470" t="s">
        <v>2129</v>
      </c>
      <c r="M880" s="1471">
        <v>3.8370000000000001E-2</v>
      </c>
      <c r="N880" s="1472">
        <v>1.3485602958201923</v>
      </c>
      <c r="O880" s="1472">
        <v>1.3660282343624668</v>
      </c>
    </row>
    <row r="881" spans="11:15">
      <c r="K881" s="1469">
        <v>42938</v>
      </c>
      <c r="L881" s="1470"/>
      <c r="M881" s="1471">
        <v>0</v>
      </c>
      <c r="N881" s="1472">
        <v>1.3485602958201923</v>
      </c>
      <c r="O881" s="1472">
        <v>1.3660282343624668</v>
      </c>
    </row>
    <row r="882" spans="11:15">
      <c r="K882" s="1469">
        <v>42939</v>
      </c>
      <c r="L882" s="1470"/>
      <c r="M882" s="1471">
        <v>0</v>
      </c>
      <c r="N882" s="1472">
        <v>1.3485602958201923</v>
      </c>
      <c r="O882" s="1472">
        <v>1.3660282343624668</v>
      </c>
    </row>
    <row r="883" spans="11:15">
      <c r="K883" s="1469">
        <v>42940</v>
      </c>
      <c r="L883" s="1470" t="s">
        <v>2129</v>
      </c>
      <c r="M883" s="1471">
        <v>3.8370000000000001E-2</v>
      </c>
      <c r="N883" s="1472">
        <v>1.3490777384056984</v>
      </c>
      <c r="O883" s="1472">
        <v>1.3667458226542597</v>
      </c>
    </row>
    <row r="884" spans="11:15">
      <c r="K884" s="1469">
        <v>42941</v>
      </c>
      <c r="L884" s="1470" t="s">
        <v>2129</v>
      </c>
      <c r="M884" s="1471">
        <v>3.8370000000000001E-2</v>
      </c>
      <c r="N884" s="1472">
        <v>1.3495953795339246</v>
      </c>
      <c r="O884" s="1472">
        <v>1.3674637879023581</v>
      </c>
    </row>
    <row r="885" spans="11:15">
      <c r="K885" s="1469">
        <v>42942</v>
      </c>
      <c r="L885" s="1470" t="s">
        <v>2129</v>
      </c>
      <c r="M885" s="1471">
        <v>3.8370000000000001E-2</v>
      </c>
      <c r="N885" s="1472">
        <v>1.3501132192810517</v>
      </c>
      <c r="O885" s="1472">
        <v>1.3681821303047812</v>
      </c>
    </row>
    <row r="886" spans="11:15">
      <c r="K886" s="1469">
        <v>42943</v>
      </c>
      <c r="L886" s="1470" t="s">
        <v>2129</v>
      </c>
      <c r="M886" s="1471">
        <v>3.4749000000000002E-2</v>
      </c>
      <c r="N886" s="1472">
        <v>1.3505823701236197</v>
      </c>
      <c r="O886" s="1472">
        <v>1.3689008500596516</v>
      </c>
    </row>
    <row r="887" spans="11:15">
      <c r="K887" s="1469">
        <v>42944</v>
      </c>
      <c r="L887" s="1470" t="s">
        <v>2129</v>
      </c>
      <c r="M887" s="1471">
        <v>3.4749000000000002E-2</v>
      </c>
      <c r="N887" s="1472">
        <v>1.351051683991414</v>
      </c>
      <c r="O887" s="1472">
        <v>1.3696199473651964</v>
      </c>
    </row>
    <row r="888" spans="11:15">
      <c r="K888" s="1469">
        <v>42945</v>
      </c>
      <c r="L888" s="1470"/>
      <c r="M888" s="1471">
        <v>0</v>
      </c>
      <c r="N888" s="1472">
        <v>1.351051683991414</v>
      </c>
      <c r="O888" s="1472">
        <v>1.3696199473651964</v>
      </c>
    </row>
    <row r="889" spans="11:15">
      <c r="K889" s="1469">
        <v>42946</v>
      </c>
      <c r="L889" s="1470"/>
      <c r="M889" s="1471">
        <v>0</v>
      </c>
      <c r="N889" s="1472">
        <v>1.351051683991414</v>
      </c>
      <c r="O889" s="1472">
        <v>1.3696199473651964</v>
      </c>
    </row>
    <row r="890" spans="11:15">
      <c r="K890" s="1469">
        <v>42947</v>
      </c>
      <c r="L890" s="1470" t="s">
        <v>2129</v>
      </c>
      <c r="M890" s="1471">
        <v>3.4749000000000002E-2</v>
      </c>
      <c r="N890" s="1472">
        <v>1.3515211609410842</v>
      </c>
      <c r="O890" s="1472">
        <v>1.3703394224197469</v>
      </c>
    </row>
    <row r="891" spans="11:15">
      <c r="K891" s="1469">
        <v>42948</v>
      </c>
      <c r="L891" s="1470" t="s">
        <v>2129</v>
      </c>
      <c r="M891" s="1471">
        <v>3.4749000000000002E-2</v>
      </c>
      <c r="N891" s="1472">
        <v>1.3519908010292996</v>
      </c>
      <c r="O891" s="1472">
        <v>1.3710592754217383</v>
      </c>
    </row>
    <row r="892" spans="11:15">
      <c r="K892" s="1469">
        <v>42949</v>
      </c>
      <c r="L892" s="1470" t="s">
        <v>2129</v>
      </c>
      <c r="M892" s="1471">
        <v>3.4749000000000002E-2</v>
      </c>
      <c r="N892" s="1472">
        <v>1.3524606043127492</v>
      </c>
      <c r="O892" s="1472">
        <v>1.37177950656971</v>
      </c>
    </row>
    <row r="893" spans="11:15">
      <c r="K893" s="1469">
        <v>42950</v>
      </c>
      <c r="L893" s="1470" t="s">
        <v>2129</v>
      </c>
      <c r="M893" s="1471">
        <v>3.4749000000000002E-2</v>
      </c>
      <c r="N893" s="1472">
        <v>1.3529305708481418</v>
      </c>
      <c r="O893" s="1472">
        <v>1.3725001160623063</v>
      </c>
    </row>
    <row r="894" spans="11:15">
      <c r="K894" s="1469">
        <v>42951</v>
      </c>
      <c r="L894" s="1470" t="s">
        <v>2129</v>
      </c>
      <c r="M894" s="1471">
        <v>3.4749000000000002E-2</v>
      </c>
      <c r="N894" s="1472">
        <v>1.353400700692206</v>
      </c>
      <c r="O894" s="1472">
        <v>1.3732211040982749</v>
      </c>
    </row>
    <row r="895" spans="11:15">
      <c r="K895" s="1469">
        <v>42952</v>
      </c>
      <c r="L895" s="1470"/>
      <c r="M895" s="1471">
        <v>0</v>
      </c>
      <c r="N895" s="1472">
        <v>1.353400700692206</v>
      </c>
      <c r="O895" s="1472">
        <v>1.3732211040982749</v>
      </c>
    </row>
    <row r="896" spans="11:15">
      <c r="K896" s="1469">
        <v>42953</v>
      </c>
      <c r="L896" s="1470"/>
      <c r="M896" s="1471">
        <v>0</v>
      </c>
      <c r="N896" s="1472">
        <v>1.353400700692206</v>
      </c>
      <c r="O896" s="1472">
        <v>1.3732211040982749</v>
      </c>
    </row>
    <row r="897" spans="11:15">
      <c r="K897" s="1469">
        <v>42954</v>
      </c>
      <c r="L897" s="1470" t="s">
        <v>2129</v>
      </c>
      <c r="M897" s="1471">
        <v>3.4749000000000002E-2</v>
      </c>
      <c r="N897" s="1472">
        <v>1.3538709939016895</v>
      </c>
      <c r="O897" s="1472">
        <v>1.3739424708764687</v>
      </c>
    </row>
    <row r="898" spans="11:15">
      <c r="K898" s="1469">
        <v>42955</v>
      </c>
      <c r="L898" s="1470" t="s">
        <v>2129</v>
      </c>
      <c r="M898" s="1471">
        <v>3.4749000000000002E-2</v>
      </c>
      <c r="N898" s="1472">
        <v>1.3543414505333604</v>
      </c>
      <c r="O898" s="1472">
        <v>1.3746642165958449</v>
      </c>
    </row>
    <row r="899" spans="11:15">
      <c r="K899" s="1469">
        <v>42956</v>
      </c>
      <c r="L899" s="1470" t="s">
        <v>2129</v>
      </c>
      <c r="M899" s="1471">
        <v>3.4749000000000002E-2</v>
      </c>
      <c r="N899" s="1472">
        <v>1.3548120706440063</v>
      </c>
      <c r="O899" s="1472">
        <v>1.3753863414554648</v>
      </c>
    </row>
    <row r="900" spans="11:15">
      <c r="K900" s="1469">
        <v>42957</v>
      </c>
      <c r="L900" s="1470" t="s">
        <v>2129</v>
      </c>
      <c r="M900" s="1471">
        <v>3.4749000000000002E-2</v>
      </c>
      <c r="N900" s="1472">
        <v>1.3552828542904345</v>
      </c>
      <c r="O900" s="1472">
        <v>1.3761088456544948</v>
      </c>
    </row>
    <row r="901" spans="11:15">
      <c r="K901" s="1469">
        <v>42958</v>
      </c>
      <c r="L901" s="1470" t="s">
        <v>2129</v>
      </c>
      <c r="M901" s="1471">
        <v>3.4749000000000002E-2</v>
      </c>
      <c r="N901" s="1472">
        <v>1.3557538015294719</v>
      </c>
      <c r="O901" s="1472">
        <v>1.3768317293922054</v>
      </c>
    </row>
    <row r="902" spans="11:15">
      <c r="K902" s="1469">
        <v>42959</v>
      </c>
      <c r="L902" s="1470"/>
      <c r="M902" s="1471">
        <v>0</v>
      </c>
      <c r="N902" s="1472">
        <v>1.3557538015294719</v>
      </c>
      <c r="O902" s="1472">
        <v>1.3768317293922054</v>
      </c>
    </row>
    <row r="903" spans="11:15">
      <c r="K903" s="1469">
        <v>42960</v>
      </c>
      <c r="L903" s="1470"/>
      <c r="M903" s="1471">
        <v>0</v>
      </c>
      <c r="N903" s="1472">
        <v>1.3557538015294719</v>
      </c>
      <c r="O903" s="1472">
        <v>1.3768317293922054</v>
      </c>
    </row>
    <row r="904" spans="11:15">
      <c r="K904" s="1469">
        <v>42961</v>
      </c>
      <c r="L904" s="1470" t="s">
        <v>2129</v>
      </c>
      <c r="M904" s="1471">
        <v>3.4749000000000002E-2</v>
      </c>
      <c r="N904" s="1472">
        <v>1.3562249124179653</v>
      </c>
      <c r="O904" s="1472">
        <v>1.3775549928679724</v>
      </c>
    </row>
    <row r="905" spans="11:15">
      <c r="K905" s="1469">
        <v>42962</v>
      </c>
      <c r="L905" s="1470" t="s">
        <v>2129</v>
      </c>
      <c r="M905" s="1471">
        <v>3.4749000000000002E-2</v>
      </c>
      <c r="N905" s="1472">
        <v>1.3566961870127814</v>
      </c>
      <c r="O905" s="1472">
        <v>1.378278636281276</v>
      </c>
    </row>
    <row r="906" spans="11:15">
      <c r="K906" s="1469">
        <v>42963</v>
      </c>
      <c r="L906" s="1470" t="s">
        <v>2129</v>
      </c>
      <c r="M906" s="1471">
        <v>3.4749000000000002E-2</v>
      </c>
      <c r="N906" s="1472">
        <v>1.3571676253708065</v>
      </c>
      <c r="O906" s="1472">
        <v>1.3790026598317009</v>
      </c>
    </row>
    <row r="907" spans="11:15">
      <c r="K907" s="1469">
        <v>42964</v>
      </c>
      <c r="L907" s="1470" t="s">
        <v>2129</v>
      </c>
      <c r="M907" s="1471">
        <v>3.4749000000000002E-2</v>
      </c>
      <c r="N907" s="1472">
        <v>1.3576392275489466</v>
      </c>
      <c r="O907" s="1472">
        <v>1.3797270637189372</v>
      </c>
    </row>
    <row r="908" spans="11:15">
      <c r="K908" s="1469">
        <v>42965</v>
      </c>
      <c r="L908" s="1470" t="s">
        <v>2129</v>
      </c>
      <c r="M908" s="1471">
        <v>3.4749000000000002E-2</v>
      </c>
      <c r="N908" s="1472">
        <v>1.3581109936041276</v>
      </c>
      <c r="O908" s="1472">
        <v>1.3804518481427794</v>
      </c>
    </row>
    <row r="909" spans="11:15">
      <c r="K909" s="1469">
        <v>42966</v>
      </c>
      <c r="L909" s="1470"/>
      <c r="M909" s="1471">
        <v>0</v>
      </c>
      <c r="N909" s="1472">
        <v>1.3581109936041276</v>
      </c>
      <c r="O909" s="1472">
        <v>1.3804518481427794</v>
      </c>
    </row>
    <row r="910" spans="11:15">
      <c r="K910" s="1469">
        <v>42967</v>
      </c>
      <c r="L910" s="1470"/>
      <c r="M910" s="1471">
        <v>0</v>
      </c>
      <c r="N910" s="1472">
        <v>1.3581109936041276</v>
      </c>
      <c r="O910" s="1472">
        <v>1.3804518481427794</v>
      </c>
    </row>
    <row r="911" spans="11:15">
      <c r="K911" s="1469">
        <v>42968</v>
      </c>
      <c r="L911" s="1470" t="s">
        <v>2129</v>
      </c>
      <c r="M911" s="1471">
        <v>3.4749000000000002E-2</v>
      </c>
      <c r="N911" s="1472">
        <v>1.3585829235932951</v>
      </c>
      <c r="O911" s="1472">
        <v>1.3811770133031274</v>
      </c>
    </row>
    <row r="912" spans="11:15">
      <c r="K912" s="1469">
        <v>42969</v>
      </c>
      <c r="L912" s="1470" t="s">
        <v>2129</v>
      </c>
      <c r="M912" s="1471">
        <v>3.4749000000000002E-2</v>
      </c>
      <c r="N912" s="1472">
        <v>1.3590550175734146</v>
      </c>
      <c r="O912" s="1472">
        <v>1.3819025593999856</v>
      </c>
    </row>
    <row r="913" spans="11:15">
      <c r="K913" s="1469">
        <v>42970</v>
      </c>
      <c r="L913" s="1470" t="s">
        <v>2129</v>
      </c>
      <c r="M913" s="1471">
        <v>3.4749000000000002E-2</v>
      </c>
      <c r="N913" s="1472">
        <v>1.3595272756014711</v>
      </c>
      <c r="O913" s="1472">
        <v>1.3826284866334639</v>
      </c>
    </row>
    <row r="914" spans="11:15">
      <c r="K914" s="1469">
        <v>42971</v>
      </c>
      <c r="L914" s="1470" t="s">
        <v>2129</v>
      </c>
      <c r="M914" s="1471">
        <v>3.4749000000000002E-2</v>
      </c>
      <c r="N914" s="1472">
        <v>1.3599996977344699</v>
      </c>
      <c r="O914" s="1472">
        <v>1.3833547952037775</v>
      </c>
    </row>
    <row r="915" spans="11:15">
      <c r="K915" s="1469">
        <v>42972</v>
      </c>
      <c r="L915" s="1470" t="s">
        <v>2129</v>
      </c>
      <c r="M915" s="1471">
        <v>3.4749000000000002E-2</v>
      </c>
      <c r="N915" s="1472">
        <v>1.3604722840294357</v>
      </c>
      <c r="O915" s="1472">
        <v>1.384081485311246</v>
      </c>
    </row>
    <row r="916" spans="11:15">
      <c r="K916" s="1469">
        <v>42973</v>
      </c>
      <c r="L916" s="1470"/>
      <c r="M916" s="1471">
        <v>0</v>
      </c>
      <c r="N916" s="1472">
        <v>1.3604722840294357</v>
      </c>
      <c r="O916" s="1472">
        <v>1.384081485311246</v>
      </c>
    </row>
    <row r="917" spans="11:15">
      <c r="K917" s="1469">
        <v>42974</v>
      </c>
      <c r="L917" s="1470"/>
      <c r="M917" s="1471">
        <v>0</v>
      </c>
      <c r="N917" s="1472">
        <v>1.3604722840294357</v>
      </c>
      <c r="O917" s="1472">
        <v>1.384081485311246</v>
      </c>
    </row>
    <row r="918" spans="11:15">
      <c r="K918" s="1469">
        <v>42975</v>
      </c>
      <c r="L918" s="1470" t="s">
        <v>2129</v>
      </c>
      <c r="M918" s="1471">
        <v>3.4749000000000002E-2</v>
      </c>
      <c r="N918" s="1472">
        <v>1.3609450345434131</v>
      </c>
      <c r="O918" s="1472">
        <v>1.3848085571562949</v>
      </c>
    </row>
    <row r="919" spans="11:15">
      <c r="K919" s="1469">
        <v>42976</v>
      </c>
      <c r="L919" s="1470" t="s">
        <v>2129</v>
      </c>
      <c r="M919" s="1471">
        <v>3.4749000000000002E-2</v>
      </c>
      <c r="N919" s="1472">
        <v>1.3614179493334666</v>
      </c>
      <c r="O919" s="1472">
        <v>1.3855360109394548</v>
      </c>
    </row>
    <row r="920" spans="11:15">
      <c r="K920" s="1469">
        <v>42977</v>
      </c>
      <c r="L920" s="1470" t="s">
        <v>2129</v>
      </c>
      <c r="M920" s="1471">
        <v>3.4749000000000002E-2</v>
      </c>
      <c r="N920" s="1472">
        <v>1.3618910284566805</v>
      </c>
      <c r="O920" s="1472">
        <v>1.3862638468613613</v>
      </c>
    </row>
    <row r="921" spans="11:15">
      <c r="K921" s="1469">
        <v>42978</v>
      </c>
      <c r="L921" s="1470" t="s">
        <v>2129</v>
      </c>
      <c r="M921" s="1471">
        <v>3.4749000000000002E-2</v>
      </c>
      <c r="N921" s="1472">
        <v>1.362364271970159</v>
      </c>
      <c r="O921" s="1472">
        <v>1.3869920651227561</v>
      </c>
    </row>
    <row r="922" spans="11:15">
      <c r="K922" s="1469">
        <v>42979</v>
      </c>
      <c r="L922" s="1470" t="s">
        <v>2129</v>
      </c>
      <c r="M922" s="1471">
        <v>3.4749000000000002E-2</v>
      </c>
      <c r="N922" s="1472">
        <v>1.3628376799310258</v>
      </c>
      <c r="O922" s="1472">
        <v>1.3877206659244856</v>
      </c>
    </row>
    <row r="923" spans="11:15">
      <c r="K923" s="1469">
        <v>42980</v>
      </c>
      <c r="L923" s="1470"/>
      <c r="M923" s="1471">
        <v>0</v>
      </c>
      <c r="N923" s="1472">
        <v>1.3628376799310258</v>
      </c>
      <c r="O923" s="1472">
        <v>1.3877206659244856</v>
      </c>
    </row>
    <row r="924" spans="11:15">
      <c r="K924" s="1469">
        <v>42981</v>
      </c>
      <c r="L924" s="1470"/>
      <c r="M924" s="1471">
        <v>0</v>
      </c>
      <c r="N924" s="1472">
        <v>1.3628376799310258</v>
      </c>
      <c r="O924" s="1472">
        <v>1.3877206659244856</v>
      </c>
    </row>
    <row r="925" spans="11:15">
      <c r="K925" s="1469">
        <v>42982</v>
      </c>
      <c r="L925" s="1470" t="s">
        <v>2129</v>
      </c>
      <c r="M925" s="1471">
        <v>3.4749000000000002E-2</v>
      </c>
      <c r="N925" s="1472">
        <v>1.363311252396425</v>
      </c>
      <c r="O925" s="1472">
        <v>1.3884496494675025</v>
      </c>
    </row>
    <row r="926" spans="11:15">
      <c r="K926" s="1469">
        <v>42983</v>
      </c>
      <c r="L926" s="1470" t="s">
        <v>2129</v>
      </c>
      <c r="M926" s="1471">
        <v>3.4749000000000002E-2</v>
      </c>
      <c r="N926" s="1472">
        <v>1.3637849894235203</v>
      </c>
      <c r="O926" s="1472">
        <v>1.3891790159528643</v>
      </c>
    </row>
    <row r="927" spans="11:15">
      <c r="K927" s="1469">
        <v>42984</v>
      </c>
      <c r="L927" s="1470" t="s">
        <v>2129</v>
      </c>
      <c r="M927" s="1471">
        <v>3.4749000000000002E-2</v>
      </c>
      <c r="N927" s="1472">
        <v>1.364258891069495</v>
      </c>
      <c r="O927" s="1472">
        <v>1.3899087655817346</v>
      </c>
    </row>
    <row r="928" spans="11:15">
      <c r="K928" s="1469">
        <v>42985</v>
      </c>
      <c r="L928" s="1470"/>
      <c r="M928" s="1471">
        <v>0</v>
      </c>
      <c r="N928" s="1472">
        <v>1.364258891069495</v>
      </c>
      <c r="O928" s="1472">
        <v>1.3899087655817346</v>
      </c>
    </row>
    <row r="929" spans="11:15">
      <c r="K929" s="1469">
        <v>42986</v>
      </c>
      <c r="L929" s="1470" t="s">
        <v>2129</v>
      </c>
      <c r="M929" s="1471">
        <v>3.1095999999999999E-2</v>
      </c>
      <c r="N929" s="1472">
        <v>1.364683121014262</v>
      </c>
      <c r="O929" s="1472">
        <v>1.3906388985553824</v>
      </c>
    </row>
    <row r="930" spans="11:15">
      <c r="K930" s="1469">
        <v>42987</v>
      </c>
      <c r="L930" s="1470"/>
      <c r="M930" s="1471">
        <v>0</v>
      </c>
      <c r="N930" s="1472">
        <v>1.364683121014262</v>
      </c>
      <c r="O930" s="1472">
        <v>1.3906388985553824</v>
      </c>
    </row>
    <row r="931" spans="11:15">
      <c r="K931" s="1469">
        <v>42988</v>
      </c>
      <c r="L931" s="1470"/>
      <c r="M931" s="1471">
        <v>0</v>
      </c>
      <c r="N931" s="1472">
        <v>1.364683121014262</v>
      </c>
      <c r="O931" s="1472">
        <v>1.3906388985553824</v>
      </c>
    </row>
    <row r="932" spans="11:15">
      <c r="K932" s="1469">
        <v>42989</v>
      </c>
      <c r="L932" s="1470" t="s">
        <v>2129</v>
      </c>
      <c r="M932" s="1471">
        <v>3.1095999999999999E-2</v>
      </c>
      <c r="N932" s="1472">
        <v>1.3651074828775727</v>
      </c>
      <c r="O932" s="1472">
        <v>1.3913694150751825</v>
      </c>
    </row>
    <row r="933" spans="11:15">
      <c r="K933" s="1469">
        <v>42990</v>
      </c>
      <c r="L933" s="1470" t="s">
        <v>2129</v>
      </c>
      <c r="M933" s="1471">
        <v>3.1095999999999999E-2</v>
      </c>
      <c r="N933" s="1472">
        <v>1.3655319767004481</v>
      </c>
      <c r="O933" s="1472">
        <v>1.3921003153426157</v>
      </c>
    </row>
    <row r="934" spans="11:15">
      <c r="K934" s="1469">
        <v>42991</v>
      </c>
      <c r="L934" s="1470" t="s">
        <v>2129</v>
      </c>
      <c r="M934" s="1471">
        <v>3.1095999999999999E-2</v>
      </c>
      <c r="N934" s="1472">
        <v>1.3659566025239229</v>
      </c>
      <c r="O934" s="1472">
        <v>1.3928315995592684</v>
      </c>
    </row>
    <row r="935" spans="11:15">
      <c r="K935" s="1469">
        <v>42992</v>
      </c>
      <c r="L935" s="1470" t="s">
        <v>2129</v>
      </c>
      <c r="M935" s="1471">
        <v>3.1095999999999999E-2</v>
      </c>
      <c r="N935" s="1472">
        <v>1.3663813603890438</v>
      </c>
      <c r="O935" s="1472">
        <v>1.3935632679268328</v>
      </c>
    </row>
    <row r="936" spans="11:15">
      <c r="K936" s="1469">
        <v>42993</v>
      </c>
      <c r="L936" s="1470" t="s">
        <v>2129</v>
      </c>
      <c r="M936" s="1471">
        <v>3.1095999999999999E-2</v>
      </c>
      <c r="N936" s="1472">
        <v>1.3668062503368703</v>
      </c>
      <c r="O936" s="1472">
        <v>1.3942953206471074</v>
      </c>
    </row>
    <row r="937" spans="11:15">
      <c r="K937" s="1469">
        <v>42994</v>
      </c>
      <c r="L937" s="1470"/>
      <c r="M937" s="1471">
        <v>0</v>
      </c>
      <c r="N937" s="1472">
        <v>1.3668062503368703</v>
      </c>
      <c r="O937" s="1472">
        <v>1.3942953206471074</v>
      </c>
    </row>
    <row r="938" spans="11:15">
      <c r="K938" s="1469">
        <v>42995</v>
      </c>
      <c r="L938" s="1470"/>
      <c r="M938" s="1471">
        <v>0</v>
      </c>
      <c r="N938" s="1472">
        <v>1.3668062503368703</v>
      </c>
      <c r="O938" s="1472">
        <v>1.3942953206471074</v>
      </c>
    </row>
    <row r="939" spans="11:15">
      <c r="K939" s="1469">
        <v>42996</v>
      </c>
      <c r="L939" s="1470" t="s">
        <v>2129</v>
      </c>
      <c r="M939" s="1471">
        <v>3.1095999999999999E-2</v>
      </c>
      <c r="N939" s="1472">
        <v>1.367231272408475</v>
      </c>
      <c r="O939" s="1472">
        <v>1.3950277579219965</v>
      </c>
    </row>
    <row r="940" spans="11:15">
      <c r="K940" s="1469">
        <v>42997</v>
      </c>
      <c r="L940" s="1470" t="s">
        <v>2129</v>
      </c>
      <c r="M940" s="1471">
        <v>3.1095999999999999E-2</v>
      </c>
      <c r="N940" s="1472">
        <v>1.3676564266449431</v>
      </c>
      <c r="O940" s="1472">
        <v>1.3957605799535104</v>
      </c>
    </row>
    <row r="941" spans="11:15">
      <c r="K941" s="1469">
        <v>42998</v>
      </c>
      <c r="L941" s="1470" t="s">
        <v>2129</v>
      </c>
      <c r="M941" s="1471">
        <v>3.1095999999999999E-2</v>
      </c>
      <c r="N941" s="1472">
        <v>1.3680817130873726</v>
      </c>
      <c r="O941" s="1472">
        <v>1.3964937869437659</v>
      </c>
    </row>
    <row r="942" spans="11:15">
      <c r="K942" s="1469">
        <v>42999</v>
      </c>
      <c r="L942" s="1470" t="s">
        <v>2129</v>
      </c>
      <c r="M942" s="1471">
        <v>3.1095999999999999E-2</v>
      </c>
      <c r="N942" s="1472">
        <v>1.3685071317768742</v>
      </c>
      <c r="O942" s="1472">
        <v>1.3972273790949854</v>
      </c>
    </row>
    <row r="943" spans="11:15">
      <c r="K943" s="1469">
        <v>43000</v>
      </c>
      <c r="L943" s="1470" t="s">
        <v>2129</v>
      </c>
      <c r="M943" s="1471">
        <v>3.1095999999999999E-2</v>
      </c>
      <c r="N943" s="1472">
        <v>1.3689326827545716</v>
      </c>
      <c r="O943" s="1472">
        <v>1.3979613566094977</v>
      </c>
    </row>
    <row r="944" spans="11:15">
      <c r="K944" s="1469">
        <v>43001</v>
      </c>
      <c r="L944" s="1470"/>
      <c r="M944" s="1471">
        <v>0</v>
      </c>
      <c r="N944" s="1472">
        <v>1.3689326827545716</v>
      </c>
      <c r="O944" s="1472">
        <v>1.3979613566094977</v>
      </c>
    </row>
    <row r="945" spans="11:15">
      <c r="K945" s="1469">
        <v>43002</v>
      </c>
      <c r="L945" s="1470"/>
      <c r="M945" s="1471">
        <v>0</v>
      </c>
      <c r="N945" s="1472">
        <v>1.3689326827545716</v>
      </c>
      <c r="O945" s="1472">
        <v>1.3979613566094977</v>
      </c>
    </row>
    <row r="946" spans="11:15">
      <c r="K946" s="1469">
        <v>43003</v>
      </c>
      <c r="L946" s="1470" t="s">
        <v>2129</v>
      </c>
      <c r="M946" s="1471">
        <v>3.1095999999999999E-2</v>
      </c>
      <c r="N946" s="1472">
        <v>1.3693583660616009</v>
      </c>
      <c r="O946" s="1472">
        <v>1.3986957196897383</v>
      </c>
    </row>
    <row r="947" spans="11:15">
      <c r="K947" s="1469">
        <v>43004</v>
      </c>
      <c r="L947" s="1470" t="s">
        <v>2129</v>
      </c>
      <c r="M947" s="1471">
        <v>3.1095999999999999E-2</v>
      </c>
      <c r="N947" s="1472">
        <v>1.3697841817391114</v>
      </c>
      <c r="O947" s="1472">
        <v>1.3994304685382486</v>
      </c>
    </row>
    <row r="948" spans="11:15">
      <c r="K948" s="1469">
        <v>43005</v>
      </c>
      <c r="L948" s="1470" t="s">
        <v>2129</v>
      </c>
      <c r="M948" s="1471">
        <v>3.1095999999999999E-2</v>
      </c>
      <c r="N948" s="1472">
        <v>1.370210129828265</v>
      </c>
      <c r="O948" s="1472">
        <v>1.4001656033576764</v>
      </c>
    </row>
    <row r="949" spans="11:15">
      <c r="K949" s="1469">
        <v>43006</v>
      </c>
      <c r="L949" s="1470" t="s">
        <v>2129</v>
      </c>
      <c r="M949" s="1471">
        <v>3.1095999999999999E-2</v>
      </c>
      <c r="N949" s="1472">
        <v>1.3706362103702363</v>
      </c>
      <c r="O949" s="1472">
        <v>1.4009011243507763</v>
      </c>
    </row>
    <row r="950" spans="11:15">
      <c r="K950" s="1469">
        <v>43007</v>
      </c>
      <c r="L950" s="1470" t="s">
        <v>2129</v>
      </c>
      <c r="M950" s="1471">
        <v>3.1095999999999999E-2</v>
      </c>
      <c r="N950" s="1472">
        <v>1.371062423406213</v>
      </c>
      <c r="O950" s="1472">
        <v>1.401637031720409</v>
      </c>
    </row>
    <row r="951" spans="11:15">
      <c r="K951" s="1469">
        <v>43008</v>
      </c>
      <c r="L951" s="1470"/>
      <c r="M951" s="1471">
        <v>0</v>
      </c>
      <c r="N951" s="1472">
        <v>1.371062423406213</v>
      </c>
      <c r="O951" s="1472">
        <v>1.401637031720409</v>
      </c>
    </row>
    <row r="952" spans="11:15">
      <c r="K952" s="1469">
        <v>43009</v>
      </c>
      <c r="L952" s="1470"/>
      <c r="M952" s="1471">
        <v>0</v>
      </c>
      <c r="N952" s="1472">
        <v>1.371062423406213</v>
      </c>
      <c r="O952" s="1472">
        <v>1.401637031720409</v>
      </c>
    </row>
    <row r="953" spans="11:15">
      <c r="K953" s="1469">
        <v>43010</v>
      </c>
      <c r="L953" s="1470" t="s">
        <v>2129</v>
      </c>
      <c r="M953" s="1471">
        <v>3.1095999999999999E-2</v>
      </c>
      <c r="N953" s="1472">
        <v>1.3714887689773954</v>
      </c>
      <c r="O953" s="1472">
        <v>1.4023733256695421</v>
      </c>
    </row>
    <row r="954" spans="11:15">
      <c r="K954" s="1469">
        <v>43011</v>
      </c>
      <c r="L954" s="1470" t="s">
        <v>2129</v>
      </c>
      <c r="M954" s="1471">
        <v>3.1095999999999999E-2</v>
      </c>
      <c r="N954" s="1472">
        <v>1.3719152471249965</v>
      </c>
      <c r="O954" s="1472">
        <v>1.4031100064012496</v>
      </c>
    </row>
    <row r="955" spans="11:15">
      <c r="K955" s="1469">
        <v>43012</v>
      </c>
      <c r="L955" s="1470" t="s">
        <v>2129</v>
      </c>
      <c r="M955" s="1471">
        <v>3.1095999999999999E-2</v>
      </c>
      <c r="N955" s="1472">
        <v>1.3723418578902424</v>
      </c>
      <c r="O955" s="1472">
        <v>1.4038470741187123</v>
      </c>
    </row>
    <row r="956" spans="11:15">
      <c r="K956" s="1469">
        <v>43013</v>
      </c>
      <c r="L956" s="1470" t="s">
        <v>2129</v>
      </c>
      <c r="M956" s="1471">
        <v>3.1095999999999999E-2</v>
      </c>
      <c r="N956" s="1472">
        <v>1.3727686013143718</v>
      </c>
      <c r="O956" s="1472">
        <v>1.4045845290252177</v>
      </c>
    </row>
    <row r="957" spans="11:15">
      <c r="K957" s="1469">
        <v>43014</v>
      </c>
      <c r="L957" s="1470" t="s">
        <v>2129</v>
      </c>
      <c r="M957" s="1471">
        <v>3.1095999999999999E-2</v>
      </c>
      <c r="N957" s="1472">
        <v>1.3731954774386366</v>
      </c>
      <c r="O957" s="1472">
        <v>1.4053223713241598</v>
      </c>
    </row>
    <row r="958" spans="11:15">
      <c r="K958" s="1469">
        <v>43015</v>
      </c>
      <c r="L958" s="1470"/>
      <c r="M958" s="1471">
        <v>0</v>
      </c>
      <c r="N958" s="1472">
        <v>1.3731954774386366</v>
      </c>
      <c r="O958" s="1472">
        <v>1.4053223713241598</v>
      </c>
    </row>
    <row r="959" spans="11:15">
      <c r="K959" s="1469">
        <v>43016</v>
      </c>
      <c r="L959" s="1470"/>
      <c r="M959" s="1471">
        <v>0</v>
      </c>
      <c r="N959" s="1472">
        <v>1.3731954774386366</v>
      </c>
      <c r="O959" s="1472">
        <v>1.4053223713241598</v>
      </c>
    </row>
    <row r="960" spans="11:15">
      <c r="K960" s="1469">
        <v>43017</v>
      </c>
      <c r="L960" s="1470" t="s">
        <v>2129</v>
      </c>
      <c r="M960" s="1471">
        <v>3.1095999999999999E-2</v>
      </c>
      <c r="N960" s="1472">
        <v>1.3736224863043009</v>
      </c>
      <c r="O960" s="1472">
        <v>1.4060606012190402</v>
      </c>
    </row>
    <row r="961" spans="11:15">
      <c r="K961" s="1469">
        <v>43018</v>
      </c>
      <c r="L961" s="1470" t="s">
        <v>2129</v>
      </c>
      <c r="M961" s="1471">
        <v>3.1095999999999999E-2</v>
      </c>
      <c r="N961" s="1472">
        <v>1.3740496279526422</v>
      </c>
      <c r="O961" s="1472">
        <v>1.4067992189134666</v>
      </c>
    </row>
    <row r="962" spans="11:15">
      <c r="K962" s="1469">
        <v>43019</v>
      </c>
      <c r="L962" s="1470" t="s">
        <v>2129</v>
      </c>
      <c r="M962" s="1471">
        <v>3.1095999999999999E-2</v>
      </c>
      <c r="N962" s="1472">
        <v>1.3744769024249504</v>
      </c>
      <c r="O962" s="1472">
        <v>1.4075382246111541</v>
      </c>
    </row>
    <row r="963" spans="11:15">
      <c r="K963" s="1469">
        <v>43020</v>
      </c>
      <c r="L963" s="1470"/>
      <c r="M963" s="1471">
        <v>0</v>
      </c>
      <c r="N963" s="1472">
        <v>1.3744769024249504</v>
      </c>
      <c r="O963" s="1472">
        <v>1.4075382246111541</v>
      </c>
    </row>
    <row r="964" spans="11:15">
      <c r="K964" s="1469">
        <v>43021</v>
      </c>
      <c r="L964" s="1470" t="s">
        <v>2129</v>
      </c>
      <c r="M964" s="1471">
        <v>3.1095999999999999E-2</v>
      </c>
      <c r="N964" s="1472">
        <v>1.3749043097625284</v>
      </c>
      <c r="O964" s="1472">
        <v>1.4082776185159245</v>
      </c>
    </row>
    <row r="965" spans="11:15">
      <c r="K965" s="1469">
        <v>43022</v>
      </c>
      <c r="L965" s="1470"/>
      <c r="M965" s="1471">
        <v>0</v>
      </c>
      <c r="N965" s="1472">
        <v>1.3749043097625284</v>
      </c>
      <c r="O965" s="1472">
        <v>1.4082776185159245</v>
      </c>
    </row>
    <row r="966" spans="11:15">
      <c r="K966" s="1469">
        <v>43023</v>
      </c>
      <c r="L966" s="1470"/>
      <c r="M966" s="1471">
        <v>0</v>
      </c>
      <c r="N966" s="1472">
        <v>1.3749043097625284</v>
      </c>
      <c r="O966" s="1472">
        <v>1.4082776185159245</v>
      </c>
    </row>
    <row r="967" spans="11:15">
      <c r="K967" s="1469">
        <v>43024</v>
      </c>
      <c r="L967" s="1470" t="s">
        <v>2129</v>
      </c>
      <c r="M967" s="1471">
        <v>3.1095999999999999E-2</v>
      </c>
      <c r="N967" s="1472">
        <v>1.3753318500066922</v>
      </c>
      <c r="O967" s="1472">
        <v>1.4090174008317071</v>
      </c>
    </row>
    <row r="968" spans="11:15">
      <c r="K968" s="1469">
        <v>43025</v>
      </c>
      <c r="L968" s="1470" t="s">
        <v>2129</v>
      </c>
      <c r="M968" s="1471">
        <v>3.1095999999999999E-2</v>
      </c>
      <c r="N968" s="1472">
        <v>1.3757595231987703</v>
      </c>
      <c r="O968" s="1472">
        <v>1.4097575717625381</v>
      </c>
    </row>
    <row r="969" spans="11:15">
      <c r="K969" s="1469">
        <v>43026</v>
      </c>
      <c r="L969" s="1470" t="s">
        <v>2129</v>
      </c>
      <c r="M969" s="1471">
        <v>3.1095999999999999E-2</v>
      </c>
      <c r="N969" s="1472">
        <v>1.3761873293801041</v>
      </c>
      <c r="O969" s="1472">
        <v>1.4104981315125606</v>
      </c>
    </row>
    <row r="970" spans="11:15">
      <c r="K970" s="1469">
        <v>43027</v>
      </c>
      <c r="L970" s="1470" t="s">
        <v>2129</v>
      </c>
      <c r="M970" s="1471">
        <v>3.1095999999999999E-2</v>
      </c>
      <c r="N970" s="1472">
        <v>1.3766152685920481</v>
      </c>
      <c r="O970" s="1472">
        <v>1.4112390802860255</v>
      </c>
    </row>
    <row r="971" spans="11:15">
      <c r="K971" s="1469">
        <v>43028</v>
      </c>
      <c r="L971" s="1470" t="s">
        <v>2129</v>
      </c>
      <c r="M971" s="1471">
        <v>3.1095999999999999E-2</v>
      </c>
      <c r="N971" s="1472">
        <v>1.3770433408759695</v>
      </c>
      <c r="O971" s="1472">
        <v>1.4119804182872906</v>
      </c>
    </row>
    <row r="972" spans="11:15">
      <c r="K972" s="1469">
        <v>43029</v>
      </c>
      <c r="L972" s="1470"/>
      <c r="M972" s="1471">
        <v>0</v>
      </c>
      <c r="N972" s="1472">
        <v>1.3770433408759695</v>
      </c>
      <c r="O972" s="1472">
        <v>1.4119804182872906</v>
      </c>
    </row>
    <row r="973" spans="11:15">
      <c r="K973" s="1469">
        <v>43030</v>
      </c>
      <c r="L973" s="1470"/>
      <c r="M973" s="1471">
        <v>0</v>
      </c>
      <c r="N973" s="1472">
        <v>1.3770433408759695</v>
      </c>
      <c r="O973" s="1472">
        <v>1.4119804182872906</v>
      </c>
    </row>
    <row r="974" spans="11:15">
      <c r="K974" s="1469">
        <v>43031</v>
      </c>
      <c r="L974" s="1470" t="s">
        <v>2129</v>
      </c>
      <c r="M974" s="1471">
        <v>3.1095999999999999E-2</v>
      </c>
      <c r="N974" s="1472">
        <v>1.3774715462732483</v>
      </c>
      <c r="O974" s="1472">
        <v>1.412722145720821</v>
      </c>
    </row>
    <row r="975" spans="11:15">
      <c r="K975" s="1469">
        <v>43032</v>
      </c>
      <c r="L975" s="1470" t="s">
        <v>2129</v>
      </c>
      <c r="M975" s="1471">
        <v>3.1095999999999999E-2</v>
      </c>
      <c r="N975" s="1472">
        <v>1.3778998848252775</v>
      </c>
      <c r="O975" s="1472">
        <v>1.4134642627911895</v>
      </c>
    </row>
    <row r="976" spans="11:15">
      <c r="K976" s="1469">
        <v>43033</v>
      </c>
      <c r="L976" s="1470" t="s">
        <v>2129</v>
      </c>
      <c r="M976" s="1471">
        <v>3.1095999999999999E-2</v>
      </c>
      <c r="N976" s="1472">
        <v>1.3783283565734628</v>
      </c>
      <c r="O976" s="1472">
        <v>1.4142067697030765</v>
      </c>
    </row>
    <row r="977" spans="11:15">
      <c r="K977" s="1469">
        <v>43034</v>
      </c>
      <c r="L977" s="1470" t="s">
        <v>2129</v>
      </c>
      <c r="M977" s="1471">
        <v>2.8333000000000001E-2</v>
      </c>
      <c r="N977" s="1472">
        <v>1.3787188783467308</v>
      </c>
      <c r="O977" s="1472">
        <v>1.4149496666612691</v>
      </c>
    </row>
    <row r="978" spans="11:15">
      <c r="K978" s="1469">
        <v>43035</v>
      </c>
      <c r="L978" s="1470" t="s">
        <v>2129</v>
      </c>
      <c r="M978" s="1471">
        <v>2.8333000000000001E-2</v>
      </c>
      <c r="N978" s="1472">
        <v>1.3791095107665328</v>
      </c>
      <c r="O978" s="1472">
        <v>1.4156929538706629</v>
      </c>
    </row>
    <row r="979" spans="11:15">
      <c r="K979" s="1469">
        <v>43036</v>
      </c>
      <c r="L979" s="1470"/>
      <c r="M979" s="1471">
        <v>0</v>
      </c>
      <c r="N979" s="1472">
        <v>1.3791095107665328</v>
      </c>
      <c r="O979" s="1472">
        <v>1.4156929538706629</v>
      </c>
    </row>
    <row r="980" spans="11:15">
      <c r="K980" s="1469">
        <v>43037</v>
      </c>
      <c r="L980" s="1470"/>
      <c r="M980" s="1471">
        <v>0</v>
      </c>
      <c r="N980" s="1472">
        <v>1.3791095107665328</v>
      </c>
      <c r="O980" s="1472">
        <v>1.4156929538706629</v>
      </c>
    </row>
    <row r="981" spans="11:15">
      <c r="K981" s="1469">
        <v>43038</v>
      </c>
      <c r="L981" s="1470" t="s">
        <v>2129</v>
      </c>
      <c r="M981" s="1471">
        <v>2.8333000000000001E-2</v>
      </c>
      <c r="N981" s="1472">
        <v>1.3795002538642183</v>
      </c>
      <c r="O981" s="1472">
        <v>1.4164366315362606</v>
      </c>
    </row>
    <row r="982" spans="11:15">
      <c r="K982" s="1469">
        <v>43039</v>
      </c>
      <c r="L982" s="1470" t="s">
        <v>2129</v>
      </c>
      <c r="M982" s="1471">
        <v>2.8333000000000001E-2</v>
      </c>
      <c r="N982" s="1472">
        <v>1.3798911076711458</v>
      </c>
      <c r="O982" s="1472">
        <v>1.4171806998631729</v>
      </c>
    </row>
    <row r="983" spans="11:15">
      <c r="K983" s="1469">
        <v>43040</v>
      </c>
      <c r="L983" s="1470" t="s">
        <v>2129</v>
      </c>
      <c r="M983" s="1471">
        <v>2.8333000000000001E-2</v>
      </c>
      <c r="N983" s="1472">
        <v>1.3802820722186822</v>
      </c>
      <c r="O983" s="1472">
        <v>1.417925159056618</v>
      </c>
    </row>
    <row r="984" spans="11:15">
      <c r="K984" s="1469">
        <v>43041</v>
      </c>
      <c r="L984" s="1470"/>
      <c r="M984" s="1471">
        <v>0</v>
      </c>
      <c r="N984" s="1472">
        <v>1.3802820722186822</v>
      </c>
      <c r="O984" s="1472">
        <v>1.417925159056618</v>
      </c>
    </row>
    <row r="985" spans="11:15">
      <c r="K985" s="1469">
        <v>43042</v>
      </c>
      <c r="L985" s="1470" t="s">
        <v>2129</v>
      </c>
      <c r="M985" s="1471">
        <v>2.8333000000000001E-2</v>
      </c>
      <c r="N985" s="1472">
        <v>1.3806731475382039</v>
      </c>
      <c r="O985" s="1472">
        <v>1.418670009321922</v>
      </c>
    </row>
    <row r="986" spans="11:15">
      <c r="K986" s="1469">
        <v>43043</v>
      </c>
      <c r="L986" s="1470"/>
      <c r="M986" s="1471">
        <v>0</v>
      </c>
      <c r="N986" s="1472">
        <v>1.3806731475382039</v>
      </c>
      <c r="O986" s="1472">
        <v>1.418670009321922</v>
      </c>
    </row>
    <row r="987" spans="11:15">
      <c r="K987" s="1469">
        <v>43044</v>
      </c>
      <c r="L987" s="1470"/>
      <c r="M987" s="1471">
        <v>0</v>
      </c>
      <c r="N987" s="1472">
        <v>1.3806731475382039</v>
      </c>
      <c r="O987" s="1472">
        <v>1.418670009321922</v>
      </c>
    </row>
    <row r="988" spans="11:15">
      <c r="K988" s="1469">
        <v>43045</v>
      </c>
      <c r="L988" s="1470" t="s">
        <v>2129</v>
      </c>
      <c r="M988" s="1471">
        <v>2.8333000000000001E-2</v>
      </c>
      <c r="N988" s="1472">
        <v>1.3810643336610959</v>
      </c>
      <c r="O988" s="1472">
        <v>1.4194152508645188</v>
      </c>
    </row>
    <row r="989" spans="11:15">
      <c r="K989" s="1469">
        <v>43046</v>
      </c>
      <c r="L989" s="1470" t="s">
        <v>2129</v>
      </c>
      <c r="M989" s="1471">
        <v>2.8333000000000001E-2</v>
      </c>
      <c r="N989" s="1472">
        <v>1.3814556306187522</v>
      </c>
      <c r="O989" s="1472">
        <v>1.4201608838899504</v>
      </c>
    </row>
    <row r="990" spans="11:15">
      <c r="K990" s="1469">
        <v>43047</v>
      </c>
      <c r="L990" s="1470" t="s">
        <v>2129</v>
      </c>
      <c r="M990" s="1471">
        <v>2.8333000000000001E-2</v>
      </c>
      <c r="N990" s="1472">
        <v>1.3818470384425754</v>
      </c>
      <c r="O990" s="1472">
        <v>1.4209069086038666</v>
      </c>
    </row>
    <row r="991" spans="11:15">
      <c r="K991" s="1469">
        <v>43048</v>
      </c>
      <c r="L991" s="1470" t="s">
        <v>2129</v>
      </c>
      <c r="M991" s="1471">
        <v>2.8333000000000001E-2</v>
      </c>
      <c r="N991" s="1472">
        <v>1.3822385571639773</v>
      </c>
      <c r="O991" s="1472">
        <v>1.4216533252120254</v>
      </c>
    </row>
    <row r="992" spans="11:15">
      <c r="K992" s="1469">
        <v>43049</v>
      </c>
      <c r="L992" s="1470" t="s">
        <v>2129</v>
      </c>
      <c r="M992" s="1471">
        <v>2.8333000000000001E-2</v>
      </c>
      <c r="N992" s="1472">
        <v>1.3826301868143787</v>
      </c>
      <c r="O992" s="1472">
        <v>1.4224001339202925</v>
      </c>
    </row>
    <row r="993" spans="11:15">
      <c r="K993" s="1469">
        <v>43050</v>
      </c>
      <c r="L993" s="1470"/>
      <c r="M993" s="1471">
        <v>0</v>
      </c>
      <c r="N993" s="1472">
        <v>1.3826301868143787</v>
      </c>
      <c r="O993" s="1472">
        <v>1.4224001339202925</v>
      </c>
    </row>
    <row r="994" spans="11:15">
      <c r="K994" s="1469">
        <v>43051</v>
      </c>
      <c r="L994" s="1470"/>
      <c r="M994" s="1471">
        <v>0</v>
      </c>
      <c r="N994" s="1472">
        <v>1.3826301868143787</v>
      </c>
      <c r="O994" s="1472">
        <v>1.4224001339202925</v>
      </c>
    </row>
    <row r="995" spans="11:15">
      <c r="K995" s="1469">
        <v>43052</v>
      </c>
      <c r="L995" s="1470" t="s">
        <v>2129</v>
      </c>
      <c r="M995" s="1471">
        <v>2.8333000000000001E-2</v>
      </c>
      <c r="N995" s="1472">
        <v>1.3830219274252089</v>
      </c>
      <c r="O995" s="1472">
        <v>1.4231473349346422</v>
      </c>
    </row>
    <row r="996" spans="11:15">
      <c r="K996" s="1469">
        <v>43053</v>
      </c>
      <c r="L996" s="1470" t="s">
        <v>2129</v>
      </c>
      <c r="M996" s="1471">
        <v>2.8333000000000001E-2</v>
      </c>
      <c r="N996" s="1472">
        <v>1.3834137790279064</v>
      </c>
      <c r="O996" s="1472">
        <v>1.4238949284611566</v>
      </c>
    </row>
    <row r="997" spans="11:15">
      <c r="K997" s="1469">
        <v>43054</v>
      </c>
      <c r="L997" s="1470"/>
      <c r="M997" s="1471">
        <v>0</v>
      </c>
      <c r="N997" s="1472">
        <v>1.3834137790279064</v>
      </c>
      <c r="O997" s="1472">
        <v>1.4238949284611566</v>
      </c>
    </row>
    <row r="998" spans="11:15">
      <c r="K998" s="1469">
        <v>43055</v>
      </c>
      <c r="L998" s="1470" t="s">
        <v>2129</v>
      </c>
      <c r="M998" s="1471">
        <v>2.8333000000000001E-2</v>
      </c>
      <c r="N998" s="1472">
        <v>1.3838057416539185</v>
      </c>
      <c r="O998" s="1472">
        <v>1.4246429147060264</v>
      </c>
    </row>
    <row r="999" spans="11:15">
      <c r="K999" s="1469">
        <v>43056</v>
      </c>
      <c r="L999" s="1470" t="s">
        <v>2129</v>
      </c>
      <c r="M999" s="1471">
        <v>2.8333000000000001E-2</v>
      </c>
      <c r="N999" s="1472">
        <v>1.3841978153347012</v>
      </c>
      <c r="O999" s="1472">
        <v>1.4253912938755506</v>
      </c>
    </row>
    <row r="1000" spans="11:15">
      <c r="K1000" s="1469">
        <v>43057</v>
      </c>
      <c r="L1000" s="1470"/>
      <c r="M1000" s="1471">
        <v>0</v>
      </c>
      <c r="N1000" s="1472">
        <v>1.3841978153347012</v>
      </c>
      <c r="O1000" s="1472">
        <v>1.4253912938755506</v>
      </c>
    </row>
    <row r="1001" spans="11:15">
      <c r="K1001" s="1469">
        <v>43058</v>
      </c>
      <c r="L1001" s="1470"/>
      <c r="M1001" s="1471">
        <v>0</v>
      </c>
      <c r="N1001" s="1472">
        <v>1.3841978153347012</v>
      </c>
      <c r="O1001" s="1472">
        <v>1.4253912938755506</v>
      </c>
    </row>
    <row r="1002" spans="11:15">
      <c r="K1002" s="1469">
        <v>43059</v>
      </c>
      <c r="L1002" s="1470" t="s">
        <v>2129</v>
      </c>
      <c r="M1002" s="1471">
        <v>2.8333000000000001E-2</v>
      </c>
      <c r="N1002" s="1472">
        <v>1.38459000010172</v>
      </c>
      <c r="O1002" s="1472">
        <v>1.4261400661761363</v>
      </c>
    </row>
    <row r="1003" spans="11:15">
      <c r="K1003" s="1469">
        <v>43060</v>
      </c>
      <c r="L1003" s="1470" t="s">
        <v>2129</v>
      </c>
      <c r="M1003" s="1471">
        <v>2.8333000000000001E-2</v>
      </c>
      <c r="N1003" s="1472">
        <v>1.3849822959864488</v>
      </c>
      <c r="O1003" s="1472">
        <v>1.4268892318142994</v>
      </c>
    </row>
    <row r="1004" spans="11:15">
      <c r="K1004" s="1469">
        <v>43061</v>
      </c>
      <c r="L1004" s="1470" t="s">
        <v>2129</v>
      </c>
      <c r="M1004" s="1471">
        <v>2.8333000000000001E-2</v>
      </c>
      <c r="N1004" s="1472">
        <v>1.3853747030203707</v>
      </c>
      <c r="O1004" s="1472">
        <v>1.4276387909966637</v>
      </c>
    </row>
    <row r="1005" spans="11:15">
      <c r="K1005" s="1469">
        <v>43062</v>
      </c>
      <c r="L1005" s="1470" t="s">
        <v>2129</v>
      </c>
      <c r="M1005" s="1471">
        <v>2.8333000000000001E-2</v>
      </c>
      <c r="N1005" s="1472">
        <v>1.3857672212349774</v>
      </c>
      <c r="O1005" s="1472">
        <v>1.4283887439299621</v>
      </c>
    </row>
    <row r="1006" spans="11:15">
      <c r="K1006" s="1469">
        <v>43063</v>
      </c>
      <c r="L1006" s="1470" t="s">
        <v>2129</v>
      </c>
      <c r="M1006" s="1471">
        <v>2.8333000000000001E-2</v>
      </c>
      <c r="N1006" s="1472">
        <v>1.3861598506617701</v>
      </c>
      <c r="O1006" s="1472">
        <v>1.429139090821036</v>
      </c>
    </row>
    <row r="1007" spans="11:15">
      <c r="K1007" s="1469">
        <v>43064</v>
      </c>
      <c r="L1007" s="1470"/>
      <c r="M1007" s="1471">
        <v>0</v>
      </c>
      <c r="N1007" s="1472">
        <v>1.3861598506617701</v>
      </c>
      <c r="O1007" s="1472">
        <v>1.429139090821036</v>
      </c>
    </row>
    <row r="1008" spans="11:15">
      <c r="K1008" s="1469">
        <v>43065</v>
      </c>
      <c r="L1008" s="1470"/>
      <c r="M1008" s="1471">
        <v>0</v>
      </c>
      <c r="N1008" s="1472">
        <v>1.3861598506617701</v>
      </c>
      <c r="O1008" s="1472">
        <v>1.429139090821036</v>
      </c>
    </row>
    <row r="1009" spans="11:15">
      <c r="K1009" s="1469">
        <v>43066</v>
      </c>
      <c r="L1009" s="1470" t="s">
        <v>2129</v>
      </c>
      <c r="M1009" s="1471">
        <v>2.8333000000000001E-2</v>
      </c>
      <c r="N1009" s="1472">
        <v>1.3865525913322581</v>
      </c>
      <c r="O1009" s="1472">
        <v>1.4298898318768352</v>
      </c>
    </row>
    <row r="1010" spans="11:15">
      <c r="K1010" s="1469">
        <v>43067</v>
      </c>
      <c r="L1010" s="1470" t="s">
        <v>2129</v>
      </c>
      <c r="M1010" s="1471">
        <v>2.8333000000000001E-2</v>
      </c>
      <c r="N1010" s="1472">
        <v>1.3869454432779602</v>
      </c>
      <c r="O1010" s="1472">
        <v>1.4306409673044185</v>
      </c>
    </row>
    <row r="1011" spans="11:15">
      <c r="K1011" s="1469">
        <v>43068</v>
      </c>
      <c r="L1011" s="1470" t="s">
        <v>2129</v>
      </c>
      <c r="M1011" s="1471">
        <v>2.8333000000000001E-2</v>
      </c>
      <c r="N1011" s="1472">
        <v>1.3873384065304042</v>
      </c>
      <c r="O1011" s="1472">
        <v>1.4313924973109531</v>
      </c>
    </row>
    <row r="1012" spans="11:15">
      <c r="K1012" s="1469">
        <v>43069</v>
      </c>
      <c r="L1012" s="1470" t="s">
        <v>2129</v>
      </c>
      <c r="M1012" s="1471">
        <v>2.8333000000000001E-2</v>
      </c>
      <c r="N1012" s="1472">
        <v>1.3877314811211265</v>
      </c>
      <c r="O1012" s="1472">
        <v>1.4321444221037154</v>
      </c>
    </row>
    <row r="1013" spans="11:15">
      <c r="K1013" s="1469">
        <v>43070</v>
      </c>
      <c r="L1013" s="1470" t="s">
        <v>2129</v>
      </c>
      <c r="M1013" s="1471">
        <v>2.8333000000000001E-2</v>
      </c>
      <c r="N1013" s="1472">
        <v>1.3881246670816727</v>
      </c>
      <c r="O1013" s="1472">
        <v>1.4328967418900906</v>
      </c>
    </row>
    <row r="1014" spans="11:15">
      <c r="K1014" s="1469">
        <v>43071</v>
      </c>
      <c r="L1014" s="1470"/>
      <c r="M1014" s="1471">
        <v>0</v>
      </c>
      <c r="N1014" s="1472">
        <v>1.3881246670816727</v>
      </c>
      <c r="O1014" s="1472">
        <v>1.4328967418900906</v>
      </c>
    </row>
    <row r="1015" spans="11:15">
      <c r="K1015" s="1469">
        <v>43072</v>
      </c>
      <c r="L1015" s="1470"/>
      <c r="M1015" s="1471">
        <v>0</v>
      </c>
      <c r="N1015" s="1472">
        <v>1.3881246670816727</v>
      </c>
      <c r="O1015" s="1472">
        <v>1.4328967418900906</v>
      </c>
    </row>
    <row r="1016" spans="11:15">
      <c r="K1016" s="1469">
        <v>43073</v>
      </c>
      <c r="L1016" s="1470" t="s">
        <v>2129</v>
      </c>
      <c r="M1016" s="1471">
        <v>2.8333000000000001E-2</v>
      </c>
      <c r="N1016" s="1472">
        <v>1.388517964443597</v>
      </c>
      <c r="O1016" s="1472">
        <v>1.4336494568775728</v>
      </c>
    </row>
    <row r="1017" spans="11:15">
      <c r="K1017" s="1469">
        <v>43074</v>
      </c>
      <c r="L1017" s="1470" t="s">
        <v>2129</v>
      </c>
      <c r="M1017" s="1471">
        <v>2.8333000000000001E-2</v>
      </c>
      <c r="N1017" s="1472">
        <v>1.3889113732384628</v>
      </c>
      <c r="O1017" s="1472">
        <v>1.4344025672737652</v>
      </c>
    </row>
    <row r="1018" spans="11:15">
      <c r="K1018" s="1469">
        <v>43075</v>
      </c>
      <c r="L1018" s="1470" t="s">
        <v>2129</v>
      </c>
      <c r="M1018" s="1471">
        <v>2.8333000000000001E-2</v>
      </c>
      <c r="N1018" s="1472">
        <v>1.3893048934978425</v>
      </c>
      <c r="O1018" s="1472">
        <v>1.4351560732863797</v>
      </c>
    </row>
    <row r="1019" spans="11:15">
      <c r="K1019" s="1469">
        <v>43076</v>
      </c>
      <c r="L1019" s="1470" t="s">
        <v>2129</v>
      </c>
      <c r="M1019" s="1471">
        <v>2.6481000000000001E-2</v>
      </c>
      <c r="N1019" s="1472">
        <v>1.3896727953266896</v>
      </c>
      <c r="O1019" s="1472">
        <v>1.4359099751232378</v>
      </c>
    </row>
    <row r="1020" spans="11:15">
      <c r="K1020" s="1469">
        <v>43077</v>
      </c>
      <c r="L1020" s="1470" t="s">
        <v>2129</v>
      </c>
      <c r="M1020" s="1471">
        <v>2.6481000000000001E-2</v>
      </c>
      <c r="N1020" s="1472">
        <v>1.39004079457962</v>
      </c>
      <c r="O1020" s="1472">
        <v>1.4366642729922698</v>
      </c>
    </row>
    <row r="1021" spans="11:15">
      <c r="K1021" s="1469">
        <v>43078</v>
      </c>
      <c r="L1021" s="1470"/>
      <c r="M1021" s="1471">
        <v>0</v>
      </c>
      <c r="N1021" s="1472">
        <v>1.39004079457962</v>
      </c>
      <c r="O1021" s="1472">
        <v>1.4366642729922698</v>
      </c>
    </row>
    <row r="1022" spans="11:15">
      <c r="K1022" s="1469">
        <v>43079</v>
      </c>
      <c r="L1022" s="1470"/>
      <c r="M1022" s="1471">
        <v>0</v>
      </c>
      <c r="N1022" s="1472">
        <v>1.39004079457962</v>
      </c>
      <c r="O1022" s="1472">
        <v>1.4366642729922698</v>
      </c>
    </row>
    <row r="1023" spans="11:15">
      <c r="K1023" s="1469">
        <v>43080</v>
      </c>
      <c r="L1023" s="1470" t="s">
        <v>2129</v>
      </c>
      <c r="M1023" s="1471">
        <v>2.6481000000000001E-2</v>
      </c>
      <c r="N1023" s="1472">
        <v>1.3904088912824326</v>
      </c>
      <c r="O1023" s="1472">
        <v>1.4374189671015154</v>
      </c>
    </row>
    <row r="1024" spans="11:15">
      <c r="K1024" s="1469">
        <v>43081</v>
      </c>
      <c r="L1024" s="1470" t="s">
        <v>2129</v>
      </c>
      <c r="M1024" s="1471">
        <v>2.6481000000000001E-2</v>
      </c>
      <c r="N1024" s="1472">
        <v>1.3907770854609331</v>
      </c>
      <c r="O1024" s="1472">
        <v>1.4381740576591235</v>
      </c>
    </row>
    <row r="1025" spans="11:15">
      <c r="K1025" s="1469">
        <v>43082</v>
      </c>
      <c r="L1025" s="1470" t="s">
        <v>2129</v>
      </c>
      <c r="M1025" s="1471">
        <v>2.6481000000000001E-2</v>
      </c>
      <c r="N1025" s="1472">
        <v>1.3911453771409341</v>
      </c>
      <c r="O1025" s="1472">
        <v>1.4389295448733526</v>
      </c>
    </row>
    <row r="1026" spans="11:15">
      <c r="K1026" s="1469">
        <v>43083</v>
      </c>
      <c r="L1026" s="1470" t="s">
        <v>2129</v>
      </c>
      <c r="M1026" s="1471">
        <v>2.6481000000000001E-2</v>
      </c>
      <c r="N1026" s="1472">
        <v>1.3915137663482549</v>
      </c>
      <c r="O1026" s="1472">
        <v>1.43968542895257</v>
      </c>
    </row>
    <row r="1027" spans="11:15">
      <c r="K1027" s="1469">
        <v>43084</v>
      </c>
      <c r="L1027" s="1470" t="s">
        <v>2129</v>
      </c>
      <c r="M1027" s="1471">
        <v>2.6481000000000001E-2</v>
      </c>
      <c r="N1027" s="1472">
        <v>1.3918822531087216</v>
      </c>
      <c r="O1027" s="1472">
        <v>1.4404417101052531</v>
      </c>
    </row>
    <row r="1028" spans="11:15">
      <c r="K1028" s="1469">
        <v>43085</v>
      </c>
      <c r="L1028" s="1470"/>
      <c r="M1028" s="1471">
        <v>0</v>
      </c>
      <c r="N1028" s="1472">
        <v>1.3918822531087216</v>
      </c>
      <c r="O1028" s="1472">
        <v>1.4404417101052531</v>
      </c>
    </row>
    <row r="1029" spans="11:15">
      <c r="K1029" s="1469">
        <v>43086</v>
      </c>
      <c r="L1029" s="1470"/>
      <c r="M1029" s="1471">
        <v>0</v>
      </c>
      <c r="N1029" s="1472">
        <v>1.3918822531087216</v>
      </c>
      <c r="O1029" s="1472">
        <v>1.4404417101052531</v>
      </c>
    </row>
    <row r="1030" spans="11:15">
      <c r="K1030" s="1469">
        <v>43087</v>
      </c>
      <c r="L1030" s="1470" t="s">
        <v>2129</v>
      </c>
      <c r="M1030" s="1471">
        <v>2.6481000000000001E-2</v>
      </c>
      <c r="N1030" s="1472">
        <v>1.3922508374481672</v>
      </c>
      <c r="O1030" s="1472">
        <v>1.4411983885399886</v>
      </c>
    </row>
    <row r="1031" spans="11:15">
      <c r="K1031" s="1469">
        <v>43088</v>
      </c>
      <c r="L1031" s="1470" t="s">
        <v>2129</v>
      </c>
      <c r="M1031" s="1471">
        <v>2.6481000000000001E-2</v>
      </c>
      <c r="N1031" s="1472">
        <v>1.392619519392432</v>
      </c>
      <c r="O1031" s="1472">
        <v>1.4419554644654726</v>
      </c>
    </row>
    <row r="1032" spans="11:15">
      <c r="K1032" s="1469">
        <v>43089</v>
      </c>
      <c r="L1032" s="1470" t="s">
        <v>2129</v>
      </c>
      <c r="M1032" s="1471">
        <v>2.6481000000000001E-2</v>
      </c>
      <c r="N1032" s="1472">
        <v>1.3929882989673623</v>
      </c>
      <c r="O1032" s="1472">
        <v>1.442712938090511</v>
      </c>
    </row>
    <row r="1033" spans="11:15">
      <c r="K1033" s="1469">
        <v>43090</v>
      </c>
      <c r="L1033" s="1470" t="s">
        <v>2129</v>
      </c>
      <c r="M1033" s="1471">
        <v>2.6481000000000001E-2</v>
      </c>
      <c r="N1033" s="1472">
        <v>1.3933571761988119</v>
      </c>
      <c r="O1033" s="1472">
        <v>1.4434708096240194</v>
      </c>
    </row>
    <row r="1034" spans="11:15">
      <c r="K1034" s="1469">
        <v>43091</v>
      </c>
      <c r="L1034" s="1470" t="s">
        <v>2129</v>
      </c>
      <c r="M1034" s="1471">
        <v>2.6481000000000001E-2</v>
      </c>
      <c r="N1034" s="1472">
        <v>1.3937261511126411</v>
      </c>
      <c r="O1034" s="1472">
        <v>1.444229079275023</v>
      </c>
    </row>
    <row r="1035" spans="11:15">
      <c r="K1035" s="1469">
        <v>43092</v>
      </c>
      <c r="L1035" s="1470"/>
      <c r="M1035" s="1471">
        <v>0</v>
      </c>
      <c r="N1035" s="1472">
        <v>1.3937261511126411</v>
      </c>
      <c r="O1035" s="1472">
        <v>1.444229079275023</v>
      </c>
    </row>
    <row r="1036" spans="11:15">
      <c r="K1036" s="1469">
        <v>43093</v>
      </c>
      <c r="L1036" s="1470"/>
      <c r="M1036" s="1471">
        <v>0</v>
      </c>
      <c r="N1036" s="1472">
        <v>1.3937261511126411</v>
      </c>
      <c r="O1036" s="1472">
        <v>1.444229079275023</v>
      </c>
    </row>
    <row r="1037" spans="11:15">
      <c r="K1037" s="1469">
        <v>43094</v>
      </c>
      <c r="L1037" s="1470"/>
      <c r="M1037" s="1471">
        <v>0</v>
      </c>
      <c r="N1037" s="1472">
        <v>1.3937261511126411</v>
      </c>
      <c r="O1037" s="1472">
        <v>1.444229079275023</v>
      </c>
    </row>
    <row r="1038" spans="11:15">
      <c r="K1038" s="1469">
        <v>43095</v>
      </c>
      <c r="L1038" s="1470" t="s">
        <v>2129</v>
      </c>
      <c r="M1038" s="1471">
        <v>2.6481000000000001E-2</v>
      </c>
      <c r="N1038" s="1472">
        <v>1.3940952237347173</v>
      </c>
      <c r="O1038" s="1472">
        <v>1.4449877472526569</v>
      </c>
    </row>
    <row r="1039" spans="11:15">
      <c r="K1039" s="1469">
        <v>43096</v>
      </c>
      <c r="L1039" s="1470" t="s">
        <v>2129</v>
      </c>
      <c r="M1039" s="1471">
        <v>2.6481000000000001E-2</v>
      </c>
      <c r="N1039" s="1472">
        <v>1.3944643940909145</v>
      </c>
      <c r="O1039" s="1472">
        <v>1.4457468137661662</v>
      </c>
    </row>
    <row r="1040" spans="11:15">
      <c r="K1040" s="1469">
        <v>43097</v>
      </c>
      <c r="L1040" s="1470" t="s">
        <v>2129</v>
      </c>
      <c r="M1040" s="1471">
        <v>2.6481000000000001E-2</v>
      </c>
      <c r="N1040" s="1472">
        <v>1.3948336622071138</v>
      </c>
      <c r="O1040" s="1472">
        <v>1.4465062790249057</v>
      </c>
    </row>
    <row r="1041" spans="11:15">
      <c r="K1041" s="1469">
        <v>43098</v>
      </c>
      <c r="L1041" s="1470" t="s">
        <v>2129</v>
      </c>
      <c r="M1041" s="1471">
        <v>2.6481000000000001E-2</v>
      </c>
      <c r="N1041" s="1472">
        <v>1.3952030281092029</v>
      </c>
      <c r="O1041" s="1472">
        <v>1.4472661432383402</v>
      </c>
    </row>
    <row r="1042" spans="11:15">
      <c r="K1042" s="1469">
        <v>43099</v>
      </c>
      <c r="L1042" s="1470"/>
      <c r="M1042" s="1471">
        <v>0</v>
      </c>
      <c r="N1042" s="1472">
        <v>1.3952030281092029</v>
      </c>
      <c r="O1042" s="1472">
        <v>1.4472661432383402</v>
      </c>
    </row>
    <row r="1043" spans="11:15">
      <c r="K1043" s="1469">
        <v>43100</v>
      </c>
      <c r="L1043" s="1470"/>
      <c r="M1043" s="1471">
        <v>0</v>
      </c>
      <c r="N1043" s="1472">
        <v>1.3952030281092029</v>
      </c>
      <c r="O1043" s="1472">
        <v>1.4472661432383402</v>
      </c>
    </row>
    <row r="1044" spans="11:15">
      <c r="K1044" s="1469">
        <v>43101</v>
      </c>
      <c r="L1044" s="1470"/>
      <c r="M1044" s="1471">
        <v>0</v>
      </c>
      <c r="N1044" s="1472">
        <v>1.3952030281092029</v>
      </c>
      <c r="O1044" s="1472">
        <v>1.4472661432383402</v>
      </c>
    </row>
    <row r="1045" spans="11:15">
      <c r="K1045" s="1469">
        <v>43102</v>
      </c>
      <c r="L1045" s="1470" t="s">
        <v>2129</v>
      </c>
      <c r="M1045" s="1471">
        <v>2.6481000000000001E-2</v>
      </c>
      <c r="N1045" s="1472">
        <v>1.3955724918230765</v>
      </c>
      <c r="O1045" s="1472"/>
    </row>
    <row r="1046" spans="11:15">
      <c r="K1046" s="1469">
        <v>43103</v>
      </c>
      <c r="L1046" s="1470" t="s">
        <v>2129</v>
      </c>
      <c r="M1046" s="1471">
        <v>2.6481000000000001E-2</v>
      </c>
      <c r="N1046" s="1472">
        <v>1.3959420533746363</v>
      </c>
      <c r="O1046" s="1472"/>
    </row>
    <row r="1047" spans="11:15">
      <c r="K1047" s="1469">
        <v>43104</v>
      </c>
      <c r="L1047" s="1470" t="s">
        <v>2129</v>
      </c>
      <c r="M1047" s="1471">
        <v>2.6481000000000001E-2</v>
      </c>
      <c r="N1047" s="1472">
        <v>1.3963117127897904</v>
      </c>
      <c r="O1047" s="1472"/>
    </row>
    <row r="1048" spans="11:15">
      <c r="K1048" s="1469">
        <v>43105</v>
      </c>
      <c r="L1048" s="1470" t="s">
        <v>2129</v>
      </c>
      <c r="M1048" s="1471">
        <v>2.6481000000000001E-2</v>
      </c>
      <c r="N1048" s="1472">
        <v>1.3966814700944543</v>
      </c>
      <c r="O1048" s="1472"/>
    </row>
    <row r="1049" spans="11:15">
      <c r="K1049" s="1469">
        <v>43106</v>
      </c>
      <c r="L1049" s="1470"/>
      <c r="M1049" s="1471">
        <v>0</v>
      </c>
      <c r="N1049" s="1472">
        <v>1.3966814700944543</v>
      </c>
      <c r="O1049" s="1472"/>
    </row>
    <row r="1050" spans="11:15">
      <c r="K1050" s="1469">
        <v>43107</v>
      </c>
      <c r="L1050" s="1470"/>
      <c r="M1050" s="1471">
        <v>0</v>
      </c>
      <c r="N1050" s="1472">
        <v>1.3966814700944543</v>
      </c>
      <c r="O1050" s="1472"/>
    </row>
    <row r="1051" spans="11:15">
      <c r="K1051" s="1469">
        <v>43108</v>
      </c>
      <c r="L1051" s="1470" t="s">
        <v>2129</v>
      </c>
      <c r="M1051" s="1471">
        <v>2.6481000000000001E-2</v>
      </c>
      <c r="N1051" s="1472">
        <v>1.39705132531455</v>
      </c>
      <c r="O1051" s="1472"/>
    </row>
    <row r="1052" spans="11:15">
      <c r="K1052" s="1469">
        <v>43109</v>
      </c>
      <c r="L1052" s="1470" t="s">
        <v>2129</v>
      </c>
      <c r="M1052" s="1471">
        <v>2.6481000000000001E-2</v>
      </c>
      <c r="N1052" s="1472">
        <v>1.3974212784760065</v>
      </c>
      <c r="O1052" s="1472"/>
    </row>
    <row r="1053" spans="11:15">
      <c r="K1053" s="1469">
        <v>43110</v>
      </c>
      <c r="L1053" s="1470" t="s">
        <v>2129</v>
      </c>
      <c r="M1053" s="1471">
        <v>2.6481000000000001E-2</v>
      </c>
      <c r="N1053" s="1472">
        <v>1.3977913296047597</v>
      </c>
      <c r="O1053" s="1472"/>
    </row>
    <row r="1054" spans="11:15">
      <c r="K1054" s="1469">
        <v>43111</v>
      </c>
      <c r="L1054" s="1470" t="s">
        <v>2129</v>
      </c>
      <c r="M1054" s="1471">
        <v>2.6481000000000001E-2</v>
      </c>
      <c r="N1054" s="1472">
        <v>1.3981614787267524</v>
      </c>
      <c r="O1054" s="1472"/>
    </row>
    <row r="1055" spans="11:15">
      <c r="K1055" s="1469">
        <v>43112</v>
      </c>
      <c r="L1055" s="1470" t="s">
        <v>2129</v>
      </c>
      <c r="M1055" s="1471">
        <v>2.6481000000000001E-2</v>
      </c>
      <c r="N1055" s="1472">
        <v>1.3985317258679342</v>
      </c>
      <c r="O1055" s="1472"/>
    </row>
    <row r="1056" spans="11:15">
      <c r="K1056" s="1469">
        <v>43113</v>
      </c>
      <c r="L1056" s="1470"/>
      <c r="M1056" s="1471">
        <v>0</v>
      </c>
      <c r="N1056" s="1472">
        <v>1.3985317258679342</v>
      </c>
      <c r="O1056" s="1472"/>
    </row>
    <row r="1057" spans="11:15">
      <c r="K1057" s="1469">
        <v>43114</v>
      </c>
      <c r="L1057" s="1470"/>
      <c r="M1057" s="1471">
        <v>0</v>
      </c>
      <c r="N1057" s="1472">
        <v>1.3985317258679342</v>
      </c>
      <c r="O1057" s="1472"/>
    </row>
    <row r="1058" spans="11:15">
      <c r="K1058" s="1469">
        <v>43115</v>
      </c>
      <c r="L1058" s="1470" t="s">
        <v>2129</v>
      </c>
      <c r="M1058" s="1471">
        <v>2.6481000000000001E-2</v>
      </c>
      <c r="N1058" s="1472">
        <v>1.3989020710542612</v>
      </c>
      <c r="O1058" s="1472"/>
    </row>
    <row r="1059" spans="11:15">
      <c r="K1059" s="1469">
        <v>43116</v>
      </c>
      <c r="L1059" s="1470" t="s">
        <v>2129</v>
      </c>
      <c r="M1059" s="1471">
        <v>2.6481000000000001E-2</v>
      </c>
      <c r="N1059" s="1472">
        <v>1.3992725143116971</v>
      </c>
      <c r="O1059" s="1472"/>
    </row>
    <row r="1060" spans="11:15">
      <c r="K1060" s="1469">
        <v>43117</v>
      </c>
      <c r="L1060" s="1470" t="s">
        <v>2129</v>
      </c>
      <c r="M1060" s="1471">
        <v>2.6481000000000001E-2</v>
      </c>
      <c r="N1060" s="1472">
        <v>1.3996430556662121</v>
      </c>
      <c r="O1060" s="1472"/>
    </row>
    <row r="1061" spans="11:15">
      <c r="K1061" s="1469">
        <v>43118</v>
      </c>
      <c r="L1061" s="1470" t="s">
        <v>2129</v>
      </c>
      <c r="M1061" s="1471">
        <v>2.6481000000000001E-2</v>
      </c>
      <c r="N1061" s="1472">
        <v>1.4000136951437829</v>
      </c>
      <c r="O1061" s="1472"/>
    </row>
    <row r="1062" spans="11:15">
      <c r="K1062" s="1469">
        <v>43119</v>
      </c>
      <c r="L1062" s="1470" t="s">
        <v>2129</v>
      </c>
      <c r="M1062" s="1471">
        <v>2.6481000000000001E-2</v>
      </c>
      <c r="N1062" s="1472">
        <v>1.400384432770394</v>
      </c>
      <c r="O1062" s="1472"/>
    </row>
    <row r="1063" spans="11:15">
      <c r="K1063" s="1469">
        <v>43120</v>
      </c>
      <c r="L1063" s="1470"/>
      <c r="M1063" s="1471">
        <v>0</v>
      </c>
      <c r="N1063" s="1472">
        <v>1.400384432770394</v>
      </c>
      <c r="O1063" s="1472"/>
    </row>
    <row r="1064" spans="11:15">
      <c r="K1064" s="1469">
        <v>43121</v>
      </c>
      <c r="L1064" s="1470"/>
      <c r="M1064" s="1471">
        <v>0</v>
      </c>
      <c r="N1064" s="1472">
        <v>1.400384432770394</v>
      </c>
      <c r="O1064" s="1472"/>
    </row>
    <row r="1065" spans="11:15">
      <c r="K1065" s="1469">
        <v>43122</v>
      </c>
      <c r="L1065" s="1470" t="s">
        <v>2129</v>
      </c>
      <c r="M1065" s="1471">
        <v>2.6481000000000001E-2</v>
      </c>
      <c r="N1065" s="1472">
        <v>1.4007552685720359</v>
      </c>
      <c r="O1065" s="1472"/>
    </row>
    <row r="1066" spans="11:15">
      <c r="K1066" s="1469">
        <v>43123</v>
      </c>
      <c r="L1066" s="1470" t="s">
        <v>2129</v>
      </c>
      <c r="M1066" s="1471">
        <v>2.6481000000000001E-2</v>
      </c>
      <c r="N1066" s="1472">
        <v>1.4011262025747064</v>
      </c>
      <c r="O1066" s="1472"/>
    </row>
    <row r="1067" spans="11:15">
      <c r="K1067" s="1469">
        <v>43124</v>
      </c>
      <c r="L1067" s="1470" t="s">
        <v>2129</v>
      </c>
      <c r="M1067" s="1471">
        <v>2.6481000000000001E-2</v>
      </c>
      <c r="N1067" s="1472">
        <v>1.4014972348044104</v>
      </c>
      <c r="O1067" s="1472"/>
    </row>
    <row r="1068" spans="11:15">
      <c r="K1068" s="1469">
        <v>43125</v>
      </c>
      <c r="L1068" s="1470" t="s">
        <v>2129</v>
      </c>
      <c r="M1068" s="1471">
        <v>2.6481000000000001E-2</v>
      </c>
      <c r="N1068" s="1472">
        <v>1.4018683652871589</v>
      </c>
      <c r="O1068" s="1472"/>
    </row>
    <row r="1069" spans="11:15">
      <c r="K1069" s="1469">
        <v>43126</v>
      </c>
      <c r="L1069" s="1470" t="s">
        <v>2129</v>
      </c>
      <c r="M1069" s="1471">
        <v>2.6481000000000001E-2</v>
      </c>
      <c r="N1069" s="1472">
        <v>1.4022395940489705</v>
      </c>
      <c r="O1069" s="1472"/>
    </row>
    <row r="1070" spans="11:15">
      <c r="K1070" s="1469">
        <v>43127</v>
      </c>
      <c r="L1070" s="1470"/>
      <c r="M1070" s="1471">
        <v>0</v>
      </c>
      <c r="N1070" s="1472">
        <v>1.4022395940489705</v>
      </c>
      <c r="O1070" s="1472"/>
    </row>
    <row r="1071" spans="11:15">
      <c r="K1071" s="1469">
        <v>43128</v>
      </c>
      <c r="L1071" s="1470"/>
      <c r="M1071" s="1471">
        <v>0</v>
      </c>
      <c r="N1071" s="1472">
        <v>1.4022395940489705</v>
      </c>
      <c r="O1071" s="1472"/>
    </row>
    <row r="1072" spans="11:15">
      <c r="K1072" s="1469">
        <v>43129</v>
      </c>
      <c r="L1072" s="1470" t="s">
        <v>2129</v>
      </c>
      <c r="M1072" s="1471">
        <v>2.6481000000000001E-2</v>
      </c>
      <c r="N1072" s="1472">
        <v>1.4026109211158706</v>
      </c>
      <c r="O1072" s="1472"/>
    </row>
    <row r="1073" spans="11:15">
      <c r="K1073" s="1469">
        <v>43130</v>
      </c>
      <c r="L1073" s="1470" t="s">
        <v>2129</v>
      </c>
      <c r="M1073" s="1471">
        <v>2.6481000000000001E-2</v>
      </c>
      <c r="N1073" s="1472">
        <v>1.4029823465138913</v>
      </c>
      <c r="O1073" s="1472"/>
    </row>
    <row r="1074" spans="11:15">
      <c r="K1074" s="1469">
        <v>43131</v>
      </c>
      <c r="L1074" s="1470" t="s">
        <v>2129</v>
      </c>
      <c r="M1074" s="1471">
        <v>2.6481000000000001E-2</v>
      </c>
      <c r="N1074" s="1472">
        <v>1.4033538702690718</v>
      </c>
      <c r="O1074" s="1472"/>
    </row>
    <row r="1075" spans="11:15">
      <c r="K1075" s="1469">
        <v>43132</v>
      </c>
      <c r="L1075" s="1470" t="s">
        <v>2129</v>
      </c>
      <c r="M1075" s="1471">
        <v>2.6481000000000001E-2</v>
      </c>
      <c r="N1075" s="1472">
        <v>1.4037254924074578</v>
      </c>
      <c r="O1075" s="1472"/>
    </row>
    <row r="1076" spans="11:15">
      <c r="K1076" s="1469">
        <v>43133</v>
      </c>
      <c r="L1076" s="1470" t="s">
        <v>2129</v>
      </c>
      <c r="M1076" s="1471">
        <v>2.6481000000000001E-2</v>
      </c>
      <c r="N1076" s="1472">
        <v>1.4040972129551021</v>
      </c>
      <c r="O1076" s="1472"/>
    </row>
    <row r="1077" spans="11:15">
      <c r="K1077" s="1469">
        <v>43134</v>
      </c>
      <c r="L1077" s="1470"/>
      <c r="M1077" s="1471">
        <v>0</v>
      </c>
      <c r="N1077" s="1472">
        <v>1.4040972129551021</v>
      </c>
      <c r="O1077" s="1472"/>
    </row>
    <row r="1078" spans="11:15">
      <c r="K1078" s="1469">
        <v>43135</v>
      </c>
      <c r="L1078" s="1470"/>
      <c r="M1078" s="1471">
        <v>0</v>
      </c>
      <c r="N1078" s="1472">
        <v>1.4040972129551021</v>
      </c>
      <c r="O1078" s="1472"/>
    </row>
    <row r="1079" spans="11:15">
      <c r="K1079" s="1469">
        <v>43136</v>
      </c>
      <c r="L1079" s="1470" t="s">
        <v>2129</v>
      </c>
      <c r="M1079" s="1471">
        <v>2.6481000000000001E-2</v>
      </c>
      <c r="N1079" s="1472">
        <v>1.4044690319380648</v>
      </c>
      <c r="O1079" s="1472"/>
    </row>
    <row r="1080" spans="11:15">
      <c r="K1080" s="1469">
        <v>43137</v>
      </c>
      <c r="L1080" s="1470" t="s">
        <v>2129</v>
      </c>
      <c r="M1080" s="1471">
        <v>2.6481000000000001E-2</v>
      </c>
      <c r="N1080" s="1472">
        <v>1.4048409493824123</v>
      </c>
      <c r="O1080" s="1472"/>
    </row>
    <row r="1081" spans="11:15">
      <c r="K1081" s="1469">
        <v>43138</v>
      </c>
      <c r="L1081" s="1470" t="s">
        <v>2129</v>
      </c>
      <c r="M1081" s="1471">
        <v>2.6481000000000001E-2</v>
      </c>
      <c r="N1081" s="1472">
        <v>1.4052129653142182</v>
      </c>
      <c r="O1081" s="1472"/>
    </row>
    <row r="1082" spans="11:15">
      <c r="K1082" s="1469">
        <v>43139</v>
      </c>
      <c r="L1082" s="1470" t="s">
        <v>2129</v>
      </c>
      <c r="M1082" s="1471">
        <v>2.5551999999999998E-2</v>
      </c>
      <c r="N1082" s="1472">
        <v>1.4055720253311155</v>
      </c>
      <c r="O1082" s="1472"/>
    </row>
    <row r="1083" spans="11:15">
      <c r="K1083" s="1469">
        <v>43140</v>
      </c>
      <c r="L1083" s="1470" t="s">
        <v>2129</v>
      </c>
      <c r="M1083" s="1471">
        <v>2.5551999999999998E-2</v>
      </c>
      <c r="N1083" s="1472">
        <v>1.4059311770950282</v>
      </c>
      <c r="O1083" s="1472"/>
    </row>
    <row r="1084" spans="11:15">
      <c r="K1084" s="1469">
        <v>43141</v>
      </c>
      <c r="L1084" s="1470"/>
      <c r="M1084" s="1471">
        <v>0</v>
      </c>
      <c r="N1084" s="1472">
        <v>1.4059311770950282</v>
      </c>
      <c r="O1084" s="1472"/>
    </row>
    <row r="1085" spans="11:15">
      <c r="K1085" s="1469">
        <v>43142</v>
      </c>
      <c r="L1085" s="1470"/>
      <c r="M1085" s="1471">
        <v>0</v>
      </c>
      <c r="N1085" s="1472">
        <v>1.4059311770950282</v>
      </c>
      <c r="O1085" s="1472"/>
    </row>
    <row r="1086" spans="11:15">
      <c r="K1086" s="1469">
        <v>43143</v>
      </c>
      <c r="L1086" s="1470"/>
      <c r="M1086" s="1471">
        <v>0</v>
      </c>
      <c r="N1086" s="1472">
        <v>1.4059311770950282</v>
      </c>
      <c r="O1086" s="1472"/>
    </row>
    <row r="1087" spans="11:15">
      <c r="K1087" s="1469">
        <v>43144</v>
      </c>
      <c r="L1087" s="1470"/>
      <c r="M1087" s="1471">
        <v>0</v>
      </c>
      <c r="N1087" s="1472">
        <v>1.4059311770950282</v>
      </c>
      <c r="O1087" s="1472"/>
    </row>
    <row r="1088" spans="11:15">
      <c r="K1088" s="1469">
        <v>43145</v>
      </c>
      <c r="L1088" s="1470" t="s">
        <v>2129</v>
      </c>
      <c r="M1088" s="1471">
        <v>2.5551999999999998E-2</v>
      </c>
      <c r="N1088" s="1472">
        <v>1.4062904206293996</v>
      </c>
      <c r="O1088" s="1472"/>
    </row>
    <row r="1089" spans="11:15">
      <c r="K1089" s="1469">
        <v>43146</v>
      </c>
      <c r="L1089" s="1470" t="s">
        <v>2129</v>
      </c>
      <c r="M1089" s="1471">
        <v>2.5551999999999998E-2</v>
      </c>
      <c r="N1089" s="1472">
        <v>1.4066497559576789</v>
      </c>
      <c r="O1089" s="1472"/>
    </row>
    <row r="1090" spans="11:15">
      <c r="K1090" s="1469">
        <v>43147</v>
      </c>
      <c r="L1090" s="1470" t="s">
        <v>2129</v>
      </c>
      <c r="M1090" s="1471">
        <v>2.5551999999999998E-2</v>
      </c>
      <c r="N1090" s="1472">
        <v>1.4070091831033213</v>
      </c>
      <c r="O1090" s="1472"/>
    </row>
    <row r="1091" spans="11:15">
      <c r="K1091" s="1469">
        <v>43148</v>
      </c>
      <c r="L1091" s="1470"/>
      <c r="M1091" s="1471">
        <v>0</v>
      </c>
      <c r="N1091" s="1472">
        <v>1.4070091831033213</v>
      </c>
      <c r="O1091" s="1472"/>
    </row>
    <row r="1092" spans="11:15">
      <c r="K1092" s="1469">
        <v>43149</v>
      </c>
      <c r="L1092" s="1470"/>
      <c r="M1092" s="1471">
        <v>0</v>
      </c>
      <c r="N1092" s="1472">
        <v>1.4070091831033213</v>
      </c>
      <c r="O1092" s="1472"/>
    </row>
    <row r="1093" spans="11:15">
      <c r="K1093" s="1469">
        <v>43150</v>
      </c>
      <c r="L1093" s="1470" t="s">
        <v>2129</v>
      </c>
      <c r="M1093" s="1471">
        <v>2.5551999999999998E-2</v>
      </c>
      <c r="N1093" s="1472">
        <v>1.407368702089788</v>
      </c>
      <c r="O1093" s="1472"/>
    </row>
    <row r="1094" spans="11:15">
      <c r="K1094" s="1469">
        <v>43151</v>
      </c>
      <c r="L1094" s="1470" t="s">
        <v>2129</v>
      </c>
      <c r="M1094" s="1471">
        <v>2.5551999999999998E-2</v>
      </c>
      <c r="N1094" s="1472">
        <v>1.407728312940546</v>
      </c>
      <c r="O1094" s="1472"/>
    </row>
    <row r="1095" spans="11:15">
      <c r="K1095" s="1469">
        <v>43152</v>
      </c>
      <c r="L1095" s="1470" t="s">
        <v>2129</v>
      </c>
      <c r="M1095" s="1471">
        <v>2.5551999999999998E-2</v>
      </c>
      <c r="N1095" s="1472">
        <v>1.4080880156790687</v>
      </c>
      <c r="O1095" s="1472"/>
    </row>
    <row r="1096" spans="11:15">
      <c r="K1096" s="1469">
        <v>43153</v>
      </c>
      <c r="L1096" s="1470" t="s">
        <v>2129</v>
      </c>
      <c r="M1096" s="1471">
        <v>2.5551999999999998E-2</v>
      </c>
      <c r="N1096" s="1472">
        <v>1.4084478103288351</v>
      </c>
      <c r="O1096" s="1472"/>
    </row>
    <row r="1097" spans="11:15">
      <c r="K1097" s="1469">
        <v>43154</v>
      </c>
      <c r="L1097" s="1470" t="s">
        <v>2129</v>
      </c>
      <c r="M1097" s="1471">
        <v>2.5551999999999998E-2</v>
      </c>
      <c r="N1097" s="1472">
        <v>1.4088076969133305</v>
      </c>
      <c r="O1097" s="1472"/>
    </row>
    <row r="1098" spans="11:15">
      <c r="K1098" s="1469">
        <v>43155</v>
      </c>
      <c r="L1098" s="1470"/>
      <c r="M1098" s="1471">
        <v>0</v>
      </c>
      <c r="N1098" s="1472">
        <v>1.4088076969133305</v>
      </c>
      <c r="O1098" s="1472"/>
    </row>
    <row r="1099" spans="11:15">
      <c r="K1099" s="1469">
        <v>43156</v>
      </c>
      <c r="L1099" s="1470"/>
      <c r="M1099" s="1471">
        <v>0</v>
      </c>
      <c r="N1099" s="1472">
        <v>1.4088076969133305</v>
      </c>
      <c r="O1099" s="1472"/>
    </row>
    <row r="1100" spans="11:15">
      <c r="K1100" s="1469">
        <v>43157</v>
      </c>
      <c r="L1100" s="1470" t="s">
        <v>2129</v>
      </c>
      <c r="M1100" s="1471">
        <v>2.5551999999999998E-2</v>
      </c>
      <c r="N1100" s="1472">
        <v>1.4091676754560458</v>
      </c>
      <c r="O1100" s="1472"/>
    </row>
    <row r="1101" spans="11:15">
      <c r="K1101" s="1469">
        <v>43158</v>
      </c>
      <c r="L1101" s="1470" t="s">
        <v>2129</v>
      </c>
      <c r="M1101" s="1471">
        <v>2.5551999999999998E-2</v>
      </c>
      <c r="N1101" s="1472">
        <v>1.4095277459804785</v>
      </c>
      <c r="O1101" s="1472"/>
    </row>
    <row r="1102" spans="11:15">
      <c r="K1102" s="1469">
        <v>43159</v>
      </c>
      <c r="L1102" s="1470" t="s">
        <v>2129</v>
      </c>
      <c r="M1102" s="1471">
        <v>2.5551999999999998E-2</v>
      </c>
      <c r="N1102" s="1472">
        <v>1.4098879085101315</v>
      </c>
      <c r="O1102" s="1472"/>
    </row>
    <row r="1103" spans="11:15">
      <c r="K1103" s="1469">
        <v>43160</v>
      </c>
      <c r="L1103" s="1470" t="s">
        <v>2129</v>
      </c>
      <c r="M1103" s="1471">
        <v>2.5551999999999998E-2</v>
      </c>
      <c r="N1103" s="1472">
        <v>1.410248163068514</v>
      </c>
      <c r="O1103" s="1472"/>
    </row>
    <row r="1104" spans="11:15">
      <c r="K1104" s="1469">
        <v>43161</v>
      </c>
      <c r="L1104" s="1470" t="s">
        <v>2129</v>
      </c>
      <c r="M1104" s="1471">
        <v>2.5551999999999998E-2</v>
      </c>
      <c r="N1104" s="1472">
        <v>1.4106085096791414</v>
      </c>
      <c r="O1104" s="1472"/>
    </row>
    <row r="1105" spans="11:15">
      <c r="K1105" s="1469">
        <v>43162</v>
      </c>
      <c r="L1105" s="1470"/>
      <c r="M1105" s="1471">
        <v>0</v>
      </c>
      <c r="N1105" s="1472">
        <v>1.4106085096791414</v>
      </c>
      <c r="O1105" s="1472"/>
    </row>
    <row r="1106" spans="11:15">
      <c r="K1106" s="1469">
        <v>43163</v>
      </c>
      <c r="L1106" s="1470"/>
      <c r="M1106" s="1471">
        <v>0</v>
      </c>
      <c r="N1106" s="1472">
        <v>1.4106085096791414</v>
      </c>
      <c r="O1106" s="1472"/>
    </row>
    <row r="1107" spans="11:15">
      <c r="K1107" s="1469">
        <v>43164</v>
      </c>
      <c r="L1107" s="1470" t="s">
        <v>2129</v>
      </c>
      <c r="M1107" s="1471">
        <v>2.5551999999999998E-2</v>
      </c>
      <c r="N1107" s="1472">
        <v>1.4109689483655348</v>
      </c>
      <c r="O1107" s="1472"/>
    </row>
    <row r="1108" spans="11:15">
      <c r="K1108" s="1469">
        <v>43165</v>
      </c>
      <c r="L1108" s="1470" t="s">
        <v>2129</v>
      </c>
      <c r="M1108" s="1471">
        <v>2.5551999999999998E-2</v>
      </c>
      <c r="N1108" s="1472">
        <v>1.4113294791512212</v>
      </c>
      <c r="O1108" s="1472"/>
    </row>
    <row r="1109" spans="11:15">
      <c r="K1109" s="1469">
        <v>43166</v>
      </c>
      <c r="L1109" s="1470" t="s">
        <v>2129</v>
      </c>
      <c r="M1109" s="1471">
        <v>2.5551999999999998E-2</v>
      </c>
      <c r="N1109" s="1472">
        <v>1.4116901020597341</v>
      </c>
      <c r="O1109" s="1472"/>
    </row>
    <row r="1110" spans="11:15">
      <c r="K1110" s="1469">
        <v>43167</v>
      </c>
      <c r="L1110" s="1470" t="s">
        <v>2129</v>
      </c>
      <c r="M1110" s="1471">
        <v>2.5551999999999998E-2</v>
      </c>
      <c r="N1110" s="1472">
        <v>1.4120508171146124</v>
      </c>
      <c r="O1110" s="1472"/>
    </row>
    <row r="1111" spans="11:15">
      <c r="K1111" s="1469">
        <v>43168</v>
      </c>
      <c r="L1111" s="1470" t="s">
        <v>2129</v>
      </c>
      <c r="M1111" s="1471">
        <v>2.5551999999999998E-2</v>
      </c>
      <c r="N1111" s="1472">
        <v>1.4124116243394016</v>
      </c>
      <c r="O1111" s="1472"/>
    </row>
    <row r="1112" spans="11:15">
      <c r="K1112" s="1469">
        <v>43169</v>
      </c>
      <c r="L1112" s="1470"/>
      <c r="M1112" s="1471">
        <v>0</v>
      </c>
      <c r="N1112" s="1472">
        <v>1.4124116243394016</v>
      </c>
      <c r="O1112" s="1472"/>
    </row>
    <row r="1113" spans="11:15">
      <c r="K1113" s="1469">
        <v>43170</v>
      </c>
      <c r="L1113" s="1470"/>
      <c r="M1113" s="1471">
        <v>0</v>
      </c>
      <c r="N1113" s="1472">
        <v>1.4124116243394016</v>
      </c>
      <c r="O1113" s="1472"/>
    </row>
    <row r="1114" spans="11:15">
      <c r="K1114" s="1469">
        <v>43171</v>
      </c>
      <c r="L1114" s="1470" t="s">
        <v>2129</v>
      </c>
      <c r="M1114" s="1471">
        <v>2.5551999999999998E-2</v>
      </c>
      <c r="N1114" s="1472">
        <v>1.4127725237576529</v>
      </c>
      <c r="O1114" s="1472"/>
    </row>
    <row r="1115" spans="11:15">
      <c r="K1115" s="1469">
        <v>43172</v>
      </c>
      <c r="L1115" s="1470" t="s">
        <v>2129</v>
      </c>
      <c r="M1115" s="1471">
        <v>2.5551999999999998E-2</v>
      </c>
      <c r="N1115" s="1472">
        <v>1.4131335153929236</v>
      </c>
      <c r="O1115" s="1472"/>
    </row>
    <row r="1116" spans="11:15">
      <c r="K1116" s="1469">
        <v>43173</v>
      </c>
      <c r="L1116" s="1470" t="s">
        <v>2129</v>
      </c>
      <c r="M1116" s="1471">
        <v>2.5551999999999998E-2</v>
      </c>
      <c r="N1116" s="1472">
        <v>1.4134945992687769</v>
      </c>
      <c r="O1116" s="1472"/>
    </row>
    <row r="1117" spans="11:15">
      <c r="K1117" s="1469">
        <v>43174</v>
      </c>
      <c r="L1117" s="1470" t="s">
        <v>2129</v>
      </c>
      <c r="M1117" s="1471">
        <v>2.5551999999999998E-2</v>
      </c>
      <c r="N1117" s="1472">
        <v>1.4138557754087822</v>
      </c>
      <c r="O1117" s="1472"/>
    </row>
    <row r="1118" spans="11:15">
      <c r="K1118" s="1469">
        <v>43175</v>
      </c>
      <c r="L1118" s="1470" t="s">
        <v>2129</v>
      </c>
      <c r="M1118" s="1471">
        <v>2.5551999999999998E-2</v>
      </c>
      <c r="N1118" s="1472">
        <v>1.4142170438365147</v>
      </c>
      <c r="O1118" s="1472"/>
    </row>
    <row r="1119" spans="11:15">
      <c r="K1119" s="1469">
        <v>43176</v>
      </c>
      <c r="L1119" s="1470"/>
      <c r="M1119" s="1471">
        <v>0</v>
      </c>
      <c r="N1119" s="1472">
        <v>1.4142170438365147</v>
      </c>
      <c r="O1119" s="1472"/>
    </row>
    <row r="1120" spans="11:15">
      <c r="K1120" s="1469">
        <v>43177</v>
      </c>
      <c r="L1120" s="1470"/>
      <c r="M1120" s="1471">
        <v>0</v>
      </c>
      <c r="N1120" s="1472">
        <v>1.4142170438365147</v>
      </c>
      <c r="O1120" s="1472"/>
    </row>
    <row r="1121" spans="11:15">
      <c r="K1121" s="1469">
        <v>43178</v>
      </c>
      <c r="L1121" s="1470" t="s">
        <v>2129</v>
      </c>
      <c r="M1121" s="1471">
        <v>2.5551999999999998E-2</v>
      </c>
      <c r="N1121" s="1472">
        <v>1.4145784045755558</v>
      </c>
      <c r="O1121" s="1472"/>
    </row>
    <row r="1122" spans="11:15">
      <c r="K1122" s="1469">
        <v>43179</v>
      </c>
      <c r="L1122" s="1470" t="s">
        <v>2129</v>
      </c>
      <c r="M1122" s="1471">
        <v>2.5551999999999998E-2</v>
      </c>
      <c r="N1122" s="1472">
        <v>1.4149398576494931</v>
      </c>
      <c r="O1122" s="1472"/>
    </row>
    <row r="1123" spans="11:15">
      <c r="K1123" s="1469">
        <v>43180</v>
      </c>
      <c r="L1123" s="1470" t="s">
        <v>2129</v>
      </c>
      <c r="M1123" s="1471">
        <v>2.5551999999999998E-2</v>
      </c>
      <c r="N1123" s="1472">
        <v>1.4153014030819198</v>
      </c>
      <c r="O1123" s="1472"/>
    </row>
    <row r="1124" spans="11:15">
      <c r="K1124" s="1469">
        <v>43181</v>
      </c>
      <c r="L1124" s="1470" t="s">
        <v>2129</v>
      </c>
      <c r="M1124" s="1471">
        <v>2.462E-2</v>
      </c>
      <c r="N1124" s="1472">
        <v>1.4156498502873587</v>
      </c>
      <c r="O1124" s="1472"/>
    </row>
    <row r="1125" spans="11:15">
      <c r="K1125" s="1469">
        <v>43182</v>
      </c>
      <c r="L1125" s="1470" t="s">
        <v>2129</v>
      </c>
      <c r="M1125" s="1471">
        <v>2.462E-2</v>
      </c>
      <c r="N1125" s="1472">
        <v>1.4159983832804997</v>
      </c>
      <c r="O1125" s="1472"/>
    </row>
    <row r="1126" spans="11:15">
      <c r="K1126" s="1469">
        <v>43183</v>
      </c>
      <c r="L1126" s="1470"/>
      <c r="M1126" s="1471">
        <v>0</v>
      </c>
      <c r="N1126" s="1472">
        <v>1.4159983832804997</v>
      </c>
      <c r="O1126" s="1472"/>
    </row>
    <row r="1127" spans="11:15">
      <c r="K1127" s="1469">
        <v>43184</v>
      </c>
      <c r="L1127" s="1470"/>
      <c r="M1127" s="1471">
        <v>0</v>
      </c>
      <c r="N1127" s="1472">
        <v>1.4159983832804997</v>
      </c>
      <c r="O1127" s="1472"/>
    </row>
    <row r="1128" spans="11:15">
      <c r="K1128" s="1469">
        <v>43185</v>
      </c>
      <c r="L1128" s="1470" t="s">
        <v>2129</v>
      </c>
      <c r="M1128" s="1471">
        <v>2.462E-2</v>
      </c>
      <c r="N1128" s="1472">
        <v>1.4163470020824633</v>
      </c>
      <c r="O1128" s="1472"/>
    </row>
    <row r="1129" spans="11:15">
      <c r="K1129" s="1469">
        <v>43186</v>
      </c>
      <c r="L1129" s="1470" t="s">
        <v>2129</v>
      </c>
      <c r="M1129" s="1471">
        <v>2.462E-2</v>
      </c>
      <c r="N1129" s="1472">
        <v>1.4166957067143762</v>
      </c>
      <c r="O1129" s="1472"/>
    </row>
    <row r="1130" spans="11:15">
      <c r="K1130" s="1469">
        <v>43187</v>
      </c>
      <c r="L1130" s="1470" t="s">
        <v>2129</v>
      </c>
      <c r="M1130" s="1471">
        <v>2.462E-2</v>
      </c>
      <c r="N1130" s="1472">
        <v>1.4170444971973695</v>
      </c>
      <c r="O1130" s="1472"/>
    </row>
    <row r="1131" spans="11:15">
      <c r="K1131" s="1469">
        <v>43188</v>
      </c>
      <c r="L1131" s="1470" t="s">
        <v>2129</v>
      </c>
      <c r="M1131" s="1471">
        <v>2.462E-2</v>
      </c>
      <c r="N1131" s="1472">
        <v>1.4173933735525797</v>
      </c>
      <c r="O1131" s="1472"/>
    </row>
    <row r="1132" spans="11:15">
      <c r="K1132" s="1469">
        <v>43189</v>
      </c>
      <c r="L1132" s="1470"/>
      <c r="M1132" s="1471">
        <v>0</v>
      </c>
      <c r="N1132" s="1472">
        <v>1.4173933735525797</v>
      </c>
      <c r="O1132" s="1472"/>
    </row>
    <row r="1133" spans="11:15">
      <c r="K1133" s="1469">
        <v>43190</v>
      </c>
      <c r="L1133" s="1470"/>
      <c r="M1133" s="1471">
        <v>0</v>
      </c>
      <c r="N1133" s="1472">
        <v>1.4173933735525797</v>
      </c>
      <c r="O1133" s="1472"/>
    </row>
    <row r="1134" spans="11:15">
      <c r="K1134" s="1469">
        <v>43191</v>
      </c>
      <c r="L1134" s="1470"/>
      <c r="M1134" s="1471">
        <v>0</v>
      </c>
      <c r="N1134" s="1472">
        <v>1.4173933735525797</v>
      </c>
      <c r="O1134" s="1472"/>
    </row>
    <row r="1135" spans="11:15">
      <c r="K1135" s="1469">
        <v>43192</v>
      </c>
      <c r="L1135" s="1470" t="s">
        <v>2129</v>
      </c>
      <c r="M1135" s="1471">
        <v>2.462E-2</v>
      </c>
      <c r="N1135" s="1472">
        <v>1.4177423358011485</v>
      </c>
      <c r="O1135" s="1472"/>
    </row>
    <row r="1136" spans="11:15">
      <c r="K1136" s="1469">
        <v>43193</v>
      </c>
      <c r="L1136" s="1470" t="s">
        <v>2129</v>
      </c>
      <c r="M1136" s="1471">
        <v>2.462E-2</v>
      </c>
      <c r="N1136" s="1472">
        <v>1.4180913839642229</v>
      </c>
      <c r="O1136" s="1472"/>
    </row>
    <row r="1137" spans="11:15">
      <c r="K1137" s="1469">
        <v>43194</v>
      </c>
      <c r="L1137" s="1470" t="s">
        <v>2129</v>
      </c>
      <c r="M1137" s="1471">
        <v>2.462E-2</v>
      </c>
      <c r="N1137" s="1472">
        <v>1.4184405180629549</v>
      </c>
      <c r="O1137" s="1472"/>
    </row>
    <row r="1138" spans="11:15">
      <c r="K1138" s="1469">
        <v>43195</v>
      </c>
      <c r="L1138" s="1470" t="s">
        <v>2129</v>
      </c>
      <c r="M1138" s="1471">
        <v>2.462E-2</v>
      </c>
      <c r="N1138" s="1472">
        <v>1.4187897381185022</v>
      </c>
      <c r="O1138" s="1472"/>
    </row>
    <row r="1139" spans="11:15">
      <c r="K1139" s="1469">
        <v>43196</v>
      </c>
      <c r="L1139" s="1470" t="s">
        <v>2129</v>
      </c>
      <c r="M1139" s="1471">
        <v>2.462E-2</v>
      </c>
      <c r="N1139" s="1472">
        <v>1.4191390441520271</v>
      </c>
      <c r="O1139" s="1472"/>
    </row>
    <row r="1140" spans="11:15">
      <c r="K1140" s="1469">
        <v>43197</v>
      </c>
      <c r="L1140" s="1470"/>
      <c r="M1140" s="1471">
        <v>0</v>
      </c>
      <c r="N1140" s="1472">
        <v>1.4191390441520271</v>
      </c>
      <c r="O1140" s="1472"/>
    </row>
    <row r="1141" spans="11:15">
      <c r="K1141" s="1469">
        <v>43198</v>
      </c>
      <c r="L1141" s="1470"/>
      <c r="M1141" s="1471">
        <v>0</v>
      </c>
      <c r="N1141" s="1472">
        <v>1.4191390441520271</v>
      </c>
      <c r="O1141" s="1472"/>
    </row>
    <row r="1142" spans="11:15">
      <c r="K1142" s="1469">
        <v>43199</v>
      </c>
      <c r="L1142" s="1470" t="s">
        <v>2129</v>
      </c>
      <c r="M1142" s="1471">
        <v>2.462E-2</v>
      </c>
      <c r="N1142" s="1472">
        <v>1.4194884361846973</v>
      </c>
      <c r="O1142" s="1472"/>
    </row>
    <row r="1143" spans="11:15">
      <c r="K1143" s="1469">
        <v>43200</v>
      </c>
      <c r="L1143" s="1470" t="s">
        <v>2129</v>
      </c>
      <c r="M1143" s="1471">
        <v>2.462E-2</v>
      </c>
      <c r="N1143" s="1472">
        <v>1.419837914237686</v>
      </c>
      <c r="O1143" s="1472"/>
    </row>
    <row r="1144" spans="11:15">
      <c r="K1144" s="1469">
        <v>43201</v>
      </c>
      <c r="L1144" s="1470" t="s">
        <v>2129</v>
      </c>
      <c r="M1144" s="1471">
        <v>2.462E-2</v>
      </c>
      <c r="N1144" s="1472">
        <v>1.4201874783321715</v>
      </c>
      <c r="O1144" s="1472"/>
    </row>
    <row r="1145" spans="11:15">
      <c r="K1145" s="1469">
        <v>43202</v>
      </c>
      <c r="L1145" s="1470" t="s">
        <v>2129</v>
      </c>
      <c r="M1145" s="1471">
        <v>2.462E-2</v>
      </c>
      <c r="N1145" s="1472">
        <v>1.4205371284893371</v>
      </c>
      <c r="O1145" s="1472"/>
    </row>
    <row r="1146" spans="11:15">
      <c r="K1146" s="1469">
        <v>43203</v>
      </c>
      <c r="L1146" s="1470" t="s">
        <v>2129</v>
      </c>
      <c r="M1146" s="1471">
        <v>2.462E-2</v>
      </c>
      <c r="N1146" s="1472">
        <v>1.4208868647303714</v>
      </c>
      <c r="O1146" s="1472"/>
    </row>
    <row r="1147" spans="11:15">
      <c r="K1147" s="1469">
        <v>43204</v>
      </c>
      <c r="L1147" s="1470"/>
      <c r="M1147" s="1471">
        <v>0</v>
      </c>
      <c r="N1147" s="1472">
        <v>1.4208868647303714</v>
      </c>
      <c r="O1147" s="1472"/>
    </row>
    <row r="1148" spans="11:15">
      <c r="K1148" s="1469">
        <v>43205</v>
      </c>
      <c r="L1148" s="1470"/>
      <c r="M1148" s="1471">
        <v>0</v>
      </c>
      <c r="N1148" s="1472">
        <v>1.4208868647303714</v>
      </c>
      <c r="O1148" s="1472"/>
    </row>
    <row r="1149" spans="11:15">
      <c r="K1149" s="1469">
        <v>43206</v>
      </c>
      <c r="L1149" s="1470" t="s">
        <v>2129</v>
      </c>
      <c r="M1149" s="1471">
        <v>2.462E-2</v>
      </c>
      <c r="N1149" s="1472">
        <v>1.4212366870764681</v>
      </c>
      <c r="O1149" s="1472"/>
    </row>
    <row r="1150" spans="11:15">
      <c r="K1150" s="1469">
        <v>43207</v>
      </c>
      <c r="L1150" s="1470" t="s">
        <v>2129</v>
      </c>
      <c r="M1150" s="1471">
        <v>2.462E-2</v>
      </c>
      <c r="N1150" s="1472">
        <v>1.4215865955488265</v>
      </c>
      <c r="O1150" s="1472"/>
    </row>
    <row r="1151" spans="11:15">
      <c r="K1151" s="1469">
        <v>43208</v>
      </c>
      <c r="L1151" s="1470" t="s">
        <v>2129</v>
      </c>
      <c r="M1151" s="1471">
        <v>2.462E-2</v>
      </c>
      <c r="N1151" s="1472">
        <v>1.4219365901686507</v>
      </c>
      <c r="O1151" s="1472"/>
    </row>
    <row r="1152" spans="11:15">
      <c r="K1152" s="1469">
        <v>43209</v>
      </c>
      <c r="L1152" s="1470" t="s">
        <v>2129</v>
      </c>
      <c r="M1152" s="1471">
        <v>2.462E-2</v>
      </c>
      <c r="N1152" s="1472">
        <v>1.4222866709571504</v>
      </c>
      <c r="O1152" s="1472"/>
    </row>
    <row r="1153" spans="11:15">
      <c r="K1153" s="1469">
        <v>43210</v>
      </c>
      <c r="L1153" s="1470" t="s">
        <v>2129</v>
      </c>
      <c r="M1153" s="1471">
        <v>2.462E-2</v>
      </c>
      <c r="N1153" s="1472">
        <v>1.4226368379355403</v>
      </c>
      <c r="O1153" s="1472"/>
    </row>
    <row r="1154" spans="11:15">
      <c r="K1154" s="1469">
        <v>43211</v>
      </c>
      <c r="L1154" s="1470"/>
      <c r="M1154" s="1471">
        <v>0</v>
      </c>
      <c r="N1154" s="1472">
        <v>1.4226368379355403</v>
      </c>
      <c r="O1154" s="1472"/>
    </row>
    <row r="1155" spans="11:15">
      <c r="K1155" s="1469">
        <v>43212</v>
      </c>
      <c r="L1155" s="1470"/>
      <c r="M1155" s="1471">
        <v>0</v>
      </c>
      <c r="N1155" s="1472">
        <v>1.4226368379355403</v>
      </c>
      <c r="O1155" s="1472"/>
    </row>
    <row r="1156" spans="11:15">
      <c r="K1156" s="1469">
        <v>43213</v>
      </c>
      <c r="L1156" s="1470" t="s">
        <v>2129</v>
      </c>
      <c r="M1156" s="1471">
        <v>2.462E-2</v>
      </c>
      <c r="N1156" s="1472">
        <v>1.4229870911250402</v>
      </c>
      <c r="O1156" s="1472"/>
    </row>
    <row r="1157" spans="11:15">
      <c r="K1157" s="1469">
        <v>43214</v>
      </c>
      <c r="L1157" s="1470" t="s">
        <v>2129</v>
      </c>
      <c r="M1157" s="1471">
        <v>2.462E-2</v>
      </c>
      <c r="N1157" s="1472">
        <v>1.4233374305468753</v>
      </c>
      <c r="O1157" s="1472"/>
    </row>
    <row r="1158" spans="11:15">
      <c r="K1158" s="1469">
        <v>43215</v>
      </c>
      <c r="L1158" s="1470" t="s">
        <v>2129</v>
      </c>
      <c r="M1158" s="1471">
        <v>2.462E-2</v>
      </c>
      <c r="N1158" s="1472">
        <v>1.4236878562222761</v>
      </c>
      <c r="O1158" s="1472"/>
    </row>
    <row r="1159" spans="11:15">
      <c r="K1159" s="1469">
        <v>43216</v>
      </c>
      <c r="L1159" s="1470" t="s">
        <v>2129</v>
      </c>
      <c r="M1159" s="1471">
        <v>2.462E-2</v>
      </c>
      <c r="N1159" s="1472">
        <v>1.4240383681724782</v>
      </c>
      <c r="O1159" s="1472"/>
    </row>
    <row r="1160" spans="11:15">
      <c r="K1160" s="1469">
        <v>43217</v>
      </c>
      <c r="L1160" s="1470" t="s">
        <v>2129</v>
      </c>
      <c r="M1160" s="1471">
        <v>2.462E-2</v>
      </c>
      <c r="N1160" s="1472">
        <v>1.4243889664187224</v>
      </c>
      <c r="O1160" s="1472"/>
    </row>
    <row r="1161" spans="11:15">
      <c r="K1161" s="1469">
        <v>43218</v>
      </c>
      <c r="L1161" s="1470"/>
      <c r="M1161" s="1471">
        <v>0</v>
      </c>
      <c r="N1161" s="1472">
        <v>1.4243889664187224</v>
      </c>
      <c r="O1161" s="1472"/>
    </row>
    <row r="1162" spans="11:15">
      <c r="K1162" s="1469">
        <v>43219</v>
      </c>
      <c r="L1162" s="1470"/>
      <c r="M1162" s="1471">
        <v>0</v>
      </c>
      <c r="N1162" s="1472">
        <v>1.4243889664187224</v>
      </c>
      <c r="O1162" s="1472"/>
    </row>
    <row r="1163" spans="11:15">
      <c r="K1163" s="1469">
        <v>43220</v>
      </c>
      <c r="L1163" s="1470" t="s">
        <v>2129</v>
      </c>
      <c r="M1163" s="1471">
        <v>2.462E-2</v>
      </c>
      <c r="N1163" s="1472">
        <v>1.4247396509822547</v>
      </c>
      <c r="O1163" s="1472"/>
    </row>
    <row r="1164" spans="11:15">
      <c r="K1164" s="1469">
        <v>43221</v>
      </c>
      <c r="L1164" s="1470"/>
      <c r="M1164" s="1471">
        <v>0</v>
      </c>
      <c r="N1164" s="1472">
        <v>1.4247396509822547</v>
      </c>
      <c r="O1164" s="1472"/>
    </row>
    <row r="1165" spans="11:15">
      <c r="K1165" s="1469">
        <v>43222</v>
      </c>
      <c r="L1165" s="1470" t="s">
        <v>2129</v>
      </c>
      <c r="M1165" s="1471">
        <v>2.462E-2</v>
      </c>
      <c r="N1165" s="1472">
        <v>1.4250904218843268</v>
      </c>
      <c r="O1165" s="1472"/>
    </row>
    <row r="1166" spans="11:15">
      <c r="K1166" s="1469">
        <v>43223</v>
      </c>
      <c r="L1166" s="1470" t="s">
        <v>2129</v>
      </c>
      <c r="M1166" s="1471">
        <v>2.462E-2</v>
      </c>
      <c r="N1166" s="1472">
        <v>1.4254412791461948</v>
      </c>
      <c r="O1166" s="1472"/>
    </row>
    <row r="1167" spans="11:15">
      <c r="K1167" s="1469">
        <v>43224</v>
      </c>
      <c r="L1167" s="1470" t="s">
        <v>2129</v>
      </c>
      <c r="M1167" s="1471">
        <v>2.462E-2</v>
      </c>
      <c r="N1167" s="1472">
        <v>1.4257922227891207</v>
      </c>
      <c r="O1167" s="1472"/>
    </row>
    <row r="1168" spans="11:15">
      <c r="K1168" s="1469">
        <v>43225</v>
      </c>
      <c r="L1168" s="1470"/>
      <c r="M1168" s="1471">
        <v>0</v>
      </c>
      <c r="N1168" s="1472">
        <v>1.4257922227891207</v>
      </c>
      <c r="O1168" s="1472"/>
    </row>
    <row r="1169" spans="11:15">
      <c r="K1169" s="1469">
        <v>43226</v>
      </c>
      <c r="L1169" s="1470"/>
      <c r="M1169" s="1471">
        <v>0</v>
      </c>
      <c r="N1169" s="1472">
        <v>1.4257922227891207</v>
      </c>
      <c r="O1169" s="1472"/>
    </row>
    <row r="1170" spans="11:15">
      <c r="K1170" s="1469">
        <v>43227</v>
      </c>
      <c r="L1170" s="1470" t="s">
        <v>2129</v>
      </c>
      <c r="M1170" s="1471">
        <v>2.462E-2</v>
      </c>
      <c r="N1170" s="1472">
        <v>1.4261432528343714</v>
      </c>
      <c r="O1170" s="1472"/>
    </row>
    <row r="1171" spans="11:15">
      <c r="K1171" s="1469">
        <v>43228</v>
      </c>
      <c r="L1171" s="1470" t="s">
        <v>2129</v>
      </c>
      <c r="M1171" s="1471">
        <v>2.462E-2</v>
      </c>
      <c r="N1171" s="1472">
        <v>1.4264943693032193</v>
      </c>
      <c r="O1171" s="1472"/>
    </row>
    <row r="1172" spans="11:15">
      <c r="K1172" s="1469">
        <v>43229</v>
      </c>
      <c r="L1172" s="1470" t="s">
        <v>2129</v>
      </c>
      <c r="M1172" s="1471">
        <v>2.462E-2</v>
      </c>
      <c r="N1172" s="1472">
        <v>1.4268455722169417</v>
      </c>
      <c r="O1172" s="1472"/>
    </row>
    <row r="1173" spans="11:15">
      <c r="K1173" s="1469">
        <v>43230</v>
      </c>
      <c r="L1173" s="1470" t="s">
        <v>2129</v>
      </c>
      <c r="M1173" s="1471">
        <v>2.462E-2</v>
      </c>
      <c r="N1173" s="1472">
        <v>1.4271968615968216</v>
      </c>
      <c r="O1173" s="1472"/>
    </row>
    <row r="1174" spans="11:15">
      <c r="K1174" s="1469">
        <v>43231</v>
      </c>
      <c r="L1174" s="1470" t="s">
        <v>2129</v>
      </c>
      <c r="M1174" s="1471">
        <v>2.462E-2</v>
      </c>
      <c r="N1174" s="1472">
        <v>1.4275482374641468</v>
      </c>
      <c r="O1174" s="1472"/>
    </row>
    <row r="1175" spans="11:15">
      <c r="K1175" s="1469">
        <v>43232</v>
      </c>
      <c r="L1175" s="1470"/>
      <c r="M1175" s="1471">
        <v>0</v>
      </c>
      <c r="N1175" s="1472">
        <v>1.4275482374641468</v>
      </c>
      <c r="O1175" s="1472"/>
    </row>
    <row r="1176" spans="11:15">
      <c r="K1176" s="1469">
        <v>43233</v>
      </c>
      <c r="L1176" s="1470"/>
      <c r="M1176" s="1471">
        <v>0</v>
      </c>
      <c r="N1176" s="1472">
        <v>1.4275482374641468</v>
      </c>
      <c r="O1176" s="1472"/>
    </row>
    <row r="1177" spans="11:15">
      <c r="K1177" s="1469">
        <v>43234</v>
      </c>
      <c r="L1177" s="1470" t="s">
        <v>2129</v>
      </c>
      <c r="M1177" s="1471">
        <v>2.462E-2</v>
      </c>
      <c r="N1177" s="1472">
        <v>1.4278996998402107</v>
      </c>
      <c r="O1177" s="1472"/>
    </row>
    <row r="1178" spans="11:15">
      <c r="K1178" s="1469">
        <v>43235</v>
      </c>
      <c r="L1178" s="1470" t="s">
        <v>2129</v>
      </c>
      <c r="M1178" s="1471">
        <v>2.462E-2</v>
      </c>
      <c r="N1178" s="1472">
        <v>1.4282512487463115</v>
      </c>
      <c r="O1178" s="1472"/>
    </row>
    <row r="1179" spans="11:15">
      <c r="K1179" s="1469">
        <v>43236</v>
      </c>
      <c r="L1179" s="1470" t="s">
        <v>2129</v>
      </c>
      <c r="M1179" s="1471">
        <v>2.462E-2</v>
      </c>
      <c r="N1179" s="1472">
        <v>1.428602884203753</v>
      </c>
      <c r="O1179" s="1472"/>
    </row>
    <row r="1180" spans="11:15">
      <c r="K1180" s="1469">
        <v>43237</v>
      </c>
      <c r="L1180" s="1470" t="s">
        <v>2129</v>
      </c>
      <c r="M1180" s="1471">
        <v>2.462E-2</v>
      </c>
      <c r="N1180" s="1472">
        <v>1.4289546062338441</v>
      </c>
      <c r="O1180" s="1472"/>
    </row>
    <row r="1181" spans="11:15">
      <c r="K1181" s="1469">
        <v>43238</v>
      </c>
      <c r="L1181" s="1470" t="s">
        <v>2129</v>
      </c>
      <c r="M1181" s="1471">
        <v>2.462E-2</v>
      </c>
      <c r="N1181" s="1472">
        <v>1.4293064148578989</v>
      </c>
      <c r="O1181" s="1472"/>
    </row>
    <row r="1182" spans="11:15">
      <c r="K1182" s="1469">
        <v>43239</v>
      </c>
      <c r="L1182" s="1470"/>
      <c r="M1182" s="1471">
        <v>0</v>
      </c>
      <c r="N1182" s="1472">
        <v>1.4293064148578989</v>
      </c>
      <c r="O1182" s="1472"/>
    </row>
    <row r="1183" spans="11:15">
      <c r="K1183" s="1469">
        <v>43240</v>
      </c>
      <c r="L1183" s="1470"/>
      <c r="M1183" s="1471">
        <v>0</v>
      </c>
      <c r="N1183" s="1472">
        <v>1.4293064148578989</v>
      </c>
      <c r="O1183" s="1472"/>
    </row>
    <row r="1184" spans="11:15">
      <c r="K1184" s="1469">
        <v>43241</v>
      </c>
      <c r="L1184" s="1470" t="s">
        <v>2129</v>
      </c>
      <c r="M1184" s="1471">
        <v>2.462E-2</v>
      </c>
      <c r="N1184" s="1472">
        <v>1.4296583100972371</v>
      </c>
      <c r="O1184" s="1472"/>
    </row>
    <row r="1185" spans="11:15">
      <c r="K1185" s="1469">
        <v>43242</v>
      </c>
      <c r="L1185" s="1470" t="s">
        <v>2129</v>
      </c>
      <c r="M1185" s="1471">
        <v>2.462E-2</v>
      </c>
      <c r="N1185" s="1472">
        <v>1.4300102919731832</v>
      </c>
      <c r="O1185" s="1472"/>
    </row>
    <row r="1186" spans="11:15">
      <c r="K1186" s="1469">
        <v>43243</v>
      </c>
      <c r="L1186" s="1470" t="s">
        <v>2129</v>
      </c>
      <c r="M1186" s="1471">
        <v>2.462E-2</v>
      </c>
      <c r="N1186" s="1472">
        <v>1.430362360507067</v>
      </c>
      <c r="O1186" s="1472"/>
    </row>
    <row r="1187" spans="11:15">
      <c r="K1187" s="1469">
        <v>43244</v>
      </c>
      <c r="L1187" s="1470" t="s">
        <v>2129</v>
      </c>
      <c r="M1187" s="1471">
        <v>2.462E-2</v>
      </c>
      <c r="N1187" s="1472">
        <v>1.4307145157202239</v>
      </c>
      <c r="O1187" s="1472"/>
    </row>
    <row r="1188" spans="11:15">
      <c r="K1188" s="1469">
        <v>43245</v>
      </c>
      <c r="L1188" s="1470" t="s">
        <v>2129</v>
      </c>
      <c r="M1188" s="1471">
        <v>2.462E-2</v>
      </c>
      <c r="N1188" s="1472">
        <v>1.4310667576339944</v>
      </c>
      <c r="O1188" s="1472"/>
    </row>
    <row r="1189" spans="11:15">
      <c r="K1189" s="1469">
        <v>43246</v>
      </c>
      <c r="L1189" s="1470"/>
      <c r="M1189" s="1471">
        <v>0</v>
      </c>
      <c r="N1189" s="1472">
        <v>1.4310667576339944</v>
      </c>
      <c r="O1189" s="1472"/>
    </row>
    <row r="1190" spans="11:15">
      <c r="K1190" s="1469">
        <v>43247</v>
      </c>
      <c r="L1190" s="1470"/>
      <c r="M1190" s="1471">
        <v>0</v>
      </c>
      <c r="N1190" s="1472">
        <v>1.4310667576339944</v>
      </c>
      <c r="O1190" s="1472"/>
    </row>
    <row r="1191" spans="11:15">
      <c r="K1191" s="1469">
        <v>43248</v>
      </c>
      <c r="L1191" s="1470" t="s">
        <v>2129</v>
      </c>
      <c r="M1191" s="1471">
        <v>2.462E-2</v>
      </c>
      <c r="N1191" s="1472">
        <v>1.431419086269724</v>
      </c>
      <c r="O1191" s="1472"/>
    </row>
    <row r="1192" spans="11:15">
      <c r="K1192" s="1469">
        <v>43249</v>
      </c>
      <c r="L1192" s="1470" t="s">
        <v>2129</v>
      </c>
      <c r="M1192" s="1471">
        <v>2.462E-2</v>
      </c>
      <c r="N1192" s="1472">
        <v>1.4317715016487638</v>
      </c>
      <c r="O1192" s="1472"/>
    </row>
    <row r="1193" spans="11:15">
      <c r="K1193" s="1469">
        <v>43250</v>
      </c>
      <c r="L1193" s="1470" t="s">
        <v>2129</v>
      </c>
      <c r="M1193" s="1471">
        <v>2.462E-2</v>
      </c>
      <c r="N1193" s="1472">
        <v>1.4321240037924698</v>
      </c>
      <c r="O1193" s="1472"/>
    </row>
    <row r="1194" spans="11:15">
      <c r="K1194" s="1469">
        <v>43251</v>
      </c>
      <c r="L1194" s="1470"/>
      <c r="M1194" s="1471">
        <v>0</v>
      </c>
      <c r="N1194" s="1472">
        <v>1.4321240037924698</v>
      </c>
      <c r="O1194" s="1472"/>
    </row>
    <row r="1195" spans="11:15">
      <c r="K1195" s="1469">
        <v>43252</v>
      </c>
      <c r="L1195" s="1470" t="s">
        <v>2129</v>
      </c>
      <c r="M1195" s="1471">
        <v>2.462E-2</v>
      </c>
      <c r="N1195" s="1472">
        <v>1.4324765927222036</v>
      </c>
      <c r="O1195" s="1472"/>
    </row>
    <row r="1196" spans="11:15">
      <c r="K1196" s="1469">
        <v>43253</v>
      </c>
      <c r="L1196" s="1470"/>
      <c r="M1196" s="1471">
        <v>0</v>
      </c>
      <c r="N1196" s="1472">
        <v>1.4324765927222036</v>
      </c>
      <c r="O1196" s="1472"/>
    </row>
    <row r="1197" spans="11:15">
      <c r="K1197" s="1469">
        <v>43254</v>
      </c>
      <c r="L1197" s="1470"/>
      <c r="M1197" s="1471">
        <v>0</v>
      </c>
      <c r="N1197" s="1472">
        <v>1.4324765927222036</v>
      </c>
      <c r="O1197" s="1472"/>
    </row>
    <row r="1198" spans="11:15">
      <c r="K1198" s="1469">
        <v>43255</v>
      </c>
      <c r="L1198" s="1470" t="s">
        <v>2129</v>
      </c>
      <c r="M1198" s="1471">
        <v>2.462E-2</v>
      </c>
      <c r="N1198" s="1472">
        <v>1.432829268459332</v>
      </c>
      <c r="O1198" s="1472"/>
    </row>
    <row r="1199" spans="11:15">
      <c r="K1199" s="1469">
        <v>43256</v>
      </c>
      <c r="L1199" s="1470" t="s">
        <v>2129</v>
      </c>
      <c r="M1199" s="1471">
        <v>2.462E-2</v>
      </c>
      <c r="N1199" s="1472">
        <v>1.4331820310252268</v>
      </c>
      <c r="O1199" s="1472"/>
    </row>
    <row r="1200" spans="11:15">
      <c r="K1200" s="1469">
        <v>43257</v>
      </c>
      <c r="L1200" s="1470" t="s">
        <v>2129</v>
      </c>
      <c r="M1200" s="1471">
        <v>2.462E-2</v>
      </c>
      <c r="N1200" s="1472">
        <v>1.4335348804412653</v>
      </c>
      <c r="O1200" s="1472"/>
    </row>
    <row r="1201" spans="11:15">
      <c r="K1201" s="1469">
        <v>43258</v>
      </c>
      <c r="L1201" s="1470" t="s">
        <v>2129</v>
      </c>
      <c r="M1201" s="1471">
        <v>2.462E-2</v>
      </c>
      <c r="N1201" s="1472">
        <v>1.43388781672883</v>
      </c>
      <c r="O1201" s="1472"/>
    </row>
    <row r="1202" spans="11:15">
      <c r="K1202" s="1469">
        <v>43259</v>
      </c>
      <c r="L1202" s="1470" t="s">
        <v>2129</v>
      </c>
      <c r="M1202" s="1471">
        <v>2.462E-2</v>
      </c>
      <c r="N1202" s="1472">
        <v>1.4342408399093087</v>
      </c>
      <c r="O1202" s="1472"/>
    </row>
    <row r="1203" spans="11:15">
      <c r="K1203" s="1469">
        <v>43260</v>
      </c>
      <c r="L1203" s="1470"/>
      <c r="M1203" s="1471">
        <v>0</v>
      </c>
      <c r="N1203" s="1472">
        <v>1.4342408399093087</v>
      </c>
      <c r="O1203" s="1472"/>
    </row>
    <row r="1204" spans="11:15">
      <c r="K1204" s="1469">
        <v>43261</v>
      </c>
      <c r="L1204" s="1470"/>
      <c r="M1204" s="1471">
        <v>0</v>
      </c>
      <c r="N1204" s="1472">
        <v>1.4342408399093087</v>
      </c>
      <c r="O1204" s="1472"/>
    </row>
    <row r="1205" spans="11:15">
      <c r="K1205" s="1469">
        <v>43262</v>
      </c>
      <c r="L1205" s="1470" t="s">
        <v>2129</v>
      </c>
      <c r="M1205" s="1471">
        <v>2.462E-2</v>
      </c>
      <c r="N1205" s="1472">
        <v>1.4345939500040945</v>
      </c>
      <c r="O1205" s="1472"/>
    </row>
    <row r="1206" spans="11:15">
      <c r="K1206" s="1469">
        <v>43263</v>
      </c>
      <c r="L1206" s="1470" t="s">
        <v>2129</v>
      </c>
      <c r="M1206" s="1471">
        <v>2.462E-2</v>
      </c>
      <c r="N1206" s="1472">
        <v>1.4349471470345856</v>
      </c>
      <c r="O1206" s="1472"/>
    </row>
    <row r="1207" spans="11:15">
      <c r="K1207" s="1469">
        <v>43264</v>
      </c>
      <c r="L1207" s="1470" t="s">
        <v>2129</v>
      </c>
      <c r="M1207" s="1471">
        <v>2.462E-2</v>
      </c>
      <c r="N1207" s="1472">
        <v>1.4353004310221855</v>
      </c>
      <c r="O1207" s="1472"/>
    </row>
    <row r="1208" spans="11:15">
      <c r="K1208" s="1469">
        <v>43265</v>
      </c>
      <c r="L1208" s="1470" t="s">
        <v>2129</v>
      </c>
      <c r="M1208" s="1471">
        <v>2.462E-2</v>
      </c>
      <c r="N1208" s="1472">
        <v>1.4356538019883034</v>
      </c>
      <c r="O1208" s="1472"/>
    </row>
    <row r="1209" spans="11:15">
      <c r="K1209" s="1469">
        <v>43266</v>
      </c>
      <c r="L1209" s="1470" t="s">
        <v>2129</v>
      </c>
      <c r="M1209" s="1471">
        <v>2.462E-2</v>
      </c>
      <c r="N1209" s="1472">
        <v>1.436007259954353</v>
      </c>
      <c r="O1209" s="1472"/>
    </row>
    <row r="1210" spans="11:15">
      <c r="K1210" s="1469">
        <v>43267</v>
      </c>
      <c r="L1210" s="1470"/>
      <c r="M1210" s="1471">
        <v>0</v>
      </c>
      <c r="N1210" s="1472">
        <v>1.436007259954353</v>
      </c>
      <c r="O1210" s="1472"/>
    </row>
    <row r="1211" spans="11:15">
      <c r="K1211" s="1469">
        <v>43268</v>
      </c>
      <c r="L1211" s="1470"/>
      <c r="M1211" s="1471">
        <v>0</v>
      </c>
      <c r="N1211" s="1472">
        <v>1.436007259954353</v>
      </c>
      <c r="O1211" s="1472"/>
    </row>
    <row r="1212" spans="11:15">
      <c r="K1212" s="1469">
        <v>43269</v>
      </c>
      <c r="L1212" s="1470" t="s">
        <v>2129</v>
      </c>
      <c r="M1212" s="1471">
        <v>2.462E-2</v>
      </c>
      <c r="N1212" s="1472">
        <v>1.4363608049417538</v>
      </c>
      <c r="O1212" s="1472"/>
    </row>
    <row r="1213" spans="11:15">
      <c r="K1213" s="1469">
        <v>43270</v>
      </c>
      <c r="L1213" s="1470" t="s">
        <v>2129</v>
      </c>
      <c r="M1213" s="1471">
        <v>2.462E-2</v>
      </c>
      <c r="N1213" s="1472">
        <v>1.4367144369719305</v>
      </c>
      <c r="O1213" s="1472"/>
    </row>
    <row r="1214" spans="11:15">
      <c r="K1214" s="1469">
        <v>43271</v>
      </c>
      <c r="L1214" s="1470" t="s">
        <v>2129</v>
      </c>
      <c r="M1214" s="1471">
        <v>2.462E-2</v>
      </c>
      <c r="N1214" s="1472">
        <v>1.437068156066313</v>
      </c>
      <c r="O1214" s="1472"/>
    </row>
    <row r="1215" spans="11:15">
      <c r="K1215" s="1469">
        <v>43272</v>
      </c>
      <c r="L1215" s="1470" t="s">
        <v>2129</v>
      </c>
      <c r="M1215" s="1471">
        <v>2.462E-2</v>
      </c>
      <c r="N1215" s="1472">
        <v>1.4374219622463367</v>
      </c>
      <c r="O1215" s="1472"/>
    </row>
    <row r="1216" spans="11:15">
      <c r="K1216" s="1469">
        <v>43273</v>
      </c>
      <c r="L1216" s="1470" t="s">
        <v>2129</v>
      </c>
      <c r="M1216" s="1471">
        <v>2.462E-2</v>
      </c>
      <c r="N1216" s="1472">
        <v>1.4377758555334419</v>
      </c>
      <c r="O1216" s="1472"/>
    </row>
    <row r="1217" spans="11:15">
      <c r="K1217" s="1469">
        <v>43274</v>
      </c>
      <c r="L1217" s="1470"/>
      <c r="M1217" s="1471">
        <v>0</v>
      </c>
      <c r="N1217" s="1472">
        <v>1.4377758555334419</v>
      </c>
      <c r="O1217" s="1472"/>
    </row>
    <row r="1218" spans="11:15">
      <c r="K1218" s="1469">
        <v>43275</v>
      </c>
      <c r="L1218" s="1470"/>
      <c r="M1218" s="1471">
        <v>0</v>
      </c>
      <c r="N1218" s="1472">
        <v>1.4377758555334419</v>
      </c>
      <c r="O1218" s="1472"/>
    </row>
    <row r="1219" spans="11:15">
      <c r="K1219" s="1469">
        <v>43276</v>
      </c>
      <c r="L1219" s="1470" t="s">
        <v>2129</v>
      </c>
      <c r="M1219" s="1471">
        <v>2.462E-2</v>
      </c>
      <c r="N1219" s="1472">
        <v>1.4381298359490744</v>
      </c>
      <c r="O1219" s="1472"/>
    </row>
    <row r="1220" spans="11:15">
      <c r="K1220" s="1469">
        <v>43277</v>
      </c>
      <c r="L1220" s="1470" t="s">
        <v>2129</v>
      </c>
      <c r="M1220" s="1471">
        <v>2.462E-2</v>
      </c>
      <c r="N1220" s="1472">
        <v>1.4384839035146852</v>
      </c>
      <c r="O1220" s="1472"/>
    </row>
    <row r="1221" spans="11:15">
      <c r="K1221" s="1469">
        <v>43278</v>
      </c>
      <c r="L1221" s="1470" t="s">
        <v>2129</v>
      </c>
      <c r="M1221" s="1471">
        <v>2.462E-2</v>
      </c>
      <c r="N1221" s="1472">
        <v>1.4388380582517306</v>
      </c>
      <c r="O1221" s="1472"/>
    </row>
    <row r="1222" spans="11:15">
      <c r="K1222" s="1469">
        <v>43279</v>
      </c>
      <c r="L1222" s="1470" t="s">
        <v>2129</v>
      </c>
      <c r="M1222" s="1471">
        <v>2.462E-2</v>
      </c>
      <c r="N1222" s="1472">
        <v>1.4391923001816722</v>
      </c>
      <c r="O1222" s="1472"/>
    </row>
    <row r="1223" spans="11:15">
      <c r="K1223" s="1469">
        <v>43280</v>
      </c>
      <c r="L1223" s="1470" t="s">
        <v>2129</v>
      </c>
      <c r="M1223" s="1471">
        <v>2.462E-2</v>
      </c>
      <c r="N1223" s="1472">
        <v>1.4395466293259771</v>
      </c>
      <c r="O1223" s="1472"/>
    </row>
    <row r="1224" spans="11:15">
      <c r="K1224" s="1469">
        <v>43281</v>
      </c>
      <c r="L1224" s="1470"/>
      <c r="M1224" s="1471">
        <v>0</v>
      </c>
      <c r="N1224" s="1472">
        <v>1.4395466293259771</v>
      </c>
      <c r="O1224" s="1472"/>
    </row>
    <row r="1225" spans="11:15">
      <c r="K1225" s="1469">
        <v>43282</v>
      </c>
      <c r="L1225" s="1470"/>
      <c r="M1225" s="1471">
        <v>0</v>
      </c>
      <c r="N1225" s="1472">
        <v>1.4395466293259771</v>
      </c>
      <c r="O1225" s="1472"/>
    </row>
    <row r="1226" spans="11:15">
      <c r="K1226" s="1469">
        <v>43283</v>
      </c>
      <c r="L1226" s="1470" t="s">
        <v>2129</v>
      </c>
      <c r="M1226" s="1471">
        <v>2.462E-2</v>
      </c>
      <c r="N1226" s="1472">
        <v>1.4399010457061172</v>
      </c>
      <c r="O1226" s="1472"/>
    </row>
    <row r="1227" spans="11:15">
      <c r="K1227" s="1469">
        <v>43284</v>
      </c>
      <c r="L1227" s="1470" t="s">
        <v>2129</v>
      </c>
      <c r="M1227" s="1471">
        <v>2.462E-2</v>
      </c>
      <c r="N1227" s="1472">
        <v>1.4402555493435703</v>
      </c>
      <c r="O1227" s="1472"/>
    </row>
    <row r="1228" spans="11:15">
      <c r="K1228" s="1469">
        <v>43285</v>
      </c>
      <c r="L1228" s="1470" t="s">
        <v>2129</v>
      </c>
      <c r="M1228" s="1471">
        <v>2.462E-2</v>
      </c>
      <c r="N1228" s="1472">
        <v>1.4406101402598188</v>
      </c>
      <c r="O1228" s="1472"/>
    </row>
    <row r="1229" spans="11:15">
      <c r="K1229" s="1469">
        <v>43286</v>
      </c>
      <c r="L1229" s="1470" t="s">
        <v>2129</v>
      </c>
      <c r="M1229" s="1471">
        <v>2.462E-2</v>
      </c>
      <c r="N1229" s="1472">
        <v>1.4409648184763508</v>
      </c>
      <c r="O1229" s="1472"/>
    </row>
    <row r="1230" spans="11:15">
      <c r="K1230" s="1469">
        <v>43287</v>
      </c>
      <c r="L1230" s="1470" t="s">
        <v>2129</v>
      </c>
      <c r="M1230" s="1471">
        <v>2.462E-2</v>
      </c>
      <c r="N1230" s="1472">
        <v>1.4413195840146598</v>
      </c>
      <c r="O1230" s="1472"/>
    </row>
    <row r="1231" spans="11:15">
      <c r="K1231" s="1469">
        <v>43288</v>
      </c>
      <c r="L1231" s="1470"/>
      <c r="M1231" s="1471">
        <v>0</v>
      </c>
      <c r="N1231" s="1472">
        <v>1.4413195840146598</v>
      </c>
      <c r="O1231" s="1472"/>
    </row>
    <row r="1232" spans="11:15">
      <c r="K1232" s="1469">
        <v>43289</v>
      </c>
      <c r="L1232" s="1470"/>
      <c r="M1232" s="1471">
        <v>0</v>
      </c>
      <c r="N1232" s="1472">
        <v>1.4413195840146598</v>
      </c>
      <c r="O1232" s="1472"/>
    </row>
    <row r="1233" spans="11:15">
      <c r="K1233" s="1469">
        <v>43290</v>
      </c>
      <c r="L1233" s="1470" t="s">
        <v>2129</v>
      </c>
      <c r="M1233" s="1471">
        <v>2.462E-2</v>
      </c>
      <c r="N1233" s="1472">
        <v>1.4416744368962442</v>
      </c>
      <c r="O1233" s="1472"/>
    </row>
    <row r="1234" spans="11:15">
      <c r="K1234" s="1469">
        <v>43291</v>
      </c>
      <c r="L1234" s="1470" t="s">
        <v>2129</v>
      </c>
      <c r="M1234" s="1471">
        <v>2.462E-2</v>
      </c>
      <c r="N1234" s="1472">
        <v>1.4420293771426083</v>
      </c>
      <c r="O1234" s="1472"/>
    </row>
    <row r="1235" spans="11:15">
      <c r="K1235" s="1469">
        <v>43292</v>
      </c>
      <c r="L1235" s="1470" t="s">
        <v>2129</v>
      </c>
      <c r="M1235" s="1471">
        <v>2.462E-2</v>
      </c>
      <c r="N1235" s="1472">
        <v>1.442384404775261</v>
      </c>
      <c r="O1235" s="1472"/>
    </row>
    <row r="1236" spans="11:15">
      <c r="K1236" s="1469">
        <v>43293</v>
      </c>
      <c r="L1236" s="1470" t="s">
        <v>2129</v>
      </c>
      <c r="M1236" s="1471">
        <v>2.462E-2</v>
      </c>
      <c r="N1236" s="1472">
        <v>1.4427395198157167</v>
      </c>
      <c r="O1236" s="1472"/>
    </row>
    <row r="1237" spans="11:15">
      <c r="K1237" s="1469">
        <v>43294</v>
      </c>
      <c r="L1237" s="1470" t="s">
        <v>2129</v>
      </c>
      <c r="M1237" s="1471">
        <v>2.462E-2</v>
      </c>
      <c r="N1237" s="1472">
        <v>1.4430947222854955</v>
      </c>
      <c r="O1237" s="1472"/>
    </row>
    <row r="1238" spans="11:15">
      <c r="K1238" s="1469">
        <v>43295</v>
      </c>
      <c r="L1238" s="1470"/>
      <c r="M1238" s="1471">
        <v>0</v>
      </c>
      <c r="N1238" s="1472">
        <v>1.4430947222854955</v>
      </c>
      <c r="O1238" s="1472"/>
    </row>
    <row r="1239" spans="11:15">
      <c r="K1239" s="1469">
        <v>43296</v>
      </c>
      <c r="L1239" s="1470"/>
      <c r="M1239" s="1471">
        <v>0</v>
      </c>
      <c r="N1239" s="1472">
        <v>1.4430947222854955</v>
      </c>
      <c r="O1239" s="1472"/>
    </row>
    <row r="1240" spans="11:15">
      <c r="K1240" s="1469">
        <v>43297</v>
      </c>
      <c r="L1240" s="1470" t="s">
        <v>2129</v>
      </c>
      <c r="M1240" s="1471">
        <v>2.462E-2</v>
      </c>
      <c r="N1240" s="1472">
        <v>1.4434500122061222</v>
      </c>
      <c r="O1240" s="1472"/>
    </row>
    <row r="1241" spans="11:15">
      <c r="K1241" s="1469">
        <v>43298</v>
      </c>
      <c r="L1241" s="1470" t="s">
        <v>2129</v>
      </c>
      <c r="M1241" s="1471">
        <v>2.462E-2</v>
      </c>
      <c r="N1241" s="1472">
        <v>1.4438053895991274</v>
      </c>
      <c r="O1241" s="1472"/>
    </row>
    <row r="1242" spans="11:15">
      <c r="K1242" s="1469">
        <v>43299</v>
      </c>
      <c r="L1242" s="1470" t="s">
        <v>2129</v>
      </c>
      <c r="M1242" s="1471">
        <v>2.462E-2</v>
      </c>
      <c r="N1242" s="1472">
        <v>1.4441608544860469</v>
      </c>
      <c r="O1242" s="1472"/>
    </row>
    <row r="1243" spans="11:15">
      <c r="K1243" s="1469">
        <v>43300</v>
      </c>
      <c r="L1243" s="1470" t="s">
        <v>2129</v>
      </c>
      <c r="M1243" s="1471">
        <v>2.462E-2</v>
      </c>
      <c r="N1243" s="1472">
        <v>1.4445164068884215</v>
      </c>
      <c r="O1243" s="1472"/>
    </row>
    <row r="1244" spans="11:15">
      <c r="K1244" s="1469">
        <v>43301</v>
      </c>
      <c r="L1244" s="1470" t="s">
        <v>2129</v>
      </c>
      <c r="M1244" s="1471">
        <v>2.462E-2</v>
      </c>
      <c r="N1244" s="1472">
        <v>1.4448720468277976</v>
      </c>
      <c r="O1244" s="1472"/>
    </row>
    <row r="1245" spans="11:15">
      <c r="K1245" s="1469">
        <v>43302</v>
      </c>
      <c r="L1245" s="1470"/>
      <c r="M1245" s="1471">
        <v>0</v>
      </c>
      <c r="N1245" s="1472">
        <v>1.4448720468277976</v>
      </c>
      <c r="O1245" s="1472"/>
    </row>
    <row r="1246" spans="11:15">
      <c r="K1246" s="1469">
        <v>43303</v>
      </c>
      <c r="L1246" s="1470"/>
      <c r="M1246" s="1471">
        <v>0</v>
      </c>
      <c r="N1246" s="1472">
        <v>1.4448720468277976</v>
      </c>
      <c r="O1246" s="1472"/>
    </row>
    <row r="1247" spans="11:15">
      <c r="K1247" s="1469">
        <v>43304</v>
      </c>
      <c r="L1247" s="1470" t="s">
        <v>2129</v>
      </c>
      <c r="M1247" s="1471">
        <v>2.462E-2</v>
      </c>
      <c r="N1247" s="1472">
        <v>1.4452277743257267</v>
      </c>
      <c r="O1247" s="1472"/>
    </row>
    <row r="1248" spans="11:15">
      <c r="K1248" s="1469">
        <v>43305</v>
      </c>
      <c r="L1248" s="1470" t="s">
        <v>2129</v>
      </c>
      <c r="M1248" s="1471">
        <v>2.462E-2</v>
      </c>
      <c r="N1248" s="1472">
        <v>1.4455835894037659</v>
      </c>
      <c r="O1248" s="1472"/>
    </row>
    <row r="1249" spans="11:15">
      <c r="K1249" s="1469">
        <v>43306</v>
      </c>
      <c r="L1249" s="1470" t="s">
        <v>2129</v>
      </c>
      <c r="M1249" s="1471">
        <v>2.462E-2</v>
      </c>
      <c r="N1249" s="1472">
        <v>1.4459394920834772</v>
      </c>
      <c r="O1249" s="1472"/>
    </row>
    <row r="1250" spans="11:15">
      <c r="K1250" s="1469">
        <v>43307</v>
      </c>
      <c r="L1250" s="1470" t="s">
        <v>2129</v>
      </c>
      <c r="M1250" s="1471">
        <v>2.462E-2</v>
      </c>
      <c r="N1250" s="1472">
        <v>1.4462954823864282</v>
      </c>
      <c r="O1250" s="1472"/>
    </row>
    <row r="1251" spans="11:15">
      <c r="K1251" s="1469">
        <v>43308</v>
      </c>
      <c r="L1251" s="1470" t="s">
        <v>2129</v>
      </c>
      <c r="M1251" s="1471">
        <v>2.462E-2</v>
      </c>
      <c r="N1251" s="1472">
        <v>1.4466515603341918</v>
      </c>
      <c r="O1251" s="1472"/>
    </row>
    <row r="1252" spans="11:15">
      <c r="K1252" s="1469">
        <v>43309</v>
      </c>
      <c r="L1252" s="1470"/>
      <c r="M1252" s="1471">
        <v>0</v>
      </c>
      <c r="N1252" s="1472">
        <v>1.4466515603341918</v>
      </c>
      <c r="O1252" s="1472"/>
    </row>
    <row r="1253" spans="11:15">
      <c r="K1253" s="1469">
        <v>43310</v>
      </c>
      <c r="L1253" s="1470"/>
      <c r="M1253" s="1471">
        <v>0</v>
      </c>
      <c r="N1253" s="1472">
        <v>1.4466515603341918</v>
      </c>
      <c r="O1253" s="1472"/>
    </row>
    <row r="1254" spans="11:15">
      <c r="K1254" s="1469">
        <v>43311</v>
      </c>
      <c r="L1254" s="1470" t="s">
        <v>2129</v>
      </c>
      <c r="M1254" s="1471">
        <v>2.462E-2</v>
      </c>
      <c r="N1254" s="1472">
        <v>1.4470077259483463</v>
      </c>
      <c r="O1254" s="1472"/>
    </row>
    <row r="1255" spans="11:15">
      <c r="K1255" s="1469">
        <v>43312</v>
      </c>
      <c r="L1255" s="1470" t="s">
        <v>2129</v>
      </c>
      <c r="M1255" s="1471">
        <v>2.462E-2</v>
      </c>
      <c r="N1255" s="1472">
        <v>1.4473639792504749</v>
      </c>
      <c r="O1255" s="1472"/>
    </row>
    <row r="1256" spans="11:15">
      <c r="K1256" s="1469">
        <v>43313</v>
      </c>
      <c r="L1256" s="1470" t="s">
        <v>2129</v>
      </c>
      <c r="M1256" s="1471">
        <v>2.462E-2</v>
      </c>
      <c r="N1256" s="1472">
        <v>1.4477203202621665</v>
      </c>
      <c r="O1256" s="1472"/>
    </row>
    <row r="1257" spans="11:15">
      <c r="K1257" s="1469">
        <v>43314</v>
      </c>
      <c r="L1257" s="1470" t="s">
        <v>2129</v>
      </c>
      <c r="M1257" s="1471">
        <v>2.462E-2</v>
      </c>
      <c r="N1257" s="1472">
        <v>1.448076749005015</v>
      </c>
      <c r="O1257" s="1472"/>
    </row>
    <row r="1258" spans="11:15">
      <c r="K1258" s="1469">
        <v>43315</v>
      </c>
      <c r="L1258" s="1470" t="s">
        <v>2129</v>
      </c>
      <c r="M1258" s="1471">
        <v>2.462E-2</v>
      </c>
      <c r="N1258" s="1472">
        <v>1.4484332655006202</v>
      </c>
      <c r="O1258" s="1472"/>
    </row>
    <row r="1259" spans="11:15">
      <c r="K1259" s="1469">
        <v>43316</v>
      </c>
      <c r="L1259" s="1470"/>
      <c r="M1259" s="1471">
        <v>0</v>
      </c>
      <c r="N1259" s="1472">
        <v>1.4484332655006202</v>
      </c>
      <c r="O1259" s="1472"/>
    </row>
    <row r="1260" spans="11:15">
      <c r="K1260" s="1469">
        <v>43317</v>
      </c>
      <c r="L1260" s="1470"/>
      <c r="M1260" s="1471">
        <v>0</v>
      </c>
      <c r="N1260" s="1472">
        <v>1.4484332655006202</v>
      </c>
      <c r="O1260" s="1472"/>
    </row>
    <row r="1261" spans="11:15">
      <c r="K1261" s="1469">
        <v>43318</v>
      </c>
      <c r="L1261" s="1470" t="s">
        <v>2129</v>
      </c>
      <c r="M1261" s="1471">
        <v>2.462E-2</v>
      </c>
      <c r="N1261" s="1472">
        <v>1.4487898697705865</v>
      </c>
      <c r="O1261" s="1472"/>
    </row>
    <row r="1262" spans="11:15">
      <c r="K1262" s="1469">
        <v>43319</v>
      </c>
      <c r="L1262" s="1470" t="s">
        <v>2129</v>
      </c>
      <c r="M1262" s="1471">
        <v>2.462E-2</v>
      </c>
      <c r="N1262" s="1472">
        <v>1.4491465618365242</v>
      </c>
      <c r="O1262" s="1472"/>
    </row>
    <row r="1263" spans="11:15">
      <c r="K1263" s="1469">
        <v>43320</v>
      </c>
      <c r="L1263" s="1470" t="s">
        <v>2129</v>
      </c>
      <c r="M1263" s="1471">
        <v>2.462E-2</v>
      </c>
      <c r="N1263" s="1472">
        <v>1.4495033417200485</v>
      </c>
      <c r="O1263" s="1472"/>
    </row>
    <row r="1264" spans="11:15">
      <c r="K1264" s="1469">
        <v>43321</v>
      </c>
      <c r="L1264" s="1470" t="s">
        <v>2129</v>
      </c>
      <c r="M1264" s="1471">
        <v>2.462E-2</v>
      </c>
      <c r="N1264" s="1472">
        <v>1.4498602094427802</v>
      </c>
      <c r="O1264" s="1472"/>
    </row>
    <row r="1265" spans="11:15">
      <c r="K1265" s="1469">
        <v>43322</v>
      </c>
      <c r="L1265" s="1470" t="s">
        <v>2129</v>
      </c>
      <c r="M1265" s="1471">
        <v>2.462E-2</v>
      </c>
      <c r="N1265" s="1472">
        <v>1.4502171650263451</v>
      </c>
      <c r="O1265" s="1472"/>
    </row>
    <row r="1266" spans="11:15">
      <c r="K1266" s="1469">
        <v>43323</v>
      </c>
      <c r="L1266" s="1470"/>
      <c r="M1266" s="1471">
        <v>0</v>
      </c>
      <c r="N1266" s="1472">
        <v>1.4502171650263451</v>
      </c>
      <c r="O1266" s="1472"/>
    </row>
    <row r="1267" spans="11:15">
      <c r="K1267" s="1469">
        <v>43324</v>
      </c>
      <c r="L1267" s="1470"/>
      <c r="M1267" s="1471">
        <v>0</v>
      </c>
      <c r="N1267" s="1472">
        <v>1.4502171650263451</v>
      </c>
      <c r="O1267" s="1472"/>
    </row>
    <row r="1268" spans="11:15">
      <c r="K1268" s="1469">
        <v>43325</v>
      </c>
      <c r="L1268" s="1470" t="s">
        <v>2129</v>
      </c>
      <c r="M1268" s="1471">
        <v>2.462E-2</v>
      </c>
      <c r="N1268" s="1472">
        <v>1.4505742084923747</v>
      </c>
      <c r="O1268" s="1472"/>
    </row>
    <row r="1269" spans="11:15">
      <c r="K1269" s="1469">
        <v>43326</v>
      </c>
      <c r="L1269" s="1470" t="s">
        <v>2129</v>
      </c>
      <c r="M1269" s="1471">
        <v>2.462E-2</v>
      </c>
      <c r="N1269" s="1472">
        <v>1.4509313398625057</v>
      </c>
      <c r="O1269" s="1472"/>
    </row>
    <row r="1270" spans="11:15">
      <c r="K1270" s="1469">
        <v>43327</v>
      </c>
      <c r="L1270" s="1470" t="s">
        <v>2129</v>
      </c>
      <c r="M1270" s="1471">
        <v>2.462E-2</v>
      </c>
      <c r="N1270" s="1472">
        <v>1.45128855915838</v>
      </c>
      <c r="O1270" s="1472"/>
    </row>
    <row r="1271" spans="11:15">
      <c r="K1271" s="1469">
        <v>43328</v>
      </c>
      <c r="L1271" s="1470" t="s">
        <v>2129</v>
      </c>
      <c r="M1271" s="1471">
        <v>2.462E-2</v>
      </c>
      <c r="N1271" s="1472">
        <v>1.4516458664016449</v>
      </c>
      <c r="O1271" s="1472"/>
    </row>
    <row r="1272" spans="11:15">
      <c r="K1272" s="1469">
        <v>43329</v>
      </c>
      <c r="L1272" s="1470" t="s">
        <v>2129</v>
      </c>
      <c r="M1272" s="1471">
        <v>2.462E-2</v>
      </c>
      <c r="N1272" s="1472">
        <v>1.4520032616139531</v>
      </c>
      <c r="O1272" s="1472"/>
    </row>
    <row r="1273" spans="11:15">
      <c r="K1273" s="1469">
        <v>43330</v>
      </c>
      <c r="L1273" s="1470"/>
      <c r="M1273" s="1471">
        <v>0</v>
      </c>
      <c r="N1273" s="1472">
        <v>1.4520032616139531</v>
      </c>
      <c r="O1273" s="1472"/>
    </row>
    <row r="1274" spans="11:15">
      <c r="K1274" s="1469">
        <v>43331</v>
      </c>
      <c r="L1274" s="1470"/>
      <c r="M1274" s="1471">
        <v>0</v>
      </c>
      <c r="N1274" s="1472">
        <v>1.4520032616139531</v>
      </c>
      <c r="O1274" s="1472"/>
    </row>
    <row r="1275" spans="11:15">
      <c r="K1275" s="1469">
        <v>43332</v>
      </c>
      <c r="L1275" s="1470" t="s">
        <v>2129</v>
      </c>
      <c r="M1275" s="1471">
        <v>2.462E-2</v>
      </c>
      <c r="N1275" s="1472">
        <v>1.4523607448169626</v>
      </c>
      <c r="O1275" s="1472"/>
    </row>
    <row r="1276" spans="11:15">
      <c r="K1276" s="1469">
        <v>43333</v>
      </c>
      <c r="L1276" s="1470" t="s">
        <v>2129</v>
      </c>
      <c r="M1276" s="1471">
        <v>2.462E-2</v>
      </c>
      <c r="N1276" s="1472">
        <v>1.4527183160323367</v>
      </c>
      <c r="O1276" s="1472"/>
    </row>
    <row r="1277" spans="11:15">
      <c r="K1277" s="1469">
        <v>43334</v>
      </c>
      <c r="L1277" s="1470" t="s">
        <v>2129</v>
      </c>
      <c r="M1277" s="1471">
        <v>2.462E-2</v>
      </c>
      <c r="N1277" s="1472">
        <v>1.4530759752817439</v>
      </c>
      <c r="O1277" s="1472"/>
    </row>
    <row r="1278" spans="11:15">
      <c r="K1278" s="1469">
        <v>43335</v>
      </c>
      <c r="L1278" s="1470" t="s">
        <v>2129</v>
      </c>
      <c r="M1278" s="1471">
        <v>2.462E-2</v>
      </c>
      <c r="N1278" s="1472">
        <v>1.4534337225868583</v>
      </c>
      <c r="O1278" s="1472"/>
    </row>
    <row r="1279" spans="11:15">
      <c r="K1279" s="1469">
        <v>43336</v>
      </c>
      <c r="L1279" s="1470" t="s">
        <v>2129</v>
      </c>
      <c r="M1279" s="1471">
        <v>2.462E-2</v>
      </c>
      <c r="N1279" s="1472">
        <v>1.4537915579693594</v>
      </c>
      <c r="O1279" s="1472"/>
    </row>
    <row r="1280" spans="11:15">
      <c r="K1280" s="1469">
        <v>43337</v>
      </c>
      <c r="L1280" s="1470"/>
      <c r="M1280" s="1471">
        <v>0</v>
      </c>
      <c r="N1280" s="1472">
        <v>1.4537915579693594</v>
      </c>
      <c r="O1280" s="1472"/>
    </row>
    <row r="1281" spans="11:15">
      <c r="K1281" s="1469">
        <v>43338</v>
      </c>
      <c r="L1281" s="1470"/>
      <c r="M1281" s="1471">
        <v>0</v>
      </c>
      <c r="N1281" s="1472">
        <v>1.4537915579693594</v>
      </c>
      <c r="O1281" s="1472"/>
    </row>
    <row r="1282" spans="11:15">
      <c r="K1282" s="1469">
        <v>43339</v>
      </c>
      <c r="L1282" s="1470" t="s">
        <v>2129</v>
      </c>
      <c r="M1282" s="1471">
        <v>2.462E-2</v>
      </c>
      <c r="N1282" s="1472">
        <v>1.4541494814509317</v>
      </c>
      <c r="O1282" s="1472"/>
    </row>
    <row r="1283" spans="11:15">
      <c r="K1283" s="1469">
        <v>43340</v>
      </c>
      <c r="L1283" s="1470" t="s">
        <v>2129</v>
      </c>
      <c r="M1283" s="1471">
        <v>2.462E-2</v>
      </c>
      <c r="N1283" s="1472">
        <v>1.4545074930532651</v>
      </c>
      <c r="O1283" s="1472"/>
    </row>
    <row r="1284" spans="11:15">
      <c r="K1284" s="1469">
        <v>43341</v>
      </c>
      <c r="L1284" s="1470" t="s">
        <v>2129</v>
      </c>
      <c r="M1284" s="1471">
        <v>2.462E-2</v>
      </c>
      <c r="N1284" s="1472">
        <v>1.4548655927980549</v>
      </c>
      <c r="O1284" s="1472"/>
    </row>
    <row r="1285" spans="11:15">
      <c r="K1285" s="1469">
        <v>43342</v>
      </c>
      <c r="L1285" s="1470" t="s">
        <v>2129</v>
      </c>
      <c r="M1285" s="1471">
        <v>2.462E-2</v>
      </c>
      <c r="N1285" s="1472">
        <v>1.4552237807070019</v>
      </c>
      <c r="O1285" s="1472"/>
    </row>
    <row r="1286" spans="11:15">
      <c r="K1286" s="1469">
        <v>43343</v>
      </c>
      <c r="L1286" s="1470" t="s">
        <v>2129</v>
      </c>
      <c r="M1286" s="1471">
        <v>2.462E-2</v>
      </c>
      <c r="N1286" s="1472">
        <v>1.4555820568018121</v>
      </c>
      <c r="O1286" s="1472"/>
    </row>
    <row r="1287" spans="11:15">
      <c r="K1287" s="1469">
        <v>43344</v>
      </c>
      <c r="L1287" s="1470"/>
      <c r="M1287" s="1471">
        <v>0</v>
      </c>
      <c r="N1287" s="1472">
        <v>1.4555820568018121</v>
      </c>
      <c r="O1287" s="1472"/>
    </row>
    <row r="1288" spans="11:15">
      <c r="K1288" s="1469">
        <v>43345</v>
      </c>
      <c r="L1288" s="1470"/>
      <c r="M1288" s="1471">
        <v>0</v>
      </c>
      <c r="N1288" s="1472">
        <v>1.4555820568018121</v>
      </c>
      <c r="O1288" s="1472"/>
    </row>
    <row r="1289" spans="11:15">
      <c r="K1289" s="1469">
        <v>43346</v>
      </c>
      <c r="L1289" s="1470" t="s">
        <v>2129</v>
      </c>
      <c r="M1289" s="1471">
        <v>2.462E-2</v>
      </c>
      <c r="N1289" s="1472">
        <v>1.4559404211041969</v>
      </c>
      <c r="O1289" s="1472"/>
    </row>
    <row r="1290" spans="11:15">
      <c r="K1290" s="1469">
        <v>43347</v>
      </c>
      <c r="L1290" s="1470" t="s">
        <v>2129</v>
      </c>
      <c r="M1290" s="1471">
        <v>2.462E-2</v>
      </c>
      <c r="N1290" s="1472">
        <v>1.4562988736358728</v>
      </c>
      <c r="O1290" s="1472"/>
    </row>
    <row r="1291" spans="11:15">
      <c r="K1291" s="1469">
        <v>43348</v>
      </c>
      <c r="L1291" s="1470" t="s">
        <v>2129</v>
      </c>
      <c r="M1291" s="1471">
        <v>2.462E-2</v>
      </c>
      <c r="N1291" s="1472">
        <v>1.4566574144185622</v>
      </c>
      <c r="O1291" s="1472"/>
    </row>
    <row r="1292" spans="11:15">
      <c r="K1292" s="1469">
        <v>43349</v>
      </c>
      <c r="L1292" s="1470" t="s">
        <v>2129</v>
      </c>
      <c r="M1292" s="1471">
        <v>2.462E-2</v>
      </c>
      <c r="N1292" s="1472">
        <v>1.4570160434739923</v>
      </c>
      <c r="O1292" s="1472"/>
    </row>
    <row r="1293" spans="11:15">
      <c r="K1293" s="1469">
        <v>43350</v>
      </c>
      <c r="L1293" s="1470"/>
      <c r="M1293" s="1471">
        <v>0</v>
      </c>
      <c r="N1293" s="1472">
        <v>1.4570160434739923</v>
      </c>
      <c r="O1293" s="1472"/>
    </row>
    <row r="1294" spans="11:15">
      <c r="K1294" s="1469">
        <v>43351</v>
      </c>
      <c r="L1294" s="1470"/>
      <c r="M1294" s="1471">
        <v>0</v>
      </c>
      <c r="N1294" s="1472">
        <v>1.4570160434739923</v>
      </c>
      <c r="O1294" s="1472"/>
    </row>
    <row r="1295" spans="11:15">
      <c r="K1295" s="1469">
        <v>43352</v>
      </c>
      <c r="L1295" s="1470"/>
      <c r="M1295" s="1471">
        <v>0</v>
      </c>
      <c r="N1295" s="1472">
        <v>1.4570160434739923</v>
      </c>
      <c r="O1295" s="1472"/>
    </row>
    <row r="1296" spans="11:15">
      <c r="K1296" s="1469">
        <v>43353</v>
      </c>
      <c r="L1296" s="1470" t="s">
        <v>2129</v>
      </c>
      <c r="M1296" s="1471">
        <v>2.462E-2</v>
      </c>
      <c r="N1296" s="1472">
        <v>1.4573747608238956</v>
      </c>
      <c r="O1296" s="1472"/>
    </row>
    <row r="1297" spans="11:15">
      <c r="K1297" s="1469">
        <v>43354</v>
      </c>
      <c r="L1297" s="1470" t="s">
        <v>2129</v>
      </c>
      <c r="M1297" s="1471">
        <v>2.462E-2</v>
      </c>
      <c r="N1297" s="1472">
        <v>1.4577335664900106</v>
      </c>
      <c r="O1297" s="1472"/>
    </row>
    <row r="1298" spans="11:15">
      <c r="K1298" s="1469">
        <v>43355</v>
      </c>
      <c r="L1298" s="1470" t="s">
        <v>2129</v>
      </c>
      <c r="M1298" s="1471">
        <v>2.462E-2</v>
      </c>
      <c r="N1298" s="1472">
        <v>1.4580924604940806</v>
      </c>
      <c r="O1298" s="1472"/>
    </row>
    <row r="1299" spans="11:15">
      <c r="K1299" s="1469">
        <v>43356</v>
      </c>
      <c r="L1299" s="1470" t="s">
        <v>2129</v>
      </c>
      <c r="M1299" s="1471">
        <v>2.462E-2</v>
      </c>
      <c r="N1299" s="1472">
        <v>1.4584514428578543</v>
      </c>
      <c r="O1299" s="1472"/>
    </row>
    <row r="1300" spans="11:15">
      <c r="K1300" s="1469">
        <v>43357</v>
      </c>
      <c r="L1300" s="1470" t="s">
        <v>2129</v>
      </c>
      <c r="M1300" s="1471">
        <v>2.462E-2</v>
      </c>
      <c r="N1300" s="1472">
        <v>1.458810513603086</v>
      </c>
      <c r="O1300" s="1472"/>
    </row>
    <row r="1301" spans="11:15">
      <c r="K1301" s="1469">
        <v>43358</v>
      </c>
      <c r="L1301" s="1470"/>
      <c r="M1301" s="1471">
        <v>0</v>
      </c>
      <c r="N1301" s="1472">
        <v>1.458810513603086</v>
      </c>
      <c r="O1301" s="1472"/>
    </row>
    <row r="1302" spans="11:15">
      <c r="K1302" s="1469">
        <v>43359</v>
      </c>
      <c r="L1302" s="1470"/>
      <c r="M1302" s="1471">
        <v>0</v>
      </c>
      <c r="N1302" s="1472">
        <v>1.458810513603086</v>
      </c>
      <c r="O1302" s="1472"/>
    </row>
    <row r="1303" spans="11:15">
      <c r="K1303" s="1469">
        <v>43360</v>
      </c>
      <c r="L1303" s="1470" t="s">
        <v>2129</v>
      </c>
      <c r="M1303" s="1471">
        <v>2.462E-2</v>
      </c>
      <c r="N1303" s="1472">
        <v>1.4591696727515353</v>
      </c>
      <c r="O1303" s="1472"/>
    </row>
    <row r="1304" spans="11:15">
      <c r="K1304" s="1469">
        <v>43361</v>
      </c>
      <c r="L1304" s="1470" t="s">
        <v>2129</v>
      </c>
      <c r="M1304" s="1471">
        <v>2.462E-2</v>
      </c>
      <c r="N1304" s="1472">
        <v>1.4595289203249668</v>
      </c>
      <c r="O1304" s="1472"/>
    </row>
    <row r="1305" spans="11:15">
      <c r="K1305" s="1469">
        <v>43362</v>
      </c>
      <c r="L1305" s="1470" t="s">
        <v>2129</v>
      </c>
      <c r="M1305" s="1471">
        <v>2.462E-2</v>
      </c>
      <c r="N1305" s="1472">
        <v>1.459888256345151</v>
      </c>
      <c r="O1305" s="1472"/>
    </row>
    <row r="1306" spans="11:15">
      <c r="K1306" s="1469">
        <v>43363</v>
      </c>
      <c r="L1306" s="1470" t="s">
        <v>2129</v>
      </c>
      <c r="M1306" s="1471">
        <v>2.462E-2</v>
      </c>
      <c r="N1306" s="1472">
        <v>1.4602476808338634</v>
      </c>
      <c r="O1306" s="1472"/>
    </row>
    <row r="1307" spans="11:15">
      <c r="K1307" s="1469">
        <v>43364</v>
      </c>
      <c r="L1307" s="1470" t="s">
        <v>2129</v>
      </c>
      <c r="M1307" s="1471">
        <v>2.462E-2</v>
      </c>
      <c r="N1307" s="1472">
        <v>1.4606071938128848</v>
      </c>
      <c r="O1307" s="1472"/>
    </row>
    <row r="1308" spans="11:15">
      <c r="K1308" s="1469">
        <v>43365</v>
      </c>
      <c r="L1308" s="1470"/>
      <c r="M1308" s="1471">
        <v>0</v>
      </c>
      <c r="N1308" s="1472">
        <v>1.4606071938128848</v>
      </c>
      <c r="O1308" s="1472"/>
    </row>
    <row r="1309" spans="11:15">
      <c r="K1309" s="1469">
        <v>43366</v>
      </c>
      <c r="L1309" s="1470"/>
      <c r="M1309" s="1471">
        <v>0</v>
      </c>
      <c r="N1309" s="1472">
        <v>1.4606071938128848</v>
      </c>
      <c r="O1309" s="1472"/>
    </row>
    <row r="1310" spans="11:15">
      <c r="K1310" s="1469">
        <v>43367</v>
      </c>
      <c r="L1310" s="1470" t="s">
        <v>2129</v>
      </c>
      <c r="M1310" s="1471">
        <v>2.462E-2</v>
      </c>
      <c r="N1310" s="1472">
        <v>1.4609667953040018</v>
      </c>
      <c r="O1310" s="1472"/>
    </row>
    <row r="1311" spans="11:15">
      <c r="K1311" s="1469">
        <v>43368</v>
      </c>
      <c r="L1311" s="1470" t="s">
        <v>2129</v>
      </c>
      <c r="M1311" s="1471">
        <v>2.462E-2</v>
      </c>
      <c r="N1311" s="1472">
        <v>1.4613264853290058</v>
      </c>
      <c r="O1311" s="1472"/>
    </row>
    <row r="1312" spans="11:15">
      <c r="K1312" s="1469">
        <v>43369</v>
      </c>
      <c r="L1312" s="1470" t="s">
        <v>2129</v>
      </c>
      <c r="M1312" s="1471">
        <v>2.462E-2</v>
      </c>
      <c r="N1312" s="1472">
        <v>1.4616862639096939</v>
      </c>
      <c r="O1312" s="1472"/>
    </row>
    <row r="1313" spans="11:15">
      <c r="K1313" s="1469">
        <v>43370</v>
      </c>
      <c r="L1313" s="1470" t="s">
        <v>2129</v>
      </c>
      <c r="M1313" s="1471">
        <v>2.462E-2</v>
      </c>
      <c r="N1313" s="1472">
        <v>1.4620461310678685</v>
      </c>
      <c r="O1313" s="1472"/>
    </row>
    <row r="1314" spans="11:15">
      <c r="K1314" s="1469">
        <v>43371</v>
      </c>
      <c r="L1314" s="1470" t="s">
        <v>2129</v>
      </c>
      <c r="M1314" s="1471">
        <v>2.462E-2</v>
      </c>
      <c r="N1314" s="1472">
        <v>1.4624060868253375</v>
      </c>
      <c r="O1314" s="1472"/>
    </row>
    <row r="1315" spans="11:15">
      <c r="K1315" s="1469">
        <v>43372</v>
      </c>
      <c r="L1315" s="1470"/>
      <c r="M1315" s="1471">
        <v>0</v>
      </c>
      <c r="N1315" s="1472">
        <v>1.4624060868253375</v>
      </c>
      <c r="O1315" s="1472"/>
    </row>
    <row r="1316" spans="11:15">
      <c r="K1316" s="1469">
        <v>43373</v>
      </c>
      <c r="L1316" s="1470"/>
      <c r="M1316" s="1471">
        <v>0</v>
      </c>
      <c r="N1316" s="1472">
        <v>1.4624060868253375</v>
      </c>
      <c r="O1316" s="1472"/>
    </row>
    <row r="1317" spans="11:15">
      <c r="K1317" s="1469">
        <v>43374</v>
      </c>
      <c r="L1317" s="1470" t="s">
        <v>2129</v>
      </c>
      <c r="M1317" s="1471">
        <v>2.462E-2</v>
      </c>
      <c r="N1317" s="1472">
        <v>1.462766131203914</v>
      </c>
      <c r="O1317" s="1472"/>
    </row>
    <row r="1318" spans="11:15">
      <c r="K1318" s="1469">
        <v>43375</v>
      </c>
      <c r="L1318" s="1470" t="s">
        <v>2129</v>
      </c>
      <c r="M1318" s="1471">
        <v>2.462E-2</v>
      </c>
      <c r="N1318" s="1472">
        <v>1.4631262642254166</v>
      </c>
      <c r="O1318" s="1472"/>
    </row>
    <row r="1319" spans="11:15">
      <c r="K1319" s="1469">
        <v>43376</v>
      </c>
      <c r="L1319" s="1470" t="s">
        <v>2129</v>
      </c>
      <c r="M1319" s="1471">
        <v>2.462E-2</v>
      </c>
      <c r="N1319" s="1472">
        <v>1.463486485911669</v>
      </c>
      <c r="O1319" s="1472"/>
    </row>
    <row r="1320" spans="11:15">
      <c r="K1320" s="1469">
        <v>43377</v>
      </c>
      <c r="L1320" s="1470" t="s">
        <v>2129</v>
      </c>
      <c r="M1320" s="1471">
        <v>2.462E-2</v>
      </c>
      <c r="N1320" s="1472">
        <v>1.4638467962845005</v>
      </c>
      <c r="O1320" s="1472"/>
    </row>
    <row r="1321" spans="11:15">
      <c r="K1321" s="1469">
        <v>43378</v>
      </c>
      <c r="L1321" s="1470" t="s">
        <v>2129</v>
      </c>
      <c r="M1321" s="1471">
        <v>2.462E-2</v>
      </c>
      <c r="N1321" s="1472">
        <v>1.4642071953657458</v>
      </c>
      <c r="O1321" s="1472"/>
    </row>
    <row r="1322" spans="11:15">
      <c r="K1322" s="1469">
        <v>43379</v>
      </c>
      <c r="L1322" s="1470"/>
      <c r="M1322" s="1471">
        <v>0</v>
      </c>
      <c r="N1322" s="1472">
        <v>1.4642071953657458</v>
      </c>
      <c r="O1322" s="1472"/>
    </row>
    <row r="1323" spans="11:15">
      <c r="K1323" s="1469">
        <v>43380</v>
      </c>
      <c r="L1323" s="1470"/>
      <c r="M1323" s="1471">
        <v>0</v>
      </c>
      <c r="N1323" s="1472">
        <v>1.4642071953657458</v>
      </c>
      <c r="O1323" s="1472"/>
    </row>
    <row r="1324" spans="11:15">
      <c r="K1324" s="1469">
        <v>43381</v>
      </c>
      <c r="L1324" s="1470" t="s">
        <v>2129</v>
      </c>
      <c r="M1324" s="1471">
        <v>2.462E-2</v>
      </c>
      <c r="N1324" s="1472">
        <v>1.4645676831772449</v>
      </c>
      <c r="O1324" s="1472"/>
    </row>
    <row r="1325" spans="11:15">
      <c r="K1325" s="1469">
        <v>43382</v>
      </c>
      <c r="L1325" s="1470" t="s">
        <v>2129</v>
      </c>
      <c r="M1325" s="1471">
        <v>2.462E-2</v>
      </c>
      <c r="N1325" s="1472">
        <v>1.4649282597408433</v>
      </c>
      <c r="O1325" s="1472"/>
    </row>
    <row r="1326" spans="11:15">
      <c r="K1326" s="1469">
        <v>43383</v>
      </c>
      <c r="L1326" s="1470" t="s">
        <v>2129</v>
      </c>
      <c r="M1326" s="1471">
        <v>2.462E-2</v>
      </c>
      <c r="N1326" s="1472">
        <v>1.4652889250783916</v>
      </c>
      <c r="O1326" s="1472"/>
    </row>
    <row r="1327" spans="11:15">
      <c r="K1327" s="1469">
        <v>43384</v>
      </c>
      <c r="L1327" s="1470" t="s">
        <v>2129</v>
      </c>
      <c r="M1327" s="1471">
        <v>2.462E-2</v>
      </c>
      <c r="N1327" s="1472">
        <v>1.4656496792117459</v>
      </c>
      <c r="O1327" s="1472"/>
    </row>
    <row r="1328" spans="11:15">
      <c r="K1328" s="1469">
        <v>43385</v>
      </c>
      <c r="L1328" s="1470"/>
      <c r="M1328" s="1471">
        <v>0</v>
      </c>
      <c r="N1328" s="1472">
        <v>1.4656496792117459</v>
      </c>
      <c r="O1328" s="1472"/>
    </row>
    <row r="1329" spans="11:15">
      <c r="K1329" s="1469">
        <v>43386</v>
      </c>
      <c r="L1329" s="1470"/>
      <c r="M1329" s="1471">
        <v>0</v>
      </c>
      <c r="N1329" s="1472">
        <v>1.4656496792117459</v>
      </c>
      <c r="O1329" s="1472"/>
    </row>
    <row r="1330" spans="11:15">
      <c r="K1330" s="1469">
        <v>43387</v>
      </c>
      <c r="L1330" s="1470"/>
      <c r="M1330" s="1471">
        <v>0</v>
      </c>
      <c r="N1330" s="1472">
        <v>1.4656496792117459</v>
      </c>
      <c r="O1330" s="1472"/>
    </row>
    <row r="1331" spans="11:15">
      <c r="K1331" s="1469">
        <v>43388</v>
      </c>
      <c r="L1331" s="1470" t="s">
        <v>2129</v>
      </c>
      <c r="M1331" s="1471">
        <v>2.462E-2</v>
      </c>
      <c r="N1331" s="1472">
        <v>1.4660105221627679</v>
      </c>
      <c r="O1331" s="1472"/>
    </row>
    <row r="1332" spans="11:15">
      <c r="K1332" s="1469">
        <v>43389</v>
      </c>
      <c r="L1332" s="1470" t="s">
        <v>2129</v>
      </c>
      <c r="M1332" s="1471">
        <v>2.462E-2</v>
      </c>
      <c r="N1332" s="1472">
        <v>1.4663714539533246</v>
      </c>
      <c r="O1332" s="1472"/>
    </row>
    <row r="1333" spans="11:15">
      <c r="K1333" s="1469">
        <v>43390</v>
      </c>
      <c r="L1333" s="1470" t="s">
        <v>2129</v>
      </c>
      <c r="M1333" s="1471">
        <v>2.462E-2</v>
      </c>
      <c r="N1333" s="1472">
        <v>1.4667324746052881</v>
      </c>
      <c r="O1333" s="1472"/>
    </row>
    <row r="1334" spans="11:15">
      <c r="K1334" s="1469">
        <v>43391</v>
      </c>
      <c r="L1334" s="1470" t="s">
        <v>2129</v>
      </c>
      <c r="M1334" s="1471">
        <v>2.462E-2</v>
      </c>
      <c r="N1334" s="1472">
        <v>1.4670935841405361</v>
      </c>
      <c r="O1334" s="1472"/>
    </row>
    <row r="1335" spans="11:15">
      <c r="K1335" s="1469">
        <v>43392</v>
      </c>
      <c r="L1335" s="1470" t="s">
        <v>2129</v>
      </c>
      <c r="M1335" s="1471">
        <v>2.462E-2</v>
      </c>
      <c r="N1335" s="1472">
        <v>1.4674547825809516</v>
      </c>
      <c r="O1335" s="1472"/>
    </row>
    <row r="1336" spans="11:15">
      <c r="K1336" s="1469">
        <v>43393</v>
      </c>
      <c r="L1336" s="1470"/>
      <c r="M1336" s="1471">
        <v>0</v>
      </c>
      <c r="N1336" s="1472">
        <v>1.4674547825809516</v>
      </c>
      <c r="O1336" s="1472"/>
    </row>
    <row r="1337" spans="11:15">
      <c r="K1337" s="1469">
        <v>43394</v>
      </c>
      <c r="L1337" s="1470"/>
      <c r="M1337" s="1471">
        <v>0</v>
      </c>
      <c r="N1337" s="1472">
        <v>1.4674547825809516</v>
      </c>
      <c r="O1337" s="1472"/>
    </row>
    <row r="1338" spans="11:15">
      <c r="K1338" s="1469">
        <v>43395</v>
      </c>
      <c r="L1338" s="1470" t="s">
        <v>2129</v>
      </c>
      <c r="M1338" s="1471">
        <v>2.462E-2</v>
      </c>
      <c r="N1338" s="1472">
        <v>1.4678160699484233</v>
      </c>
      <c r="O1338" s="1472"/>
    </row>
    <row r="1339" spans="11:15">
      <c r="K1339" s="1469">
        <v>43396</v>
      </c>
      <c r="L1339" s="1470" t="s">
        <v>2129</v>
      </c>
      <c r="M1339" s="1471">
        <v>2.462E-2</v>
      </c>
      <c r="N1339" s="1472">
        <v>1.4681774462648447</v>
      </c>
      <c r="O1339" s="1472"/>
    </row>
    <row r="1340" spans="11:15">
      <c r="K1340" s="1469">
        <v>43397</v>
      </c>
      <c r="L1340" s="1470" t="s">
        <v>2129</v>
      </c>
      <c r="M1340" s="1471">
        <v>2.462E-2</v>
      </c>
      <c r="N1340" s="1472">
        <v>1.4685389115521152</v>
      </c>
      <c r="O1340" s="1472"/>
    </row>
    <row r="1341" spans="11:15">
      <c r="K1341" s="1469">
        <v>43398</v>
      </c>
      <c r="L1341" s="1470" t="s">
        <v>2129</v>
      </c>
      <c r="M1341" s="1471">
        <v>2.462E-2</v>
      </c>
      <c r="N1341" s="1472">
        <v>1.4689004658321394</v>
      </c>
      <c r="O1341" s="1472"/>
    </row>
    <row r="1342" spans="11:15">
      <c r="K1342" s="1469">
        <v>43399</v>
      </c>
      <c r="L1342" s="1470" t="s">
        <v>2129</v>
      </c>
      <c r="M1342" s="1471">
        <v>2.462E-2</v>
      </c>
      <c r="N1342" s="1472">
        <v>1.4692621091268274</v>
      </c>
      <c r="O1342" s="1472"/>
    </row>
    <row r="1343" spans="11:15">
      <c r="K1343" s="1469">
        <v>43400</v>
      </c>
      <c r="L1343" s="1470"/>
      <c r="M1343" s="1471">
        <v>0</v>
      </c>
      <c r="N1343" s="1472">
        <v>1.4692621091268274</v>
      </c>
      <c r="O1343" s="1472"/>
    </row>
    <row r="1344" spans="11:15">
      <c r="K1344" s="1469">
        <v>43401</v>
      </c>
      <c r="L1344" s="1470"/>
      <c r="M1344" s="1471">
        <v>0</v>
      </c>
      <c r="N1344" s="1472">
        <v>1.4692621091268274</v>
      </c>
      <c r="O1344" s="1472"/>
    </row>
    <row r="1345" spans="11:15">
      <c r="K1345" s="1469">
        <v>43402</v>
      </c>
      <c r="L1345" s="1470" t="s">
        <v>2129</v>
      </c>
      <c r="M1345" s="1471">
        <v>2.462E-2</v>
      </c>
      <c r="N1345" s="1472">
        <v>1.4696238414580947</v>
      </c>
      <c r="O1345" s="1472"/>
    </row>
    <row r="1346" spans="11:15">
      <c r="K1346" s="1469">
        <v>43403</v>
      </c>
      <c r="L1346" s="1470" t="s">
        <v>2129</v>
      </c>
      <c r="M1346" s="1471">
        <v>2.462E-2</v>
      </c>
      <c r="N1346" s="1472">
        <v>1.4699856628478618</v>
      </c>
      <c r="O1346" s="1472"/>
    </row>
    <row r="1347" spans="11:15">
      <c r="K1347" s="1469">
        <v>43404</v>
      </c>
      <c r="L1347" s="1470" t="s">
        <v>2129</v>
      </c>
      <c r="M1347" s="1471">
        <v>2.462E-2</v>
      </c>
      <c r="N1347" s="1472">
        <v>1.4703475733180551</v>
      </c>
      <c r="O1347" s="1472"/>
    </row>
    <row r="1348" spans="11:15">
      <c r="K1348" s="1469">
        <v>43405</v>
      </c>
      <c r="L1348" s="1470" t="s">
        <v>2129</v>
      </c>
      <c r="M1348" s="1471">
        <v>2.462E-2</v>
      </c>
      <c r="N1348" s="1472">
        <v>1.4707095728906061</v>
      </c>
      <c r="O1348" s="1472"/>
    </row>
    <row r="1349" spans="11:15">
      <c r="K1349" s="1469">
        <v>43406</v>
      </c>
      <c r="L1349" s="1470"/>
      <c r="M1349" s="1471">
        <v>0</v>
      </c>
      <c r="N1349" s="1472">
        <v>1.4707095728906061</v>
      </c>
      <c r="O1349" s="1472"/>
    </row>
    <row r="1350" spans="11:15">
      <c r="K1350" s="1469">
        <v>43407</v>
      </c>
      <c r="L1350" s="1470"/>
      <c r="M1350" s="1471">
        <v>0</v>
      </c>
      <c r="N1350" s="1472">
        <v>1.4707095728906061</v>
      </c>
      <c r="O1350" s="1472"/>
    </row>
    <row r="1351" spans="11:15">
      <c r="K1351" s="1469">
        <v>43408</v>
      </c>
      <c r="L1351" s="1470"/>
      <c r="M1351" s="1471">
        <v>0</v>
      </c>
      <c r="N1351" s="1472">
        <v>1.4707095728906061</v>
      </c>
      <c r="O1351" s="1472"/>
    </row>
    <row r="1352" spans="11:15">
      <c r="K1352" s="1469">
        <v>43409</v>
      </c>
      <c r="L1352" s="1470" t="s">
        <v>2129</v>
      </c>
      <c r="M1352" s="1471">
        <v>2.462E-2</v>
      </c>
      <c r="N1352" s="1472">
        <v>1.471071661587452</v>
      </c>
      <c r="O1352" s="1472"/>
    </row>
    <row r="1353" spans="11:15">
      <c r="K1353" s="1469">
        <v>43410</v>
      </c>
      <c r="L1353" s="1470" t="s">
        <v>2129</v>
      </c>
      <c r="M1353" s="1471">
        <v>2.462E-2</v>
      </c>
      <c r="N1353" s="1472">
        <v>1.4714338394305349</v>
      </c>
      <c r="O1353" s="1472"/>
    </row>
    <row r="1354" spans="11:15">
      <c r="K1354" s="1469">
        <v>43411</v>
      </c>
      <c r="L1354" s="1470" t="s">
        <v>2129</v>
      </c>
      <c r="M1354" s="1471">
        <v>2.462E-2</v>
      </c>
      <c r="N1354" s="1472">
        <v>1.4717961064418028</v>
      </c>
      <c r="O1354" s="1472"/>
    </row>
    <row r="1355" spans="11:15">
      <c r="K1355" s="1469">
        <v>43412</v>
      </c>
      <c r="L1355" s="1470" t="s">
        <v>2129</v>
      </c>
      <c r="M1355" s="1471">
        <v>2.462E-2</v>
      </c>
      <c r="N1355" s="1472">
        <v>1.4721584626432089</v>
      </c>
      <c r="O1355" s="1472"/>
    </row>
    <row r="1356" spans="11:15">
      <c r="K1356" s="1469">
        <v>43413</v>
      </c>
      <c r="L1356" s="1470" t="s">
        <v>2129</v>
      </c>
      <c r="M1356" s="1471">
        <v>2.462E-2</v>
      </c>
      <c r="N1356" s="1472">
        <v>1.4725209080567119</v>
      </c>
      <c r="O1356" s="1472"/>
    </row>
    <row r="1357" spans="11:15">
      <c r="K1357" s="1469">
        <v>43414</v>
      </c>
      <c r="L1357" s="1470"/>
      <c r="M1357" s="1471">
        <v>0</v>
      </c>
      <c r="N1357" s="1472">
        <v>1.4725209080567119</v>
      </c>
      <c r="O1357" s="1472"/>
    </row>
    <row r="1358" spans="11:15">
      <c r="K1358" s="1469">
        <v>43415</v>
      </c>
      <c r="L1358" s="1470"/>
      <c r="M1358" s="1471">
        <v>0</v>
      </c>
      <c r="N1358" s="1472">
        <v>1.4725209080567119</v>
      </c>
      <c r="O1358" s="1472"/>
    </row>
    <row r="1359" spans="11:15">
      <c r="K1359" s="1469">
        <v>43416</v>
      </c>
      <c r="L1359" s="1470" t="s">
        <v>2129</v>
      </c>
      <c r="M1359" s="1471">
        <v>2.462E-2</v>
      </c>
      <c r="N1359" s="1472">
        <v>1.4728834427042756</v>
      </c>
      <c r="O1359" s="1472"/>
    </row>
    <row r="1360" spans="11:15">
      <c r="K1360" s="1469">
        <v>43417</v>
      </c>
      <c r="L1360" s="1470" t="s">
        <v>2129</v>
      </c>
      <c r="M1360" s="1471">
        <v>2.462E-2</v>
      </c>
      <c r="N1360" s="1472">
        <v>1.4732460666078695</v>
      </c>
      <c r="O1360" s="1472"/>
    </row>
    <row r="1361" spans="11:15">
      <c r="K1361" s="1469">
        <v>43418</v>
      </c>
      <c r="L1361" s="1470" t="s">
        <v>2129</v>
      </c>
      <c r="M1361" s="1471">
        <v>2.462E-2</v>
      </c>
      <c r="N1361" s="1472">
        <v>1.4736087797894686</v>
      </c>
      <c r="O1361" s="1472"/>
    </row>
    <row r="1362" spans="11:15">
      <c r="K1362" s="1469">
        <v>43419</v>
      </c>
      <c r="L1362" s="1470"/>
      <c r="M1362" s="1471">
        <v>0</v>
      </c>
      <c r="N1362" s="1472">
        <v>1.4736087797894686</v>
      </c>
      <c r="O1362" s="1472"/>
    </row>
    <row r="1363" spans="11:15">
      <c r="K1363" s="1469">
        <v>43420</v>
      </c>
      <c r="L1363" s="1470" t="s">
        <v>2129</v>
      </c>
      <c r="M1363" s="1471">
        <v>2.462E-2</v>
      </c>
      <c r="N1363" s="1472">
        <v>1.4739715822710528</v>
      </c>
      <c r="O1363" s="1472"/>
    </row>
    <row r="1364" spans="11:15">
      <c r="K1364" s="1469">
        <v>43421</v>
      </c>
      <c r="L1364" s="1470"/>
      <c r="M1364" s="1471">
        <v>0</v>
      </c>
      <c r="N1364" s="1472">
        <v>1.4739715822710528</v>
      </c>
      <c r="O1364" s="1472"/>
    </row>
    <row r="1365" spans="11:15">
      <c r="K1365" s="1469">
        <v>43422</v>
      </c>
      <c r="L1365" s="1470"/>
      <c r="M1365" s="1471">
        <v>0</v>
      </c>
      <c r="N1365" s="1472">
        <v>1.4739715822710528</v>
      </c>
      <c r="O1365" s="1472"/>
    </row>
    <row r="1366" spans="11:15">
      <c r="K1366" s="1469">
        <v>43423</v>
      </c>
      <c r="L1366" s="1470" t="s">
        <v>2129</v>
      </c>
      <c r="M1366" s="1471">
        <v>2.462E-2</v>
      </c>
      <c r="N1366" s="1472">
        <v>1.474334474074608</v>
      </c>
      <c r="O1366" s="1472"/>
    </row>
    <row r="1367" spans="11:15">
      <c r="K1367" s="1469">
        <v>43424</v>
      </c>
      <c r="L1367" s="1470" t="s">
        <v>2129</v>
      </c>
      <c r="M1367" s="1471">
        <v>2.462E-2</v>
      </c>
      <c r="N1367" s="1472">
        <v>1.4746974552221253</v>
      </c>
      <c r="O1367" s="1472"/>
    </row>
    <row r="1368" spans="11:15">
      <c r="K1368" s="1469">
        <v>43425</v>
      </c>
      <c r="L1368" s="1470" t="s">
        <v>2129</v>
      </c>
      <c r="M1368" s="1471">
        <v>2.462E-2</v>
      </c>
      <c r="N1368" s="1472">
        <v>1.4750605257356011</v>
      </c>
      <c r="O1368" s="1472"/>
    </row>
    <row r="1369" spans="11:15">
      <c r="K1369" s="1469">
        <v>43426</v>
      </c>
      <c r="L1369" s="1470" t="s">
        <v>2129</v>
      </c>
      <c r="M1369" s="1471">
        <v>2.462E-2</v>
      </c>
      <c r="N1369" s="1472">
        <v>1.4754236856370373</v>
      </c>
      <c r="O1369" s="1472"/>
    </row>
    <row r="1370" spans="11:15">
      <c r="K1370" s="1469">
        <v>43427</v>
      </c>
      <c r="L1370" s="1470" t="s">
        <v>2129</v>
      </c>
      <c r="M1370" s="1471">
        <v>2.462E-2</v>
      </c>
      <c r="N1370" s="1472">
        <v>1.4757869349484412</v>
      </c>
      <c r="O1370" s="1472"/>
    </row>
    <row r="1371" spans="11:15">
      <c r="K1371" s="1469">
        <v>43428</v>
      </c>
      <c r="L1371" s="1470"/>
      <c r="M1371" s="1471">
        <v>0</v>
      </c>
      <c r="N1371" s="1472">
        <v>1.4757869349484412</v>
      </c>
      <c r="O1371" s="1472"/>
    </row>
    <row r="1372" spans="11:15">
      <c r="K1372" s="1469">
        <v>43429</v>
      </c>
      <c r="L1372" s="1470"/>
      <c r="M1372" s="1471">
        <v>0</v>
      </c>
      <c r="N1372" s="1472">
        <v>1.4757869349484412</v>
      </c>
      <c r="O1372" s="1472"/>
    </row>
    <row r="1373" spans="11:15">
      <c r="K1373" s="1469">
        <v>43430</v>
      </c>
      <c r="L1373" s="1470" t="s">
        <v>2129</v>
      </c>
      <c r="M1373" s="1471">
        <v>2.462E-2</v>
      </c>
      <c r="N1373" s="1472">
        <v>1.4761502736918255</v>
      </c>
      <c r="O1373" s="1472"/>
    </row>
    <row r="1374" spans="11:15">
      <c r="K1374" s="1469">
        <v>43431</v>
      </c>
      <c r="L1374" s="1470" t="s">
        <v>2129</v>
      </c>
      <c r="M1374" s="1471">
        <v>2.462E-2</v>
      </c>
      <c r="N1374" s="1472">
        <v>1.4765137018892085</v>
      </c>
      <c r="O1374" s="1472"/>
    </row>
    <row r="1375" spans="11:15">
      <c r="K1375" s="1469">
        <v>43432</v>
      </c>
      <c r="L1375" s="1470" t="s">
        <v>2129</v>
      </c>
      <c r="M1375" s="1471">
        <v>2.462E-2</v>
      </c>
      <c r="N1375" s="1472">
        <v>1.4768772195626136</v>
      </c>
      <c r="O1375" s="1472"/>
    </row>
    <row r="1376" spans="11:15">
      <c r="K1376" s="1469">
        <v>43433</v>
      </c>
      <c r="L1376" s="1470" t="s">
        <v>2129</v>
      </c>
      <c r="M1376" s="1471">
        <v>2.462E-2</v>
      </c>
      <c r="N1376" s="1472">
        <v>1.47724082673407</v>
      </c>
      <c r="O1376" s="1472"/>
    </row>
    <row r="1377" spans="11:15">
      <c r="K1377" s="1469">
        <v>43434</v>
      </c>
      <c r="L1377" s="1470" t="s">
        <v>2129</v>
      </c>
      <c r="M1377" s="1471">
        <v>2.462E-2</v>
      </c>
      <c r="N1377" s="1472">
        <v>1.4776045234256121</v>
      </c>
      <c r="O1377" s="1472"/>
    </row>
    <row r="1378" spans="11:15">
      <c r="K1378" s="1469">
        <v>43435</v>
      </c>
      <c r="L1378" s="1470"/>
      <c r="M1378" s="1471">
        <v>0</v>
      </c>
      <c r="N1378" s="1472">
        <v>1.4776045234256121</v>
      </c>
      <c r="O1378" s="1472"/>
    </row>
    <row r="1379" spans="11:15">
      <c r="K1379" s="1469">
        <v>43436</v>
      </c>
      <c r="L1379" s="1470"/>
      <c r="M1379" s="1471">
        <v>0</v>
      </c>
      <c r="N1379" s="1472">
        <v>1.4776045234256121</v>
      </c>
      <c r="O1379" s="1472"/>
    </row>
    <row r="1380" spans="11:15">
      <c r="K1380" s="1469">
        <v>43437</v>
      </c>
      <c r="L1380" s="1470" t="s">
        <v>2129</v>
      </c>
      <c r="M1380" s="1471">
        <v>2.462E-2</v>
      </c>
      <c r="N1380" s="1472">
        <v>1.4779683096592797</v>
      </c>
      <c r="O1380" s="1472"/>
    </row>
    <row r="1381" spans="11:15">
      <c r="K1381" s="1469">
        <v>43438</v>
      </c>
      <c r="L1381" s="1470" t="s">
        <v>2129</v>
      </c>
      <c r="M1381" s="1471">
        <v>2.462E-2</v>
      </c>
      <c r="N1381" s="1472">
        <v>1.4783321854571179</v>
      </c>
      <c r="O1381" s="1472"/>
    </row>
    <row r="1382" spans="11:15">
      <c r="K1382" s="1469">
        <v>43439</v>
      </c>
      <c r="L1382" s="1470" t="s">
        <v>2129</v>
      </c>
      <c r="M1382" s="1471">
        <v>2.462E-2</v>
      </c>
      <c r="N1382" s="1472">
        <v>1.4786961508411776</v>
      </c>
      <c r="O1382" s="1472"/>
    </row>
    <row r="1383" spans="11:15">
      <c r="K1383" s="1469">
        <v>43440</v>
      </c>
      <c r="L1383" s="1470" t="s">
        <v>2129</v>
      </c>
      <c r="M1383" s="1471">
        <v>2.462E-2</v>
      </c>
      <c r="N1383" s="1472">
        <v>1.4790602058335147</v>
      </c>
      <c r="O1383" s="1472"/>
    </row>
    <row r="1384" spans="11:15">
      <c r="K1384" s="1469">
        <v>43441</v>
      </c>
      <c r="L1384" s="1470" t="s">
        <v>2129</v>
      </c>
      <c r="M1384" s="1471">
        <v>2.462E-2</v>
      </c>
      <c r="N1384" s="1472">
        <v>1.479424350456191</v>
      </c>
      <c r="O1384" s="1472"/>
    </row>
    <row r="1385" spans="11:15">
      <c r="K1385" s="1469">
        <v>43442</v>
      </c>
      <c r="L1385" s="1470"/>
      <c r="M1385" s="1471">
        <v>0</v>
      </c>
      <c r="N1385" s="1472">
        <v>1.479424350456191</v>
      </c>
      <c r="O1385" s="1472"/>
    </row>
    <row r="1386" spans="11:15">
      <c r="K1386" s="1469">
        <v>43443</v>
      </c>
      <c r="L1386" s="1470"/>
      <c r="M1386" s="1471">
        <v>0</v>
      </c>
      <c r="N1386" s="1472">
        <v>1.479424350456191</v>
      </c>
      <c r="O1386" s="1472"/>
    </row>
    <row r="1387" spans="11:15">
      <c r="K1387" s="1469">
        <v>43444</v>
      </c>
      <c r="L1387" s="1470" t="s">
        <v>2129</v>
      </c>
      <c r="M1387" s="1471">
        <v>2.462E-2</v>
      </c>
      <c r="N1387" s="1472">
        <v>1.4797885847312735</v>
      </c>
      <c r="O1387" s="1472"/>
    </row>
    <row r="1388" spans="11:15">
      <c r="K1388" s="1469">
        <v>43445</v>
      </c>
      <c r="L1388" s="1470" t="s">
        <v>2129</v>
      </c>
      <c r="M1388" s="1471">
        <v>2.462E-2</v>
      </c>
      <c r="N1388" s="1472">
        <v>1.4801529086808345</v>
      </c>
      <c r="O1388" s="1472"/>
    </row>
    <row r="1389" spans="11:15">
      <c r="K1389" s="1469">
        <v>43446</v>
      </c>
      <c r="L1389" s="1470" t="s">
        <v>2129</v>
      </c>
      <c r="M1389" s="1471">
        <v>2.462E-2</v>
      </c>
      <c r="N1389" s="1472">
        <v>1.4805173223269519</v>
      </c>
      <c r="O1389" s="1472"/>
    </row>
    <row r="1390" spans="11:15">
      <c r="K1390" s="1469">
        <v>43447</v>
      </c>
      <c r="L1390" s="1470" t="s">
        <v>2129</v>
      </c>
      <c r="M1390" s="1471">
        <v>2.462E-2</v>
      </c>
      <c r="N1390" s="1472">
        <v>1.4808818256917089</v>
      </c>
      <c r="O1390" s="1472"/>
    </row>
    <row r="1391" spans="11:15">
      <c r="K1391" s="1469">
        <v>43448</v>
      </c>
      <c r="L1391" s="1470" t="s">
        <v>2129</v>
      </c>
      <c r="M1391" s="1471">
        <v>2.462E-2</v>
      </c>
      <c r="N1391" s="1472">
        <v>1.4812464187971943</v>
      </c>
      <c r="O1391" s="1472"/>
    </row>
    <row r="1392" spans="11:15">
      <c r="K1392" s="1469">
        <v>43449</v>
      </c>
      <c r="L1392" s="1470"/>
      <c r="M1392" s="1471">
        <v>0</v>
      </c>
      <c r="N1392" s="1472">
        <v>1.4812464187971943</v>
      </c>
      <c r="O1392" s="1472"/>
    </row>
    <row r="1393" spans="11:15">
      <c r="K1393" s="1469">
        <v>43450</v>
      </c>
      <c r="L1393" s="1470"/>
      <c r="M1393" s="1471">
        <v>0</v>
      </c>
      <c r="N1393" s="1472">
        <v>1.4812464187971943</v>
      </c>
      <c r="O1393" s="1472"/>
    </row>
    <row r="1394" spans="11:15">
      <c r="K1394" s="1469">
        <v>43451</v>
      </c>
      <c r="L1394" s="1470" t="s">
        <v>2129</v>
      </c>
      <c r="M1394" s="1471">
        <v>2.462E-2</v>
      </c>
      <c r="N1394" s="1472">
        <v>1.4816111016655023</v>
      </c>
      <c r="O1394" s="1472"/>
    </row>
    <row r="1395" spans="11:15">
      <c r="K1395" s="1469">
        <v>43452</v>
      </c>
      <c r="L1395" s="1470" t="s">
        <v>2129</v>
      </c>
      <c r="M1395" s="1471">
        <v>2.462E-2</v>
      </c>
      <c r="N1395" s="1472">
        <v>1.4819758743187323</v>
      </c>
      <c r="O1395" s="1472"/>
    </row>
    <row r="1396" spans="11:15">
      <c r="K1396" s="1469">
        <v>43453</v>
      </c>
      <c r="L1396" s="1470" t="s">
        <v>2129</v>
      </c>
      <c r="M1396" s="1471">
        <v>2.462E-2</v>
      </c>
      <c r="N1396" s="1472">
        <v>1.4823407367789898</v>
      </c>
      <c r="O1396" s="1472"/>
    </row>
    <row r="1397" spans="11:15">
      <c r="K1397" s="1469">
        <v>43454</v>
      </c>
      <c r="L1397" s="1470" t="s">
        <v>2129</v>
      </c>
      <c r="M1397" s="1471">
        <v>2.462E-2</v>
      </c>
      <c r="N1397" s="1472">
        <v>1.482705689068385</v>
      </c>
      <c r="O1397" s="1472"/>
    </row>
    <row r="1398" spans="11:15">
      <c r="K1398" s="1469">
        <v>43455</v>
      </c>
      <c r="L1398" s="1470" t="s">
        <v>2129</v>
      </c>
      <c r="M1398" s="1471">
        <v>2.462E-2</v>
      </c>
      <c r="N1398" s="1472">
        <v>1.4830707312090337</v>
      </c>
      <c r="O1398" s="1472"/>
    </row>
    <row r="1399" spans="11:15">
      <c r="K1399" s="1469">
        <v>43456</v>
      </c>
      <c r="L1399" s="1470"/>
      <c r="M1399" s="1471">
        <v>0</v>
      </c>
      <c r="N1399" s="1472">
        <v>1.4830707312090337</v>
      </c>
      <c r="O1399" s="1472"/>
    </row>
    <row r="1400" spans="11:15">
      <c r="K1400" s="1469">
        <v>43457</v>
      </c>
      <c r="L1400" s="1470"/>
      <c r="M1400" s="1471">
        <v>0</v>
      </c>
      <c r="N1400" s="1472">
        <v>1.4830707312090337</v>
      </c>
      <c r="O1400" s="1472"/>
    </row>
    <row r="1401" spans="11:15">
      <c r="K1401" s="1469">
        <v>43458</v>
      </c>
      <c r="L1401" s="1470" t="s">
        <v>2129</v>
      </c>
      <c r="M1401" s="1471">
        <v>2.462E-2</v>
      </c>
      <c r="N1401" s="1472">
        <v>1.4834358632230575</v>
      </c>
      <c r="O1401" s="1472"/>
    </row>
    <row r="1402" spans="11:15">
      <c r="K1402" s="1469">
        <v>43459</v>
      </c>
      <c r="L1402" s="1470"/>
      <c r="M1402" s="1471">
        <v>0</v>
      </c>
      <c r="N1402" s="1472">
        <v>1.4834358632230575</v>
      </c>
      <c r="O1402" s="1472"/>
    </row>
    <row r="1403" spans="11:15">
      <c r="K1403" s="1469">
        <v>43460</v>
      </c>
      <c r="L1403" s="1470" t="s">
        <v>2129</v>
      </c>
      <c r="M1403" s="1471">
        <v>2.462E-2</v>
      </c>
      <c r="N1403" s="1472">
        <v>1.4838010851325831</v>
      </c>
      <c r="O1403" s="1472"/>
    </row>
    <row r="1404" spans="11:15">
      <c r="K1404" s="1469">
        <v>43461</v>
      </c>
      <c r="L1404" s="1470" t="s">
        <v>2129</v>
      </c>
      <c r="M1404" s="1471">
        <v>2.462E-2</v>
      </c>
      <c r="N1404" s="1472">
        <v>1.484166396959743</v>
      </c>
      <c r="O1404" s="1472"/>
    </row>
    <row r="1405" spans="11:15">
      <c r="K1405" s="1469">
        <v>43462</v>
      </c>
      <c r="L1405" s="1470" t="s">
        <v>2129</v>
      </c>
      <c r="M1405" s="1471">
        <v>2.462E-2</v>
      </c>
      <c r="N1405" s="1472">
        <v>1.4845317987266746</v>
      </c>
      <c r="O1405" s="1472"/>
    </row>
    <row r="1406" spans="11:15">
      <c r="K1406" s="1469">
        <v>43463</v>
      </c>
      <c r="L1406" s="1470"/>
      <c r="M1406" s="1471">
        <v>0</v>
      </c>
      <c r="N1406" s="1472">
        <v>1.4845317987266746</v>
      </c>
      <c r="O1406" s="1472"/>
    </row>
    <row r="1407" spans="11:15">
      <c r="K1407" s="1469">
        <v>43464</v>
      </c>
      <c r="L1407" s="1470"/>
      <c r="M1407" s="1471">
        <v>0</v>
      </c>
      <c r="N1407" s="1472">
        <v>1.4845317987266746</v>
      </c>
      <c r="O1407" s="1472"/>
    </row>
    <row r="1408" spans="11:15">
      <c r="K1408" s="1469">
        <v>43465</v>
      </c>
      <c r="L1408" s="1470" t="s">
        <v>2129</v>
      </c>
      <c r="M1408" s="1471">
        <v>2.462E-2</v>
      </c>
      <c r="N1408" s="1472">
        <v>1.4848972904555213</v>
      </c>
      <c r="O1408" s="1472"/>
    </row>
    <row r="1409" spans="11:15">
      <c r="K1409" s="1469">
        <v>43466</v>
      </c>
      <c r="L1409" s="1470"/>
      <c r="M1409" s="1471">
        <v>0</v>
      </c>
      <c r="N1409" s="1472">
        <v>1.4848972904555213</v>
      </c>
      <c r="O1409" s="1472"/>
    </row>
    <row r="1410" spans="11:15">
      <c r="K1410" s="1469">
        <v>43467</v>
      </c>
      <c r="L1410" s="1470" t="s">
        <v>2129</v>
      </c>
      <c r="M1410" s="1471">
        <v>2.462E-2</v>
      </c>
      <c r="N1410" s="1472">
        <v>1.4852628721684316</v>
      </c>
      <c r="O1410" s="1472"/>
    </row>
    <row r="1411" spans="11:15">
      <c r="K1411" s="1469">
        <v>43468</v>
      </c>
      <c r="L1411" s="1470" t="s">
        <v>2129</v>
      </c>
      <c r="M1411" s="1471">
        <v>2.462E-2</v>
      </c>
      <c r="N1411" s="1472">
        <v>1.4856285438875596</v>
      </c>
      <c r="O1411" s="1472"/>
    </row>
    <row r="1412" spans="11:15">
      <c r="K1412" s="1469">
        <v>43469</v>
      </c>
      <c r="L1412" s="1470" t="s">
        <v>2129</v>
      </c>
      <c r="M1412" s="1471">
        <v>2.462E-2</v>
      </c>
      <c r="N1412" s="1472">
        <v>1.4859943056350648</v>
      </c>
      <c r="O1412" s="1472"/>
    </row>
    <row r="1413" spans="11:15">
      <c r="K1413" s="1469">
        <v>43470</v>
      </c>
      <c r="L1413" s="1470"/>
      <c r="M1413" s="1471">
        <v>0</v>
      </c>
      <c r="N1413" s="1472">
        <v>1.4859943056350648</v>
      </c>
      <c r="O1413" s="1472"/>
    </row>
    <row r="1414" spans="11:15">
      <c r="K1414" s="1469">
        <v>43471</v>
      </c>
      <c r="L1414" s="1470"/>
      <c r="M1414" s="1471">
        <v>0</v>
      </c>
      <c r="N1414" s="1472">
        <v>1.4859943056350648</v>
      </c>
      <c r="O1414" s="1472"/>
    </row>
    <row r="1415" spans="11:15">
      <c r="K1415" s="1469">
        <v>43472</v>
      </c>
      <c r="L1415" s="1470" t="s">
        <v>2129</v>
      </c>
      <c r="M1415" s="1471">
        <v>2.462E-2</v>
      </c>
      <c r="N1415" s="1472">
        <v>1.4863601574331122</v>
      </c>
      <c r="O1415" s="1472"/>
    </row>
    <row r="1416" spans="11:15">
      <c r="K1416" s="1469">
        <v>43473</v>
      </c>
      <c r="L1416" s="1470" t="s">
        <v>2129</v>
      </c>
      <c r="M1416" s="1471">
        <v>2.462E-2</v>
      </c>
      <c r="N1416" s="1472">
        <v>1.4867260993038725</v>
      </c>
      <c r="O1416" s="1472"/>
    </row>
    <row r="1417" spans="11:15">
      <c r="K1417" s="1469">
        <v>43474</v>
      </c>
      <c r="L1417" s="1470" t="s">
        <v>2129</v>
      </c>
      <c r="M1417" s="1471">
        <v>2.462E-2</v>
      </c>
      <c r="N1417" s="1472">
        <v>1.4870921312695211</v>
      </c>
      <c r="O1417" s="1472"/>
    </row>
    <row r="1418" spans="11:15">
      <c r="K1418" s="1469">
        <v>43475</v>
      </c>
      <c r="L1418" s="1470" t="s">
        <v>2129</v>
      </c>
      <c r="M1418" s="1471">
        <v>2.462E-2</v>
      </c>
      <c r="N1418" s="1472">
        <v>1.4874582533522398</v>
      </c>
      <c r="O1418" s="1472"/>
    </row>
    <row r="1419" spans="11:15">
      <c r="K1419" s="1469">
        <v>43476</v>
      </c>
      <c r="L1419" s="1470" t="s">
        <v>2129</v>
      </c>
      <c r="M1419" s="1471">
        <v>2.462E-2</v>
      </c>
      <c r="N1419" s="1472">
        <v>1.4878244655742152</v>
      </c>
      <c r="O1419" s="1472"/>
    </row>
    <row r="1420" spans="11:15">
      <c r="K1420" s="1469">
        <v>43477</v>
      </c>
      <c r="L1420" s="1470"/>
      <c r="M1420" s="1471">
        <v>0</v>
      </c>
      <c r="N1420" s="1472">
        <v>1.4878244655742152</v>
      </c>
      <c r="O1420" s="1472"/>
    </row>
    <row r="1421" spans="11:15">
      <c r="K1421" s="1469">
        <v>43478</v>
      </c>
      <c r="L1421" s="1470"/>
      <c r="M1421" s="1471">
        <v>0</v>
      </c>
      <c r="N1421" s="1472">
        <v>1.4878244655742152</v>
      </c>
      <c r="O1421" s="1472"/>
    </row>
    <row r="1422" spans="11:15">
      <c r="K1422" s="1469">
        <v>43479</v>
      </c>
      <c r="L1422" s="1470" t="s">
        <v>2129</v>
      </c>
      <c r="M1422" s="1471">
        <v>2.462E-2</v>
      </c>
      <c r="N1422" s="1472">
        <v>1.4881907679576396</v>
      </c>
      <c r="O1422" s="1472"/>
    </row>
    <row r="1423" spans="11:15">
      <c r="K1423" s="1469">
        <v>43480</v>
      </c>
      <c r="L1423" s="1470" t="s">
        <v>2129</v>
      </c>
      <c r="M1423" s="1471">
        <v>2.462E-2</v>
      </c>
      <c r="N1423" s="1472">
        <v>1.488557160524711</v>
      </c>
      <c r="O1423" s="1472"/>
    </row>
    <row r="1424" spans="11:15">
      <c r="K1424" s="1469">
        <v>43481</v>
      </c>
      <c r="L1424" s="1470" t="s">
        <v>2129</v>
      </c>
      <c r="M1424" s="1471">
        <v>2.462E-2</v>
      </c>
      <c r="N1424" s="1472">
        <v>1.4889236432976323</v>
      </c>
      <c r="O1424" s="1472"/>
    </row>
    <row r="1425" spans="11:15">
      <c r="K1425" s="1469">
        <v>43482</v>
      </c>
      <c r="L1425" s="1470" t="s">
        <v>2129</v>
      </c>
      <c r="M1425" s="1471">
        <v>2.462E-2</v>
      </c>
      <c r="N1425" s="1472">
        <v>1.4892902162986124</v>
      </c>
      <c r="O1425" s="1472"/>
    </row>
    <row r="1426" spans="11:15">
      <c r="K1426" s="1469">
        <v>43483</v>
      </c>
      <c r="L1426" s="1470" t="s">
        <v>2129</v>
      </c>
      <c r="M1426" s="1471">
        <v>2.462E-2</v>
      </c>
      <c r="N1426" s="1472">
        <v>1.4896568795498653</v>
      </c>
      <c r="O1426" s="1472"/>
    </row>
    <row r="1427" spans="11:15">
      <c r="K1427" s="1469">
        <v>43484</v>
      </c>
      <c r="L1427" s="1470"/>
      <c r="M1427" s="1471">
        <v>0</v>
      </c>
      <c r="N1427" s="1472">
        <v>1.4896568795498653</v>
      </c>
      <c r="O1427" s="1472"/>
    </row>
    <row r="1428" spans="11:15">
      <c r="K1428" s="1469">
        <v>43485</v>
      </c>
      <c r="L1428" s="1470"/>
      <c r="M1428" s="1471">
        <v>0</v>
      </c>
      <c r="N1428" s="1472">
        <v>1.4896568795498653</v>
      </c>
      <c r="O1428" s="1472"/>
    </row>
    <row r="1429" spans="11:15">
      <c r="K1429" s="1469">
        <v>43486</v>
      </c>
      <c r="L1429" s="1470" t="s">
        <v>2129</v>
      </c>
      <c r="M1429" s="1471">
        <v>2.462E-2</v>
      </c>
      <c r="N1429" s="1472">
        <v>1.4900236330736105</v>
      </c>
      <c r="O1429" s="1472"/>
    </row>
    <row r="1430" spans="11:15">
      <c r="K1430" s="1469">
        <v>43487</v>
      </c>
      <c r="L1430" s="1470" t="s">
        <v>2129</v>
      </c>
      <c r="M1430" s="1471">
        <v>2.462E-2</v>
      </c>
      <c r="N1430" s="1472">
        <v>1.4903904768920733</v>
      </c>
      <c r="O1430" s="1472"/>
    </row>
    <row r="1431" spans="11:15">
      <c r="K1431" s="1469">
        <v>43488</v>
      </c>
      <c r="L1431" s="1470" t="s">
        <v>2129</v>
      </c>
      <c r="M1431" s="1471">
        <v>2.462E-2</v>
      </c>
      <c r="N1431" s="1472">
        <v>1.4907574110274842</v>
      </c>
      <c r="O1431" s="1472"/>
    </row>
    <row r="1432" spans="11:15">
      <c r="K1432" s="1469">
        <v>43489</v>
      </c>
      <c r="L1432" s="1470" t="s">
        <v>2129</v>
      </c>
      <c r="M1432" s="1471">
        <v>2.462E-2</v>
      </c>
      <c r="N1432" s="1472">
        <v>1.4911244355020792</v>
      </c>
      <c r="O1432" s="1472"/>
    </row>
    <row r="1433" spans="11:15">
      <c r="K1433" s="1469">
        <v>43490</v>
      </c>
      <c r="L1433" s="1470" t="s">
        <v>2129</v>
      </c>
      <c r="M1433" s="1471">
        <v>2.462E-2</v>
      </c>
      <c r="N1433" s="1472">
        <v>1.4914915503380999</v>
      </c>
      <c r="O1433" s="1472"/>
    </row>
    <row r="1434" spans="11:15">
      <c r="K1434" s="1469">
        <v>43491</v>
      </c>
      <c r="L1434" s="1470"/>
      <c r="M1434" s="1471">
        <v>0</v>
      </c>
      <c r="N1434" s="1472">
        <v>1.4914915503380999</v>
      </c>
      <c r="O1434" s="1472"/>
    </row>
    <row r="1435" spans="11:15">
      <c r="K1435" s="1469">
        <v>43492</v>
      </c>
      <c r="L1435" s="1470"/>
      <c r="M1435" s="1471">
        <v>0</v>
      </c>
      <c r="N1435" s="1472">
        <v>1.4914915503380999</v>
      </c>
      <c r="O1435" s="1472"/>
    </row>
    <row r="1436" spans="11:15">
      <c r="K1436" s="1469">
        <v>43493</v>
      </c>
      <c r="L1436" s="1470" t="s">
        <v>2129</v>
      </c>
      <c r="M1436" s="1471">
        <v>2.462E-2</v>
      </c>
      <c r="N1436" s="1472">
        <v>1.4918587555577933</v>
      </c>
      <c r="O1436" s="1472"/>
    </row>
    <row r="1437" spans="11:15">
      <c r="K1437" s="1469">
        <v>43494</v>
      </c>
      <c r="L1437" s="1470" t="s">
        <v>2129</v>
      </c>
      <c r="M1437" s="1471">
        <v>2.462E-2</v>
      </c>
      <c r="N1437" s="1472">
        <v>1.4922260511834118</v>
      </c>
      <c r="O1437" s="1472"/>
    </row>
    <row r="1438" spans="11:15">
      <c r="K1438" s="1469">
        <v>43495</v>
      </c>
      <c r="L1438" s="1470" t="s">
        <v>2129</v>
      </c>
      <c r="M1438" s="1471">
        <v>2.462E-2</v>
      </c>
      <c r="N1438" s="1472">
        <v>1.4925934372372132</v>
      </c>
      <c r="O1438" s="1472"/>
    </row>
    <row r="1439" spans="11:15">
      <c r="K1439" s="1469">
        <v>43496</v>
      </c>
      <c r="L1439" s="1470" t="s">
        <v>2129</v>
      </c>
      <c r="M1439" s="1471">
        <v>2.462E-2</v>
      </c>
      <c r="N1439" s="1472">
        <v>1.492960913741461</v>
      </c>
      <c r="O1439" s="1472"/>
    </row>
    <row r="1440" spans="11:15">
      <c r="K1440" s="1469">
        <v>43497</v>
      </c>
      <c r="L1440" s="1470" t="s">
        <v>2129</v>
      </c>
      <c r="M1440" s="1471">
        <v>2.462E-2</v>
      </c>
      <c r="N1440" s="1472">
        <v>1.4933284807184244</v>
      </c>
      <c r="O1440" s="1472"/>
    </row>
    <row r="1441" spans="11:15">
      <c r="K1441" s="1469">
        <v>43498</v>
      </c>
      <c r="L1441" s="1470"/>
      <c r="M1441" s="1471">
        <v>0</v>
      </c>
      <c r="N1441" s="1472">
        <v>1.4933284807184244</v>
      </c>
      <c r="O1441" s="1472"/>
    </row>
    <row r="1442" spans="11:15">
      <c r="K1442" s="1469">
        <v>43499</v>
      </c>
      <c r="L1442" s="1470"/>
      <c r="M1442" s="1471">
        <v>0</v>
      </c>
      <c r="N1442" s="1472">
        <v>1.4933284807184244</v>
      </c>
      <c r="O1442" s="1472"/>
    </row>
    <row r="1443" spans="11:15">
      <c r="K1443" s="1469">
        <v>43500</v>
      </c>
      <c r="L1443" s="1470" t="s">
        <v>2129</v>
      </c>
      <c r="M1443" s="1471">
        <v>2.462E-2</v>
      </c>
      <c r="N1443" s="1472">
        <v>1.4936961381903775</v>
      </c>
      <c r="O1443" s="1472"/>
    </row>
    <row r="1444" spans="11:15">
      <c r="K1444" s="1469">
        <v>43501</v>
      </c>
      <c r="L1444" s="1470" t="s">
        <v>2129</v>
      </c>
      <c r="M1444" s="1471">
        <v>2.462E-2</v>
      </c>
      <c r="N1444" s="1472">
        <v>1.4940638861796001</v>
      </c>
      <c r="O1444" s="1472"/>
    </row>
    <row r="1445" spans="11:15">
      <c r="K1445" s="1469">
        <v>43502</v>
      </c>
      <c r="L1445" s="1470" t="s">
        <v>2129</v>
      </c>
      <c r="M1445" s="1471">
        <v>2.462E-2</v>
      </c>
      <c r="N1445" s="1472">
        <v>1.4944317247083776</v>
      </c>
      <c r="O1445" s="1472"/>
    </row>
    <row r="1446" spans="11:15">
      <c r="K1446" s="1469">
        <v>43503</v>
      </c>
      <c r="L1446" s="1470" t="s">
        <v>2129</v>
      </c>
      <c r="M1446" s="1471">
        <v>2.462E-2</v>
      </c>
      <c r="N1446" s="1472">
        <v>1.4947996537990009</v>
      </c>
      <c r="O1446" s="1472"/>
    </row>
    <row r="1447" spans="11:15">
      <c r="K1447" s="1469">
        <v>43504</v>
      </c>
      <c r="L1447" s="1470" t="s">
        <v>2129</v>
      </c>
      <c r="M1447" s="1471">
        <v>2.462E-2</v>
      </c>
      <c r="N1447" s="1472">
        <v>1.4951676734737664</v>
      </c>
      <c r="O1447" s="1472"/>
    </row>
    <row r="1448" spans="11:15">
      <c r="K1448" s="1469">
        <v>43505</v>
      </c>
      <c r="L1448" s="1470"/>
      <c r="M1448" s="1471">
        <v>0</v>
      </c>
      <c r="N1448" s="1472">
        <v>1.4951676734737664</v>
      </c>
      <c r="O1448" s="1472"/>
    </row>
    <row r="1449" spans="11:15">
      <c r="K1449" s="1469">
        <v>43506</v>
      </c>
      <c r="L1449" s="1470"/>
      <c r="M1449" s="1471">
        <v>0</v>
      </c>
      <c r="N1449" s="1472">
        <v>1.4951676734737664</v>
      </c>
      <c r="O1449" s="1472"/>
    </row>
    <row r="1450" spans="11:15">
      <c r="K1450" s="1469">
        <v>43507</v>
      </c>
      <c r="L1450" s="1470" t="s">
        <v>2129</v>
      </c>
      <c r="M1450" s="1471">
        <v>2.462E-2</v>
      </c>
      <c r="N1450" s="1472">
        <v>1.4955357837549759</v>
      </c>
      <c r="O1450" s="1472"/>
    </row>
    <row r="1451" spans="11:15">
      <c r="K1451" s="1469">
        <v>43508</v>
      </c>
      <c r="L1451" s="1470" t="s">
        <v>2129</v>
      </c>
      <c r="M1451" s="1471">
        <v>2.462E-2</v>
      </c>
      <c r="N1451" s="1472">
        <v>1.4959039846649365</v>
      </c>
      <c r="O1451" s="1472"/>
    </row>
    <row r="1452" spans="11:15">
      <c r="K1452" s="1469">
        <v>43509</v>
      </c>
      <c r="L1452" s="1470" t="s">
        <v>2129</v>
      </c>
      <c r="M1452" s="1471">
        <v>2.462E-2</v>
      </c>
      <c r="N1452" s="1472">
        <v>1.496272276225961</v>
      </c>
      <c r="O1452" s="1472"/>
    </row>
    <row r="1453" spans="11:15">
      <c r="K1453" s="1469">
        <v>43510</v>
      </c>
      <c r="L1453" s="1470" t="s">
        <v>2129</v>
      </c>
      <c r="M1453" s="1471">
        <v>2.462E-2</v>
      </c>
      <c r="N1453" s="1472">
        <v>1.496640658460368</v>
      </c>
      <c r="O1453" s="1472"/>
    </row>
    <row r="1454" spans="11:15">
      <c r="K1454" s="1469">
        <v>43511</v>
      </c>
      <c r="L1454" s="1470" t="s">
        <v>2129</v>
      </c>
      <c r="M1454" s="1471">
        <v>2.462E-2</v>
      </c>
      <c r="N1454" s="1472">
        <v>1.497009131390481</v>
      </c>
      <c r="O1454" s="1472"/>
    </row>
    <row r="1455" spans="11:15">
      <c r="K1455" s="1469">
        <v>43512</v>
      </c>
      <c r="L1455" s="1470"/>
      <c r="M1455" s="1471">
        <v>0</v>
      </c>
      <c r="N1455" s="1472">
        <v>1.497009131390481</v>
      </c>
      <c r="O1455" s="1472"/>
    </row>
    <row r="1456" spans="11:15">
      <c r="K1456" s="1469">
        <v>43513</v>
      </c>
      <c r="L1456" s="1470"/>
      <c r="M1456" s="1471">
        <v>0</v>
      </c>
      <c r="N1456" s="1472">
        <v>1.497009131390481</v>
      </c>
      <c r="O1456" s="1472"/>
    </row>
    <row r="1457" spans="11:15">
      <c r="K1457" s="1469">
        <v>43514</v>
      </c>
      <c r="L1457" s="1470" t="s">
        <v>2129</v>
      </c>
      <c r="M1457" s="1471">
        <v>2.462E-2</v>
      </c>
      <c r="N1457" s="1472">
        <v>1.4973776950386295</v>
      </c>
      <c r="O1457" s="1472"/>
    </row>
    <row r="1458" spans="11:15">
      <c r="K1458" s="1469">
        <v>43515</v>
      </c>
      <c r="L1458" s="1470" t="s">
        <v>2129</v>
      </c>
      <c r="M1458" s="1471">
        <v>2.462E-2</v>
      </c>
      <c r="N1458" s="1472">
        <v>1.4977463494271481</v>
      </c>
      <c r="O1458" s="1472"/>
    </row>
    <row r="1459" spans="11:15">
      <c r="K1459" s="1469">
        <v>43516</v>
      </c>
      <c r="L1459" s="1470" t="s">
        <v>2129</v>
      </c>
      <c r="M1459" s="1471">
        <v>2.462E-2</v>
      </c>
      <c r="N1459" s="1472">
        <v>1.4981150945783772</v>
      </c>
      <c r="O1459" s="1472"/>
    </row>
    <row r="1460" spans="11:15">
      <c r="K1460" s="1469">
        <v>43517</v>
      </c>
      <c r="L1460" s="1470" t="s">
        <v>2129</v>
      </c>
      <c r="M1460" s="1471">
        <v>2.462E-2</v>
      </c>
      <c r="N1460" s="1472">
        <v>1.4984839305146624</v>
      </c>
      <c r="O1460" s="1472"/>
    </row>
    <row r="1461" spans="11:15">
      <c r="K1461" s="1469">
        <v>43518</v>
      </c>
      <c r="L1461" s="1470" t="s">
        <v>2129</v>
      </c>
      <c r="M1461" s="1471">
        <v>2.462E-2</v>
      </c>
      <c r="N1461" s="1472">
        <v>1.4988528572583553</v>
      </c>
      <c r="O1461" s="1472"/>
    </row>
    <row r="1462" spans="11:15">
      <c r="K1462" s="1469">
        <v>43519</v>
      </c>
      <c r="L1462" s="1470"/>
      <c r="M1462" s="1471">
        <v>0</v>
      </c>
      <c r="N1462" s="1472">
        <v>1.4988528572583553</v>
      </c>
      <c r="O1462" s="1472"/>
    </row>
    <row r="1463" spans="11:15">
      <c r="K1463" s="1469">
        <v>43520</v>
      </c>
      <c r="L1463" s="1470"/>
      <c r="M1463" s="1471">
        <v>0</v>
      </c>
      <c r="N1463" s="1472">
        <v>1.4988528572583553</v>
      </c>
      <c r="O1463" s="1472"/>
    </row>
    <row r="1464" spans="11:15">
      <c r="K1464" s="1469">
        <v>43521</v>
      </c>
      <c r="L1464" s="1470" t="s">
        <v>2129</v>
      </c>
      <c r="M1464" s="1471">
        <v>2.462E-2</v>
      </c>
      <c r="N1464" s="1472">
        <v>1.4992218748318125</v>
      </c>
      <c r="O1464" s="1472"/>
    </row>
    <row r="1465" spans="11:15">
      <c r="K1465" s="1469">
        <v>43522</v>
      </c>
      <c r="L1465" s="1470" t="s">
        <v>2129</v>
      </c>
      <c r="M1465" s="1471">
        <v>2.462E-2</v>
      </c>
      <c r="N1465" s="1472">
        <v>1.4995909832573961</v>
      </c>
      <c r="O1465" s="1472"/>
    </row>
    <row r="1466" spans="11:15">
      <c r="K1466" s="1469">
        <v>43523</v>
      </c>
      <c r="L1466" s="1470" t="s">
        <v>2129</v>
      </c>
      <c r="M1466" s="1471">
        <v>2.462E-2</v>
      </c>
      <c r="N1466" s="1472">
        <v>1.4999601825574742</v>
      </c>
      <c r="O1466" s="1472"/>
    </row>
    <row r="1467" spans="11:15">
      <c r="K1467" s="1469">
        <v>43524</v>
      </c>
      <c r="L1467" s="1470" t="s">
        <v>2129</v>
      </c>
      <c r="M1467" s="1471">
        <v>2.462E-2</v>
      </c>
      <c r="N1467" s="1472">
        <v>1.5003294727544201</v>
      </c>
      <c r="O1467" s="1472"/>
    </row>
    <row r="1468" spans="11:15">
      <c r="K1468" s="1469">
        <v>43525</v>
      </c>
      <c r="L1468" s="1470" t="s">
        <v>2129</v>
      </c>
      <c r="M1468" s="1471">
        <v>2.462E-2</v>
      </c>
      <c r="N1468" s="1472">
        <v>1.5006988538706123</v>
      </c>
      <c r="O1468" s="1472"/>
    </row>
    <row r="1469" spans="11:15">
      <c r="K1469" s="1469">
        <v>43526</v>
      </c>
      <c r="L1469" s="1470"/>
      <c r="M1469" s="1471">
        <v>0</v>
      </c>
      <c r="N1469" s="1472">
        <v>1.5006988538706123</v>
      </c>
      <c r="O1469" s="1472"/>
    </row>
    <row r="1470" spans="11:15">
      <c r="K1470" s="1469">
        <v>43527</v>
      </c>
      <c r="L1470" s="1470"/>
      <c r="M1470" s="1471">
        <v>0</v>
      </c>
      <c r="N1470" s="1472">
        <v>1.5006988538706123</v>
      </c>
      <c r="O1470" s="1472"/>
    </row>
    <row r="1471" spans="11:15">
      <c r="K1471" s="1469">
        <v>43528</v>
      </c>
      <c r="L1471" s="1470"/>
      <c r="M1471" s="1471">
        <v>0</v>
      </c>
      <c r="N1471" s="1472">
        <v>1.5006988538706123</v>
      </c>
      <c r="O1471" s="1472"/>
    </row>
    <row r="1472" spans="11:15">
      <c r="K1472" s="1469">
        <v>43529</v>
      </c>
      <c r="L1472" s="1470"/>
      <c r="M1472" s="1471">
        <v>0</v>
      </c>
      <c r="N1472" s="1472">
        <v>1.5006988538706123</v>
      </c>
      <c r="O1472" s="1472"/>
    </row>
    <row r="1473" spans="11:15">
      <c r="K1473" s="1469">
        <v>43530</v>
      </c>
      <c r="L1473" s="1470" t="s">
        <v>2129</v>
      </c>
      <c r="M1473" s="1471">
        <v>2.462E-2</v>
      </c>
      <c r="N1473" s="1472">
        <v>1.5010683259284354</v>
      </c>
      <c r="O1473" s="1472"/>
    </row>
    <row r="1474" spans="11:15">
      <c r="K1474" s="1469">
        <v>43531</v>
      </c>
      <c r="L1474" s="1470" t="s">
        <v>2129</v>
      </c>
      <c r="M1474" s="1471">
        <v>2.462E-2</v>
      </c>
      <c r="N1474" s="1472">
        <v>1.5014378889502791</v>
      </c>
      <c r="O1474" s="1472"/>
    </row>
    <row r="1475" spans="11:15">
      <c r="K1475" s="1469">
        <v>43532</v>
      </c>
      <c r="L1475" s="1470" t="s">
        <v>2129</v>
      </c>
      <c r="M1475" s="1471">
        <v>2.462E-2</v>
      </c>
      <c r="N1475" s="1472">
        <v>1.5018075429585387</v>
      </c>
      <c r="O1475" s="1472"/>
    </row>
    <row r="1476" spans="11:15">
      <c r="K1476" s="1469">
        <v>43533</v>
      </c>
      <c r="L1476" s="1470"/>
      <c r="M1476" s="1471">
        <v>0</v>
      </c>
      <c r="N1476" s="1472">
        <v>1.5018075429585387</v>
      </c>
      <c r="O1476" s="1472"/>
    </row>
    <row r="1477" spans="11:15">
      <c r="K1477" s="1469">
        <v>43534</v>
      </c>
      <c r="L1477" s="1470"/>
      <c r="M1477" s="1471">
        <v>0</v>
      </c>
      <c r="N1477" s="1472">
        <v>1.5018075429585387</v>
      </c>
      <c r="O1477" s="1472"/>
    </row>
    <row r="1478" spans="11:15">
      <c r="K1478" s="1469">
        <v>43535</v>
      </c>
      <c r="L1478" s="1470" t="s">
        <v>2129</v>
      </c>
      <c r="M1478" s="1471">
        <v>2.462E-2</v>
      </c>
      <c r="N1478" s="1472">
        <v>1.5021772879756152</v>
      </c>
      <c r="O1478" s="1472"/>
    </row>
    <row r="1479" spans="11:15">
      <c r="K1479" s="1469">
        <v>43536</v>
      </c>
      <c r="L1479" s="1470" t="s">
        <v>2129</v>
      </c>
      <c r="M1479" s="1471">
        <v>2.462E-2</v>
      </c>
      <c r="N1479" s="1472">
        <v>1.502547124023915</v>
      </c>
      <c r="O1479" s="1472"/>
    </row>
    <row r="1480" spans="11:15">
      <c r="K1480" s="1469">
        <v>43537</v>
      </c>
      <c r="L1480" s="1470" t="s">
        <v>2129</v>
      </c>
      <c r="M1480" s="1471">
        <v>2.462E-2</v>
      </c>
      <c r="N1480" s="1472">
        <v>1.5029170511258498</v>
      </c>
      <c r="O1480" s="1472"/>
    </row>
    <row r="1481" spans="11:15">
      <c r="K1481" s="1469">
        <v>43538</v>
      </c>
      <c r="L1481" s="1470" t="s">
        <v>2129</v>
      </c>
      <c r="M1481" s="1471">
        <v>2.462E-2</v>
      </c>
      <c r="N1481" s="1472">
        <v>1.5032870693038372</v>
      </c>
      <c r="O1481" s="1472"/>
    </row>
    <row r="1482" spans="11:15">
      <c r="K1482" s="1469">
        <v>43539</v>
      </c>
      <c r="L1482" s="1470" t="s">
        <v>2129</v>
      </c>
      <c r="M1482" s="1471">
        <v>2.462E-2</v>
      </c>
      <c r="N1482" s="1472">
        <v>1.5036571785802999</v>
      </c>
      <c r="O1482" s="1472"/>
    </row>
    <row r="1483" spans="11:15">
      <c r="K1483" s="1469">
        <v>43540</v>
      </c>
      <c r="L1483" s="1470"/>
      <c r="M1483" s="1471">
        <v>0</v>
      </c>
      <c r="N1483" s="1472">
        <v>1.5036571785802999</v>
      </c>
      <c r="O1483" s="1472"/>
    </row>
    <row r="1484" spans="11:15">
      <c r="K1484" s="1469">
        <v>43541</v>
      </c>
      <c r="L1484" s="1470"/>
      <c r="M1484" s="1471">
        <v>0</v>
      </c>
      <c r="N1484" s="1472">
        <v>1.5036571785802999</v>
      </c>
      <c r="O1484" s="1472"/>
    </row>
    <row r="1485" spans="11:15">
      <c r="K1485" s="1469">
        <v>43542</v>
      </c>
      <c r="L1485" s="1470" t="s">
        <v>2129</v>
      </c>
      <c r="M1485" s="1471">
        <v>2.462E-2</v>
      </c>
      <c r="N1485" s="1472">
        <v>1.5040273789776666</v>
      </c>
      <c r="O1485" s="1472"/>
    </row>
    <row r="1486" spans="11:15">
      <c r="K1486" s="1469">
        <v>43543</v>
      </c>
      <c r="L1486" s="1470" t="s">
        <v>2129</v>
      </c>
      <c r="M1486" s="1471">
        <v>2.462E-2</v>
      </c>
      <c r="N1486" s="1472">
        <v>1.504397670518371</v>
      </c>
      <c r="O1486" s="1472"/>
    </row>
    <row r="1487" spans="11:15">
      <c r="K1487" s="1469">
        <v>43544</v>
      </c>
      <c r="L1487" s="1470" t="s">
        <v>2129</v>
      </c>
      <c r="M1487" s="1471">
        <v>2.462E-2</v>
      </c>
      <c r="N1487" s="1472">
        <v>1.5047680532248529</v>
      </c>
      <c r="O1487" s="1472"/>
    </row>
    <row r="1488" spans="11:15">
      <c r="K1488" s="1469">
        <v>43545</v>
      </c>
      <c r="L1488" s="1470" t="s">
        <v>2129</v>
      </c>
      <c r="M1488" s="1471">
        <v>2.462E-2</v>
      </c>
      <c r="N1488" s="1472">
        <v>1.505138527119557</v>
      </c>
      <c r="O1488" s="1472"/>
    </row>
    <row r="1489" spans="11:15">
      <c r="K1489" s="1469">
        <v>43546</v>
      </c>
      <c r="L1489" s="1470" t="s">
        <v>2129</v>
      </c>
      <c r="M1489" s="1471">
        <v>2.462E-2</v>
      </c>
      <c r="N1489" s="1472">
        <v>1.5055090922249339</v>
      </c>
      <c r="O1489" s="1472"/>
    </row>
    <row r="1490" spans="11:15">
      <c r="K1490" s="1469">
        <v>43547</v>
      </c>
      <c r="L1490" s="1470"/>
      <c r="M1490" s="1471">
        <v>0</v>
      </c>
      <c r="N1490" s="1472">
        <v>1.5055090922249339</v>
      </c>
      <c r="O1490" s="1472"/>
    </row>
    <row r="1491" spans="11:15">
      <c r="K1491" s="1469">
        <v>43548</v>
      </c>
      <c r="L1491" s="1470"/>
      <c r="M1491" s="1471">
        <v>0</v>
      </c>
      <c r="N1491" s="1472">
        <v>1.5055090922249339</v>
      </c>
      <c r="O1491" s="1472"/>
    </row>
    <row r="1492" spans="11:15">
      <c r="K1492" s="1469">
        <v>43549</v>
      </c>
      <c r="L1492" s="1470" t="s">
        <v>2129</v>
      </c>
      <c r="M1492" s="1471">
        <v>2.462E-2</v>
      </c>
      <c r="N1492" s="1472">
        <v>1.5058797485634399</v>
      </c>
      <c r="O1492" s="1472"/>
    </row>
    <row r="1493" spans="11:15">
      <c r="K1493" s="1469">
        <v>43550</v>
      </c>
      <c r="L1493" s="1470" t="s">
        <v>2129</v>
      </c>
      <c r="M1493" s="1471">
        <v>2.462E-2</v>
      </c>
      <c r="N1493" s="1472">
        <v>1.5062504961575363</v>
      </c>
      <c r="O1493" s="1472"/>
    </row>
    <row r="1494" spans="11:15">
      <c r="K1494" s="1469">
        <v>43551</v>
      </c>
      <c r="L1494" s="1470" t="s">
        <v>2129</v>
      </c>
      <c r="M1494" s="1471">
        <v>2.462E-2</v>
      </c>
      <c r="N1494" s="1472">
        <v>1.5066213350296904</v>
      </c>
      <c r="O1494" s="1472"/>
    </row>
    <row r="1495" spans="11:15">
      <c r="K1495" s="1469">
        <v>43552</v>
      </c>
      <c r="L1495" s="1470" t="s">
        <v>2129</v>
      </c>
      <c r="M1495" s="1471">
        <v>2.462E-2</v>
      </c>
      <c r="N1495" s="1472">
        <v>1.5069922652023748</v>
      </c>
      <c r="O1495" s="1472"/>
    </row>
    <row r="1496" spans="11:15">
      <c r="K1496" s="1469">
        <v>43553</v>
      </c>
      <c r="L1496" s="1470" t="s">
        <v>2129</v>
      </c>
      <c r="M1496" s="1471">
        <v>2.462E-2</v>
      </c>
      <c r="N1496" s="1472">
        <v>1.5073632866980677</v>
      </c>
      <c r="O1496" s="1472"/>
    </row>
    <row r="1497" spans="11:15">
      <c r="K1497" s="1469">
        <v>43554</v>
      </c>
      <c r="L1497" s="1470"/>
      <c r="M1497" s="1471">
        <v>0</v>
      </c>
      <c r="N1497" s="1472">
        <v>1.5073632866980677</v>
      </c>
      <c r="O1497" s="1472"/>
    </row>
    <row r="1498" spans="11:15">
      <c r="K1498" s="1469">
        <v>43555</v>
      </c>
      <c r="L1498" s="1470"/>
      <c r="M1498" s="1471">
        <v>0</v>
      </c>
      <c r="N1498" s="1472">
        <v>1.5073632866980677</v>
      </c>
      <c r="O1498" s="1472"/>
    </row>
    <row r="1499" spans="11:15">
      <c r="K1499" s="1469">
        <v>43556</v>
      </c>
      <c r="L1499" s="1470" t="s">
        <v>2129</v>
      </c>
      <c r="M1499" s="1471">
        <v>2.462E-2</v>
      </c>
      <c r="N1499" s="1472">
        <v>1.5077343995392529</v>
      </c>
      <c r="O1499" s="1472"/>
    </row>
    <row r="1500" spans="11:15">
      <c r="K1500" s="1469">
        <v>43557</v>
      </c>
      <c r="L1500" s="1470" t="s">
        <v>2129</v>
      </c>
      <c r="M1500" s="1471">
        <v>2.462E-2</v>
      </c>
      <c r="N1500" s="1472">
        <v>1.5081056037484195</v>
      </c>
      <c r="O1500" s="1472"/>
    </row>
    <row r="1501" spans="11:15">
      <c r="K1501" s="1469">
        <v>43558</v>
      </c>
      <c r="L1501" s="1470" t="s">
        <v>2129</v>
      </c>
      <c r="M1501" s="1471">
        <v>2.462E-2</v>
      </c>
      <c r="N1501" s="1472">
        <v>1.5084768993480624</v>
      </c>
      <c r="O1501" s="1472"/>
    </row>
    <row r="1502" spans="11:15">
      <c r="K1502" s="1469">
        <v>43559</v>
      </c>
      <c r="L1502" s="1470" t="s">
        <v>2129</v>
      </c>
      <c r="M1502" s="1471">
        <v>2.462E-2</v>
      </c>
      <c r="N1502" s="1472">
        <v>1.508848286360682</v>
      </c>
      <c r="O1502" s="1472"/>
    </row>
    <row r="1503" spans="11:15">
      <c r="K1503" s="1469">
        <v>43560</v>
      </c>
      <c r="L1503" s="1470" t="s">
        <v>2129</v>
      </c>
      <c r="M1503" s="1471">
        <v>2.462E-2</v>
      </c>
      <c r="N1503" s="1472">
        <v>1.5092197648087842</v>
      </c>
      <c r="O1503" s="1472"/>
    </row>
    <row r="1504" spans="11:15">
      <c r="K1504" s="1469">
        <v>43561</v>
      </c>
      <c r="L1504" s="1470"/>
      <c r="M1504" s="1471">
        <v>0</v>
      </c>
      <c r="N1504" s="1472">
        <v>1.5092197648087842</v>
      </c>
      <c r="O1504" s="1472"/>
    </row>
    <row r="1505" spans="11:15">
      <c r="K1505" s="1469">
        <v>43562</v>
      </c>
      <c r="L1505" s="1470"/>
      <c r="M1505" s="1471">
        <v>0</v>
      </c>
      <c r="N1505" s="1472">
        <v>1.5092197648087842</v>
      </c>
      <c r="O1505" s="1472"/>
    </row>
    <row r="1506" spans="11:15">
      <c r="K1506" s="1469">
        <v>43563</v>
      </c>
      <c r="L1506" s="1470" t="s">
        <v>2129</v>
      </c>
      <c r="M1506" s="1471">
        <v>2.462E-2</v>
      </c>
      <c r="N1506" s="1472">
        <v>1.5095913347148802</v>
      </c>
      <c r="O1506" s="1472"/>
    </row>
    <row r="1507" spans="11:15">
      <c r="K1507" s="1469">
        <v>43564</v>
      </c>
      <c r="L1507" s="1470" t="s">
        <v>2129</v>
      </c>
      <c r="M1507" s="1471">
        <v>2.462E-2</v>
      </c>
      <c r="N1507" s="1472">
        <v>1.5099629961014871</v>
      </c>
      <c r="O1507" s="1472"/>
    </row>
    <row r="1508" spans="11:15">
      <c r="K1508" s="1469">
        <v>43565</v>
      </c>
      <c r="L1508" s="1470" t="s">
        <v>2129</v>
      </c>
      <c r="M1508" s="1471">
        <v>2.462E-2</v>
      </c>
      <c r="N1508" s="1472">
        <v>1.5103347489911274</v>
      </c>
      <c r="O1508" s="1472"/>
    </row>
    <row r="1509" spans="11:15">
      <c r="K1509" s="1469">
        <v>43566</v>
      </c>
      <c r="L1509" s="1470" t="s">
        <v>2129</v>
      </c>
      <c r="M1509" s="1471">
        <v>2.462E-2</v>
      </c>
      <c r="N1509" s="1472">
        <v>1.5107065934063291</v>
      </c>
      <c r="O1509" s="1472"/>
    </row>
    <row r="1510" spans="11:15">
      <c r="K1510" s="1469">
        <v>43567</v>
      </c>
      <c r="L1510" s="1470" t="s">
        <v>2129</v>
      </c>
      <c r="M1510" s="1471">
        <v>2.462E-2</v>
      </c>
      <c r="N1510" s="1472">
        <v>1.5110785293696258</v>
      </c>
      <c r="O1510" s="1472"/>
    </row>
    <row r="1511" spans="11:15">
      <c r="K1511" s="1469">
        <v>43568</v>
      </c>
      <c r="L1511" s="1470"/>
      <c r="M1511" s="1471">
        <v>0</v>
      </c>
      <c r="N1511" s="1472">
        <v>1.5110785293696258</v>
      </c>
      <c r="O1511" s="1472"/>
    </row>
    <row r="1512" spans="11:15">
      <c r="K1512" s="1469">
        <v>43569</v>
      </c>
      <c r="L1512" s="1470"/>
      <c r="M1512" s="1471">
        <v>0</v>
      </c>
      <c r="N1512" s="1472">
        <v>1.5110785293696258</v>
      </c>
      <c r="O1512" s="1472"/>
    </row>
    <row r="1513" spans="11:15">
      <c r="K1513" s="1469">
        <v>43570</v>
      </c>
      <c r="L1513" s="1470" t="s">
        <v>2129</v>
      </c>
      <c r="M1513" s="1471">
        <v>2.462E-2</v>
      </c>
      <c r="N1513" s="1472">
        <v>1.5114505569035568</v>
      </c>
      <c r="O1513" s="1472"/>
    </row>
    <row r="1514" spans="11:15">
      <c r="K1514" s="1469">
        <v>43571</v>
      </c>
      <c r="L1514" s="1470" t="s">
        <v>2129</v>
      </c>
      <c r="M1514" s="1471">
        <v>2.462E-2</v>
      </c>
      <c r="N1514" s="1472">
        <v>1.5118226760306666</v>
      </c>
      <c r="O1514" s="1472"/>
    </row>
    <row r="1515" spans="11:15">
      <c r="K1515" s="1469">
        <v>43572</v>
      </c>
      <c r="L1515" s="1470" t="s">
        <v>2129</v>
      </c>
      <c r="M1515" s="1471">
        <v>2.462E-2</v>
      </c>
      <c r="N1515" s="1472">
        <v>1.5121948867735053</v>
      </c>
      <c r="O1515" s="1472"/>
    </row>
    <row r="1516" spans="11:15">
      <c r="K1516" s="1469">
        <v>43573</v>
      </c>
      <c r="L1516" s="1470" t="s">
        <v>2129</v>
      </c>
      <c r="M1516" s="1471">
        <v>2.462E-2</v>
      </c>
      <c r="N1516" s="1472">
        <v>1.5125671891546291</v>
      </c>
      <c r="O1516" s="1472"/>
    </row>
    <row r="1517" spans="11:15">
      <c r="K1517" s="1469">
        <v>43574</v>
      </c>
      <c r="L1517" s="1470"/>
      <c r="M1517" s="1471">
        <v>0</v>
      </c>
      <c r="N1517" s="1472">
        <v>1.5125671891546291</v>
      </c>
      <c r="O1517" s="1472"/>
    </row>
    <row r="1518" spans="11:15">
      <c r="K1518" s="1469">
        <v>43575</v>
      </c>
      <c r="L1518" s="1470"/>
      <c r="M1518" s="1471">
        <v>0</v>
      </c>
      <c r="N1518" s="1472">
        <v>1.5125671891546291</v>
      </c>
      <c r="O1518" s="1472"/>
    </row>
    <row r="1519" spans="11:15">
      <c r="K1519" s="1469">
        <v>43576</v>
      </c>
      <c r="L1519" s="1470"/>
      <c r="M1519" s="1471">
        <v>0</v>
      </c>
      <c r="N1519" s="1472">
        <v>1.5125671891546291</v>
      </c>
      <c r="O1519" s="1472"/>
    </row>
    <row r="1520" spans="11:15">
      <c r="K1520" s="1469">
        <v>43577</v>
      </c>
      <c r="L1520" s="1470" t="s">
        <v>2129</v>
      </c>
      <c r="M1520" s="1471">
        <v>2.462E-2</v>
      </c>
      <c r="N1520" s="1472">
        <v>1.512939583196599</v>
      </c>
      <c r="O1520" s="1472"/>
    </row>
    <row r="1521" spans="11:15">
      <c r="K1521" s="1469">
        <v>43578</v>
      </c>
      <c r="L1521" s="1470" t="s">
        <v>2129</v>
      </c>
      <c r="M1521" s="1471">
        <v>2.462E-2</v>
      </c>
      <c r="N1521" s="1472">
        <v>1.5133120689219821</v>
      </c>
      <c r="O1521" s="1472"/>
    </row>
    <row r="1522" spans="11:15">
      <c r="K1522" s="1469">
        <v>43579</v>
      </c>
      <c r="L1522" s="1470" t="s">
        <v>2129</v>
      </c>
      <c r="M1522" s="1471">
        <v>2.462E-2</v>
      </c>
      <c r="N1522" s="1472">
        <v>1.5136846463533509</v>
      </c>
      <c r="O1522" s="1472"/>
    </row>
    <row r="1523" spans="11:15">
      <c r="K1523" s="1469">
        <v>43580</v>
      </c>
      <c r="L1523" s="1470" t="s">
        <v>2129</v>
      </c>
      <c r="M1523" s="1471">
        <v>2.462E-2</v>
      </c>
      <c r="N1523" s="1472">
        <v>1.5140573155132833</v>
      </c>
      <c r="O1523" s="1472"/>
    </row>
    <row r="1524" spans="11:15">
      <c r="K1524" s="1469">
        <v>43581</v>
      </c>
      <c r="L1524" s="1470" t="s">
        <v>2129</v>
      </c>
      <c r="M1524" s="1471">
        <v>2.462E-2</v>
      </c>
      <c r="N1524" s="1472">
        <v>1.5144300764243628</v>
      </c>
      <c r="O1524" s="1472"/>
    </row>
    <row r="1525" spans="11:15">
      <c r="K1525" s="1469">
        <v>43582</v>
      </c>
      <c r="L1525" s="1470"/>
      <c r="M1525" s="1471">
        <v>0</v>
      </c>
      <c r="N1525" s="1472">
        <v>1.5144300764243628</v>
      </c>
      <c r="O1525" s="1472"/>
    </row>
    <row r="1526" spans="11:15">
      <c r="K1526" s="1469">
        <v>43583</v>
      </c>
      <c r="L1526" s="1470"/>
      <c r="M1526" s="1471">
        <v>0</v>
      </c>
      <c r="N1526" s="1472">
        <v>1.5144300764243628</v>
      </c>
      <c r="O1526" s="1472"/>
    </row>
    <row r="1527" spans="11:15">
      <c r="K1527" s="1469">
        <v>43584</v>
      </c>
      <c r="L1527" s="1470" t="s">
        <v>2129</v>
      </c>
      <c r="M1527" s="1471">
        <v>2.462E-2</v>
      </c>
      <c r="N1527" s="1472">
        <v>1.5148029291091787</v>
      </c>
      <c r="O1527" s="1472"/>
    </row>
    <row r="1528" spans="11:15">
      <c r="K1528" s="1469">
        <v>43585</v>
      </c>
      <c r="L1528" s="1470" t="s">
        <v>2129</v>
      </c>
      <c r="M1528" s="1471">
        <v>2.462E-2</v>
      </c>
      <c r="N1528" s="1472">
        <v>1.5151758735903256</v>
      </c>
      <c r="O1528" s="1472"/>
    </row>
    <row r="1529" spans="11:15">
      <c r="K1529" s="1469">
        <v>43586</v>
      </c>
      <c r="L1529" s="1470"/>
      <c r="M1529" s="1471">
        <v>0</v>
      </c>
      <c r="N1529" s="1472">
        <v>1.5151758735903256</v>
      </c>
      <c r="O1529" s="1472"/>
    </row>
    <row r="1530" spans="11:15">
      <c r="K1530" s="1469">
        <v>43587</v>
      </c>
      <c r="L1530" s="1470" t="s">
        <v>2129</v>
      </c>
      <c r="M1530" s="1471">
        <v>2.462E-2</v>
      </c>
      <c r="N1530" s="1472">
        <v>1.5155489098904036</v>
      </c>
      <c r="O1530" s="1472"/>
    </row>
    <row r="1531" spans="11:15">
      <c r="K1531" s="1469">
        <v>43588</v>
      </c>
      <c r="L1531" s="1470" t="s">
        <v>2129</v>
      </c>
      <c r="M1531" s="1471">
        <v>2.462E-2</v>
      </c>
      <c r="N1531" s="1472">
        <v>1.5159220380320186</v>
      </c>
      <c r="O1531" s="1472"/>
    </row>
    <row r="1532" spans="11:15">
      <c r="K1532" s="1469">
        <v>43589</v>
      </c>
      <c r="L1532" s="1470"/>
      <c r="M1532" s="1471">
        <v>0</v>
      </c>
      <c r="N1532" s="1472">
        <v>1.5159220380320186</v>
      </c>
      <c r="O1532" s="1472"/>
    </row>
    <row r="1533" spans="11:15">
      <c r="K1533" s="1469">
        <v>43590</v>
      </c>
      <c r="L1533" s="1470"/>
      <c r="M1533" s="1471">
        <v>0</v>
      </c>
      <c r="N1533" s="1472">
        <v>1.5159220380320186</v>
      </c>
      <c r="O1533" s="1472"/>
    </row>
    <row r="1534" spans="11:15">
      <c r="K1534" s="1469">
        <v>43591</v>
      </c>
      <c r="L1534" s="1470" t="s">
        <v>2129</v>
      </c>
      <c r="M1534" s="1471">
        <v>2.462E-2</v>
      </c>
      <c r="N1534" s="1472">
        <v>1.5162952580377822</v>
      </c>
      <c r="O1534" s="1472"/>
    </row>
    <row r="1535" spans="11:15">
      <c r="K1535" s="1469">
        <v>43592</v>
      </c>
      <c r="L1535" s="1470" t="s">
        <v>2129</v>
      </c>
      <c r="M1535" s="1471">
        <v>2.462E-2</v>
      </c>
      <c r="N1535" s="1472">
        <v>1.5166685699303113</v>
      </c>
      <c r="O1535" s="1472"/>
    </row>
    <row r="1536" spans="11:15">
      <c r="K1536" s="1469">
        <v>43593</v>
      </c>
      <c r="L1536" s="1470" t="s">
        <v>2129</v>
      </c>
      <c r="M1536" s="1471">
        <v>2.462E-2</v>
      </c>
      <c r="N1536" s="1472">
        <v>1.5170419737322283</v>
      </c>
      <c r="O1536" s="1472"/>
    </row>
    <row r="1537" spans="11:15">
      <c r="K1537" s="1469">
        <v>43594</v>
      </c>
      <c r="L1537" s="1470" t="s">
        <v>2129</v>
      </c>
      <c r="M1537" s="1471">
        <v>2.462E-2</v>
      </c>
      <c r="N1537" s="1472">
        <v>1.5174154694661612</v>
      </c>
      <c r="O1537" s="1472"/>
    </row>
    <row r="1538" spans="11:15">
      <c r="K1538" s="1469">
        <v>43595</v>
      </c>
      <c r="L1538" s="1470" t="s">
        <v>2129</v>
      </c>
      <c r="M1538" s="1471">
        <v>2.462E-2</v>
      </c>
      <c r="N1538" s="1472">
        <v>1.5177890571547439</v>
      </c>
      <c r="O1538" s="1472"/>
    </row>
    <row r="1539" spans="11:15">
      <c r="K1539" s="1469">
        <v>43596</v>
      </c>
      <c r="L1539" s="1470"/>
      <c r="M1539" s="1471">
        <v>0</v>
      </c>
      <c r="N1539" s="1472">
        <v>1.5177890571547439</v>
      </c>
      <c r="O1539" s="1472"/>
    </row>
    <row r="1540" spans="11:15">
      <c r="K1540" s="1469">
        <v>43597</v>
      </c>
      <c r="L1540" s="1470"/>
      <c r="M1540" s="1471">
        <v>0</v>
      </c>
      <c r="N1540" s="1472">
        <v>1.5177890571547439</v>
      </c>
      <c r="O1540" s="1472"/>
    </row>
    <row r="1541" spans="11:15">
      <c r="K1541" s="1469">
        <v>43598</v>
      </c>
      <c r="L1541" s="1470" t="s">
        <v>2129</v>
      </c>
      <c r="M1541" s="1471">
        <v>2.462E-2</v>
      </c>
      <c r="N1541" s="1472">
        <v>1.5181627368206154</v>
      </c>
      <c r="O1541" s="1472"/>
    </row>
    <row r="1542" spans="11:15">
      <c r="K1542" s="1469">
        <v>43599</v>
      </c>
      <c r="L1542" s="1470" t="s">
        <v>2129</v>
      </c>
      <c r="M1542" s="1471">
        <v>2.462E-2</v>
      </c>
      <c r="N1542" s="1472">
        <v>1.5185365084864209</v>
      </c>
      <c r="O1542" s="1472"/>
    </row>
    <row r="1543" spans="11:15">
      <c r="K1543" s="1469">
        <v>43600</v>
      </c>
      <c r="L1543" s="1470" t="s">
        <v>2129</v>
      </c>
      <c r="M1543" s="1471">
        <v>2.462E-2</v>
      </c>
      <c r="N1543" s="1472">
        <v>1.5189103721748103</v>
      </c>
      <c r="O1543" s="1472"/>
    </row>
    <row r="1544" spans="11:15">
      <c r="K1544" s="1469">
        <v>43601</v>
      </c>
      <c r="L1544" s="1470" t="s">
        <v>2129</v>
      </c>
      <c r="M1544" s="1471">
        <v>2.462E-2</v>
      </c>
      <c r="N1544" s="1472">
        <v>1.5192843279084398</v>
      </c>
      <c r="O1544" s="1472"/>
    </row>
    <row r="1545" spans="11:15">
      <c r="K1545" s="1469">
        <v>43602</v>
      </c>
      <c r="L1545" s="1470" t="s">
        <v>2129</v>
      </c>
      <c r="M1545" s="1471">
        <v>2.462E-2</v>
      </c>
      <c r="N1545" s="1472">
        <v>1.5196583757099711</v>
      </c>
      <c r="O1545" s="1472"/>
    </row>
    <row r="1546" spans="11:15">
      <c r="K1546" s="1469">
        <v>43603</v>
      </c>
      <c r="L1546" s="1470"/>
      <c r="M1546" s="1471">
        <v>0</v>
      </c>
      <c r="N1546" s="1472">
        <v>1.5196583757099711</v>
      </c>
      <c r="O1546" s="1472"/>
    </row>
    <row r="1547" spans="11:15">
      <c r="K1547" s="1469">
        <v>43604</v>
      </c>
      <c r="L1547" s="1470"/>
      <c r="M1547" s="1471">
        <v>0</v>
      </c>
      <c r="N1547" s="1472">
        <v>1.5196583757099711</v>
      </c>
      <c r="O1547" s="1472"/>
    </row>
    <row r="1548" spans="11:15">
      <c r="K1548" s="1469">
        <v>43605</v>
      </c>
      <c r="L1548" s="1470" t="s">
        <v>2129</v>
      </c>
      <c r="M1548" s="1471">
        <v>2.462E-2</v>
      </c>
      <c r="N1548" s="1472">
        <v>1.5200325156020711</v>
      </c>
      <c r="O1548" s="1472"/>
    </row>
    <row r="1549" spans="11:15">
      <c r="K1549" s="1469">
        <v>43606</v>
      </c>
      <c r="L1549" s="1470" t="s">
        <v>2129</v>
      </c>
      <c r="M1549" s="1471">
        <v>2.462E-2</v>
      </c>
      <c r="N1549" s="1472">
        <v>1.5204067476074123</v>
      </c>
      <c r="O1549" s="1472"/>
    </row>
    <row r="1550" spans="11:15">
      <c r="K1550" s="1469">
        <v>43607</v>
      </c>
      <c r="L1550" s="1470" t="s">
        <v>2129</v>
      </c>
      <c r="M1550" s="1471">
        <v>2.462E-2</v>
      </c>
      <c r="N1550" s="1472">
        <v>1.5207810717486734</v>
      </c>
      <c r="O1550" s="1472"/>
    </row>
    <row r="1551" spans="11:15">
      <c r="K1551" s="1469">
        <v>43608</v>
      </c>
      <c r="L1551" s="1470" t="s">
        <v>2129</v>
      </c>
      <c r="M1551" s="1471">
        <v>2.462E-2</v>
      </c>
      <c r="N1551" s="1472">
        <v>1.5211554880485381</v>
      </c>
      <c r="O1551" s="1472"/>
    </row>
    <row r="1552" spans="11:15">
      <c r="K1552" s="1469">
        <v>43609</v>
      </c>
      <c r="L1552" s="1470" t="s">
        <v>2129</v>
      </c>
      <c r="M1552" s="1471">
        <v>2.462E-2</v>
      </c>
      <c r="N1552" s="1472">
        <v>1.5215299965296958</v>
      </c>
      <c r="O1552" s="1472"/>
    </row>
    <row r="1553" spans="11:15">
      <c r="K1553" s="1469">
        <v>43610</v>
      </c>
      <c r="L1553" s="1470"/>
      <c r="M1553" s="1471">
        <v>0</v>
      </c>
      <c r="N1553" s="1472">
        <v>1.5215299965296958</v>
      </c>
      <c r="O1553" s="1472"/>
    </row>
    <row r="1554" spans="11:15">
      <c r="K1554" s="1469">
        <v>43611</v>
      </c>
      <c r="L1554" s="1470"/>
      <c r="M1554" s="1471">
        <v>0</v>
      </c>
      <c r="N1554" s="1472">
        <v>1.5215299965296958</v>
      </c>
      <c r="O1554" s="1472"/>
    </row>
    <row r="1555" spans="11:15">
      <c r="K1555" s="1469">
        <v>43612</v>
      </c>
      <c r="L1555" s="1470" t="s">
        <v>2129</v>
      </c>
      <c r="M1555" s="1471">
        <v>2.462E-2</v>
      </c>
      <c r="N1555" s="1472">
        <v>1.5219045972148415</v>
      </c>
      <c r="O1555" s="1472"/>
    </row>
    <row r="1556" spans="11:15">
      <c r="K1556" s="1469">
        <v>43613</v>
      </c>
      <c r="L1556" s="1470" t="s">
        <v>2129</v>
      </c>
      <c r="M1556" s="1471">
        <v>2.462E-2</v>
      </c>
      <c r="N1556" s="1472">
        <v>1.522279290126676</v>
      </c>
      <c r="O1556" s="1472"/>
    </row>
    <row r="1557" spans="11:15">
      <c r="K1557" s="1469">
        <v>43614</v>
      </c>
      <c r="L1557" s="1470" t="s">
        <v>2129</v>
      </c>
      <c r="M1557" s="1471">
        <v>2.462E-2</v>
      </c>
      <c r="N1557" s="1472">
        <v>1.5226540752879052</v>
      </c>
      <c r="O1557" s="1472"/>
    </row>
    <row r="1558" spans="11:15">
      <c r="K1558" s="1469">
        <v>43615</v>
      </c>
      <c r="L1558" s="1470" t="s">
        <v>2129</v>
      </c>
      <c r="M1558" s="1471">
        <v>2.462E-2</v>
      </c>
      <c r="N1558" s="1472">
        <v>1.5230289527212413</v>
      </c>
      <c r="O1558" s="1472"/>
    </row>
    <row r="1559" spans="11:15">
      <c r="K1559" s="1469">
        <v>43616</v>
      </c>
      <c r="L1559" s="1470" t="s">
        <v>2129</v>
      </c>
      <c r="M1559" s="1471">
        <v>2.462E-2</v>
      </c>
      <c r="N1559" s="1472">
        <v>1.5234039224494014</v>
      </c>
      <c r="O1559" s="1472"/>
    </row>
    <row r="1560" spans="11:15">
      <c r="K1560" s="1469">
        <v>43617</v>
      </c>
      <c r="L1560" s="1470"/>
      <c r="M1560" s="1471">
        <v>0</v>
      </c>
      <c r="N1560" s="1472">
        <v>1.5234039224494014</v>
      </c>
      <c r="O1560" s="1472"/>
    </row>
    <row r="1561" spans="11:15">
      <c r="K1561" s="1469">
        <v>43618</v>
      </c>
      <c r="L1561" s="1470"/>
      <c r="M1561" s="1471">
        <v>0</v>
      </c>
      <c r="N1561" s="1472">
        <v>1.5234039224494014</v>
      </c>
      <c r="O1561" s="1472"/>
    </row>
    <row r="1562" spans="11:15">
      <c r="K1562" s="1469">
        <v>43619</v>
      </c>
      <c r="L1562" s="1470" t="s">
        <v>2129</v>
      </c>
      <c r="M1562" s="1471">
        <v>2.462E-2</v>
      </c>
      <c r="N1562" s="1472">
        <v>1.5237789844951086</v>
      </c>
      <c r="O1562" s="1472"/>
    </row>
    <row r="1563" spans="11:15">
      <c r="K1563" s="1469">
        <v>43620</v>
      </c>
      <c r="L1563" s="1470" t="s">
        <v>2129</v>
      </c>
      <c r="M1563" s="1471">
        <v>2.462E-2</v>
      </c>
      <c r="N1563" s="1472">
        <v>1.5241541388810915</v>
      </c>
      <c r="O1563" s="1472"/>
    </row>
    <row r="1564" spans="11:15">
      <c r="K1564" s="1469">
        <v>43621</v>
      </c>
      <c r="L1564" s="1470" t="s">
        <v>2129</v>
      </c>
      <c r="M1564" s="1471">
        <v>2.462E-2</v>
      </c>
      <c r="N1564" s="1472">
        <v>1.5245293856300841</v>
      </c>
      <c r="O1564" s="1472"/>
    </row>
    <row r="1565" spans="11:15">
      <c r="K1565" s="1469">
        <v>43622</v>
      </c>
      <c r="L1565" s="1470" t="s">
        <v>2129</v>
      </c>
      <c r="M1565" s="1471">
        <v>2.462E-2</v>
      </c>
      <c r="N1565" s="1472">
        <v>1.5249047247648264</v>
      </c>
      <c r="O1565" s="1472"/>
    </row>
    <row r="1566" spans="11:15">
      <c r="K1566" s="1469">
        <v>43623</v>
      </c>
      <c r="L1566" s="1470" t="s">
        <v>2129</v>
      </c>
      <c r="M1566" s="1471">
        <v>2.462E-2</v>
      </c>
      <c r="N1566" s="1472">
        <v>1.5252801563080636</v>
      </c>
      <c r="O1566" s="1472"/>
    </row>
    <row r="1567" spans="11:15">
      <c r="K1567" s="1469">
        <v>43624</v>
      </c>
      <c r="L1567" s="1470"/>
      <c r="M1567" s="1471">
        <v>0</v>
      </c>
      <c r="N1567" s="1472">
        <v>1.5252801563080636</v>
      </c>
      <c r="O1567" s="1472"/>
    </row>
    <row r="1568" spans="11:15">
      <c r="K1568" s="1469">
        <v>43625</v>
      </c>
      <c r="L1568" s="1470"/>
      <c r="M1568" s="1471">
        <v>0</v>
      </c>
      <c r="N1568" s="1472">
        <v>1.5252801563080636</v>
      </c>
      <c r="O1568" s="1472"/>
    </row>
    <row r="1569" spans="11:15">
      <c r="K1569" s="1469">
        <v>43626</v>
      </c>
      <c r="L1569" s="1470" t="s">
        <v>2129</v>
      </c>
      <c r="M1569" s="1471">
        <v>2.462E-2</v>
      </c>
      <c r="N1569" s="1472">
        <v>1.5256556802825467</v>
      </c>
      <c r="O1569" s="1472"/>
    </row>
    <row r="1570" spans="11:15">
      <c r="K1570" s="1469">
        <v>43627</v>
      </c>
      <c r="L1570" s="1470" t="s">
        <v>2129</v>
      </c>
      <c r="M1570" s="1471">
        <v>2.462E-2</v>
      </c>
      <c r="N1570" s="1472">
        <v>1.5260312967110323</v>
      </c>
      <c r="O1570" s="1472"/>
    </row>
    <row r="1571" spans="11:15">
      <c r="K1571" s="1469">
        <v>43628</v>
      </c>
      <c r="L1571" s="1470" t="s">
        <v>2129</v>
      </c>
      <c r="M1571" s="1471">
        <v>2.462E-2</v>
      </c>
      <c r="N1571" s="1472">
        <v>1.5264070056162826</v>
      </c>
      <c r="O1571" s="1472"/>
    </row>
    <row r="1572" spans="11:15">
      <c r="K1572" s="1469">
        <v>43629</v>
      </c>
      <c r="L1572" s="1470" t="s">
        <v>2129</v>
      </c>
      <c r="M1572" s="1471">
        <v>2.462E-2</v>
      </c>
      <c r="N1572" s="1472">
        <v>1.5267828070210654</v>
      </c>
      <c r="O1572" s="1472"/>
    </row>
    <row r="1573" spans="11:15">
      <c r="K1573" s="1469">
        <v>43630</v>
      </c>
      <c r="L1573" s="1470" t="s">
        <v>2129</v>
      </c>
      <c r="M1573" s="1471">
        <v>2.462E-2</v>
      </c>
      <c r="N1573" s="1472">
        <v>1.5271587009481542</v>
      </c>
      <c r="O1573" s="1472"/>
    </row>
    <row r="1574" spans="11:15">
      <c r="K1574" s="1469">
        <v>43631</v>
      </c>
      <c r="L1574" s="1470"/>
      <c r="M1574" s="1471">
        <v>0</v>
      </c>
      <c r="N1574" s="1472">
        <v>1.5271587009481542</v>
      </c>
      <c r="O1574" s="1472"/>
    </row>
    <row r="1575" spans="11:15">
      <c r="K1575" s="1469">
        <v>43632</v>
      </c>
      <c r="L1575" s="1470"/>
      <c r="M1575" s="1471">
        <v>0</v>
      </c>
      <c r="N1575" s="1472">
        <v>1.5271587009481542</v>
      </c>
      <c r="O1575" s="1472"/>
    </row>
    <row r="1576" spans="11:15">
      <c r="K1576" s="1469">
        <v>43633</v>
      </c>
      <c r="L1576" s="1470" t="s">
        <v>2129</v>
      </c>
      <c r="M1576" s="1471">
        <v>2.462E-2</v>
      </c>
      <c r="N1576" s="1472">
        <v>1.5275346874203277</v>
      </c>
      <c r="O1576" s="1472"/>
    </row>
    <row r="1577" spans="11:15">
      <c r="K1577" s="1469">
        <v>43634</v>
      </c>
      <c r="L1577" s="1470" t="s">
        <v>2129</v>
      </c>
      <c r="M1577" s="1471">
        <v>2.462E-2</v>
      </c>
      <c r="N1577" s="1472">
        <v>1.5279107664603708</v>
      </c>
      <c r="O1577" s="1472"/>
    </row>
    <row r="1578" spans="11:15">
      <c r="K1578" s="1469">
        <v>43635</v>
      </c>
      <c r="L1578" s="1470" t="s">
        <v>2129</v>
      </c>
      <c r="M1578" s="1471">
        <v>2.462E-2</v>
      </c>
      <c r="N1578" s="1472">
        <v>1.5282869380910735</v>
      </c>
      <c r="O1578" s="1472"/>
    </row>
    <row r="1579" spans="11:15">
      <c r="K1579" s="1469">
        <v>43636</v>
      </c>
      <c r="L1579" s="1470"/>
      <c r="M1579" s="1471">
        <v>0</v>
      </c>
      <c r="N1579" s="1472">
        <v>1.5282869380910735</v>
      </c>
      <c r="O1579" s="1472"/>
    </row>
    <row r="1580" spans="11:15">
      <c r="K1580" s="1469">
        <v>43637</v>
      </c>
      <c r="L1580" s="1470" t="s">
        <v>2129</v>
      </c>
      <c r="M1580" s="1471">
        <v>2.462E-2</v>
      </c>
      <c r="N1580" s="1472">
        <v>1.5286632023352316</v>
      </c>
      <c r="O1580" s="1472"/>
    </row>
    <row r="1581" spans="11:15">
      <c r="K1581" s="1469">
        <v>43638</v>
      </c>
      <c r="L1581" s="1470"/>
      <c r="M1581" s="1471">
        <v>0</v>
      </c>
      <c r="N1581" s="1472">
        <v>1.5286632023352316</v>
      </c>
      <c r="O1581" s="1472"/>
    </row>
    <row r="1582" spans="11:15">
      <c r="K1582" s="1469">
        <v>43639</v>
      </c>
      <c r="L1582" s="1470"/>
      <c r="M1582" s="1471">
        <v>0</v>
      </c>
      <c r="N1582" s="1472">
        <v>1.5286632023352316</v>
      </c>
      <c r="O1582" s="1472"/>
    </row>
    <row r="1583" spans="11:15">
      <c r="K1583" s="1469">
        <v>43640</v>
      </c>
      <c r="L1583" s="1470" t="s">
        <v>2129</v>
      </c>
      <c r="M1583" s="1471">
        <v>2.462E-2</v>
      </c>
      <c r="N1583" s="1472">
        <v>1.5290395592156467</v>
      </c>
      <c r="O1583" s="1472"/>
    </row>
    <row r="1584" spans="11:15">
      <c r="K1584" s="1469">
        <v>43641</v>
      </c>
      <c r="L1584" s="1470" t="s">
        <v>2129</v>
      </c>
      <c r="M1584" s="1471">
        <v>2.462E-2</v>
      </c>
      <c r="N1584" s="1472">
        <v>1.5294160087551258</v>
      </c>
      <c r="O1584" s="1472"/>
    </row>
    <row r="1585" spans="11:15">
      <c r="K1585" s="1469">
        <v>43642</v>
      </c>
      <c r="L1585" s="1470" t="s">
        <v>2129</v>
      </c>
      <c r="M1585" s="1471">
        <v>2.462E-2</v>
      </c>
      <c r="N1585" s="1472">
        <v>1.5297925509764816</v>
      </c>
      <c r="O1585" s="1472"/>
    </row>
    <row r="1586" spans="11:15">
      <c r="K1586" s="1469">
        <v>43643</v>
      </c>
      <c r="L1586" s="1470" t="s">
        <v>2129</v>
      </c>
      <c r="M1586" s="1471">
        <v>2.462E-2</v>
      </c>
      <c r="N1586" s="1472">
        <v>1.5301691859025321</v>
      </c>
      <c r="O1586" s="1472"/>
    </row>
    <row r="1587" spans="11:15">
      <c r="K1587" s="1469">
        <v>43644</v>
      </c>
      <c r="L1587" s="1470" t="s">
        <v>2129</v>
      </c>
      <c r="M1587" s="1471">
        <v>2.462E-2</v>
      </c>
      <c r="N1587" s="1472">
        <v>1.5305459135561015</v>
      </c>
      <c r="O1587" s="1472"/>
    </row>
    <row r="1588" spans="11:15">
      <c r="K1588" s="1469">
        <v>43645</v>
      </c>
      <c r="L1588" s="1470"/>
      <c r="M1588" s="1471">
        <v>0</v>
      </c>
      <c r="N1588" s="1472">
        <v>1.5305459135561015</v>
      </c>
      <c r="O1588" s="1472"/>
    </row>
    <row r="1589" spans="11:15">
      <c r="K1589" s="1469">
        <v>43646</v>
      </c>
      <c r="L1589" s="1470"/>
      <c r="M1589" s="1471">
        <v>0</v>
      </c>
      <c r="N1589" s="1472">
        <v>1.5305459135561015</v>
      </c>
      <c r="O1589" s="1472"/>
    </row>
    <row r="1590" spans="11:15">
      <c r="K1590" s="1469">
        <v>43647</v>
      </c>
      <c r="L1590" s="1470" t="s">
        <v>2129</v>
      </c>
      <c r="M1590" s="1471">
        <v>2.462E-2</v>
      </c>
      <c r="N1590" s="1472">
        <v>1.5309227339600191</v>
      </c>
      <c r="O1590" s="1472"/>
    </row>
    <row r="1591" spans="11:15">
      <c r="K1591" s="1469">
        <v>43648</v>
      </c>
      <c r="L1591" s="1470" t="s">
        <v>2129</v>
      </c>
      <c r="M1591" s="1471">
        <v>2.462E-2</v>
      </c>
      <c r="N1591" s="1472">
        <v>1.5312996471371201</v>
      </c>
      <c r="O1591" s="1472"/>
    </row>
    <row r="1592" spans="11:15">
      <c r="K1592" s="1469">
        <v>43649</v>
      </c>
      <c r="L1592" s="1470" t="s">
        <v>2129</v>
      </c>
      <c r="M1592" s="1471">
        <v>2.462E-2</v>
      </c>
      <c r="N1592" s="1472">
        <v>1.5316766531102455</v>
      </c>
      <c r="O1592" s="1472"/>
    </row>
    <row r="1593" spans="11:15">
      <c r="K1593" s="1469">
        <v>43650</v>
      </c>
      <c r="L1593" s="1470" t="s">
        <v>2129</v>
      </c>
      <c r="M1593" s="1471">
        <v>2.462E-2</v>
      </c>
      <c r="N1593" s="1472">
        <v>1.5320537519022412</v>
      </c>
      <c r="O1593" s="1472"/>
    </row>
    <row r="1594" spans="11:15">
      <c r="K1594" s="1469">
        <v>43651</v>
      </c>
      <c r="L1594" s="1470" t="s">
        <v>2129</v>
      </c>
      <c r="M1594" s="1471">
        <v>2.462E-2</v>
      </c>
      <c r="N1594" s="1472">
        <v>1.5324309435359598</v>
      </c>
      <c r="O1594" s="1472"/>
    </row>
    <row r="1595" spans="11:15">
      <c r="K1595" s="1469">
        <v>43652</v>
      </c>
      <c r="L1595" s="1470"/>
      <c r="M1595" s="1471">
        <v>0</v>
      </c>
      <c r="N1595" s="1472">
        <v>1.5324309435359598</v>
      </c>
      <c r="O1595" s="1472"/>
    </row>
    <row r="1596" spans="11:15">
      <c r="K1596" s="1469">
        <v>43653</v>
      </c>
      <c r="L1596" s="1470"/>
      <c r="M1596" s="1471">
        <v>0</v>
      </c>
      <c r="N1596" s="1472">
        <v>1.5324309435359598</v>
      </c>
      <c r="O1596" s="1472"/>
    </row>
    <row r="1597" spans="11:15">
      <c r="K1597" s="1469">
        <v>43654</v>
      </c>
      <c r="L1597" s="1470" t="s">
        <v>2129</v>
      </c>
      <c r="M1597" s="1471">
        <v>2.462E-2</v>
      </c>
      <c r="N1597" s="1472">
        <v>1.5328082280342585</v>
      </c>
      <c r="O1597" s="1472"/>
    </row>
    <row r="1598" spans="11:15">
      <c r="K1598" s="1469">
        <v>43655</v>
      </c>
      <c r="L1598" s="1470" t="s">
        <v>2129</v>
      </c>
      <c r="M1598" s="1471">
        <v>2.462E-2</v>
      </c>
      <c r="N1598" s="1472">
        <v>1.5331856054200006</v>
      </c>
      <c r="O1598" s="1472"/>
    </row>
    <row r="1599" spans="11:15">
      <c r="K1599" s="1469">
        <v>43656</v>
      </c>
      <c r="L1599" s="1470" t="s">
        <v>2129</v>
      </c>
      <c r="M1599" s="1471">
        <v>2.462E-2</v>
      </c>
      <c r="N1599" s="1472">
        <v>1.5335630757160552</v>
      </c>
      <c r="O1599" s="1472"/>
    </row>
    <row r="1600" spans="11:15">
      <c r="K1600" s="1469">
        <v>43657</v>
      </c>
      <c r="L1600" s="1470" t="s">
        <v>2129</v>
      </c>
      <c r="M1600" s="1471">
        <v>2.462E-2</v>
      </c>
      <c r="N1600" s="1472">
        <v>1.5339406389452965</v>
      </c>
      <c r="O1600" s="1472"/>
    </row>
    <row r="1601" spans="11:15">
      <c r="K1601" s="1469">
        <v>43658</v>
      </c>
      <c r="L1601" s="1470" t="s">
        <v>2129</v>
      </c>
      <c r="M1601" s="1471">
        <v>2.462E-2</v>
      </c>
      <c r="N1601" s="1472">
        <v>1.5343182951306049</v>
      </c>
      <c r="O1601" s="1472"/>
    </row>
    <row r="1602" spans="11:15">
      <c r="K1602" s="1469">
        <v>43659</v>
      </c>
      <c r="L1602" s="1470"/>
      <c r="M1602" s="1471">
        <v>0</v>
      </c>
      <c r="N1602" s="1472">
        <v>1.5343182951306049</v>
      </c>
      <c r="O1602" s="1472"/>
    </row>
    <row r="1603" spans="11:15">
      <c r="K1603" s="1469">
        <v>43660</v>
      </c>
      <c r="L1603" s="1470"/>
      <c r="M1603" s="1471">
        <v>0</v>
      </c>
      <c r="N1603" s="1472">
        <v>1.5343182951306049</v>
      </c>
      <c r="O1603" s="1472"/>
    </row>
    <row r="1604" spans="11:15">
      <c r="K1604" s="1469">
        <v>43661</v>
      </c>
      <c r="L1604" s="1470" t="s">
        <v>2129</v>
      </c>
      <c r="M1604" s="1471">
        <v>2.462E-2</v>
      </c>
      <c r="N1604" s="1472">
        <v>1.5346960442948663</v>
      </c>
      <c r="O1604" s="1472"/>
    </row>
    <row r="1605" spans="11:15">
      <c r="K1605" s="1469">
        <v>43662</v>
      </c>
      <c r="L1605" s="1470" t="s">
        <v>2129</v>
      </c>
      <c r="M1605" s="1471">
        <v>2.462E-2</v>
      </c>
      <c r="N1605" s="1472">
        <v>1.5350738864609719</v>
      </c>
      <c r="O1605" s="1472"/>
    </row>
    <row r="1606" spans="11:15">
      <c r="K1606" s="1469">
        <v>43663</v>
      </c>
      <c r="L1606" s="1470" t="s">
        <v>2129</v>
      </c>
      <c r="M1606" s="1471">
        <v>2.462E-2</v>
      </c>
      <c r="N1606" s="1472">
        <v>1.5354518216518187</v>
      </c>
      <c r="O1606" s="1472"/>
    </row>
    <row r="1607" spans="11:15">
      <c r="K1607" s="1469">
        <v>43664</v>
      </c>
      <c r="L1607" s="1470" t="s">
        <v>2129</v>
      </c>
      <c r="M1607" s="1471">
        <v>2.462E-2</v>
      </c>
      <c r="N1607" s="1472">
        <v>1.5358298498903096</v>
      </c>
      <c r="O1607" s="1472"/>
    </row>
    <row r="1608" spans="11:15">
      <c r="K1608" s="1469">
        <v>43665</v>
      </c>
      <c r="L1608" s="1470" t="s">
        <v>2129</v>
      </c>
      <c r="M1608" s="1471">
        <v>2.462E-2</v>
      </c>
      <c r="N1608" s="1472">
        <v>1.5362079711993526</v>
      </c>
      <c r="O1608" s="1472"/>
    </row>
    <row r="1609" spans="11:15">
      <c r="K1609" s="1469">
        <v>43666</v>
      </c>
      <c r="L1609" s="1470"/>
      <c r="M1609" s="1471">
        <v>0</v>
      </c>
      <c r="N1609" s="1472">
        <v>1.5362079711993526</v>
      </c>
      <c r="O1609" s="1472"/>
    </row>
    <row r="1610" spans="11:15">
      <c r="K1610" s="1469">
        <v>43667</v>
      </c>
      <c r="L1610" s="1470"/>
      <c r="M1610" s="1471">
        <v>0</v>
      </c>
      <c r="N1610" s="1472">
        <v>1.5362079711993526</v>
      </c>
      <c r="O1610" s="1472"/>
    </row>
    <row r="1611" spans="11:15">
      <c r="K1611" s="1469">
        <v>43668</v>
      </c>
      <c r="L1611" s="1470" t="s">
        <v>2129</v>
      </c>
      <c r="M1611" s="1471">
        <v>2.462E-2</v>
      </c>
      <c r="N1611" s="1472">
        <v>1.5365861856018621</v>
      </c>
      <c r="O1611" s="1472"/>
    </row>
    <row r="1612" spans="11:15">
      <c r="K1612" s="1469">
        <v>43669</v>
      </c>
      <c r="L1612" s="1470" t="s">
        <v>2129</v>
      </c>
      <c r="M1612" s="1471">
        <v>2.462E-2</v>
      </c>
      <c r="N1612" s="1472">
        <v>1.5369644931207573</v>
      </c>
      <c r="O1612" s="1472"/>
    </row>
    <row r="1613" spans="11:15">
      <c r="K1613" s="1469">
        <v>43670</v>
      </c>
      <c r="L1613" s="1470" t="s">
        <v>2129</v>
      </c>
      <c r="M1613" s="1471">
        <v>2.462E-2</v>
      </c>
      <c r="N1613" s="1472">
        <v>1.5373428937789637</v>
      </c>
      <c r="O1613" s="1472"/>
    </row>
    <row r="1614" spans="11:15">
      <c r="K1614" s="1469">
        <v>43671</v>
      </c>
      <c r="L1614" s="1470" t="s">
        <v>2129</v>
      </c>
      <c r="M1614" s="1471">
        <v>2.462E-2</v>
      </c>
      <c r="N1614" s="1472">
        <v>1.5377213875994122</v>
      </c>
      <c r="O1614" s="1472"/>
    </row>
    <row r="1615" spans="11:15">
      <c r="K1615" s="1469">
        <v>43672</v>
      </c>
      <c r="L1615" s="1470" t="s">
        <v>2129</v>
      </c>
      <c r="M1615" s="1471">
        <v>2.462E-2</v>
      </c>
      <c r="N1615" s="1472">
        <v>1.5380999746050394</v>
      </c>
      <c r="O1615" s="1472"/>
    </row>
    <row r="1616" spans="11:15">
      <c r="K1616" s="1469">
        <v>43673</v>
      </c>
      <c r="L1616" s="1470"/>
      <c r="M1616" s="1471">
        <v>0</v>
      </c>
      <c r="N1616" s="1472">
        <v>1.5380999746050394</v>
      </c>
      <c r="O1616" s="1472"/>
    </row>
    <row r="1617" spans="11:15">
      <c r="K1617" s="1469">
        <v>43674</v>
      </c>
      <c r="L1617" s="1470"/>
      <c r="M1617" s="1471">
        <v>0</v>
      </c>
      <c r="N1617" s="1472">
        <v>1.5380999746050394</v>
      </c>
      <c r="O1617" s="1472"/>
    </row>
    <row r="1618" spans="11:15">
      <c r="K1618" s="1469">
        <v>43675</v>
      </c>
      <c r="L1618" s="1470" t="s">
        <v>2129</v>
      </c>
      <c r="M1618" s="1471">
        <v>2.462E-2</v>
      </c>
      <c r="N1618" s="1472">
        <v>1.5384786548187874</v>
      </c>
      <c r="O1618" s="1472"/>
    </row>
    <row r="1619" spans="11:15">
      <c r="K1619" s="1469">
        <v>43676</v>
      </c>
      <c r="L1619" s="1470" t="s">
        <v>2129</v>
      </c>
      <c r="M1619" s="1471">
        <v>2.462E-2</v>
      </c>
      <c r="N1619" s="1472">
        <v>1.5388574282636041</v>
      </c>
      <c r="O1619" s="1472"/>
    </row>
    <row r="1620" spans="11:15">
      <c r="K1620" s="1469">
        <v>43677</v>
      </c>
      <c r="L1620" s="1470" t="s">
        <v>2129</v>
      </c>
      <c r="M1620" s="1471">
        <v>2.462E-2</v>
      </c>
      <c r="N1620" s="1472">
        <v>1.5392362949624427</v>
      </c>
      <c r="O1620" s="1472"/>
    </row>
    <row r="1621" spans="11:15">
      <c r="K1621" s="1469">
        <v>43678</v>
      </c>
      <c r="L1621" s="1470" t="s">
        <v>2129</v>
      </c>
      <c r="M1621" s="1471">
        <v>2.2751E-2</v>
      </c>
      <c r="N1621" s="1472">
        <v>1.5395864866119096</v>
      </c>
      <c r="O1621" s="1472"/>
    </row>
    <row r="1622" spans="11:15">
      <c r="K1622" s="1469">
        <v>43679</v>
      </c>
      <c r="L1622" s="1470" t="s">
        <v>2129</v>
      </c>
      <c r="M1622" s="1471">
        <v>2.2751E-2</v>
      </c>
      <c r="N1622" s="1472">
        <v>1.5399367579334786</v>
      </c>
      <c r="O1622" s="1472"/>
    </row>
    <row r="1623" spans="11:15">
      <c r="K1623" s="1469">
        <v>43680</v>
      </c>
      <c r="L1623" s="1470"/>
      <c r="M1623" s="1471">
        <v>0</v>
      </c>
      <c r="N1623" s="1472">
        <v>1.5399367579334786</v>
      </c>
      <c r="O1623" s="1472"/>
    </row>
    <row r="1624" spans="11:15">
      <c r="K1624" s="1469">
        <v>43681</v>
      </c>
      <c r="L1624" s="1470"/>
      <c r="M1624" s="1471">
        <v>0</v>
      </c>
      <c r="N1624" s="1472">
        <v>1.5399367579334786</v>
      </c>
      <c r="O1624" s="1472"/>
    </row>
    <row r="1625" spans="11:15">
      <c r="K1625" s="1469">
        <v>43682</v>
      </c>
      <c r="L1625" s="1470" t="s">
        <v>2129</v>
      </c>
      <c r="M1625" s="1471">
        <v>2.2751E-2</v>
      </c>
      <c r="N1625" s="1472">
        <v>1.5402871089452761</v>
      </c>
      <c r="O1625" s="1472"/>
    </row>
    <row r="1626" spans="11:15">
      <c r="K1626" s="1469">
        <v>43683</v>
      </c>
      <c r="L1626" s="1470" t="s">
        <v>2129</v>
      </c>
      <c r="M1626" s="1471">
        <v>2.2751E-2</v>
      </c>
      <c r="N1626" s="1472">
        <v>1.5406375396654322</v>
      </c>
      <c r="O1626" s="1472"/>
    </row>
    <row r="1627" spans="11:15">
      <c r="K1627" s="1469">
        <v>43684</v>
      </c>
      <c r="L1627" s="1470" t="s">
        <v>2129</v>
      </c>
      <c r="M1627" s="1471">
        <v>2.2751E-2</v>
      </c>
      <c r="N1627" s="1472">
        <v>1.5409880501120814</v>
      </c>
      <c r="O1627" s="1472"/>
    </row>
    <row r="1628" spans="11:15">
      <c r="K1628" s="1469">
        <v>43685</v>
      </c>
      <c r="L1628" s="1470" t="s">
        <v>2129</v>
      </c>
      <c r="M1628" s="1471">
        <v>2.2751E-2</v>
      </c>
      <c r="N1628" s="1472">
        <v>1.5413386403033624</v>
      </c>
      <c r="O1628" s="1472"/>
    </row>
    <row r="1629" spans="11:15">
      <c r="K1629" s="1469">
        <v>43686</v>
      </c>
      <c r="L1629" s="1470" t="s">
        <v>2129</v>
      </c>
      <c r="M1629" s="1471">
        <v>2.2751E-2</v>
      </c>
      <c r="N1629" s="1472">
        <v>1.5416893102574178</v>
      </c>
      <c r="O1629" s="1472"/>
    </row>
    <row r="1630" spans="11:15">
      <c r="K1630" s="1469">
        <v>43687</v>
      </c>
      <c r="L1630" s="1470"/>
      <c r="M1630" s="1471">
        <v>0</v>
      </c>
      <c r="N1630" s="1472">
        <v>1.5416893102574178</v>
      </c>
      <c r="O1630" s="1472"/>
    </row>
    <row r="1631" spans="11:15">
      <c r="K1631" s="1469">
        <v>43688</v>
      </c>
      <c r="L1631" s="1470"/>
      <c r="M1631" s="1471">
        <v>0</v>
      </c>
      <c r="N1631" s="1472">
        <v>1.5416893102574178</v>
      </c>
      <c r="O1631" s="1472"/>
    </row>
    <row r="1632" spans="11:15">
      <c r="K1632" s="1469">
        <v>43689</v>
      </c>
      <c r="L1632" s="1470" t="s">
        <v>2129</v>
      </c>
      <c r="M1632" s="1471">
        <v>2.2751E-2</v>
      </c>
      <c r="N1632" s="1472">
        <v>1.5420400599923945</v>
      </c>
      <c r="O1632" s="1472"/>
    </row>
    <row r="1633" spans="11:15">
      <c r="K1633" s="1469">
        <v>43690</v>
      </c>
      <c r="L1633" s="1470" t="s">
        <v>2129</v>
      </c>
      <c r="M1633" s="1471">
        <v>2.2751E-2</v>
      </c>
      <c r="N1633" s="1472">
        <v>1.5423908895264433</v>
      </c>
      <c r="O1633" s="1472"/>
    </row>
    <row r="1634" spans="11:15">
      <c r="K1634" s="1469">
        <v>43691</v>
      </c>
      <c r="L1634" s="1470" t="s">
        <v>2129</v>
      </c>
      <c r="M1634" s="1471">
        <v>2.2751E-2</v>
      </c>
      <c r="N1634" s="1472">
        <v>1.5427417988777195</v>
      </c>
      <c r="O1634" s="1472"/>
    </row>
    <row r="1635" spans="11:15">
      <c r="K1635" s="1469">
        <v>43692</v>
      </c>
      <c r="L1635" s="1470" t="s">
        <v>2129</v>
      </c>
      <c r="M1635" s="1471">
        <v>2.2751E-2</v>
      </c>
      <c r="N1635" s="1472">
        <v>1.5430927880643821</v>
      </c>
      <c r="O1635" s="1472"/>
    </row>
    <row r="1636" spans="11:15">
      <c r="K1636" s="1469">
        <v>43693</v>
      </c>
      <c r="L1636" s="1470" t="s">
        <v>2129</v>
      </c>
      <c r="M1636" s="1471">
        <v>2.2751E-2</v>
      </c>
      <c r="N1636" s="1472">
        <v>1.5434438571045945</v>
      </c>
      <c r="O1636" s="1472"/>
    </row>
    <row r="1637" spans="11:15">
      <c r="K1637" s="1469">
        <v>43694</v>
      </c>
      <c r="L1637" s="1470"/>
      <c r="M1637" s="1471">
        <v>0</v>
      </c>
      <c r="N1637" s="1472">
        <v>1.5434438571045945</v>
      </c>
      <c r="O1637" s="1472"/>
    </row>
    <row r="1638" spans="11:15">
      <c r="K1638" s="1469">
        <v>43695</v>
      </c>
      <c r="L1638" s="1470"/>
      <c r="M1638" s="1471">
        <v>0</v>
      </c>
      <c r="N1638" s="1472">
        <v>1.5434438571045945</v>
      </c>
      <c r="O1638" s="1472"/>
    </row>
    <row r="1639" spans="11:15">
      <c r="K1639" s="1469">
        <v>43696</v>
      </c>
      <c r="L1639" s="1470" t="s">
        <v>2129</v>
      </c>
      <c r="M1639" s="1471">
        <v>2.2751E-2</v>
      </c>
      <c r="N1639" s="1472">
        <v>1.5437950060165244</v>
      </c>
      <c r="O1639" s="1472"/>
    </row>
    <row r="1640" spans="11:15">
      <c r="K1640" s="1469">
        <v>43697</v>
      </c>
      <c r="L1640" s="1470" t="s">
        <v>2129</v>
      </c>
      <c r="M1640" s="1471">
        <v>2.2751E-2</v>
      </c>
      <c r="N1640" s="1472">
        <v>1.5441462348183432</v>
      </c>
      <c r="O1640" s="1472"/>
    </row>
    <row r="1641" spans="11:15">
      <c r="K1641" s="1469">
        <v>43698</v>
      </c>
      <c r="L1641" s="1470" t="s">
        <v>2129</v>
      </c>
      <c r="M1641" s="1471">
        <v>2.2751E-2</v>
      </c>
      <c r="N1641" s="1472">
        <v>1.5444975435282267</v>
      </c>
      <c r="O1641" s="1472"/>
    </row>
    <row r="1642" spans="11:15">
      <c r="K1642" s="1469">
        <v>43699</v>
      </c>
      <c r="L1642" s="1470" t="s">
        <v>2129</v>
      </c>
      <c r="M1642" s="1471">
        <v>2.2751E-2</v>
      </c>
      <c r="N1642" s="1472">
        <v>1.5448489321643548</v>
      </c>
      <c r="O1642" s="1472"/>
    </row>
    <row r="1643" spans="11:15">
      <c r="K1643" s="1469">
        <v>43700</v>
      </c>
      <c r="L1643" s="1470" t="s">
        <v>2129</v>
      </c>
      <c r="M1643" s="1471">
        <v>2.2751E-2</v>
      </c>
      <c r="N1643" s="1472">
        <v>1.5452004007449116</v>
      </c>
      <c r="O1643" s="1472"/>
    </row>
    <row r="1644" spans="11:15">
      <c r="K1644" s="1469">
        <v>43701</v>
      </c>
      <c r="L1644" s="1470"/>
      <c r="M1644" s="1471">
        <v>0</v>
      </c>
      <c r="N1644" s="1472">
        <v>1.5452004007449116</v>
      </c>
      <c r="O1644" s="1472"/>
    </row>
    <row r="1645" spans="11:15">
      <c r="K1645" s="1469">
        <v>43702</v>
      </c>
      <c r="L1645" s="1470"/>
      <c r="M1645" s="1471">
        <v>0</v>
      </c>
      <c r="N1645" s="1472">
        <v>1.5452004007449116</v>
      </c>
      <c r="O1645" s="1472"/>
    </row>
    <row r="1646" spans="11:15">
      <c r="K1646" s="1469">
        <v>43703</v>
      </c>
      <c r="L1646" s="1470" t="s">
        <v>2129</v>
      </c>
      <c r="M1646" s="1471">
        <v>2.2751E-2</v>
      </c>
      <c r="N1646" s="1472">
        <v>1.5455519492880851</v>
      </c>
      <c r="O1646" s="1472"/>
    </row>
    <row r="1647" spans="11:15">
      <c r="K1647" s="1469">
        <v>43704</v>
      </c>
      <c r="L1647" s="1470" t="s">
        <v>2129</v>
      </c>
      <c r="M1647" s="1471">
        <v>2.2751E-2</v>
      </c>
      <c r="N1647" s="1472">
        <v>1.5459035778120676</v>
      </c>
      <c r="O1647" s="1472"/>
    </row>
    <row r="1648" spans="11:15">
      <c r="K1648" s="1469">
        <v>43705</v>
      </c>
      <c r="L1648" s="1470" t="s">
        <v>2129</v>
      </c>
      <c r="M1648" s="1471">
        <v>2.2751E-2</v>
      </c>
      <c r="N1648" s="1472">
        <v>1.5462552863350556</v>
      </c>
      <c r="O1648" s="1472"/>
    </row>
    <row r="1649" spans="11:15">
      <c r="K1649" s="1469">
        <v>43706</v>
      </c>
      <c r="L1649" s="1470" t="s">
        <v>2129</v>
      </c>
      <c r="M1649" s="1471">
        <v>2.2751E-2</v>
      </c>
      <c r="N1649" s="1472">
        <v>1.5466070748752496</v>
      </c>
      <c r="O1649" s="1472"/>
    </row>
    <row r="1650" spans="11:15">
      <c r="K1650" s="1469">
        <v>43707</v>
      </c>
      <c r="L1650" s="1470" t="s">
        <v>2129</v>
      </c>
      <c r="M1650" s="1471">
        <v>2.2751E-2</v>
      </c>
      <c r="N1650" s="1472">
        <v>1.5469589434508544</v>
      </c>
      <c r="O1650" s="1472"/>
    </row>
    <row r="1651" spans="11:15">
      <c r="K1651" s="1469">
        <v>43708</v>
      </c>
      <c r="L1651" s="1470"/>
      <c r="M1651" s="1471">
        <v>0</v>
      </c>
      <c r="N1651" s="1472">
        <v>1.5469589434508544</v>
      </c>
      <c r="O1651" s="1472"/>
    </row>
    <row r="1652" spans="11:15">
      <c r="K1652" s="1469">
        <v>43709</v>
      </c>
      <c r="L1652" s="1470"/>
      <c r="M1652" s="1471">
        <v>0</v>
      </c>
      <c r="N1652" s="1472">
        <v>1.5469589434508544</v>
      </c>
      <c r="O1652" s="1472"/>
    </row>
    <row r="1653" spans="11:15">
      <c r="K1653" s="1469">
        <v>43710</v>
      </c>
      <c r="L1653" s="1470" t="s">
        <v>2129</v>
      </c>
      <c r="M1653" s="1471">
        <v>2.2751E-2</v>
      </c>
      <c r="N1653" s="1472">
        <v>1.5473108920800789</v>
      </c>
      <c r="O1653" s="1472"/>
    </row>
    <row r="1654" spans="11:15">
      <c r="K1654" s="1469">
        <v>43711</v>
      </c>
      <c r="L1654" s="1470" t="s">
        <v>2129</v>
      </c>
      <c r="M1654" s="1471">
        <v>2.2751E-2</v>
      </c>
      <c r="N1654" s="1472">
        <v>1.5476629207811361</v>
      </c>
      <c r="O1654" s="1472"/>
    </row>
    <row r="1655" spans="11:15">
      <c r="K1655" s="1469">
        <v>43712</v>
      </c>
      <c r="L1655" s="1470" t="s">
        <v>2129</v>
      </c>
      <c r="M1655" s="1471">
        <v>2.2751E-2</v>
      </c>
      <c r="N1655" s="1472">
        <v>1.548015029572243</v>
      </c>
      <c r="O1655" s="1472"/>
    </row>
    <row r="1656" spans="11:15">
      <c r="K1656" s="1469">
        <v>43713</v>
      </c>
      <c r="L1656" s="1470" t="s">
        <v>2129</v>
      </c>
      <c r="M1656" s="1471">
        <v>2.2751E-2</v>
      </c>
      <c r="N1656" s="1472">
        <v>1.5483672184716211</v>
      </c>
      <c r="O1656" s="1472"/>
    </row>
    <row r="1657" spans="11:15">
      <c r="K1657" s="1469">
        <v>43714</v>
      </c>
      <c r="L1657" s="1470" t="s">
        <v>2129</v>
      </c>
      <c r="M1657" s="1471">
        <v>2.2751E-2</v>
      </c>
      <c r="N1657" s="1472">
        <v>1.5487194874974954</v>
      </c>
      <c r="O1657" s="1472"/>
    </row>
    <row r="1658" spans="11:15">
      <c r="K1658" s="1469">
        <v>43715</v>
      </c>
      <c r="L1658" s="1470"/>
      <c r="M1658" s="1471">
        <v>0</v>
      </c>
      <c r="N1658" s="1472">
        <v>1.5487194874974954</v>
      </c>
      <c r="O1658" s="1472"/>
    </row>
    <row r="1659" spans="11:15">
      <c r="K1659" s="1469">
        <v>43716</v>
      </c>
      <c r="L1659" s="1470"/>
      <c r="M1659" s="1471">
        <v>0</v>
      </c>
      <c r="N1659" s="1472">
        <v>1.5487194874974954</v>
      </c>
      <c r="O1659" s="1472"/>
    </row>
    <row r="1660" spans="11:15">
      <c r="K1660" s="1469">
        <v>43717</v>
      </c>
      <c r="L1660" s="1470" t="s">
        <v>2129</v>
      </c>
      <c r="M1660" s="1471">
        <v>2.2751E-2</v>
      </c>
      <c r="N1660" s="1472">
        <v>1.549071836668096</v>
      </c>
      <c r="O1660" s="1472"/>
    </row>
    <row r="1661" spans="11:15">
      <c r="K1661" s="1469">
        <v>43718</v>
      </c>
      <c r="L1661" s="1470" t="s">
        <v>2129</v>
      </c>
      <c r="M1661" s="1471">
        <v>2.2751E-2</v>
      </c>
      <c r="N1661" s="1472">
        <v>1.5494242660016564</v>
      </c>
      <c r="O1661" s="1472"/>
    </row>
    <row r="1662" spans="11:15">
      <c r="K1662" s="1469">
        <v>43719</v>
      </c>
      <c r="L1662" s="1470" t="s">
        <v>2129</v>
      </c>
      <c r="M1662" s="1471">
        <v>2.2751E-2</v>
      </c>
      <c r="N1662" s="1472">
        <v>1.5497767755164145</v>
      </c>
      <c r="O1662" s="1472"/>
    </row>
    <row r="1663" spans="11:15">
      <c r="K1663" s="1469">
        <v>43720</v>
      </c>
      <c r="L1663" s="1470" t="s">
        <v>2129</v>
      </c>
      <c r="M1663" s="1471">
        <v>2.2751E-2</v>
      </c>
      <c r="N1663" s="1472">
        <v>1.5501293652306123</v>
      </c>
      <c r="O1663" s="1472"/>
    </row>
    <row r="1664" spans="11:15">
      <c r="K1664" s="1469">
        <v>43721</v>
      </c>
      <c r="L1664" s="1470" t="s">
        <v>2129</v>
      </c>
      <c r="M1664" s="1471">
        <v>2.2751E-2</v>
      </c>
      <c r="N1664" s="1472">
        <v>1.5504820351624959</v>
      </c>
      <c r="O1664" s="1472"/>
    </row>
    <row r="1665" spans="11:15">
      <c r="K1665" s="1469">
        <v>43722</v>
      </c>
      <c r="L1665" s="1470"/>
      <c r="M1665" s="1471">
        <v>0</v>
      </c>
      <c r="N1665" s="1472">
        <v>1.5504820351624959</v>
      </c>
      <c r="O1665" s="1472"/>
    </row>
    <row r="1666" spans="11:15">
      <c r="K1666" s="1469">
        <v>43723</v>
      </c>
      <c r="L1666" s="1470"/>
      <c r="M1666" s="1471">
        <v>0</v>
      </c>
      <c r="N1666" s="1472">
        <v>1.5504820351624959</v>
      </c>
      <c r="O1666" s="1472"/>
    </row>
    <row r="1667" spans="11:15">
      <c r="K1667" s="1469">
        <v>43724</v>
      </c>
      <c r="L1667" s="1470" t="s">
        <v>2129</v>
      </c>
      <c r="M1667" s="1471">
        <v>2.2751E-2</v>
      </c>
      <c r="N1667" s="1472">
        <v>1.5508347853303157</v>
      </c>
      <c r="O1667" s="1472"/>
    </row>
    <row r="1668" spans="11:15">
      <c r="K1668" s="1469">
        <v>43725</v>
      </c>
      <c r="L1668" s="1470" t="s">
        <v>2129</v>
      </c>
      <c r="M1668" s="1471">
        <v>2.2751E-2</v>
      </c>
      <c r="N1668" s="1472">
        <v>1.5511876157523261</v>
      </c>
      <c r="O1668" s="1472"/>
    </row>
    <row r="1669" spans="11:15">
      <c r="K1669" s="1469">
        <v>43726</v>
      </c>
      <c r="L1669" s="1470" t="s">
        <v>2129</v>
      </c>
      <c r="M1669" s="1471">
        <v>2.2751E-2</v>
      </c>
      <c r="N1669" s="1472">
        <v>1.5515405264467859</v>
      </c>
      <c r="O1669" s="1472"/>
    </row>
    <row r="1670" spans="11:15">
      <c r="K1670" s="1469">
        <v>43727</v>
      </c>
      <c r="L1670" s="1470" t="s">
        <v>2129</v>
      </c>
      <c r="M1670" s="1471">
        <v>2.0872000000000002E-2</v>
      </c>
      <c r="N1670" s="1472">
        <v>1.5518643639854659</v>
      </c>
      <c r="O1670" s="1472"/>
    </row>
    <row r="1671" spans="11:15">
      <c r="K1671" s="1469">
        <v>43728</v>
      </c>
      <c r="L1671" s="1470" t="s">
        <v>2129</v>
      </c>
      <c r="M1671" s="1471">
        <v>2.0872000000000002E-2</v>
      </c>
      <c r="N1671" s="1472">
        <v>1.5521882691155171</v>
      </c>
      <c r="O1671" s="1472"/>
    </row>
    <row r="1672" spans="11:15">
      <c r="K1672" s="1469">
        <v>43729</v>
      </c>
      <c r="L1672" s="1470"/>
      <c r="M1672" s="1471">
        <v>0</v>
      </c>
      <c r="N1672" s="1472">
        <v>1.5521882691155171</v>
      </c>
      <c r="O1672" s="1472"/>
    </row>
    <row r="1673" spans="11:15">
      <c r="K1673" s="1469">
        <v>43730</v>
      </c>
      <c r="L1673" s="1470"/>
      <c r="M1673" s="1471">
        <v>0</v>
      </c>
      <c r="N1673" s="1472">
        <v>1.5521882691155171</v>
      </c>
      <c r="O1673" s="1472"/>
    </row>
    <row r="1674" spans="11:15">
      <c r="K1674" s="1469">
        <v>43731</v>
      </c>
      <c r="L1674" s="1470" t="s">
        <v>2129</v>
      </c>
      <c r="M1674" s="1471">
        <v>2.0872000000000002E-2</v>
      </c>
      <c r="N1674" s="1472">
        <v>1.5525122418510471</v>
      </c>
      <c r="O1674" s="1472"/>
    </row>
    <row r="1675" spans="11:15">
      <c r="K1675" s="1469">
        <v>43732</v>
      </c>
      <c r="L1675" s="1470" t="s">
        <v>2129</v>
      </c>
      <c r="M1675" s="1471">
        <v>2.0872000000000002E-2</v>
      </c>
      <c r="N1675" s="1472">
        <v>1.5528362822061663</v>
      </c>
      <c r="O1675" s="1472"/>
    </row>
    <row r="1676" spans="11:15">
      <c r="K1676" s="1469">
        <v>43733</v>
      </c>
      <c r="L1676" s="1470" t="s">
        <v>2129</v>
      </c>
      <c r="M1676" s="1471">
        <v>2.0872000000000002E-2</v>
      </c>
      <c r="N1676" s="1472">
        <v>1.5531603901949884</v>
      </c>
      <c r="O1676" s="1472"/>
    </row>
    <row r="1677" spans="11:15">
      <c r="K1677" s="1469">
        <v>43734</v>
      </c>
      <c r="L1677" s="1470" t="s">
        <v>2129</v>
      </c>
      <c r="M1677" s="1471">
        <v>2.0872000000000002E-2</v>
      </c>
      <c r="N1677" s="1472">
        <v>1.5534845658316301</v>
      </c>
      <c r="O1677" s="1472"/>
    </row>
    <row r="1678" spans="11:15">
      <c r="K1678" s="1469">
        <v>43735</v>
      </c>
      <c r="L1678" s="1470" t="s">
        <v>2129</v>
      </c>
      <c r="M1678" s="1471">
        <v>2.0872000000000002E-2</v>
      </c>
      <c r="N1678" s="1472">
        <v>1.5538088091302105</v>
      </c>
      <c r="O1678" s="1472"/>
    </row>
    <row r="1679" spans="11:15">
      <c r="K1679" s="1469">
        <v>43736</v>
      </c>
      <c r="L1679" s="1470"/>
      <c r="M1679" s="1471">
        <v>0</v>
      </c>
      <c r="N1679" s="1472">
        <v>1.5538088091302105</v>
      </c>
      <c r="O1679" s="1472"/>
    </row>
    <row r="1680" spans="11:15">
      <c r="K1680" s="1469">
        <v>43737</v>
      </c>
      <c r="L1680" s="1470"/>
      <c r="M1680" s="1471">
        <v>0</v>
      </c>
      <c r="N1680" s="1472">
        <v>1.5538088091302105</v>
      </c>
      <c r="O1680" s="1472"/>
    </row>
    <row r="1681" spans="11:15">
      <c r="K1681" s="1469">
        <v>43738</v>
      </c>
      <c r="L1681" s="1470" t="s">
        <v>2129</v>
      </c>
      <c r="M1681" s="1471">
        <v>2.0872000000000002E-2</v>
      </c>
      <c r="N1681" s="1472">
        <v>1.5541331201048523</v>
      </c>
      <c r="O1681" s="1472"/>
    </row>
    <row r="1682" spans="11:15">
      <c r="K1682" s="1469">
        <v>43739</v>
      </c>
      <c r="L1682" s="1470" t="s">
        <v>2129</v>
      </c>
      <c r="M1682" s="1471">
        <v>2.0872000000000002E-2</v>
      </c>
      <c r="N1682" s="1472">
        <v>1.5544574987696806</v>
      </c>
      <c r="O1682" s="1472"/>
    </row>
    <row r="1683" spans="11:15">
      <c r="K1683" s="1469">
        <v>43740</v>
      </c>
      <c r="L1683" s="1470" t="s">
        <v>2129</v>
      </c>
      <c r="M1683" s="1471">
        <v>2.0872000000000002E-2</v>
      </c>
      <c r="N1683" s="1472">
        <v>1.5547819451388238</v>
      </c>
      <c r="O1683" s="1472"/>
    </row>
    <row r="1684" spans="11:15">
      <c r="K1684" s="1469">
        <v>43741</v>
      </c>
      <c r="L1684" s="1470" t="s">
        <v>2129</v>
      </c>
      <c r="M1684" s="1471">
        <v>2.0872000000000002E-2</v>
      </c>
      <c r="N1684" s="1472">
        <v>1.5551064592264132</v>
      </c>
      <c r="O1684" s="1472"/>
    </row>
    <row r="1685" spans="11:15">
      <c r="K1685" s="1469">
        <v>43742</v>
      </c>
      <c r="L1685" s="1470" t="s">
        <v>2129</v>
      </c>
      <c r="M1685" s="1471">
        <v>2.0872000000000002E-2</v>
      </c>
      <c r="N1685" s="1472">
        <v>1.555431041046583</v>
      </c>
      <c r="O1685" s="1472"/>
    </row>
    <row r="1686" spans="11:15">
      <c r="K1686" s="1469">
        <v>43743</v>
      </c>
      <c r="L1686" s="1470"/>
      <c r="M1686" s="1471">
        <v>0</v>
      </c>
      <c r="N1686" s="1472">
        <v>1.555431041046583</v>
      </c>
      <c r="O1686" s="1472"/>
    </row>
    <row r="1687" spans="11:15">
      <c r="K1687" s="1469">
        <v>43744</v>
      </c>
      <c r="L1687" s="1470"/>
      <c r="M1687" s="1471">
        <v>0</v>
      </c>
      <c r="N1687" s="1472">
        <v>1.555431041046583</v>
      </c>
      <c r="O1687" s="1472"/>
    </row>
    <row r="1688" spans="11:15">
      <c r="K1688" s="1469">
        <v>43745</v>
      </c>
      <c r="L1688" s="1470" t="s">
        <v>2129</v>
      </c>
      <c r="M1688" s="1471">
        <v>2.0872000000000002E-2</v>
      </c>
      <c r="N1688" s="1472">
        <v>1.5557556906134704</v>
      </c>
      <c r="O1688" s="1472"/>
    </row>
    <row r="1689" spans="11:15">
      <c r="K1689" s="1469">
        <v>43746</v>
      </c>
      <c r="L1689" s="1470" t="s">
        <v>2129</v>
      </c>
      <c r="M1689" s="1471">
        <v>2.0872000000000002E-2</v>
      </c>
      <c r="N1689" s="1472">
        <v>1.5560804079412154</v>
      </c>
      <c r="O1689" s="1472"/>
    </row>
    <row r="1690" spans="11:15">
      <c r="K1690" s="1469">
        <v>43747</v>
      </c>
      <c r="L1690" s="1470" t="s">
        <v>2129</v>
      </c>
      <c r="M1690" s="1471">
        <v>2.0872000000000002E-2</v>
      </c>
      <c r="N1690" s="1472">
        <v>1.5564051930439609</v>
      </c>
      <c r="O1690" s="1472"/>
    </row>
    <row r="1691" spans="11:15">
      <c r="K1691" s="1469">
        <v>43748</v>
      </c>
      <c r="L1691" s="1470" t="s">
        <v>2129</v>
      </c>
      <c r="M1691" s="1471">
        <v>2.0872000000000002E-2</v>
      </c>
      <c r="N1691" s="1472">
        <v>1.5567300459358531</v>
      </c>
      <c r="O1691" s="1472"/>
    </row>
    <row r="1692" spans="11:15">
      <c r="K1692" s="1469">
        <v>43749</v>
      </c>
      <c r="L1692" s="1470" t="s">
        <v>2129</v>
      </c>
      <c r="M1692" s="1471">
        <v>2.0872000000000002E-2</v>
      </c>
      <c r="N1692" s="1472">
        <v>1.5570549666310409</v>
      </c>
      <c r="O1692" s="1472"/>
    </row>
    <row r="1693" spans="11:15">
      <c r="K1693" s="1469">
        <v>43750</v>
      </c>
      <c r="L1693" s="1470"/>
      <c r="M1693" s="1471">
        <v>0</v>
      </c>
      <c r="N1693" s="1472">
        <v>1.5570549666310409</v>
      </c>
      <c r="O1693" s="1472"/>
    </row>
    <row r="1694" spans="11:15">
      <c r="K1694" s="1469">
        <v>43751</v>
      </c>
      <c r="L1694" s="1470"/>
      <c r="M1694" s="1471">
        <v>0</v>
      </c>
      <c r="N1694" s="1472">
        <v>1.5570549666310409</v>
      </c>
      <c r="O1694" s="1472"/>
    </row>
    <row r="1695" spans="11:15">
      <c r="K1695" s="1469">
        <v>43752</v>
      </c>
      <c r="L1695" s="1470" t="s">
        <v>2129</v>
      </c>
      <c r="M1695" s="1471">
        <v>2.0872000000000002E-2</v>
      </c>
      <c r="N1695" s="1472">
        <v>1.5573799551436762</v>
      </c>
      <c r="O1695" s="1472"/>
    </row>
    <row r="1696" spans="11:15">
      <c r="K1696" s="1469">
        <v>43753</v>
      </c>
      <c r="L1696" s="1470" t="s">
        <v>2129</v>
      </c>
      <c r="M1696" s="1471">
        <v>2.0872000000000002E-2</v>
      </c>
      <c r="N1696" s="1472">
        <v>1.5577050114879138</v>
      </c>
      <c r="O1696" s="1472"/>
    </row>
    <row r="1697" spans="11:15">
      <c r="K1697" s="1469">
        <v>43754</v>
      </c>
      <c r="L1697" s="1470" t="s">
        <v>2129</v>
      </c>
      <c r="M1697" s="1471">
        <v>2.0872000000000002E-2</v>
      </c>
      <c r="N1697" s="1472">
        <v>1.5580301356779116</v>
      </c>
      <c r="O1697" s="1472"/>
    </row>
    <row r="1698" spans="11:15">
      <c r="K1698" s="1469">
        <v>43755</v>
      </c>
      <c r="L1698" s="1470" t="s">
        <v>2129</v>
      </c>
      <c r="M1698" s="1471">
        <v>2.0872000000000002E-2</v>
      </c>
      <c r="N1698" s="1472">
        <v>1.5583553277278304</v>
      </c>
      <c r="O1698" s="1472"/>
    </row>
    <row r="1699" spans="11:15">
      <c r="K1699" s="1469">
        <v>43756</v>
      </c>
      <c r="L1699" s="1470" t="s">
        <v>2129</v>
      </c>
      <c r="M1699" s="1471">
        <v>2.0872000000000002E-2</v>
      </c>
      <c r="N1699" s="1472">
        <v>1.5586805876518337</v>
      </c>
      <c r="O1699" s="1472"/>
    </row>
    <row r="1700" spans="11:15">
      <c r="K1700" s="1469">
        <v>43757</v>
      </c>
      <c r="L1700" s="1470"/>
      <c r="M1700" s="1471">
        <v>0</v>
      </c>
      <c r="N1700" s="1472">
        <v>1.5586805876518337</v>
      </c>
      <c r="O1700" s="1472"/>
    </row>
    <row r="1701" spans="11:15">
      <c r="K1701" s="1469">
        <v>43758</v>
      </c>
      <c r="L1701" s="1470"/>
      <c r="M1701" s="1471">
        <v>0</v>
      </c>
      <c r="N1701" s="1472">
        <v>1.5586805876518337</v>
      </c>
      <c r="O1701" s="1472"/>
    </row>
    <row r="1702" spans="11:15">
      <c r="K1702" s="1469">
        <v>43759</v>
      </c>
      <c r="L1702" s="1470" t="s">
        <v>2129</v>
      </c>
      <c r="M1702" s="1471">
        <v>2.0872000000000002E-2</v>
      </c>
      <c r="N1702" s="1472">
        <v>1.5590059154640885</v>
      </c>
      <c r="O1702" s="1472"/>
    </row>
    <row r="1703" spans="11:15">
      <c r="K1703" s="1469">
        <v>43760</v>
      </c>
      <c r="L1703" s="1470" t="s">
        <v>2129</v>
      </c>
      <c r="M1703" s="1471">
        <v>2.0872000000000002E-2</v>
      </c>
      <c r="N1703" s="1472">
        <v>1.5593313111787643</v>
      </c>
      <c r="O1703" s="1472"/>
    </row>
    <row r="1704" spans="11:15">
      <c r="K1704" s="1469">
        <v>43761</v>
      </c>
      <c r="L1704" s="1470" t="s">
        <v>2129</v>
      </c>
      <c r="M1704" s="1471">
        <v>2.0872000000000002E-2</v>
      </c>
      <c r="N1704" s="1472">
        <v>1.5596567748100336</v>
      </c>
      <c r="O1704" s="1472"/>
    </row>
    <row r="1705" spans="11:15">
      <c r="K1705" s="1469">
        <v>43762</v>
      </c>
      <c r="L1705" s="1470" t="s">
        <v>2129</v>
      </c>
      <c r="M1705" s="1471">
        <v>2.0872000000000002E-2</v>
      </c>
      <c r="N1705" s="1472">
        <v>1.5599823063720721</v>
      </c>
      <c r="O1705" s="1472"/>
    </row>
    <row r="1706" spans="11:15">
      <c r="K1706" s="1469">
        <v>43763</v>
      </c>
      <c r="L1706" s="1470" t="s">
        <v>2129</v>
      </c>
      <c r="M1706" s="1471">
        <v>2.0872000000000002E-2</v>
      </c>
      <c r="N1706" s="1472">
        <v>1.5603079058790581</v>
      </c>
      <c r="O1706" s="1472"/>
    </row>
    <row r="1707" spans="11:15">
      <c r="K1707" s="1469">
        <v>43764</v>
      </c>
      <c r="L1707" s="1470"/>
      <c r="M1707" s="1471">
        <v>0</v>
      </c>
      <c r="N1707" s="1472">
        <v>1.5603079058790581</v>
      </c>
      <c r="O1707" s="1472"/>
    </row>
    <row r="1708" spans="11:15">
      <c r="K1708" s="1469">
        <v>43765</v>
      </c>
      <c r="L1708" s="1470"/>
      <c r="M1708" s="1471">
        <v>0</v>
      </c>
      <c r="N1708" s="1472">
        <v>1.5603079058790581</v>
      </c>
      <c r="O1708" s="1472"/>
    </row>
    <row r="1709" spans="11:15">
      <c r="K1709" s="1469">
        <v>43766</v>
      </c>
      <c r="L1709" s="1470" t="s">
        <v>2129</v>
      </c>
      <c r="M1709" s="1471">
        <v>2.0872000000000002E-2</v>
      </c>
      <c r="N1709" s="1472">
        <v>1.5606335733451733</v>
      </c>
      <c r="O1709" s="1472"/>
    </row>
    <row r="1710" spans="11:15">
      <c r="K1710" s="1469">
        <v>43767</v>
      </c>
      <c r="L1710" s="1470" t="s">
        <v>2129</v>
      </c>
      <c r="M1710" s="1471">
        <v>2.0872000000000002E-2</v>
      </c>
      <c r="N1710" s="1472">
        <v>1.5609593087846019</v>
      </c>
      <c r="O1710" s="1472"/>
    </row>
    <row r="1711" spans="11:15">
      <c r="K1711" s="1469">
        <v>43768</v>
      </c>
      <c r="L1711" s="1470" t="s">
        <v>2129</v>
      </c>
      <c r="M1711" s="1471">
        <v>2.0872000000000002E-2</v>
      </c>
      <c r="N1711" s="1472">
        <v>1.5612851122115314</v>
      </c>
      <c r="O1711" s="1472"/>
    </row>
    <row r="1712" spans="11:15">
      <c r="K1712" s="1469">
        <v>43769</v>
      </c>
      <c r="L1712" s="1470" t="s">
        <v>2129</v>
      </c>
      <c r="M1712" s="1471">
        <v>1.8984999999999998E-2</v>
      </c>
      <c r="N1712" s="1472">
        <v>1.5615815221900846</v>
      </c>
      <c r="O1712" s="1472"/>
    </row>
    <row r="1713" spans="11:15">
      <c r="K1713" s="1469">
        <v>43770</v>
      </c>
      <c r="L1713" s="1470" t="s">
        <v>2129</v>
      </c>
      <c r="M1713" s="1471">
        <v>1.8984999999999998E-2</v>
      </c>
      <c r="N1713" s="1472">
        <v>1.5618779884420724</v>
      </c>
      <c r="O1713" s="1472"/>
    </row>
    <row r="1714" spans="11:15">
      <c r="K1714" s="1469">
        <v>43771</v>
      </c>
      <c r="L1714" s="1470"/>
      <c r="M1714" s="1471">
        <v>0</v>
      </c>
      <c r="N1714" s="1472">
        <v>1.5618779884420724</v>
      </c>
      <c r="O1714" s="1472"/>
    </row>
    <row r="1715" spans="11:15">
      <c r="K1715" s="1469">
        <v>43772</v>
      </c>
      <c r="L1715" s="1470"/>
      <c r="M1715" s="1471">
        <v>0</v>
      </c>
      <c r="N1715" s="1472">
        <v>1.5618779884420724</v>
      </c>
      <c r="O1715" s="1472"/>
    </row>
    <row r="1716" spans="11:15">
      <c r="K1716" s="1469">
        <v>43773</v>
      </c>
      <c r="L1716" s="1470" t="s">
        <v>2129</v>
      </c>
      <c r="M1716" s="1471">
        <v>1.8984999999999998E-2</v>
      </c>
      <c r="N1716" s="1472">
        <v>1.5621745109781779</v>
      </c>
      <c r="O1716" s="1472"/>
    </row>
    <row r="1717" spans="11:15">
      <c r="K1717" s="1469">
        <v>43774</v>
      </c>
      <c r="L1717" s="1470" t="s">
        <v>2129</v>
      </c>
      <c r="M1717" s="1471">
        <v>1.8984999999999998E-2</v>
      </c>
      <c r="N1717" s="1472">
        <v>1.562471089809087</v>
      </c>
      <c r="O1717" s="1472"/>
    </row>
    <row r="1718" spans="11:15">
      <c r="K1718" s="1469">
        <v>43775</v>
      </c>
      <c r="L1718" s="1470" t="s">
        <v>2129</v>
      </c>
      <c r="M1718" s="1471">
        <v>1.8984999999999998E-2</v>
      </c>
      <c r="N1718" s="1472">
        <v>1.5627677249454872</v>
      </c>
      <c r="O1718" s="1472"/>
    </row>
    <row r="1719" spans="11:15">
      <c r="K1719" s="1469">
        <v>43776</v>
      </c>
      <c r="L1719" s="1470" t="s">
        <v>2129</v>
      </c>
      <c r="M1719" s="1471">
        <v>1.8984999999999998E-2</v>
      </c>
      <c r="N1719" s="1472">
        <v>1.563064416398068</v>
      </c>
      <c r="O1719" s="1472"/>
    </row>
    <row r="1720" spans="11:15">
      <c r="K1720" s="1469">
        <v>43777</v>
      </c>
      <c r="L1720" s="1470" t="s">
        <v>2129</v>
      </c>
      <c r="M1720" s="1471">
        <v>1.8984999999999998E-2</v>
      </c>
      <c r="N1720" s="1472">
        <v>1.5633611641775211</v>
      </c>
      <c r="O1720" s="1472"/>
    </row>
    <row r="1721" spans="11:15">
      <c r="K1721" s="1469">
        <v>43778</v>
      </c>
      <c r="L1721" s="1470"/>
      <c r="M1721" s="1471">
        <v>0</v>
      </c>
      <c r="N1721" s="1472">
        <v>1.5633611641775211</v>
      </c>
      <c r="O1721" s="1472"/>
    </row>
    <row r="1722" spans="11:15">
      <c r="K1722" s="1469">
        <v>43779</v>
      </c>
      <c r="L1722" s="1470"/>
      <c r="M1722" s="1471">
        <v>0</v>
      </c>
      <c r="N1722" s="1472">
        <v>1.5633611641775211</v>
      </c>
      <c r="O1722" s="1472"/>
    </row>
    <row r="1723" spans="11:15">
      <c r="K1723" s="1469">
        <v>43780</v>
      </c>
      <c r="L1723" s="1470" t="s">
        <v>2129</v>
      </c>
      <c r="M1723" s="1471">
        <v>1.8984999999999998E-2</v>
      </c>
      <c r="N1723" s="1472">
        <v>1.5636579682945402</v>
      </c>
      <c r="O1723" s="1472"/>
    </row>
    <row r="1724" spans="11:15">
      <c r="K1724" s="1469">
        <v>43781</v>
      </c>
      <c r="L1724" s="1470" t="s">
        <v>2129</v>
      </c>
      <c r="M1724" s="1471">
        <v>1.8984999999999998E-2</v>
      </c>
      <c r="N1724" s="1472">
        <v>1.5639548287598208</v>
      </c>
      <c r="O1724" s="1472"/>
    </row>
    <row r="1725" spans="11:15">
      <c r="K1725" s="1469">
        <v>43782</v>
      </c>
      <c r="L1725" s="1470" t="s">
        <v>2129</v>
      </c>
      <c r="M1725" s="1471">
        <v>1.8984999999999998E-2</v>
      </c>
      <c r="N1725" s="1472">
        <v>1.5642517455840608</v>
      </c>
      <c r="O1725" s="1472"/>
    </row>
    <row r="1726" spans="11:15">
      <c r="K1726" s="1469">
        <v>43783</v>
      </c>
      <c r="L1726" s="1470" t="s">
        <v>2129</v>
      </c>
      <c r="M1726" s="1471">
        <v>1.8984999999999998E-2</v>
      </c>
      <c r="N1726" s="1472">
        <v>1.5645487187779599</v>
      </c>
      <c r="O1726" s="1472"/>
    </row>
    <row r="1727" spans="11:15">
      <c r="K1727" s="1469">
        <v>43784</v>
      </c>
      <c r="L1727" s="1470"/>
      <c r="M1727" s="1471">
        <v>0</v>
      </c>
      <c r="N1727" s="1472">
        <v>1.5645487187779599</v>
      </c>
      <c r="O1727" s="1472"/>
    </row>
    <row r="1728" spans="11:15">
      <c r="K1728" s="1469">
        <v>43785</v>
      </c>
      <c r="L1728" s="1470"/>
      <c r="M1728" s="1471">
        <v>0</v>
      </c>
      <c r="N1728" s="1472">
        <v>1.5645487187779599</v>
      </c>
      <c r="O1728" s="1472"/>
    </row>
    <row r="1729" spans="11:15">
      <c r="K1729" s="1469">
        <v>43786</v>
      </c>
      <c r="L1729" s="1470"/>
      <c r="M1729" s="1471">
        <v>0</v>
      </c>
      <c r="N1729" s="1472">
        <v>1.5645487187779599</v>
      </c>
      <c r="O1729" s="1472"/>
    </row>
    <row r="1730" spans="11:15">
      <c r="K1730" s="1469">
        <v>43787</v>
      </c>
      <c r="L1730" s="1470" t="s">
        <v>2129</v>
      </c>
      <c r="M1730" s="1471">
        <v>1.8984999999999998E-2</v>
      </c>
      <c r="N1730" s="1472">
        <v>1.5648457483522198</v>
      </c>
      <c r="O1730" s="1472"/>
    </row>
    <row r="1731" spans="11:15">
      <c r="K1731" s="1469">
        <v>43788</v>
      </c>
      <c r="L1731" s="1470" t="s">
        <v>2129</v>
      </c>
      <c r="M1731" s="1471">
        <v>1.8984999999999998E-2</v>
      </c>
      <c r="N1731" s="1472">
        <v>1.5651428343175444</v>
      </c>
      <c r="O1731" s="1472"/>
    </row>
    <row r="1732" spans="11:15">
      <c r="K1732" s="1469">
        <v>43789</v>
      </c>
      <c r="L1732" s="1470" t="s">
        <v>2129</v>
      </c>
      <c r="M1732" s="1471">
        <v>1.8984999999999998E-2</v>
      </c>
      <c r="N1732" s="1472">
        <v>1.5654399766846394</v>
      </c>
      <c r="O1732" s="1472"/>
    </row>
    <row r="1733" spans="11:15">
      <c r="K1733" s="1469">
        <v>43790</v>
      </c>
      <c r="L1733" s="1470" t="s">
        <v>2129</v>
      </c>
      <c r="M1733" s="1471">
        <v>1.8984999999999998E-2</v>
      </c>
      <c r="N1733" s="1472">
        <v>1.5657371754642129</v>
      </c>
      <c r="O1733" s="1472"/>
    </row>
    <row r="1734" spans="11:15">
      <c r="K1734" s="1469">
        <v>43791</v>
      </c>
      <c r="L1734" s="1470" t="s">
        <v>2129</v>
      </c>
      <c r="M1734" s="1471">
        <v>1.8984999999999998E-2</v>
      </c>
      <c r="N1734" s="1472">
        <v>1.5660344306669747</v>
      </c>
      <c r="O1734" s="1472"/>
    </row>
    <row r="1735" spans="11:15">
      <c r="K1735" s="1469">
        <v>43792</v>
      </c>
      <c r="L1735" s="1470"/>
      <c r="M1735" s="1471">
        <v>0</v>
      </c>
      <c r="N1735" s="1472">
        <v>1.5660344306669747</v>
      </c>
      <c r="O1735" s="1472"/>
    </row>
    <row r="1736" spans="11:15">
      <c r="K1736" s="1469">
        <v>43793</v>
      </c>
      <c r="L1736" s="1470"/>
      <c r="M1736" s="1471">
        <v>0</v>
      </c>
      <c r="N1736" s="1472">
        <v>1.5660344306669747</v>
      </c>
      <c r="O1736" s="1472"/>
    </row>
    <row r="1737" spans="11:15">
      <c r="K1737" s="1469">
        <v>43794</v>
      </c>
      <c r="L1737" s="1470" t="s">
        <v>2129</v>
      </c>
      <c r="M1737" s="1471">
        <v>1.8984999999999998E-2</v>
      </c>
      <c r="N1737" s="1472">
        <v>1.5663317423036367</v>
      </c>
      <c r="O1737" s="1472"/>
    </row>
    <row r="1738" spans="11:15">
      <c r="K1738" s="1469">
        <v>43795</v>
      </c>
      <c r="L1738" s="1470" t="s">
        <v>2129</v>
      </c>
      <c r="M1738" s="1471">
        <v>1.8984999999999998E-2</v>
      </c>
      <c r="N1738" s="1472">
        <v>1.566629110384913</v>
      </c>
      <c r="O1738" s="1472"/>
    </row>
    <row r="1739" spans="11:15">
      <c r="K1739" s="1469">
        <v>43796</v>
      </c>
      <c r="L1739" s="1470" t="s">
        <v>2129</v>
      </c>
      <c r="M1739" s="1471">
        <v>1.8984999999999998E-2</v>
      </c>
      <c r="N1739" s="1472">
        <v>1.5669265349215196</v>
      </c>
      <c r="O1739" s="1472"/>
    </row>
    <row r="1740" spans="11:15">
      <c r="K1740" s="1469">
        <v>43797</v>
      </c>
      <c r="L1740" s="1470" t="s">
        <v>2129</v>
      </c>
      <c r="M1740" s="1471">
        <v>1.8984999999999998E-2</v>
      </c>
      <c r="N1740" s="1472">
        <v>1.5672240159241744</v>
      </c>
      <c r="O1740" s="1472"/>
    </row>
    <row r="1741" spans="11:15">
      <c r="K1741" s="1469">
        <v>43798</v>
      </c>
      <c r="L1741" s="1470" t="s">
        <v>2129</v>
      </c>
      <c r="M1741" s="1471">
        <v>1.8984999999999998E-2</v>
      </c>
      <c r="N1741" s="1472">
        <v>1.5675215534035976</v>
      </c>
      <c r="O1741" s="1472"/>
    </row>
    <row r="1742" spans="11:15">
      <c r="K1742" s="1469">
        <v>43799</v>
      </c>
      <c r="L1742" s="1470"/>
      <c r="M1742" s="1471">
        <v>0</v>
      </c>
      <c r="N1742" s="1472">
        <v>1.5675215534035976</v>
      </c>
      <c r="O1742" s="1472"/>
    </row>
    <row r="1743" spans="11:15">
      <c r="K1743" s="1469">
        <v>43800</v>
      </c>
      <c r="L1743" s="1470"/>
      <c r="M1743" s="1471">
        <v>0</v>
      </c>
      <c r="N1743" s="1472">
        <v>1.5675215534035976</v>
      </c>
      <c r="O1743" s="1472"/>
    </row>
    <row r="1744" spans="11:15">
      <c r="K1744" s="1469">
        <v>43801</v>
      </c>
      <c r="L1744" s="1470" t="s">
        <v>2129</v>
      </c>
      <c r="M1744" s="1471">
        <v>1.8984999999999998E-2</v>
      </c>
      <c r="N1744" s="1472">
        <v>1.5678191473705112</v>
      </c>
      <c r="O1744" s="1472"/>
    </row>
    <row r="1745" spans="11:15">
      <c r="K1745" s="1469">
        <v>43802</v>
      </c>
      <c r="L1745" s="1470" t="s">
        <v>2129</v>
      </c>
      <c r="M1745" s="1471">
        <v>1.8984999999999998E-2</v>
      </c>
      <c r="N1745" s="1472">
        <v>1.5681167978356394</v>
      </c>
      <c r="O1745" s="1472"/>
    </row>
    <row r="1746" spans="11:15">
      <c r="K1746" s="1469">
        <v>43803</v>
      </c>
      <c r="L1746" s="1470" t="s">
        <v>2129</v>
      </c>
      <c r="M1746" s="1471">
        <v>1.8984999999999998E-2</v>
      </c>
      <c r="N1746" s="1472">
        <v>1.5684145048097085</v>
      </c>
      <c r="O1746" s="1472"/>
    </row>
    <row r="1747" spans="11:15">
      <c r="K1747" s="1469">
        <v>43804</v>
      </c>
      <c r="L1747" s="1470" t="s">
        <v>2129</v>
      </c>
      <c r="M1747" s="1471">
        <v>1.8984999999999998E-2</v>
      </c>
      <c r="N1747" s="1472">
        <v>1.5687122683034465</v>
      </c>
      <c r="O1747" s="1472"/>
    </row>
    <row r="1748" spans="11:15">
      <c r="K1748" s="1469">
        <v>43805</v>
      </c>
      <c r="L1748" s="1470" t="s">
        <v>2129</v>
      </c>
      <c r="M1748" s="1471">
        <v>1.8984999999999998E-2</v>
      </c>
      <c r="N1748" s="1472">
        <v>1.5690100883275837</v>
      </c>
      <c r="O1748" s="1472"/>
    </row>
    <row r="1749" spans="11:15">
      <c r="K1749" s="1469">
        <v>43806</v>
      </c>
      <c r="L1749" s="1470"/>
      <c r="M1749" s="1471">
        <v>0</v>
      </c>
      <c r="N1749" s="1472">
        <v>1.5690100883275837</v>
      </c>
      <c r="O1749" s="1472"/>
    </row>
    <row r="1750" spans="11:15">
      <c r="K1750" s="1469">
        <v>43807</v>
      </c>
      <c r="L1750" s="1470"/>
      <c r="M1750" s="1471">
        <v>0</v>
      </c>
      <c r="N1750" s="1472">
        <v>1.5690100883275837</v>
      </c>
      <c r="O1750" s="1472"/>
    </row>
    <row r="1751" spans="11:15">
      <c r="K1751" s="1469">
        <v>43808</v>
      </c>
      <c r="L1751" s="1470" t="s">
        <v>2129</v>
      </c>
      <c r="M1751" s="1471">
        <v>1.8984999999999998E-2</v>
      </c>
      <c r="N1751" s="1472">
        <v>1.5693079648928525</v>
      </c>
      <c r="O1751" s="1472"/>
    </row>
    <row r="1752" spans="11:15">
      <c r="K1752" s="1469">
        <v>43809</v>
      </c>
      <c r="L1752" s="1470" t="s">
        <v>2129</v>
      </c>
      <c r="M1752" s="1471">
        <v>1.8984999999999998E-2</v>
      </c>
      <c r="N1752" s="1472">
        <v>1.5696058980099874</v>
      </c>
      <c r="O1752" s="1472"/>
    </row>
    <row r="1753" spans="11:15">
      <c r="K1753" s="1469">
        <v>43810</v>
      </c>
      <c r="L1753" s="1470" t="s">
        <v>2129</v>
      </c>
      <c r="M1753" s="1471">
        <v>1.8984999999999998E-2</v>
      </c>
      <c r="N1753" s="1472">
        <v>1.5699038876897244</v>
      </c>
      <c r="O1753" s="1472"/>
    </row>
    <row r="1754" spans="11:15">
      <c r="K1754" s="1469">
        <v>43811</v>
      </c>
      <c r="L1754" s="1470" t="s">
        <v>2129</v>
      </c>
      <c r="M1754" s="1471">
        <v>1.7089E-2</v>
      </c>
      <c r="N1754" s="1472">
        <v>1.5701721685650916</v>
      </c>
      <c r="O1754" s="1472"/>
    </row>
    <row r="1755" spans="11:15">
      <c r="K1755" s="1469">
        <v>43812</v>
      </c>
      <c r="L1755" s="1470" t="s">
        <v>2129</v>
      </c>
      <c r="M1755" s="1471">
        <v>1.7089E-2</v>
      </c>
      <c r="N1755" s="1472">
        <v>1.5704404952869775</v>
      </c>
      <c r="O1755" s="1472"/>
    </row>
    <row r="1756" spans="11:15">
      <c r="K1756" s="1469">
        <v>43813</v>
      </c>
      <c r="L1756" s="1470"/>
      <c r="M1756" s="1471">
        <v>0</v>
      </c>
      <c r="N1756" s="1472">
        <v>1.5704404952869775</v>
      </c>
      <c r="O1756" s="1472"/>
    </row>
    <row r="1757" spans="11:15">
      <c r="K1757" s="1469">
        <v>43814</v>
      </c>
      <c r="L1757" s="1470"/>
      <c r="M1757" s="1471">
        <v>0</v>
      </c>
      <c r="N1757" s="1472">
        <v>1.5704404952869775</v>
      </c>
      <c r="O1757" s="1472"/>
    </row>
    <row r="1758" spans="11:15">
      <c r="K1758" s="1469">
        <v>43815</v>
      </c>
      <c r="L1758" s="1470" t="s">
        <v>2129</v>
      </c>
      <c r="M1758" s="1471">
        <v>1.7089E-2</v>
      </c>
      <c r="N1758" s="1472">
        <v>1.5707088678632171</v>
      </c>
      <c r="O1758" s="1472"/>
    </row>
    <row r="1759" spans="11:15">
      <c r="K1759" s="1469">
        <v>43816</v>
      </c>
      <c r="L1759" s="1470" t="s">
        <v>2129</v>
      </c>
      <c r="M1759" s="1471">
        <v>1.7089E-2</v>
      </c>
      <c r="N1759" s="1472">
        <v>1.570977286301646</v>
      </c>
      <c r="O1759" s="1472"/>
    </row>
    <row r="1760" spans="11:15">
      <c r="K1760" s="1469">
        <v>43817</v>
      </c>
      <c r="L1760" s="1470" t="s">
        <v>2129</v>
      </c>
      <c r="M1760" s="1471">
        <v>1.7089E-2</v>
      </c>
      <c r="N1760" s="1472">
        <v>1.5712457506101021</v>
      </c>
      <c r="O1760" s="1472"/>
    </row>
    <row r="1761" spans="11:15">
      <c r="K1761" s="1469">
        <v>43818</v>
      </c>
      <c r="L1761" s="1470" t="s">
        <v>2129</v>
      </c>
      <c r="M1761" s="1471">
        <v>1.7089E-2</v>
      </c>
      <c r="N1761" s="1472">
        <v>1.5715142607964236</v>
      </c>
      <c r="O1761" s="1472"/>
    </row>
    <row r="1762" spans="11:15">
      <c r="K1762" s="1469">
        <v>43819</v>
      </c>
      <c r="L1762" s="1470" t="s">
        <v>2129</v>
      </c>
      <c r="M1762" s="1471">
        <v>1.7089E-2</v>
      </c>
      <c r="N1762" s="1472">
        <v>1.5717828168684511</v>
      </c>
      <c r="O1762" s="1472"/>
    </row>
    <row r="1763" spans="11:15">
      <c r="K1763" s="1469">
        <v>43820</v>
      </c>
      <c r="L1763" s="1470"/>
      <c r="M1763" s="1471">
        <v>0</v>
      </c>
      <c r="N1763" s="1472">
        <v>1.5717828168684511</v>
      </c>
      <c r="O1763" s="1472"/>
    </row>
    <row r="1764" spans="11:15">
      <c r="K1764" s="1469">
        <v>43821</v>
      </c>
      <c r="L1764" s="1470"/>
      <c r="M1764" s="1471">
        <v>0</v>
      </c>
      <c r="N1764" s="1472">
        <v>1.5717828168684511</v>
      </c>
      <c r="O1764" s="1472"/>
    </row>
    <row r="1765" spans="11:15">
      <c r="K1765" s="1469">
        <v>43822</v>
      </c>
      <c r="L1765" s="1470" t="s">
        <v>2129</v>
      </c>
      <c r="M1765" s="1471">
        <v>1.7089E-2</v>
      </c>
      <c r="N1765" s="1472">
        <v>1.5720514188340255</v>
      </c>
      <c r="O1765" s="1472"/>
    </row>
    <row r="1766" spans="11:15">
      <c r="K1766" s="1469">
        <v>43823</v>
      </c>
      <c r="L1766" s="1470" t="s">
        <v>2129</v>
      </c>
      <c r="M1766" s="1471">
        <v>1.7089E-2</v>
      </c>
      <c r="N1766" s="1472">
        <v>1.57232006670099</v>
      </c>
      <c r="O1766" s="1472"/>
    </row>
    <row r="1767" spans="11:15">
      <c r="K1767" s="1469">
        <v>43824</v>
      </c>
      <c r="L1767" s="1470"/>
      <c r="M1767" s="1471">
        <v>0</v>
      </c>
      <c r="N1767" s="1472">
        <v>1.57232006670099</v>
      </c>
      <c r="O1767" s="1472"/>
    </row>
    <row r="1768" spans="11:15">
      <c r="K1768" s="1469">
        <v>43825</v>
      </c>
      <c r="L1768" s="1470" t="s">
        <v>2129</v>
      </c>
      <c r="M1768" s="1471">
        <v>1.7089E-2</v>
      </c>
      <c r="N1768" s="1472">
        <v>1.5725887604771884</v>
      </c>
      <c r="O1768" s="1472"/>
    </row>
    <row r="1769" spans="11:15">
      <c r="K1769" s="1469">
        <v>43826</v>
      </c>
      <c r="L1769" s="1470" t="s">
        <v>2129</v>
      </c>
      <c r="M1769" s="1471">
        <v>1.7089E-2</v>
      </c>
      <c r="N1769" s="1472">
        <v>1.5728575001704663</v>
      </c>
      <c r="O1769" s="1472"/>
    </row>
    <row r="1770" spans="11:15">
      <c r="K1770" s="1469">
        <v>43827</v>
      </c>
      <c r="L1770" s="1470"/>
      <c r="M1770" s="1471">
        <v>0</v>
      </c>
      <c r="N1770" s="1472">
        <v>1.5728575001704663</v>
      </c>
      <c r="O1770" s="1472"/>
    </row>
    <row r="1771" spans="11:15">
      <c r="K1771" s="1469">
        <v>43828</v>
      </c>
      <c r="L1771" s="1470"/>
      <c r="M1771" s="1471">
        <v>0</v>
      </c>
      <c r="N1771" s="1472">
        <v>1.5728575001704663</v>
      </c>
      <c r="O1771" s="1472"/>
    </row>
    <row r="1772" spans="11:15">
      <c r="K1772" s="1469">
        <v>43829</v>
      </c>
      <c r="L1772" s="1470" t="s">
        <v>2129</v>
      </c>
      <c r="M1772" s="1471">
        <v>1.7089E-2</v>
      </c>
      <c r="N1772" s="1472">
        <v>1.5731262857886703</v>
      </c>
      <c r="O1772" s="1472"/>
    </row>
    <row r="1773" spans="11:15">
      <c r="K1773" s="1469">
        <v>43830</v>
      </c>
      <c r="L1773" s="1470" t="s">
        <v>2129</v>
      </c>
      <c r="M1773" s="1471">
        <v>1.7089E-2</v>
      </c>
      <c r="N1773" s="1472">
        <v>1.5733951173396485</v>
      </c>
      <c r="O1773" s="1472"/>
    </row>
    <row r="1774" spans="11:15">
      <c r="K1774" s="1469">
        <v>43831</v>
      </c>
      <c r="L1774" s="1470"/>
      <c r="M1774" s="1471">
        <v>0</v>
      </c>
      <c r="N1774" s="1472">
        <v>1.5733951173396485</v>
      </c>
      <c r="O1774" s="1472"/>
    </row>
    <row r="1775" spans="11:15">
      <c r="K1775" s="1469">
        <v>43832</v>
      </c>
      <c r="L1775" s="1470" t="s">
        <v>2129</v>
      </c>
      <c r="M1775" s="1471">
        <v>1.7089E-2</v>
      </c>
      <c r="N1775" s="1472">
        <v>1.5736639948312505</v>
      </c>
      <c r="O1775" s="1472"/>
    </row>
    <row r="1776" spans="11:15">
      <c r="K1776" s="1469">
        <v>43833</v>
      </c>
      <c r="L1776" s="1470" t="s">
        <v>2129</v>
      </c>
      <c r="M1776" s="1471">
        <v>1.7089E-2</v>
      </c>
      <c r="N1776" s="1472">
        <v>1.5739329182713271</v>
      </c>
      <c r="O1776" s="1472"/>
    </row>
    <row r="1777" spans="11:15">
      <c r="K1777" s="1469">
        <v>43834</v>
      </c>
      <c r="L1777" s="1470"/>
      <c r="M1777" s="1471">
        <v>0</v>
      </c>
      <c r="N1777" s="1472">
        <v>1.5739329182713271</v>
      </c>
      <c r="O1777" s="1472"/>
    </row>
    <row r="1778" spans="11:15">
      <c r="K1778" s="1469">
        <v>43835</v>
      </c>
      <c r="L1778" s="1470"/>
      <c r="M1778" s="1471">
        <v>0</v>
      </c>
      <c r="N1778" s="1472">
        <v>1.5739329182713271</v>
      </c>
      <c r="O1778" s="1472"/>
    </row>
    <row r="1779" spans="11:15">
      <c r="K1779" s="1469">
        <v>43836</v>
      </c>
      <c r="L1779" s="1470" t="s">
        <v>2129</v>
      </c>
      <c r="M1779" s="1471">
        <v>1.7089E-2</v>
      </c>
      <c r="N1779" s="1472">
        <v>1.5742018876677304</v>
      </c>
      <c r="O1779" s="1472"/>
    </row>
    <row r="1780" spans="11:15">
      <c r="K1780" s="1469">
        <v>43837</v>
      </c>
      <c r="L1780" s="1470" t="s">
        <v>2129</v>
      </c>
      <c r="M1780" s="1471">
        <v>1.7089E-2</v>
      </c>
      <c r="N1780" s="1472">
        <v>1.5744709030283137</v>
      </c>
      <c r="O1780" s="1472"/>
    </row>
    <row r="1781" spans="11:15">
      <c r="K1781" s="1469">
        <v>43838</v>
      </c>
      <c r="L1781" s="1470" t="s">
        <v>2129</v>
      </c>
      <c r="M1781" s="1471">
        <v>1.7089E-2</v>
      </c>
      <c r="N1781" s="1472">
        <v>1.5747399643609321</v>
      </c>
      <c r="O1781" s="1472"/>
    </row>
    <row r="1782" spans="11:15">
      <c r="K1782" s="1469">
        <v>43839</v>
      </c>
      <c r="L1782" s="1470" t="s">
        <v>2129</v>
      </c>
      <c r="M1782" s="1471">
        <v>1.7089E-2</v>
      </c>
      <c r="N1782" s="1472">
        <v>1.5750090716734417</v>
      </c>
      <c r="O1782" s="1472"/>
    </row>
    <row r="1783" spans="11:15">
      <c r="K1783" s="1469">
        <v>43840</v>
      </c>
      <c r="L1783" s="1470" t="s">
        <v>2129</v>
      </c>
      <c r="M1783" s="1471">
        <v>1.7089E-2</v>
      </c>
      <c r="N1783" s="1472">
        <v>1.5752782249736998</v>
      </c>
      <c r="O1783" s="1472"/>
    </row>
    <row r="1784" spans="11:15">
      <c r="K1784" s="1469">
        <v>43841</v>
      </c>
      <c r="L1784" s="1470"/>
      <c r="M1784" s="1471">
        <v>0</v>
      </c>
      <c r="N1784" s="1472">
        <v>1.5752782249736998</v>
      </c>
      <c r="O1784" s="1472"/>
    </row>
    <row r="1785" spans="11:15">
      <c r="K1785" s="1469">
        <v>43842</v>
      </c>
      <c r="L1785" s="1470"/>
      <c r="M1785" s="1471">
        <v>0</v>
      </c>
      <c r="N1785" s="1472">
        <v>1.5752782249736998</v>
      </c>
      <c r="O1785" s="1472"/>
    </row>
    <row r="1786" spans="11:15">
      <c r="K1786" s="1469">
        <v>43843</v>
      </c>
      <c r="L1786" s="1470" t="s">
        <v>2129</v>
      </c>
      <c r="M1786" s="1471">
        <v>1.7089E-2</v>
      </c>
      <c r="N1786" s="1472">
        <v>1.5755474242695655</v>
      </c>
      <c r="O1786" s="1472"/>
    </row>
    <row r="1787" spans="11:15">
      <c r="K1787" s="1469">
        <v>43844</v>
      </c>
      <c r="L1787" s="1470" t="s">
        <v>2129</v>
      </c>
      <c r="M1787" s="1471">
        <v>1.7089E-2</v>
      </c>
      <c r="N1787" s="1472">
        <v>1.5758166695688989</v>
      </c>
      <c r="O1787" s="1472"/>
    </row>
    <row r="1788" spans="11:15">
      <c r="K1788" s="1469">
        <v>43845</v>
      </c>
      <c r="L1788" s="1470" t="s">
        <v>2129</v>
      </c>
      <c r="M1788" s="1471">
        <v>1.7089E-2</v>
      </c>
      <c r="N1788" s="1472">
        <v>1.5760859608795614</v>
      </c>
      <c r="O1788" s="1472"/>
    </row>
    <row r="1789" spans="11:15">
      <c r="K1789" s="1469">
        <v>43846</v>
      </c>
      <c r="L1789" s="1470" t="s">
        <v>2129</v>
      </c>
      <c r="M1789" s="1471">
        <v>1.7089E-2</v>
      </c>
      <c r="N1789" s="1472">
        <v>1.576355298209416</v>
      </c>
      <c r="O1789" s="1472"/>
    </row>
    <row r="1790" spans="11:15">
      <c r="K1790" s="1469">
        <v>43847</v>
      </c>
      <c r="L1790" s="1470" t="s">
        <v>2129</v>
      </c>
      <c r="M1790" s="1471">
        <v>1.7089E-2</v>
      </c>
      <c r="N1790" s="1472">
        <v>1.576624681566327</v>
      </c>
      <c r="O1790" s="1472"/>
    </row>
    <row r="1791" spans="11:15">
      <c r="K1791" s="1469">
        <v>43848</v>
      </c>
      <c r="L1791" s="1470"/>
      <c r="M1791" s="1471">
        <v>0</v>
      </c>
      <c r="N1791" s="1472">
        <v>1.576624681566327</v>
      </c>
      <c r="O1791" s="1472"/>
    </row>
    <row r="1792" spans="11:15">
      <c r="K1792" s="1469">
        <v>43849</v>
      </c>
      <c r="L1792" s="1470"/>
      <c r="M1792" s="1471">
        <v>0</v>
      </c>
      <c r="N1792" s="1472">
        <v>1.576624681566327</v>
      </c>
      <c r="O1792" s="1472"/>
    </row>
    <row r="1793" spans="11:15">
      <c r="K1793" s="1469">
        <v>43850</v>
      </c>
      <c r="L1793" s="1470" t="s">
        <v>2129</v>
      </c>
      <c r="M1793" s="1471">
        <v>1.7089E-2</v>
      </c>
      <c r="N1793" s="1472">
        <v>1.5768941109581598</v>
      </c>
      <c r="O1793" s="1472"/>
    </row>
    <row r="1794" spans="11:15">
      <c r="K1794" s="1469">
        <v>43851</v>
      </c>
      <c r="L1794" s="1470" t="s">
        <v>2129</v>
      </c>
      <c r="M1794" s="1471">
        <v>1.7089E-2</v>
      </c>
      <c r="N1794" s="1472">
        <v>1.5771635863927813</v>
      </c>
      <c r="O1794" s="1472"/>
    </row>
    <row r="1795" spans="11:15">
      <c r="K1795" s="1469">
        <v>43852</v>
      </c>
      <c r="L1795" s="1470" t="s">
        <v>2129</v>
      </c>
      <c r="M1795" s="1471">
        <v>1.7089E-2</v>
      </c>
      <c r="N1795" s="1472">
        <v>1.5774331078780599</v>
      </c>
      <c r="O1795" s="1472"/>
    </row>
    <row r="1796" spans="11:15">
      <c r="K1796" s="1469">
        <v>43853</v>
      </c>
      <c r="L1796" s="1470" t="s">
        <v>2129</v>
      </c>
      <c r="M1796" s="1471">
        <v>1.7089E-2</v>
      </c>
      <c r="N1796" s="1472">
        <v>1.577702675421865</v>
      </c>
      <c r="O1796" s="1472"/>
    </row>
    <row r="1797" spans="11:15">
      <c r="K1797" s="1469">
        <v>43854</v>
      </c>
      <c r="L1797" s="1470" t="s">
        <v>2129</v>
      </c>
      <c r="M1797" s="1471">
        <v>1.7089E-2</v>
      </c>
      <c r="N1797" s="1472">
        <v>1.5779722890320678</v>
      </c>
      <c r="O1797" s="1472"/>
    </row>
    <row r="1798" spans="11:15">
      <c r="K1798" s="1469">
        <v>43855</v>
      </c>
      <c r="L1798" s="1470"/>
      <c r="M1798" s="1471">
        <v>0</v>
      </c>
      <c r="N1798" s="1472">
        <v>1.5779722890320678</v>
      </c>
      <c r="O1798" s="1472"/>
    </row>
    <row r="1799" spans="11:15">
      <c r="K1799" s="1469">
        <v>43856</v>
      </c>
      <c r="L1799" s="1470"/>
      <c r="M1799" s="1471">
        <v>0</v>
      </c>
      <c r="N1799" s="1472">
        <v>1.5779722890320678</v>
      </c>
      <c r="O1799" s="1472"/>
    </row>
    <row r="1800" spans="11:15">
      <c r="K1800" s="1469">
        <v>43857</v>
      </c>
      <c r="L1800" s="1470" t="s">
        <v>2129</v>
      </c>
      <c r="M1800" s="1471">
        <v>1.7089E-2</v>
      </c>
      <c r="N1800" s="1472">
        <v>1.5782419487165404</v>
      </c>
      <c r="O1800" s="1472"/>
    </row>
    <row r="1801" spans="11:15">
      <c r="K1801" s="1469">
        <v>43858</v>
      </c>
      <c r="L1801" s="1470" t="s">
        <v>2129</v>
      </c>
      <c r="M1801" s="1471">
        <v>1.7089E-2</v>
      </c>
      <c r="N1801" s="1472">
        <v>1.5785116544831566</v>
      </c>
      <c r="O1801" s="1472"/>
    </row>
    <row r="1802" spans="11:15">
      <c r="K1802" s="1469">
        <v>43859</v>
      </c>
      <c r="L1802" s="1470" t="s">
        <v>2129</v>
      </c>
      <c r="M1802" s="1471">
        <v>1.7089E-2</v>
      </c>
      <c r="N1802" s="1472">
        <v>1.5787814063397911</v>
      </c>
      <c r="O1802" s="1472"/>
    </row>
    <row r="1803" spans="11:15">
      <c r="K1803" s="1469">
        <v>43860</v>
      </c>
      <c r="L1803" s="1470" t="s">
        <v>2129</v>
      </c>
      <c r="M1803" s="1471">
        <v>1.7089E-2</v>
      </c>
      <c r="N1803" s="1472">
        <v>1.5790512042943203</v>
      </c>
      <c r="O1803" s="1472"/>
    </row>
    <row r="1804" spans="11:15">
      <c r="K1804" s="1469">
        <v>43861</v>
      </c>
      <c r="L1804" s="1470" t="s">
        <v>2129</v>
      </c>
      <c r="M1804" s="1471">
        <v>1.7089E-2</v>
      </c>
      <c r="N1804" s="1472">
        <v>1.5793210483546221</v>
      </c>
      <c r="O1804" s="1472"/>
    </row>
    <row r="1805" spans="11:15">
      <c r="K1805" s="1469">
        <v>43862</v>
      </c>
      <c r="L1805" s="1470"/>
      <c r="M1805" s="1471">
        <v>0</v>
      </c>
      <c r="N1805" s="1472">
        <v>1.5793210483546221</v>
      </c>
      <c r="O1805" s="1472"/>
    </row>
    <row r="1806" spans="11:15">
      <c r="K1806" s="1469">
        <v>43863</v>
      </c>
      <c r="L1806" s="1470"/>
      <c r="M1806" s="1471">
        <v>0</v>
      </c>
      <c r="N1806" s="1472">
        <v>1.5793210483546221</v>
      </c>
      <c r="O1806" s="1472"/>
    </row>
    <row r="1807" spans="11:15">
      <c r="K1807" s="1469">
        <v>43864</v>
      </c>
      <c r="L1807" s="1470" t="s">
        <v>2129</v>
      </c>
      <c r="M1807" s="1471">
        <v>1.7089E-2</v>
      </c>
      <c r="N1807" s="1472">
        <v>1.5795909385285754</v>
      </c>
      <c r="O1807" s="1472"/>
    </row>
    <row r="1808" spans="11:15">
      <c r="K1808" s="1469">
        <v>43865</v>
      </c>
      <c r="L1808" s="1470" t="s">
        <v>2129</v>
      </c>
      <c r="M1808" s="1471">
        <v>1.7089E-2</v>
      </c>
      <c r="N1808" s="1472">
        <v>1.5798608748240603</v>
      </c>
      <c r="O1808" s="1472"/>
    </row>
    <row r="1809" spans="11:15">
      <c r="K1809" s="1469">
        <v>43866</v>
      </c>
      <c r="L1809" s="1470" t="s">
        <v>2129</v>
      </c>
      <c r="M1809" s="1471">
        <v>1.7089E-2</v>
      </c>
      <c r="N1809" s="1472">
        <v>1.580130857248959</v>
      </c>
      <c r="O1809" s="1472"/>
    </row>
    <row r="1810" spans="11:15">
      <c r="K1810" s="1469">
        <v>43867</v>
      </c>
      <c r="L1810" s="1470" t="s">
        <v>2129</v>
      </c>
      <c r="M1810" s="1471">
        <v>1.6136999999999999E-2</v>
      </c>
      <c r="N1810" s="1472">
        <v>1.5803858429653934</v>
      </c>
      <c r="O1810" s="1472"/>
    </row>
    <row r="1811" spans="11:15">
      <c r="K1811" s="1469">
        <v>43868</v>
      </c>
      <c r="L1811" s="1470" t="s">
        <v>2129</v>
      </c>
      <c r="M1811" s="1471">
        <v>1.6136999999999999E-2</v>
      </c>
      <c r="N1811" s="1472">
        <v>1.5806408698288728</v>
      </c>
      <c r="O1811" s="1472"/>
    </row>
    <row r="1812" spans="11:15">
      <c r="K1812" s="1469">
        <v>43869</v>
      </c>
      <c r="L1812" s="1470"/>
      <c r="M1812" s="1471">
        <v>0</v>
      </c>
      <c r="N1812" s="1472">
        <v>1.5806408698288728</v>
      </c>
      <c r="O1812" s="1472"/>
    </row>
    <row r="1813" spans="11:15">
      <c r="K1813" s="1469">
        <v>43870</v>
      </c>
      <c r="L1813" s="1470"/>
      <c r="M1813" s="1471">
        <v>0</v>
      </c>
      <c r="N1813" s="1472">
        <v>1.5806408698288728</v>
      </c>
      <c r="O1813" s="1472"/>
    </row>
    <row r="1814" spans="11:15">
      <c r="K1814" s="1469">
        <v>43871</v>
      </c>
      <c r="L1814" s="1470" t="s">
        <v>2129</v>
      </c>
      <c r="M1814" s="1471">
        <v>1.6136999999999999E-2</v>
      </c>
      <c r="N1814" s="1472">
        <v>1.5808959378460372</v>
      </c>
      <c r="O1814" s="1472"/>
    </row>
    <row r="1815" spans="11:15">
      <c r="K1815" s="1469">
        <v>43872</v>
      </c>
      <c r="L1815" s="1470" t="s">
        <v>2129</v>
      </c>
      <c r="M1815" s="1471">
        <v>1.6136999999999999E-2</v>
      </c>
      <c r="N1815" s="1472">
        <v>1.5811510470235275</v>
      </c>
      <c r="O1815" s="1472"/>
    </row>
    <row r="1816" spans="11:15">
      <c r="K1816" s="1469">
        <v>43873</v>
      </c>
      <c r="L1816" s="1470" t="s">
        <v>2129</v>
      </c>
      <c r="M1816" s="1471">
        <v>1.6136999999999999E-2</v>
      </c>
      <c r="N1816" s="1472">
        <v>1.5814061973679858</v>
      </c>
      <c r="O1816" s="1472"/>
    </row>
    <row r="1817" spans="11:15">
      <c r="K1817" s="1469">
        <v>43874</v>
      </c>
      <c r="L1817" s="1470" t="s">
        <v>2129</v>
      </c>
      <c r="M1817" s="1471">
        <v>1.6136999999999999E-2</v>
      </c>
      <c r="N1817" s="1472">
        <v>1.5816613888860551</v>
      </c>
      <c r="O1817" s="1472"/>
    </row>
    <row r="1818" spans="11:15">
      <c r="K1818" s="1469">
        <v>43875</v>
      </c>
      <c r="L1818" s="1470" t="s">
        <v>2129</v>
      </c>
      <c r="M1818" s="1471">
        <v>1.6136999999999999E-2</v>
      </c>
      <c r="N1818" s="1472">
        <v>1.5819166215843798</v>
      </c>
      <c r="O1818" s="1472"/>
    </row>
    <row r="1819" spans="11:15">
      <c r="K1819" s="1469">
        <v>43876</v>
      </c>
      <c r="L1819" s="1470"/>
      <c r="M1819" s="1471">
        <v>0</v>
      </c>
      <c r="N1819" s="1472">
        <v>1.5819166215843798</v>
      </c>
      <c r="O1819" s="1472"/>
    </row>
    <row r="1820" spans="11:15">
      <c r="K1820" s="1469">
        <v>43877</v>
      </c>
      <c r="L1820" s="1470"/>
      <c r="M1820" s="1471">
        <v>0</v>
      </c>
      <c r="N1820" s="1472">
        <v>1.5819166215843798</v>
      </c>
      <c r="O1820" s="1472"/>
    </row>
    <row r="1821" spans="11:15">
      <c r="K1821" s="1469">
        <v>43878</v>
      </c>
      <c r="L1821" s="1470" t="s">
        <v>2129</v>
      </c>
      <c r="M1821" s="1471">
        <v>1.6136999999999999E-2</v>
      </c>
      <c r="N1821" s="1472">
        <v>1.5821718954696049</v>
      </c>
      <c r="O1821" s="1472"/>
    </row>
    <row r="1822" spans="11:15">
      <c r="K1822" s="1469">
        <v>43879</v>
      </c>
      <c r="L1822" s="1470" t="s">
        <v>2129</v>
      </c>
      <c r="M1822" s="1471">
        <v>1.6136999999999999E-2</v>
      </c>
      <c r="N1822" s="1472">
        <v>1.582427210548377</v>
      </c>
      <c r="O1822" s="1472"/>
    </row>
    <row r="1823" spans="11:15">
      <c r="K1823" s="1469">
        <v>43880</v>
      </c>
      <c r="L1823" s="1470" t="s">
        <v>2129</v>
      </c>
      <c r="M1823" s="1471">
        <v>1.6136999999999999E-2</v>
      </c>
      <c r="N1823" s="1472">
        <v>1.5826825668273432</v>
      </c>
      <c r="O1823" s="1472"/>
    </row>
    <row r="1824" spans="11:15">
      <c r="K1824" s="1469">
        <v>43881</v>
      </c>
      <c r="L1824" s="1470" t="s">
        <v>2129</v>
      </c>
      <c r="M1824" s="1471">
        <v>1.6136999999999999E-2</v>
      </c>
      <c r="N1824" s="1472">
        <v>1.5829379643131523</v>
      </c>
      <c r="O1824" s="1472"/>
    </row>
    <row r="1825" spans="11:15">
      <c r="K1825" s="1469">
        <v>43882</v>
      </c>
      <c r="L1825" s="1470" t="s">
        <v>2129</v>
      </c>
      <c r="M1825" s="1471">
        <v>1.6136999999999999E-2</v>
      </c>
      <c r="N1825" s="1472">
        <v>1.5831934030124535</v>
      </c>
      <c r="O1825" s="1472"/>
    </row>
    <row r="1826" spans="11:15">
      <c r="K1826" s="1469">
        <v>43883</v>
      </c>
      <c r="L1826" s="1470"/>
      <c r="M1826" s="1471">
        <v>0</v>
      </c>
      <c r="N1826" s="1472">
        <v>1.5831934030124535</v>
      </c>
      <c r="O1826" s="1472"/>
    </row>
    <row r="1827" spans="11:15">
      <c r="K1827" s="1469">
        <v>43884</v>
      </c>
      <c r="L1827" s="1470"/>
      <c r="M1827" s="1471">
        <v>0</v>
      </c>
      <c r="N1827" s="1472">
        <v>1.5831934030124535</v>
      </c>
      <c r="O1827" s="1472"/>
    </row>
    <row r="1828" spans="11:15">
      <c r="K1828" s="1469">
        <v>43885</v>
      </c>
      <c r="L1828" s="1470"/>
      <c r="M1828" s="1471">
        <v>0</v>
      </c>
      <c r="N1828" s="1472">
        <v>1.5831934030124535</v>
      </c>
      <c r="O1828" s="1472"/>
    </row>
    <row r="1829" spans="11:15">
      <c r="K1829" s="1469">
        <v>43886</v>
      </c>
      <c r="L1829" s="1470"/>
      <c r="M1829" s="1471">
        <v>0</v>
      </c>
      <c r="N1829" s="1472">
        <v>1.5831934030124535</v>
      </c>
      <c r="O1829" s="1472"/>
    </row>
    <row r="1830" spans="11:15">
      <c r="K1830" s="1469">
        <v>43887</v>
      </c>
      <c r="L1830" s="1470" t="s">
        <v>2129</v>
      </c>
      <c r="M1830" s="1471">
        <v>1.6136999999999999E-2</v>
      </c>
      <c r="N1830" s="1472">
        <v>1.5834488829318978</v>
      </c>
      <c r="O1830" s="1472"/>
    </row>
    <row r="1831" spans="11:15">
      <c r="K1831" s="1469">
        <v>43888</v>
      </c>
      <c r="L1831" s="1470" t="s">
        <v>2129</v>
      </c>
      <c r="M1831" s="1471">
        <v>1.6136999999999999E-2</v>
      </c>
      <c r="N1831" s="1472">
        <v>1.5837044040781365</v>
      </c>
      <c r="O1831" s="1472"/>
    </row>
    <row r="1832" spans="11:15">
      <c r="K1832" s="1469">
        <v>43889</v>
      </c>
      <c r="L1832" s="1470" t="s">
        <v>2129</v>
      </c>
      <c r="M1832" s="1471">
        <v>1.6136999999999999E-2</v>
      </c>
      <c r="N1832" s="1472">
        <v>1.5839599664578228</v>
      </c>
      <c r="O1832" s="1472"/>
    </row>
    <row r="1833" spans="11:15">
      <c r="K1833" s="1469">
        <v>43890</v>
      </c>
      <c r="L1833" s="1470"/>
      <c r="M1833" s="1471">
        <v>0</v>
      </c>
      <c r="N1833" s="1472">
        <v>1.5839599664578228</v>
      </c>
      <c r="O1833" s="1472"/>
    </row>
    <row r="1834" spans="11:15">
      <c r="K1834" s="1469">
        <v>43891</v>
      </c>
      <c r="L1834" s="1470"/>
      <c r="M1834" s="1471">
        <v>0</v>
      </c>
      <c r="N1834" s="1472">
        <v>1.5839599664578228</v>
      </c>
      <c r="O1834" s="1472"/>
    </row>
    <row r="1835" spans="11:15">
      <c r="K1835" s="1469">
        <v>43892</v>
      </c>
      <c r="L1835" s="1470" t="s">
        <v>2129</v>
      </c>
      <c r="M1835" s="1471">
        <v>1.6136999999999999E-2</v>
      </c>
      <c r="N1835" s="1472">
        <v>1.5842155700776102</v>
      </c>
      <c r="O1835" s="1472"/>
    </row>
    <row r="1836" spans="11:15">
      <c r="K1836" s="1469">
        <v>43893</v>
      </c>
      <c r="L1836" s="1470" t="s">
        <v>2129</v>
      </c>
      <c r="M1836" s="1471">
        <v>1.6136999999999999E-2</v>
      </c>
      <c r="N1836" s="1472">
        <v>1.5844712149441535</v>
      </c>
      <c r="O1836" s="1472"/>
    </row>
    <row r="1837" spans="11:15">
      <c r="K1837" s="1469">
        <v>43894</v>
      </c>
      <c r="L1837" s="1470" t="s">
        <v>2129</v>
      </c>
      <c r="M1837" s="1471">
        <v>1.6136999999999999E-2</v>
      </c>
      <c r="N1837" s="1472">
        <v>1.5847269010641092</v>
      </c>
      <c r="O1837" s="1472"/>
    </row>
    <row r="1838" spans="11:15">
      <c r="K1838" s="1469">
        <v>43895</v>
      </c>
      <c r="L1838" s="1470" t="s">
        <v>2129</v>
      </c>
      <c r="M1838" s="1471">
        <v>1.6136999999999999E-2</v>
      </c>
      <c r="N1838" s="1472">
        <v>1.584982628444134</v>
      </c>
      <c r="O1838" s="1472"/>
    </row>
    <row r="1839" spans="11:15">
      <c r="K1839" s="1469">
        <v>43896</v>
      </c>
      <c r="L1839" s="1470" t="s">
        <v>2129</v>
      </c>
      <c r="M1839" s="1471">
        <v>1.6136999999999999E-2</v>
      </c>
      <c r="N1839" s="1472">
        <v>1.5852383970908861</v>
      </c>
      <c r="O1839" s="1472"/>
    </row>
    <row r="1840" spans="11:15">
      <c r="K1840" s="1469">
        <v>43897</v>
      </c>
      <c r="L1840" s="1470"/>
      <c r="M1840" s="1471">
        <v>0</v>
      </c>
      <c r="N1840" s="1472">
        <v>1.5852383970908861</v>
      </c>
      <c r="O1840" s="1472"/>
    </row>
    <row r="1841" spans="11:15">
      <c r="K1841" s="1469">
        <v>43898</v>
      </c>
      <c r="L1841" s="1470"/>
      <c r="M1841" s="1471">
        <v>0</v>
      </c>
      <c r="N1841" s="1472">
        <v>1.5852383970908861</v>
      </c>
      <c r="O1841" s="1472"/>
    </row>
    <row r="1842" spans="11:15">
      <c r="K1842" s="1469">
        <v>43899</v>
      </c>
      <c r="L1842" s="1470" t="s">
        <v>2129</v>
      </c>
      <c r="M1842" s="1471">
        <v>1.6136999999999999E-2</v>
      </c>
      <c r="N1842" s="1472">
        <v>1.5854942070110247</v>
      </c>
      <c r="O1842" s="1472"/>
    </row>
    <row r="1843" spans="11:15">
      <c r="K1843" s="1469">
        <v>43900</v>
      </c>
      <c r="L1843" s="1470" t="s">
        <v>2129</v>
      </c>
      <c r="M1843" s="1471">
        <v>1.6136999999999999E-2</v>
      </c>
      <c r="N1843" s="1472">
        <v>1.5857500582112101</v>
      </c>
      <c r="O1843" s="1472"/>
    </row>
    <row r="1844" spans="11:15">
      <c r="K1844" s="1469">
        <v>43901</v>
      </c>
      <c r="L1844" s="1470" t="s">
        <v>2129</v>
      </c>
      <c r="M1844" s="1471">
        <v>1.6136999999999999E-2</v>
      </c>
      <c r="N1844" s="1472">
        <v>1.5860059506981037</v>
      </c>
      <c r="O1844" s="1472"/>
    </row>
    <row r="1845" spans="11:15">
      <c r="K1845" s="1469">
        <v>43902</v>
      </c>
      <c r="L1845" s="1470" t="s">
        <v>2129</v>
      </c>
      <c r="M1845" s="1471">
        <v>1.6136999999999999E-2</v>
      </c>
      <c r="N1845" s="1472">
        <v>1.586261884478368</v>
      </c>
      <c r="O1845" s="1472"/>
    </row>
    <row r="1846" spans="11:15">
      <c r="K1846" s="1469">
        <v>43903</v>
      </c>
      <c r="L1846" s="1470" t="s">
        <v>2129</v>
      </c>
      <c r="M1846" s="1471">
        <v>1.6136999999999999E-2</v>
      </c>
      <c r="N1846" s="1472">
        <v>1.5865178595586664</v>
      </c>
      <c r="O1846" s="1472"/>
    </row>
    <row r="1847" spans="11:15">
      <c r="K1847" s="1469">
        <v>43904</v>
      </c>
      <c r="L1847" s="1470"/>
      <c r="M1847" s="1471">
        <v>0</v>
      </c>
      <c r="N1847" s="1472">
        <v>1.5865178595586664</v>
      </c>
      <c r="O1847" s="1472"/>
    </row>
    <row r="1848" spans="11:15">
      <c r="K1848" s="1469">
        <v>43905</v>
      </c>
      <c r="L1848" s="1470"/>
      <c r="M1848" s="1471">
        <v>0</v>
      </c>
      <c r="N1848" s="1472">
        <v>1.5865178595586664</v>
      </c>
      <c r="O1848" s="1472"/>
    </row>
    <row r="1849" spans="11:15">
      <c r="K1849" s="1469">
        <v>43906</v>
      </c>
      <c r="L1849" s="1470" t="s">
        <v>2129</v>
      </c>
      <c r="M1849" s="1471">
        <v>1.6136999999999999E-2</v>
      </c>
      <c r="N1849" s="1472">
        <v>1.5867738759456635</v>
      </c>
      <c r="O1849" s="1472"/>
    </row>
    <row r="1850" spans="11:15">
      <c r="K1850" s="1469">
        <v>43907</v>
      </c>
      <c r="L1850" s="1470" t="s">
        <v>2129</v>
      </c>
      <c r="M1850" s="1471">
        <v>1.6136999999999999E-2</v>
      </c>
      <c r="N1850" s="1472">
        <v>1.587029933646025</v>
      </c>
      <c r="O1850" s="1472"/>
    </row>
    <row r="1851" spans="11:15">
      <c r="K1851" s="1469">
        <v>43908</v>
      </c>
      <c r="L1851" s="1470" t="s">
        <v>2129</v>
      </c>
      <c r="M1851" s="1471">
        <v>1.6136999999999999E-2</v>
      </c>
      <c r="N1851" s="1472">
        <v>1.5872860326664175</v>
      </c>
      <c r="O1851" s="1472"/>
    </row>
    <row r="1852" spans="11:15">
      <c r="K1852" s="1469">
        <v>43909</v>
      </c>
      <c r="L1852" s="1470" t="s">
        <v>2129</v>
      </c>
      <c r="M1852" s="1471">
        <v>1.4227E-2</v>
      </c>
      <c r="N1852" s="1472">
        <v>1.587511855850285</v>
      </c>
      <c r="O1852" s="1472"/>
    </row>
    <row r="1853" spans="11:15">
      <c r="K1853" s="1469">
        <v>43910</v>
      </c>
      <c r="L1853" s="1470" t="s">
        <v>2129</v>
      </c>
      <c r="M1853" s="1471">
        <v>1.4227E-2</v>
      </c>
      <c r="N1853" s="1472">
        <v>1.5877377111620168</v>
      </c>
      <c r="O1853" s="1472"/>
    </row>
    <row r="1854" spans="11:15">
      <c r="K1854" s="1469">
        <v>43911</v>
      </c>
      <c r="L1854" s="1470"/>
      <c r="M1854" s="1471">
        <v>0</v>
      </c>
      <c r="N1854" s="1472">
        <v>1.5877377111620168</v>
      </c>
      <c r="O1854" s="1472"/>
    </row>
    <row r="1855" spans="11:15">
      <c r="K1855" s="1469">
        <v>43912</v>
      </c>
      <c r="L1855" s="1470"/>
      <c r="M1855" s="1471">
        <v>0</v>
      </c>
      <c r="N1855" s="1472">
        <v>1.5877377111620168</v>
      </c>
      <c r="O1855" s="1472"/>
    </row>
    <row r="1856" spans="11:15">
      <c r="K1856" s="1469">
        <v>43913</v>
      </c>
      <c r="L1856" s="1470" t="s">
        <v>2129</v>
      </c>
      <c r="M1856" s="1471">
        <v>1.4227E-2</v>
      </c>
      <c r="N1856" s="1472">
        <v>1.5879635986061837</v>
      </c>
      <c r="O1856" s="1472"/>
    </row>
    <row r="1857" spans="11:15">
      <c r="K1857" s="1469">
        <v>43914</v>
      </c>
      <c r="L1857" s="1470" t="s">
        <v>2129</v>
      </c>
      <c r="M1857" s="1471">
        <v>1.4227E-2</v>
      </c>
      <c r="N1857" s="1472">
        <v>1.5881895181873575</v>
      </c>
      <c r="O1857" s="1472"/>
    </row>
    <row r="1858" spans="11:15">
      <c r="K1858" s="1469">
        <v>43915</v>
      </c>
      <c r="L1858" s="1470" t="s">
        <v>2129</v>
      </c>
      <c r="M1858" s="1471">
        <v>1.4227E-2</v>
      </c>
      <c r="N1858" s="1472">
        <v>1.5884154699101101</v>
      </c>
      <c r="O1858" s="1472"/>
    </row>
    <row r="1859" spans="11:15">
      <c r="K1859" s="1469">
        <v>43916</v>
      </c>
      <c r="L1859" s="1470" t="s">
        <v>2129</v>
      </c>
      <c r="M1859" s="1471">
        <v>1.4227E-2</v>
      </c>
      <c r="N1859" s="1472">
        <v>1.5886414537790141</v>
      </c>
      <c r="O1859" s="1472"/>
    </row>
    <row r="1860" spans="11:15">
      <c r="K1860" s="1469">
        <v>43917</v>
      </c>
      <c r="L1860" s="1470" t="s">
        <v>2129</v>
      </c>
      <c r="M1860" s="1471">
        <v>1.4227E-2</v>
      </c>
      <c r="N1860" s="1472">
        <v>1.5888674697986434</v>
      </c>
      <c r="O1860" s="1472"/>
    </row>
    <row r="1861" spans="11:15">
      <c r="K1861" s="1469">
        <v>43918</v>
      </c>
      <c r="L1861" s="1470"/>
      <c r="M1861" s="1471">
        <v>0</v>
      </c>
      <c r="N1861" s="1472">
        <v>1.5888674697986434</v>
      </c>
      <c r="O1861" s="1472"/>
    </row>
    <row r="1862" spans="11:15">
      <c r="K1862" s="1469">
        <v>43919</v>
      </c>
      <c r="L1862" s="1470"/>
      <c r="M1862" s="1471">
        <v>0</v>
      </c>
      <c r="N1862" s="1472">
        <v>1.5888674697986434</v>
      </c>
      <c r="O1862" s="1472"/>
    </row>
    <row r="1863" spans="11:15">
      <c r="K1863" s="1469">
        <v>43920</v>
      </c>
      <c r="L1863" s="1470" t="s">
        <v>2129</v>
      </c>
      <c r="M1863" s="1471">
        <v>1.4227E-2</v>
      </c>
      <c r="N1863" s="1472">
        <v>1.5890935179735717</v>
      </c>
      <c r="O1863" s="1472"/>
    </row>
    <row r="1864" spans="11:15">
      <c r="K1864" s="1469">
        <v>43921</v>
      </c>
      <c r="L1864" s="1470" t="s">
        <v>2129</v>
      </c>
      <c r="M1864" s="1471">
        <v>1.4227E-2</v>
      </c>
      <c r="N1864" s="1472">
        <v>1.5893195983083739</v>
      </c>
      <c r="O1864" s="1472"/>
    </row>
    <row r="1865" spans="11:15">
      <c r="K1865" s="1469">
        <v>43922</v>
      </c>
      <c r="L1865" s="1470" t="s">
        <v>2129</v>
      </c>
      <c r="M1865" s="1471">
        <v>1.4227E-2</v>
      </c>
      <c r="N1865" s="1472">
        <v>1.5895457108076252</v>
      </c>
      <c r="O1865" s="1472"/>
    </row>
    <row r="1866" spans="11:15">
      <c r="K1866" s="1469">
        <v>43923</v>
      </c>
      <c r="L1866" s="1470" t="s">
        <v>2129</v>
      </c>
      <c r="M1866" s="1471">
        <v>1.4227E-2</v>
      </c>
      <c r="N1866" s="1472">
        <v>1.5897718554759017</v>
      </c>
      <c r="O1866" s="1472"/>
    </row>
    <row r="1867" spans="11:15">
      <c r="K1867" s="1469">
        <v>43924</v>
      </c>
      <c r="L1867" s="1470" t="s">
        <v>2129</v>
      </c>
      <c r="M1867" s="1471">
        <v>1.4227E-2</v>
      </c>
      <c r="N1867" s="1472">
        <v>1.5899980323177803</v>
      </c>
      <c r="O1867" s="1472"/>
    </row>
    <row r="1868" spans="11:15">
      <c r="K1868" s="1469">
        <v>43925</v>
      </c>
      <c r="L1868" s="1470"/>
      <c r="M1868" s="1471">
        <v>0</v>
      </c>
      <c r="N1868" s="1472">
        <v>1.5899980323177803</v>
      </c>
      <c r="O1868" s="1472"/>
    </row>
    <row r="1869" spans="11:15">
      <c r="K1869" s="1469">
        <v>43926</v>
      </c>
      <c r="L1869" s="1470"/>
      <c r="M1869" s="1471">
        <v>0</v>
      </c>
      <c r="N1869" s="1472">
        <v>1.5899980323177803</v>
      </c>
      <c r="O1869" s="1472"/>
    </row>
    <row r="1870" spans="11:15">
      <c r="K1870" s="1469">
        <v>43927</v>
      </c>
      <c r="L1870" s="1470" t="s">
        <v>2129</v>
      </c>
      <c r="M1870" s="1471">
        <v>1.4227E-2</v>
      </c>
      <c r="N1870" s="1472">
        <v>1.590224241337838</v>
      </c>
      <c r="O1870" s="1472"/>
    </row>
    <row r="1871" spans="11:15">
      <c r="K1871" s="1469">
        <v>43928</v>
      </c>
      <c r="L1871" s="1470" t="s">
        <v>2129</v>
      </c>
      <c r="M1871" s="1471">
        <v>1.4227E-2</v>
      </c>
      <c r="N1871" s="1472">
        <v>1.5904504825406531</v>
      </c>
      <c r="O1871" s="1472"/>
    </row>
    <row r="1872" spans="11:15">
      <c r="K1872" s="1469">
        <v>43929</v>
      </c>
      <c r="L1872" s="1470" t="s">
        <v>2129</v>
      </c>
      <c r="M1872" s="1471">
        <v>1.4227E-2</v>
      </c>
      <c r="N1872" s="1472">
        <v>1.5906767559308042</v>
      </c>
      <c r="O1872" s="1472"/>
    </row>
    <row r="1873" spans="11:15">
      <c r="K1873" s="1469">
        <v>43930</v>
      </c>
      <c r="L1873" s="1470" t="s">
        <v>2129</v>
      </c>
      <c r="M1873" s="1471">
        <v>1.4227E-2</v>
      </c>
      <c r="N1873" s="1472">
        <v>1.5909030615128705</v>
      </c>
      <c r="O1873" s="1472"/>
    </row>
    <row r="1874" spans="11:15">
      <c r="K1874" s="1469">
        <v>43931</v>
      </c>
      <c r="L1874" s="1470"/>
      <c r="M1874" s="1471">
        <v>0</v>
      </c>
      <c r="N1874" s="1472">
        <v>1.5909030615128705</v>
      </c>
      <c r="O1874" s="1472"/>
    </row>
    <row r="1875" spans="11:15">
      <c r="K1875" s="1469">
        <v>43932</v>
      </c>
      <c r="L1875" s="1470"/>
      <c r="M1875" s="1471">
        <v>0</v>
      </c>
      <c r="N1875" s="1472">
        <v>1.5909030615128705</v>
      </c>
      <c r="O1875" s="1472"/>
    </row>
    <row r="1876" spans="11:15">
      <c r="K1876" s="1469">
        <v>43933</v>
      </c>
      <c r="L1876" s="1470"/>
      <c r="M1876" s="1471">
        <v>0</v>
      </c>
      <c r="N1876" s="1472">
        <v>1.5909030615128705</v>
      </c>
      <c r="O1876" s="1472"/>
    </row>
    <row r="1877" spans="11:15">
      <c r="K1877" s="1469">
        <v>43934</v>
      </c>
      <c r="L1877" s="1470" t="s">
        <v>2129</v>
      </c>
      <c r="M1877" s="1471">
        <v>1.4227E-2</v>
      </c>
      <c r="N1877" s="1472">
        <v>1.5911293992914319</v>
      </c>
      <c r="O1877" s="1472"/>
    </row>
    <row r="1878" spans="11:15">
      <c r="K1878" s="1469">
        <v>43935</v>
      </c>
      <c r="L1878" s="1470" t="s">
        <v>2129</v>
      </c>
      <c r="M1878" s="1471">
        <v>1.4227E-2</v>
      </c>
      <c r="N1878" s="1472">
        <v>1.5913557692710691</v>
      </c>
      <c r="O1878" s="1472"/>
    </row>
    <row r="1879" spans="11:15">
      <c r="K1879" s="1469">
        <v>43936</v>
      </c>
      <c r="L1879" s="1470" t="s">
        <v>2129</v>
      </c>
      <c r="M1879" s="1471">
        <v>1.4227E-2</v>
      </c>
      <c r="N1879" s="1472">
        <v>1.5915821714563634</v>
      </c>
      <c r="O1879" s="1472"/>
    </row>
    <row r="1880" spans="11:15">
      <c r="K1880" s="1469">
        <v>43937</v>
      </c>
      <c r="L1880" s="1470" t="s">
        <v>2129</v>
      </c>
      <c r="M1880" s="1471">
        <v>1.4227E-2</v>
      </c>
      <c r="N1880" s="1472">
        <v>1.5918086058518965</v>
      </c>
      <c r="O1880" s="1472"/>
    </row>
    <row r="1881" spans="11:15">
      <c r="K1881" s="1469">
        <v>43938</v>
      </c>
      <c r="L1881" s="1470" t="s">
        <v>2129</v>
      </c>
      <c r="M1881" s="1471">
        <v>1.4227E-2</v>
      </c>
      <c r="N1881" s="1472">
        <v>1.5920350724622512</v>
      </c>
      <c r="O1881" s="1472"/>
    </row>
    <row r="1882" spans="11:15">
      <c r="K1882" s="1469">
        <v>43939</v>
      </c>
      <c r="L1882" s="1470"/>
      <c r="M1882" s="1471">
        <v>0</v>
      </c>
      <c r="N1882" s="1472">
        <v>1.5920350724622512</v>
      </c>
      <c r="O1882" s="1472"/>
    </row>
    <row r="1883" spans="11:15">
      <c r="K1883" s="1469">
        <v>43940</v>
      </c>
      <c r="L1883" s="1470"/>
      <c r="M1883" s="1471">
        <v>0</v>
      </c>
      <c r="N1883" s="1472">
        <v>1.5920350724622512</v>
      </c>
      <c r="O1883" s="1472"/>
    </row>
    <row r="1884" spans="11:15">
      <c r="K1884" s="1469">
        <v>43941</v>
      </c>
      <c r="L1884" s="1470" t="s">
        <v>2129</v>
      </c>
      <c r="M1884" s="1471">
        <v>1.4227E-2</v>
      </c>
      <c r="N1884" s="1472">
        <v>1.5922615712920103</v>
      </c>
      <c r="O1884" s="1472"/>
    </row>
    <row r="1885" spans="11:15">
      <c r="K1885" s="1469">
        <v>43942</v>
      </c>
      <c r="L1885" s="1470"/>
      <c r="M1885" s="1471">
        <v>0</v>
      </c>
      <c r="N1885" s="1472">
        <v>1.5922615712920103</v>
      </c>
      <c r="O1885" s="1472"/>
    </row>
    <row r="1886" spans="11:15">
      <c r="K1886" s="1469">
        <v>43943</v>
      </c>
      <c r="L1886" s="1470" t="s">
        <v>2129</v>
      </c>
      <c r="M1886" s="1471">
        <v>1.4227E-2</v>
      </c>
      <c r="N1886" s="1472">
        <v>1.592488102345758</v>
      </c>
      <c r="O1886" s="1472"/>
    </row>
    <row r="1887" spans="11:15">
      <c r="K1887" s="1469">
        <v>43944</v>
      </c>
      <c r="L1887" s="1470" t="s">
        <v>2129</v>
      </c>
      <c r="M1887" s="1471">
        <v>1.4227E-2</v>
      </c>
      <c r="N1887" s="1472">
        <v>1.5927146656280786</v>
      </c>
      <c r="O1887" s="1472"/>
    </row>
    <row r="1888" spans="11:15">
      <c r="K1888" s="1469">
        <v>43945</v>
      </c>
      <c r="L1888" s="1470" t="s">
        <v>2129</v>
      </c>
      <c r="M1888" s="1471">
        <v>1.4227E-2</v>
      </c>
      <c r="N1888" s="1472">
        <v>1.5929412611435576</v>
      </c>
      <c r="O1888" s="1472"/>
    </row>
    <row r="1889" spans="11:15">
      <c r="K1889" s="1469">
        <v>43946</v>
      </c>
      <c r="L1889" s="1470"/>
      <c r="M1889" s="1471">
        <v>0</v>
      </c>
      <c r="N1889" s="1472">
        <v>1.5929412611435576</v>
      </c>
      <c r="O1889" s="1472"/>
    </row>
    <row r="1890" spans="11:15">
      <c r="K1890" s="1469">
        <v>43947</v>
      </c>
      <c r="L1890" s="1470"/>
      <c r="M1890" s="1471">
        <v>0</v>
      </c>
      <c r="N1890" s="1472">
        <v>1.5929412611435576</v>
      </c>
      <c r="O1890" s="1472"/>
    </row>
    <row r="1891" spans="11:15">
      <c r="K1891" s="1469">
        <v>43948</v>
      </c>
      <c r="L1891" s="1470" t="s">
        <v>2129</v>
      </c>
      <c r="M1891" s="1471">
        <v>1.4227E-2</v>
      </c>
      <c r="N1891" s="1472">
        <v>1.5931678888967804</v>
      </c>
      <c r="O1891" s="1472"/>
    </row>
    <row r="1892" spans="11:15">
      <c r="K1892" s="1469">
        <v>43949</v>
      </c>
      <c r="L1892" s="1470" t="s">
        <v>2129</v>
      </c>
      <c r="M1892" s="1471">
        <v>1.4227E-2</v>
      </c>
      <c r="N1892" s="1472">
        <v>1.5933945488923338</v>
      </c>
      <c r="O1892" s="1472"/>
    </row>
    <row r="1893" spans="11:15">
      <c r="K1893" s="1469">
        <v>43950</v>
      </c>
      <c r="L1893" s="1470" t="s">
        <v>2129</v>
      </c>
      <c r="M1893" s="1471">
        <v>1.4227E-2</v>
      </c>
      <c r="N1893" s="1472">
        <v>1.5936212411348047</v>
      </c>
      <c r="O1893" s="1472"/>
    </row>
    <row r="1894" spans="11:15">
      <c r="K1894" s="1469">
        <v>43951</v>
      </c>
      <c r="L1894" s="1470" t="s">
        <v>2129</v>
      </c>
      <c r="M1894" s="1471">
        <v>1.4227E-2</v>
      </c>
      <c r="N1894" s="1472">
        <v>1.5938479656287809</v>
      </c>
      <c r="O1894" s="1472"/>
    </row>
    <row r="1895" spans="11:15">
      <c r="K1895" s="1469">
        <v>43952</v>
      </c>
      <c r="L1895" s="1470"/>
      <c r="M1895" s="1471">
        <v>0</v>
      </c>
      <c r="N1895" s="1472">
        <v>1.5938479656287809</v>
      </c>
      <c r="O1895" s="1472"/>
    </row>
    <row r="1896" spans="11:15">
      <c r="K1896" s="1469">
        <v>43953</v>
      </c>
      <c r="L1896" s="1470"/>
      <c r="M1896" s="1471">
        <v>0</v>
      </c>
      <c r="N1896" s="1472">
        <v>1.5938479656287809</v>
      </c>
      <c r="O1896" s="1472"/>
    </row>
    <row r="1897" spans="11:15">
      <c r="K1897" s="1469">
        <v>43954</v>
      </c>
      <c r="L1897" s="1470"/>
      <c r="M1897" s="1471">
        <v>0</v>
      </c>
      <c r="N1897" s="1472">
        <v>1.5938479656287809</v>
      </c>
      <c r="O1897" s="1472"/>
    </row>
    <row r="1898" spans="11:15">
      <c r="K1898" s="1469">
        <v>43955</v>
      </c>
      <c r="L1898" s="1470" t="s">
        <v>2129</v>
      </c>
      <c r="M1898" s="1471">
        <v>1.4227E-2</v>
      </c>
      <c r="N1898" s="1472">
        <v>1.594074722378851</v>
      </c>
      <c r="O1898" s="1472"/>
    </row>
    <row r="1899" spans="11:15">
      <c r="K1899" s="1469">
        <v>43956</v>
      </c>
      <c r="L1899" s="1470" t="s">
        <v>2129</v>
      </c>
      <c r="M1899" s="1471">
        <v>1.4227E-2</v>
      </c>
      <c r="N1899" s="1472">
        <v>1.5943015113896037</v>
      </c>
      <c r="O1899" s="1472"/>
    </row>
    <row r="1900" spans="11:15">
      <c r="K1900" s="1469">
        <v>43957</v>
      </c>
      <c r="L1900" s="1470" t="s">
        <v>2129</v>
      </c>
      <c r="M1900" s="1471">
        <v>1.4227E-2</v>
      </c>
      <c r="N1900" s="1472">
        <v>1.5945283326656292</v>
      </c>
      <c r="O1900" s="1472"/>
    </row>
    <row r="1901" spans="11:15">
      <c r="K1901" s="1469">
        <v>43958</v>
      </c>
      <c r="L1901" s="1470" t="s">
        <v>2129</v>
      </c>
      <c r="M1901" s="1471">
        <v>1.1344999999999999E-2</v>
      </c>
      <c r="N1901" s="1472">
        <v>1.59470923190497</v>
      </c>
      <c r="O1901" s="1472"/>
    </row>
    <row r="1902" spans="11:15">
      <c r="K1902" s="1469">
        <v>43959</v>
      </c>
      <c r="L1902" s="1470" t="s">
        <v>2129</v>
      </c>
      <c r="M1902" s="1471">
        <v>1.1344999999999999E-2</v>
      </c>
      <c r="N1902" s="1472">
        <v>1.5948901516673295</v>
      </c>
      <c r="O1902" s="1472"/>
    </row>
    <row r="1903" spans="11:15">
      <c r="K1903" s="1469">
        <v>43960</v>
      </c>
      <c r="L1903" s="1470"/>
      <c r="M1903" s="1471">
        <v>0</v>
      </c>
      <c r="N1903" s="1472">
        <v>1.5948901516673295</v>
      </c>
      <c r="O1903" s="1472"/>
    </row>
    <row r="1904" spans="11:15">
      <c r="K1904" s="1469">
        <v>43961</v>
      </c>
      <c r="L1904" s="1470"/>
      <c r="M1904" s="1471">
        <v>0</v>
      </c>
      <c r="N1904" s="1472">
        <v>1.5948901516673295</v>
      </c>
      <c r="O1904" s="1472"/>
    </row>
    <row r="1905" spans="11:15">
      <c r="K1905" s="1469">
        <v>43962</v>
      </c>
      <c r="L1905" s="1470" t="s">
        <v>2129</v>
      </c>
      <c r="M1905" s="1471">
        <v>1.1344999999999999E-2</v>
      </c>
      <c r="N1905" s="1472">
        <v>1.5950710919550362</v>
      </c>
      <c r="O1905" s="1472"/>
    </row>
    <row r="1906" spans="11:15">
      <c r="K1906" s="1469">
        <v>43963</v>
      </c>
      <c r="L1906" s="1470" t="s">
        <v>2129</v>
      </c>
      <c r="M1906" s="1471">
        <v>1.1344999999999999E-2</v>
      </c>
      <c r="N1906" s="1472">
        <v>1.5952520527704184</v>
      </c>
      <c r="O1906" s="1472"/>
    </row>
    <row r="1907" spans="11:15">
      <c r="K1907" s="1469">
        <v>43964</v>
      </c>
      <c r="L1907" s="1470" t="s">
        <v>2129</v>
      </c>
      <c r="M1907" s="1471">
        <v>1.1344999999999999E-2</v>
      </c>
      <c r="N1907" s="1472">
        <v>1.5954330341158052</v>
      </c>
      <c r="O1907" s="1472"/>
    </row>
    <row r="1908" spans="11:15">
      <c r="K1908" s="1469">
        <v>43965</v>
      </c>
      <c r="L1908" s="1470" t="s">
        <v>2129</v>
      </c>
      <c r="M1908" s="1471">
        <v>1.1344999999999999E-2</v>
      </c>
      <c r="N1908" s="1472">
        <v>1.5956140359935256</v>
      </c>
      <c r="O1908" s="1472"/>
    </row>
    <row r="1909" spans="11:15">
      <c r="K1909" s="1469">
        <v>43966</v>
      </c>
      <c r="L1909" s="1470" t="s">
        <v>2129</v>
      </c>
      <c r="M1909" s="1471">
        <v>1.1344999999999999E-2</v>
      </c>
      <c r="N1909" s="1472">
        <v>1.5957950584059091</v>
      </c>
      <c r="O1909" s="1472"/>
    </row>
    <row r="1910" spans="11:15">
      <c r="K1910" s="1469">
        <v>43967</v>
      </c>
      <c r="L1910" s="1470"/>
      <c r="M1910" s="1471">
        <v>0</v>
      </c>
      <c r="N1910" s="1472">
        <v>1.5957950584059091</v>
      </c>
      <c r="O1910" s="1472"/>
    </row>
    <row r="1911" spans="11:15">
      <c r="K1911" s="1469">
        <v>43968</v>
      </c>
      <c r="L1911" s="1470"/>
      <c r="M1911" s="1471">
        <v>0</v>
      </c>
      <c r="N1911" s="1472">
        <v>1.5957950584059091</v>
      </c>
      <c r="O1911" s="1472"/>
    </row>
    <row r="1912" spans="11:15">
      <c r="K1912" s="1469">
        <v>43969</v>
      </c>
      <c r="L1912" s="1470" t="s">
        <v>2129</v>
      </c>
      <c r="M1912" s="1471">
        <v>1.1344999999999999E-2</v>
      </c>
      <c r="N1912" s="1472">
        <v>1.5959761013552851</v>
      </c>
      <c r="O1912" s="1472"/>
    </row>
    <row r="1913" spans="11:15">
      <c r="K1913" s="1469">
        <v>43970</v>
      </c>
      <c r="L1913" s="1470" t="s">
        <v>2129</v>
      </c>
      <c r="M1913" s="1471">
        <v>1.1344999999999999E-2</v>
      </c>
      <c r="N1913" s="1472">
        <v>1.5961571648439838</v>
      </c>
      <c r="O1913" s="1472"/>
    </row>
    <row r="1914" spans="11:15">
      <c r="K1914" s="1469">
        <v>43971</v>
      </c>
      <c r="L1914" s="1470" t="s">
        <v>2129</v>
      </c>
      <c r="M1914" s="1471">
        <v>1.1344999999999999E-2</v>
      </c>
      <c r="N1914" s="1472">
        <v>1.5963382488743354</v>
      </c>
      <c r="O1914" s="1472"/>
    </row>
    <row r="1915" spans="11:15">
      <c r="K1915" s="1469">
        <v>43972</v>
      </c>
      <c r="L1915" s="1470" t="s">
        <v>2129</v>
      </c>
      <c r="M1915" s="1471">
        <v>1.1344999999999999E-2</v>
      </c>
      <c r="N1915" s="1472">
        <v>1.5965193534486701</v>
      </c>
      <c r="O1915" s="1472"/>
    </row>
    <row r="1916" spans="11:15">
      <c r="K1916" s="1469">
        <v>43973</v>
      </c>
      <c r="L1916" s="1470" t="s">
        <v>2129</v>
      </c>
      <c r="M1916" s="1471">
        <v>1.1344999999999999E-2</v>
      </c>
      <c r="N1916" s="1472">
        <v>1.5967004785693188</v>
      </c>
      <c r="O1916" s="1472"/>
    </row>
    <row r="1917" spans="11:15">
      <c r="K1917" s="1469">
        <v>43974</v>
      </c>
      <c r="L1917" s="1470"/>
      <c r="M1917" s="1471">
        <v>0</v>
      </c>
      <c r="N1917" s="1472">
        <v>1.5967004785693188</v>
      </c>
      <c r="O1917" s="1472"/>
    </row>
    <row r="1918" spans="11:15">
      <c r="K1918" s="1469">
        <v>43975</v>
      </c>
      <c r="L1918" s="1470"/>
      <c r="M1918" s="1471">
        <v>0</v>
      </c>
      <c r="N1918" s="1472">
        <v>1.5967004785693188</v>
      </c>
      <c r="O1918" s="1472"/>
    </row>
    <row r="1919" spans="11:15">
      <c r="K1919" s="1469">
        <v>43976</v>
      </c>
      <c r="L1919" s="1470" t="s">
        <v>2129</v>
      </c>
      <c r="M1919" s="1471">
        <v>1.1344999999999999E-2</v>
      </c>
      <c r="N1919" s="1472">
        <v>1.5968816242386126</v>
      </c>
      <c r="O1919" s="1472"/>
    </row>
    <row r="1920" spans="11:15">
      <c r="K1920" s="1469">
        <v>43977</v>
      </c>
      <c r="L1920" s="1470" t="s">
        <v>2129</v>
      </c>
      <c r="M1920" s="1471">
        <v>1.1344999999999999E-2</v>
      </c>
      <c r="N1920" s="1472">
        <v>1.5970627904588823</v>
      </c>
      <c r="O1920" s="1472"/>
    </row>
    <row r="1921" spans="11:15">
      <c r="K1921" s="1469">
        <v>43978</v>
      </c>
      <c r="L1921" s="1470" t="s">
        <v>2129</v>
      </c>
      <c r="M1921" s="1471">
        <v>1.1344999999999999E-2</v>
      </c>
      <c r="N1921" s="1472">
        <v>1.5972439772324598</v>
      </c>
      <c r="O1921" s="1472"/>
    </row>
    <row r="1922" spans="11:15">
      <c r="K1922" s="1469">
        <v>43979</v>
      </c>
      <c r="L1922" s="1470" t="s">
        <v>2129</v>
      </c>
      <c r="M1922" s="1471">
        <v>1.1344999999999999E-2</v>
      </c>
      <c r="N1922" s="1472">
        <v>1.5974251845616767</v>
      </c>
      <c r="O1922" s="1472"/>
    </row>
    <row r="1923" spans="11:15">
      <c r="K1923" s="1469">
        <v>43980</v>
      </c>
      <c r="L1923" s="1470" t="s">
        <v>2129</v>
      </c>
      <c r="M1923" s="1471">
        <v>1.1344999999999999E-2</v>
      </c>
      <c r="N1923" s="1472">
        <v>1.5976064124488651</v>
      </c>
      <c r="O1923" s="1472"/>
    </row>
    <row r="1924" spans="11:15">
      <c r="K1924" s="1469">
        <v>43981</v>
      </c>
      <c r="L1924" s="1470"/>
      <c r="M1924" s="1471">
        <v>0</v>
      </c>
      <c r="N1924" s="1472">
        <v>1.5976064124488651</v>
      </c>
      <c r="O1924" s="1472"/>
    </row>
    <row r="1925" spans="11:15">
      <c r="K1925" s="1469">
        <v>43982</v>
      </c>
      <c r="L1925" s="1470"/>
      <c r="M1925" s="1471">
        <v>0</v>
      </c>
      <c r="N1925" s="1472">
        <v>1.5976064124488651</v>
      </c>
      <c r="O1925" s="1472"/>
    </row>
    <row r="1926" spans="11:15">
      <c r="K1926" s="1469">
        <v>43983</v>
      </c>
      <c r="L1926" s="1470" t="s">
        <v>2129</v>
      </c>
      <c r="M1926" s="1471">
        <v>1.1344999999999999E-2</v>
      </c>
      <c r="N1926" s="1472">
        <v>1.5977876608963575</v>
      </c>
      <c r="O1926" s="1472"/>
    </row>
    <row r="1927" spans="11:15">
      <c r="K1927" s="1469">
        <v>43984</v>
      </c>
      <c r="L1927" s="1470" t="s">
        <v>2129</v>
      </c>
      <c r="M1927" s="1471">
        <v>1.1344999999999999E-2</v>
      </c>
      <c r="N1927" s="1472">
        <v>1.5979689299064861</v>
      </c>
      <c r="O1927" s="1472"/>
    </row>
    <row r="1928" spans="11:15">
      <c r="K1928" s="1469">
        <v>43985</v>
      </c>
      <c r="L1928" s="1470" t="s">
        <v>2129</v>
      </c>
      <c r="M1928" s="1471">
        <v>1.1344999999999999E-2</v>
      </c>
      <c r="N1928" s="1472">
        <v>1.598150219481584</v>
      </c>
      <c r="O1928" s="1472"/>
    </row>
    <row r="1929" spans="11:15">
      <c r="K1929" s="1469">
        <v>43986</v>
      </c>
      <c r="L1929" s="1470" t="s">
        <v>2129</v>
      </c>
      <c r="M1929" s="1471">
        <v>1.1344999999999999E-2</v>
      </c>
      <c r="N1929" s="1472">
        <v>1.5983315296239842</v>
      </c>
      <c r="O1929" s="1472"/>
    </row>
    <row r="1930" spans="11:15">
      <c r="K1930" s="1469">
        <v>43987</v>
      </c>
      <c r="L1930" s="1470" t="s">
        <v>2129</v>
      </c>
      <c r="M1930" s="1471">
        <v>1.1344999999999999E-2</v>
      </c>
      <c r="N1930" s="1472">
        <v>1.5985128603360199</v>
      </c>
      <c r="O1930" s="1472"/>
    </row>
    <row r="1931" spans="11:15">
      <c r="K1931" s="1469">
        <v>43988</v>
      </c>
      <c r="L1931" s="1470"/>
      <c r="M1931" s="1471">
        <v>0</v>
      </c>
      <c r="N1931" s="1472">
        <v>1.5985128603360199</v>
      </c>
      <c r="O1931" s="1472"/>
    </row>
    <row r="1932" spans="11:15">
      <c r="K1932" s="1469">
        <v>43989</v>
      </c>
      <c r="L1932" s="1470"/>
      <c r="M1932" s="1471">
        <v>0</v>
      </c>
      <c r="N1932" s="1472">
        <v>1.5985128603360199</v>
      </c>
      <c r="O1932" s="1472"/>
    </row>
    <row r="1933" spans="11:15">
      <c r="K1933" s="1469">
        <v>43990</v>
      </c>
      <c r="L1933" s="1470" t="s">
        <v>2129</v>
      </c>
      <c r="M1933" s="1471">
        <v>1.1344999999999999E-2</v>
      </c>
      <c r="N1933" s="1472">
        <v>1.5986942116200249</v>
      </c>
      <c r="O1933" s="1472"/>
    </row>
    <row r="1934" spans="11:15">
      <c r="K1934" s="1469">
        <v>43991</v>
      </c>
      <c r="L1934" s="1470" t="s">
        <v>2129</v>
      </c>
      <c r="M1934" s="1471">
        <v>1.1344999999999999E-2</v>
      </c>
      <c r="N1934" s="1472">
        <v>1.598875583478333</v>
      </c>
      <c r="O1934" s="1472"/>
    </row>
    <row r="1935" spans="11:15">
      <c r="K1935" s="1469">
        <v>43992</v>
      </c>
      <c r="L1935" s="1470" t="s">
        <v>2129</v>
      </c>
      <c r="M1935" s="1471">
        <v>1.1344999999999999E-2</v>
      </c>
      <c r="N1935" s="1472">
        <v>1.5990569759132787</v>
      </c>
      <c r="O1935" s="1472"/>
    </row>
    <row r="1936" spans="11:15">
      <c r="K1936" s="1469">
        <v>43993</v>
      </c>
      <c r="L1936" s="1470"/>
      <c r="M1936" s="1471">
        <v>0</v>
      </c>
      <c r="N1936" s="1472">
        <v>1.5990569759132787</v>
      </c>
      <c r="O1936" s="1472"/>
    </row>
    <row r="1937" spans="11:15">
      <c r="K1937" s="1469">
        <v>43994</v>
      </c>
      <c r="L1937" s="1470" t="s">
        <v>2129</v>
      </c>
      <c r="M1937" s="1471">
        <v>1.1344999999999999E-2</v>
      </c>
      <c r="N1937" s="1472">
        <v>1.5992383889271959</v>
      </c>
      <c r="O1937" s="1472"/>
    </row>
    <row r="1938" spans="11:15">
      <c r="K1938" s="1469">
        <v>43995</v>
      </c>
      <c r="L1938" s="1470"/>
      <c r="M1938" s="1471">
        <v>0</v>
      </c>
      <c r="N1938" s="1472">
        <v>1.5992383889271959</v>
      </c>
      <c r="O1938" s="1472"/>
    </row>
    <row r="1939" spans="11:15">
      <c r="K1939" s="1469">
        <v>43996</v>
      </c>
      <c r="L1939" s="1470"/>
      <c r="M1939" s="1471">
        <v>0</v>
      </c>
      <c r="N1939" s="1472">
        <v>1.5992383889271959</v>
      </c>
      <c r="O1939" s="1472"/>
    </row>
    <row r="1940" spans="11:15">
      <c r="K1940" s="1469">
        <v>43997</v>
      </c>
      <c r="L1940" s="1470" t="s">
        <v>2129</v>
      </c>
      <c r="M1940" s="1471">
        <v>1.1344999999999999E-2</v>
      </c>
      <c r="N1940" s="1472">
        <v>1.5994198225224197</v>
      </c>
      <c r="O1940" s="1472"/>
    </row>
    <row r="1941" spans="11:15">
      <c r="K1941" s="1469">
        <v>43998</v>
      </c>
      <c r="L1941" s="1470" t="s">
        <v>2129</v>
      </c>
      <c r="M1941" s="1471">
        <v>1.1344999999999999E-2</v>
      </c>
      <c r="N1941" s="1472">
        <v>1.5996012767012848</v>
      </c>
      <c r="O1941" s="1472"/>
    </row>
    <row r="1942" spans="11:15">
      <c r="K1942" s="1469">
        <v>43999</v>
      </c>
      <c r="L1942" s="1470" t="s">
        <v>2129</v>
      </c>
      <c r="M1942" s="1471">
        <v>1.1344999999999999E-2</v>
      </c>
      <c r="N1942" s="1472">
        <v>1.5997827514661265</v>
      </c>
      <c r="O1942" s="1472"/>
    </row>
    <row r="1943" spans="11:15">
      <c r="K1943" s="1469">
        <v>44000</v>
      </c>
      <c r="L1943" s="1470" t="s">
        <v>2129</v>
      </c>
      <c r="M1943" s="1471">
        <v>8.4419999999999999E-3</v>
      </c>
      <c r="N1943" s="1472">
        <v>1.5999178051260055</v>
      </c>
      <c r="O1943" s="1472"/>
    </row>
    <row r="1944" spans="11:15">
      <c r="K1944" s="1469">
        <v>44001</v>
      </c>
      <c r="L1944" s="1470" t="s">
        <v>2129</v>
      </c>
      <c r="M1944" s="1471">
        <v>8.4419999999999999E-3</v>
      </c>
      <c r="N1944" s="1472">
        <v>1.6000528701871144</v>
      </c>
      <c r="O1944" s="1472"/>
    </row>
    <row r="1945" spans="11:15">
      <c r="K1945" s="1469">
        <v>44002</v>
      </c>
      <c r="L1945" s="1470"/>
      <c r="M1945" s="1471">
        <v>0</v>
      </c>
      <c r="N1945" s="1472">
        <v>1.6000528701871144</v>
      </c>
      <c r="O1945" s="1472"/>
    </row>
    <row r="1946" spans="11:15">
      <c r="K1946" s="1469">
        <v>44003</v>
      </c>
      <c r="L1946" s="1470"/>
      <c r="M1946" s="1471">
        <v>0</v>
      </c>
      <c r="N1946" s="1472">
        <v>1.6000528701871144</v>
      </c>
      <c r="O1946" s="1472"/>
    </row>
    <row r="1947" spans="11:15">
      <c r="K1947" s="1469">
        <v>44004</v>
      </c>
      <c r="L1947" s="1470" t="s">
        <v>2129</v>
      </c>
      <c r="M1947" s="1471">
        <v>8.4419999999999999E-3</v>
      </c>
      <c r="N1947" s="1472">
        <v>1.6001879466504156</v>
      </c>
      <c r="O1947" s="1472"/>
    </row>
    <row r="1948" spans="11:15">
      <c r="K1948" s="1469">
        <v>44005</v>
      </c>
      <c r="L1948" s="1470" t="s">
        <v>2129</v>
      </c>
      <c r="M1948" s="1471">
        <v>8.4419999999999999E-3</v>
      </c>
      <c r="N1948" s="1472">
        <v>1.600323034516872</v>
      </c>
      <c r="O1948" s="1472"/>
    </row>
    <row r="1949" spans="11:15">
      <c r="K1949" s="1469">
        <v>44006</v>
      </c>
      <c r="L1949" s="1470" t="s">
        <v>2129</v>
      </c>
      <c r="M1949" s="1471">
        <v>8.4419999999999999E-3</v>
      </c>
      <c r="N1949" s="1472">
        <v>1.6004581337874459</v>
      </c>
      <c r="O1949" s="1472"/>
    </row>
    <row r="1950" spans="11:15">
      <c r="K1950" s="1469">
        <v>44007</v>
      </c>
      <c r="L1950" s="1470" t="s">
        <v>2129</v>
      </c>
      <c r="M1950" s="1471">
        <v>8.4419999999999999E-3</v>
      </c>
      <c r="N1950" s="1472">
        <v>1.6005932444631004</v>
      </c>
      <c r="O1950" s="1472"/>
    </row>
    <row r="1951" spans="11:15">
      <c r="K1951" s="1469">
        <v>44008</v>
      </c>
      <c r="L1951" s="1470" t="s">
        <v>2129</v>
      </c>
      <c r="M1951" s="1471">
        <v>8.4419999999999999E-3</v>
      </c>
      <c r="N1951" s="1472">
        <v>1.600728366544798</v>
      </c>
      <c r="O1951" s="1472"/>
    </row>
    <row r="1952" spans="11:15">
      <c r="K1952" s="1469">
        <v>44009</v>
      </c>
      <c r="L1952" s="1470"/>
      <c r="M1952" s="1471">
        <v>0</v>
      </c>
      <c r="N1952" s="1472">
        <v>1.600728366544798</v>
      </c>
      <c r="O1952" s="1472"/>
    </row>
    <row r="1953" spans="11:15">
      <c r="K1953" s="1469">
        <v>44010</v>
      </c>
      <c r="L1953" s="1470"/>
      <c r="M1953" s="1471">
        <v>0</v>
      </c>
      <c r="N1953" s="1472">
        <v>1.600728366544798</v>
      </c>
      <c r="O1953" s="1472"/>
    </row>
    <row r="1954" spans="11:15">
      <c r="K1954" s="1469">
        <v>44011</v>
      </c>
      <c r="L1954" s="1470" t="s">
        <v>2129</v>
      </c>
      <c r="M1954" s="1471">
        <v>8.4419999999999999E-3</v>
      </c>
      <c r="N1954" s="1472">
        <v>1.6008635000335019</v>
      </c>
      <c r="O1954" s="1472"/>
    </row>
    <row r="1955" spans="11:15">
      <c r="K1955" s="1469">
        <v>44012</v>
      </c>
      <c r="L1955" s="1470" t="s">
        <v>2129</v>
      </c>
      <c r="M1955" s="1471">
        <v>8.4419999999999999E-3</v>
      </c>
      <c r="N1955" s="1472">
        <v>1.6009986449301747</v>
      </c>
      <c r="O1955" s="1472"/>
    </row>
    <row r="1956" spans="11:15">
      <c r="K1956" s="1469">
        <v>44013</v>
      </c>
      <c r="L1956" s="1470" t="s">
        <v>2129</v>
      </c>
      <c r="M1956" s="1471">
        <v>8.4419999999999999E-3</v>
      </c>
      <c r="N1956" s="1472">
        <v>1.6011338012357799</v>
      </c>
      <c r="O1956" s="1472"/>
    </row>
    <row r="1957" spans="11:15">
      <c r="K1957" s="1469">
        <v>44014</v>
      </c>
      <c r="L1957" s="1470" t="s">
        <v>2129</v>
      </c>
      <c r="M1957" s="1471">
        <v>8.4419999999999999E-3</v>
      </c>
      <c r="N1957" s="1472">
        <v>1.6012689689512802</v>
      </c>
      <c r="O1957" s="1472"/>
    </row>
    <row r="1958" spans="11:15">
      <c r="K1958" s="1469">
        <v>44015</v>
      </c>
      <c r="L1958" s="1470" t="s">
        <v>2129</v>
      </c>
      <c r="M1958" s="1471">
        <v>8.4419999999999999E-3</v>
      </c>
      <c r="N1958" s="1472">
        <v>1.6014041480776393</v>
      </c>
      <c r="O1958" s="1472"/>
    </row>
    <row r="1959" spans="11:15">
      <c r="K1959" s="1469">
        <v>44016</v>
      </c>
      <c r="L1959" s="1470"/>
      <c r="M1959" s="1471">
        <v>0</v>
      </c>
      <c r="N1959" s="1472">
        <v>1.6014041480776393</v>
      </c>
      <c r="O1959" s="1472"/>
    </row>
    <row r="1960" spans="11:15">
      <c r="K1960" s="1469">
        <v>44017</v>
      </c>
      <c r="L1960" s="1470"/>
      <c r="M1960" s="1471">
        <v>0</v>
      </c>
      <c r="N1960" s="1472">
        <v>1.6014041480776393</v>
      </c>
      <c r="O1960" s="1472"/>
    </row>
    <row r="1961" spans="11:15">
      <c r="K1961" s="1469">
        <v>44018</v>
      </c>
      <c r="L1961" s="1470" t="s">
        <v>2129</v>
      </c>
      <c r="M1961" s="1471">
        <v>8.4419999999999999E-3</v>
      </c>
      <c r="N1961" s="1472">
        <v>1.6015393386158201</v>
      </c>
      <c r="O1961" s="1472"/>
    </row>
    <row r="1962" spans="11:15">
      <c r="K1962" s="1469">
        <v>44019</v>
      </c>
      <c r="L1962" s="1470" t="s">
        <v>2129</v>
      </c>
      <c r="M1962" s="1471">
        <v>8.4419999999999999E-3</v>
      </c>
      <c r="N1962" s="1472">
        <v>1.6016745405667863</v>
      </c>
      <c r="O1962" s="1472"/>
    </row>
    <row r="1963" spans="11:15">
      <c r="K1963" s="1469">
        <v>44020</v>
      </c>
      <c r="L1963" s="1470" t="s">
        <v>2129</v>
      </c>
      <c r="M1963" s="1471">
        <v>8.4419999999999999E-3</v>
      </c>
      <c r="N1963" s="1472">
        <v>1.601809753931501</v>
      </c>
      <c r="O1963" s="1472"/>
    </row>
    <row r="1964" spans="11:15">
      <c r="K1964" s="1469">
        <v>44021</v>
      </c>
      <c r="L1964" s="1470" t="s">
        <v>2129</v>
      </c>
      <c r="M1964" s="1471">
        <v>8.4419999999999999E-3</v>
      </c>
      <c r="N1964" s="1472">
        <v>1.6019449787109281</v>
      </c>
      <c r="O1964" s="1472"/>
    </row>
    <row r="1965" spans="11:15">
      <c r="K1965" s="1469">
        <v>44022</v>
      </c>
      <c r="L1965" s="1470" t="s">
        <v>2129</v>
      </c>
      <c r="M1965" s="1471">
        <v>8.4419999999999999E-3</v>
      </c>
      <c r="N1965" s="1472">
        <v>1.6020802149060309</v>
      </c>
      <c r="O1965" s="1472"/>
    </row>
    <row r="1966" spans="11:15">
      <c r="K1966" s="1469">
        <v>44023</v>
      </c>
      <c r="L1966" s="1470"/>
      <c r="M1966" s="1471">
        <v>0</v>
      </c>
      <c r="N1966" s="1472">
        <v>1.6020802149060309</v>
      </c>
      <c r="O1966" s="1472"/>
    </row>
    <row r="1967" spans="11:15">
      <c r="K1967" s="1469">
        <v>44024</v>
      </c>
      <c r="L1967" s="1470"/>
      <c r="M1967" s="1471">
        <v>0</v>
      </c>
      <c r="N1967" s="1472">
        <v>1.6020802149060309</v>
      </c>
      <c r="O1967" s="1472"/>
    </row>
    <row r="1968" spans="11:15">
      <c r="K1968" s="1469">
        <v>44025</v>
      </c>
      <c r="L1968" s="1470" t="s">
        <v>2129</v>
      </c>
      <c r="M1968" s="1471">
        <v>8.4419999999999999E-3</v>
      </c>
      <c r="N1968" s="1472">
        <v>1.6022154625177734</v>
      </c>
      <c r="O1968" s="1472"/>
    </row>
    <row r="1969" spans="11:15">
      <c r="K1969" s="1469">
        <v>44026</v>
      </c>
      <c r="L1969" s="1470" t="s">
        <v>2129</v>
      </c>
      <c r="M1969" s="1471">
        <v>8.4419999999999999E-3</v>
      </c>
      <c r="N1969" s="1472">
        <v>1.6023507215471193</v>
      </c>
      <c r="O1969" s="1472"/>
    </row>
    <row r="1970" spans="11:15">
      <c r="K1970" s="1469">
        <v>44027</v>
      </c>
      <c r="L1970" s="1470" t="s">
        <v>2129</v>
      </c>
      <c r="M1970" s="1471">
        <v>8.4419999999999999E-3</v>
      </c>
      <c r="N1970" s="1472">
        <v>1.6024859919950325</v>
      </c>
      <c r="O1970" s="1472"/>
    </row>
    <row r="1971" spans="11:15">
      <c r="K1971" s="1469">
        <v>44028</v>
      </c>
      <c r="L1971" s="1470" t="s">
        <v>2129</v>
      </c>
      <c r="M1971" s="1471">
        <v>8.4419999999999999E-3</v>
      </c>
      <c r="N1971" s="1472">
        <v>1.6026212738624768</v>
      </c>
      <c r="O1971" s="1472"/>
    </row>
    <row r="1972" spans="11:15">
      <c r="K1972" s="1469">
        <v>44029</v>
      </c>
      <c r="L1972" s="1470" t="s">
        <v>2129</v>
      </c>
      <c r="M1972" s="1471">
        <v>8.4419999999999999E-3</v>
      </c>
      <c r="N1972" s="1472">
        <v>1.6027565671504165</v>
      </c>
      <c r="O1972" s="1472"/>
    </row>
    <row r="1973" spans="11:15">
      <c r="K1973" s="1469">
        <v>44030</v>
      </c>
      <c r="L1973" s="1470"/>
      <c r="M1973" s="1471">
        <v>0</v>
      </c>
      <c r="N1973" s="1472">
        <v>1.6027565671504165</v>
      </c>
      <c r="O1973" s="1472"/>
    </row>
    <row r="1974" spans="11:15">
      <c r="K1974" s="1469">
        <v>44031</v>
      </c>
      <c r="L1974" s="1470"/>
      <c r="M1974" s="1471">
        <v>0</v>
      </c>
      <c r="N1974" s="1472">
        <v>1.6027565671504165</v>
      </c>
      <c r="O1974" s="1472"/>
    </row>
    <row r="1975" spans="11:15">
      <c r="K1975" s="1469">
        <v>44032</v>
      </c>
      <c r="L1975" s="1470" t="s">
        <v>2129</v>
      </c>
      <c r="M1975" s="1471">
        <v>8.4419999999999999E-3</v>
      </c>
      <c r="N1975" s="1472">
        <v>1.6028918718598155</v>
      </c>
      <c r="O1975" s="1472"/>
    </row>
    <row r="1976" spans="11:15">
      <c r="K1976" s="1469">
        <v>44033</v>
      </c>
      <c r="L1976" s="1470" t="s">
        <v>2129</v>
      </c>
      <c r="M1976" s="1471">
        <v>8.4419999999999999E-3</v>
      </c>
      <c r="N1976" s="1472">
        <v>1.603027187991638</v>
      </c>
      <c r="O1976" s="1472"/>
    </row>
    <row r="1977" spans="11:15">
      <c r="K1977" s="1469">
        <v>44034</v>
      </c>
      <c r="L1977" s="1470" t="s">
        <v>2129</v>
      </c>
      <c r="M1977" s="1471">
        <v>8.4419999999999999E-3</v>
      </c>
      <c r="N1977" s="1472">
        <v>1.6031625155468483</v>
      </c>
      <c r="O1977" s="1472"/>
    </row>
    <row r="1978" spans="11:15">
      <c r="K1978" s="1469">
        <v>44035</v>
      </c>
      <c r="L1978" s="1470" t="s">
        <v>2129</v>
      </c>
      <c r="M1978" s="1471">
        <v>8.4419999999999999E-3</v>
      </c>
      <c r="N1978" s="1472">
        <v>1.6032978545264109</v>
      </c>
      <c r="O1978" s="1472"/>
    </row>
    <row r="1979" spans="11:15">
      <c r="K1979" s="1469">
        <v>44036</v>
      </c>
      <c r="L1979" s="1470" t="s">
        <v>2129</v>
      </c>
      <c r="M1979" s="1471">
        <v>8.4419999999999999E-3</v>
      </c>
      <c r="N1979" s="1472">
        <v>1.6034332049312903</v>
      </c>
      <c r="O1979" s="1472"/>
    </row>
    <row r="1980" spans="11:15">
      <c r="K1980" s="1469">
        <v>44037</v>
      </c>
      <c r="L1980" s="1470"/>
      <c r="M1980" s="1471">
        <v>0</v>
      </c>
      <c r="N1980" s="1472">
        <v>1.6034332049312903</v>
      </c>
      <c r="O1980" s="1472"/>
    </row>
    <row r="1981" spans="11:15">
      <c r="K1981" s="1469">
        <v>44038</v>
      </c>
      <c r="L1981" s="1470"/>
      <c r="M1981" s="1471">
        <v>0</v>
      </c>
      <c r="N1981" s="1472">
        <v>1.6034332049312903</v>
      </c>
      <c r="O1981" s="1472"/>
    </row>
    <row r="1982" spans="11:15">
      <c r="K1982" s="1469">
        <v>44039</v>
      </c>
      <c r="L1982" s="1470" t="s">
        <v>2129</v>
      </c>
      <c r="M1982" s="1471">
        <v>8.4419999999999999E-3</v>
      </c>
      <c r="N1982" s="1472">
        <v>1.6035685667624506</v>
      </c>
      <c r="O1982" s="1472"/>
    </row>
    <row r="1983" spans="11:15">
      <c r="K1983" s="1469">
        <v>44040</v>
      </c>
      <c r="L1983" s="1470" t="s">
        <v>2129</v>
      </c>
      <c r="M1983" s="1471">
        <v>8.4419999999999999E-3</v>
      </c>
      <c r="N1983" s="1472">
        <v>1.6037039400208568</v>
      </c>
      <c r="O1983" s="1472"/>
    </row>
    <row r="1984" spans="11:15">
      <c r="K1984" s="1469">
        <v>44041</v>
      </c>
      <c r="L1984" s="1470" t="s">
        <v>2129</v>
      </c>
      <c r="M1984" s="1471">
        <v>8.4419999999999999E-3</v>
      </c>
      <c r="N1984" s="1472">
        <v>1.6038393247074736</v>
      </c>
      <c r="O1984" s="1472"/>
    </row>
    <row r="1985" spans="11:15">
      <c r="K1985" s="1469">
        <v>44042</v>
      </c>
      <c r="L1985" s="1470" t="s">
        <v>2129</v>
      </c>
      <c r="M1985" s="1471">
        <v>8.4419999999999999E-3</v>
      </c>
      <c r="N1985" s="1472">
        <v>1.6039747208232655</v>
      </c>
      <c r="O1985" s="1472"/>
    </row>
    <row r="1986" spans="11:15">
      <c r="K1986" s="1469">
        <v>44043</v>
      </c>
      <c r="L1986" s="1470" t="s">
        <v>2129</v>
      </c>
      <c r="M1986" s="1471">
        <v>8.4419999999999999E-3</v>
      </c>
      <c r="N1986" s="1472">
        <v>1.6041101283691976</v>
      </c>
      <c r="O1986" s="1472"/>
    </row>
    <row r="1987" spans="11:15">
      <c r="K1987" s="1469">
        <v>44044</v>
      </c>
      <c r="L1987" s="1470"/>
      <c r="M1987" s="1471">
        <v>0</v>
      </c>
      <c r="N1987" s="1472">
        <v>1.6041101283691976</v>
      </c>
      <c r="O1987" s="1472"/>
    </row>
    <row r="1988" spans="11:15">
      <c r="K1988" s="1469">
        <v>44045</v>
      </c>
      <c r="L1988" s="1470"/>
      <c r="M1988" s="1471">
        <v>0</v>
      </c>
      <c r="N1988" s="1472">
        <v>1.6041101283691976</v>
      </c>
      <c r="O1988" s="1472"/>
    </row>
    <row r="1989" spans="11:15">
      <c r="K1989" s="1469">
        <v>44046</v>
      </c>
      <c r="L1989" s="1470" t="s">
        <v>2129</v>
      </c>
      <c r="M1989" s="1471">
        <v>8.4419999999999999E-3</v>
      </c>
      <c r="N1989" s="1472">
        <v>1.6042455473462347</v>
      </c>
      <c r="O1989" s="1472"/>
    </row>
    <row r="1990" spans="11:15">
      <c r="K1990" s="1469">
        <v>44047</v>
      </c>
      <c r="L1990" s="1470" t="s">
        <v>2129</v>
      </c>
      <c r="M1990" s="1471">
        <v>8.4419999999999999E-3</v>
      </c>
      <c r="N1990" s="1472">
        <v>1.6043809777553417</v>
      </c>
      <c r="O1990" s="1472"/>
    </row>
    <row r="1991" spans="11:15">
      <c r="K1991" s="1469">
        <v>44048</v>
      </c>
      <c r="L1991" s="1470" t="s">
        <v>2129</v>
      </c>
      <c r="M1991" s="1471">
        <v>8.4419999999999999E-3</v>
      </c>
      <c r="N1991" s="1472">
        <v>1.6045164195974839</v>
      </c>
      <c r="O1991" s="1472"/>
    </row>
    <row r="1992" spans="11:15">
      <c r="K1992" s="1469">
        <v>44049</v>
      </c>
      <c r="L1992" s="1470" t="s">
        <v>2129</v>
      </c>
      <c r="M1992" s="1471">
        <v>7.4689999999999999E-3</v>
      </c>
      <c r="N1992" s="1472">
        <v>1.6046362609288636</v>
      </c>
      <c r="O1992" s="1472"/>
    </row>
    <row r="1993" spans="11:15">
      <c r="K1993" s="1469">
        <v>44050</v>
      </c>
      <c r="L1993" s="1470" t="s">
        <v>2129</v>
      </c>
      <c r="M1993" s="1471">
        <v>7.4689999999999999E-3</v>
      </c>
      <c r="N1993" s="1472">
        <v>1.6047561112111923</v>
      </c>
      <c r="O1993" s="1472"/>
    </row>
    <row r="1994" spans="11:15">
      <c r="K1994" s="1469">
        <v>44051</v>
      </c>
      <c r="L1994" s="1470"/>
      <c r="M1994" s="1471">
        <v>0</v>
      </c>
      <c r="N1994" s="1472">
        <v>1.6047561112111923</v>
      </c>
      <c r="O1994" s="1472"/>
    </row>
    <row r="1995" spans="11:15">
      <c r="K1995" s="1469">
        <v>44052</v>
      </c>
      <c r="L1995" s="1470"/>
      <c r="M1995" s="1471">
        <v>0</v>
      </c>
      <c r="N1995" s="1472">
        <v>1.6047561112111923</v>
      </c>
      <c r="O1995" s="1472"/>
    </row>
    <row r="1996" spans="11:15">
      <c r="K1996" s="1469">
        <v>44053</v>
      </c>
      <c r="L1996" s="1470" t="s">
        <v>2129</v>
      </c>
      <c r="M1996" s="1471">
        <v>7.4689999999999999E-3</v>
      </c>
      <c r="N1996" s="1472">
        <v>1.6048759704451385</v>
      </c>
      <c r="O1996" s="1472"/>
    </row>
    <row r="1997" spans="11:15">
      <c r="K1997" s="1469">
        <v>44054</v>
      </c>
      <c r="L1997" s="1470" t="s">
        <v>2129</v>
      </c>
      <c r="M1997" s="1471">
        <v>7.4689999999999999E-3</v>
      </c>
      <c r="N1997" s="1472">
        <v>1.604995838631371</v>
      </c>
      <c r="O1997" s="1472"/>
    </row>
    <row r="1998" spans="11:15">
      <c r="K1998" s="1469">
        <v>44055</v>
      </c>
      <c r="L1998" s="1470" t="s">
        <v>2129</v>
      </c>
      <c r="M1998" s="1471">
        <v>7.4689999999999999E-3</v>
      </c>
      <c r="N1998" s="1472">
        <v>1.6051157157705582</v>
      </c>
      <c r="O1998" s="1472"/>
    </row>
    <row r="1999" spans="11:15">
      <c r="K1999" s="1469">
        <v>44056</v>
      </c>
      <c r="L1999" s="1470" t="s">
        <v>2129</v>
      </c>
      <c r="M1999" s="1471">
        <v>7.4689999999999999E-3</v>
      </c>
      <c r="N1999" s="1472">
        <v>1.6052356018633691</v>
      </c>
      <c r="O1999" s="1472"/>
    </row>
    <row r="2000" spans="11:15">
      <c r="K2000" s="1469">
        <v>44057</v>
      </c>
      <c r="L2000" s="1470" t="s">
        <v>2129</v>
      </c>
      <c r="M2000" s="1471">
        <v>7.4689999999999999E-3</v>
      </c>
      <c r="N2000" s="1472">
        <v>1.6053554969104722</v>
      </c>
      <c r="O2000" s="1472"/>
    </row>
    <row r="2001" spans="11:15">
      <c r="K2001" s="1469">
        <v>44058</v>
      </c>
      <c r="L2001" s="1470"/>
      <c r="M2001" s="1471">
        <v>0</v>
      </c>
      <c r="N2001" s="1472">
        <v>1.6053554969104722</v>
      </c>
      <c r="O2001" s="1472"/>
    </row>
    <row r="2002" spans="11:15">
      <c r="K2002" s="1469">
        <v>44059</v>
      </c>
      <c r="L2002" s="1470"/>
      <c r="M2002" s="1471">
        <v>0</v>
      </c>
      <c r="N2002" s="1472">
        <v>1.6053554969104722</v>
      </c>
      <c r="O2002" s="1472"/>
    </row>
    <row r="2003" spans="11:15">
      <c r="K2003" s="1469">
        <v>44060</v>
      </c>
      <c r="L2003" s="1470" t="s">
        <v>2129</v>
      </c>
      <c r="M2003" s="1471">
        <v>7.4689999999999999E-3</v>
      </c>
      <c r="N2003" s="1472">
        <v>1.6054754009125363</v>
      </c>
      <c r="O2003" s="1472"/>
    </row>
    <row r="2004" spans="11:15">
      <c r="K2004" s="1469">
        <v>44061</v>
      </c>
      <c r="L2004" s="1470" t="s">
        <v>2129</v>
      </c>
      <c r="M2004" s="1471">
        <v>7.4689999999999999E-3</v>
      </c>
      <c r="N2004" s="1472">
        <v>1.6055953138702304</v>
      </c>
      <c r="O2004" s="1472"/>
    </row>
    <row r="2005" spans="11:15">
      <c r="K2005" s="1469">
        <v>44062</v>
      </c>
      <c r="L2005" s="1470" t="s">
        <v>2129</v>
      </c>
      <c r="M2005" s="1471">
        <v>7.4689999999999999E-3</v>
      </c>
      <c r="N2005" s="1472">
        <v>1.6057152357842233</v>
      </c>
      <c r="O2005" s="1472"/>
    </row>
    <row r="2006" spans="11:15">
      <c r="K2006" s="1469">
        <v>44063</v>
      </c>
      <c r="L2006" s="1470" t="s">
        <v>2129</v>
      </c>
      <c r="M2006" s="1471">
        <v>7.4689999999999999E-3</v>
      </c>
      <c r="N2006" s="1472">
        <v>1.6058351666551838</v>
      </c>
      <c r="O2006" s="1472"/>
    </row>
    <row r="2007" spans="11:15">
      <c r="K2007" s="1469">
        <v>44064</v>
      </c>
      <c r="L2007" s="1470" t="s">
        <v>2129</v>
      </c>
      <c r="M2007" s="1471">
        <v>7.4689999999999999E-3</v>
      </c>
      <c r="N2007" s="1472">
        <v>1.6059551064837811</v>
      </c>
      <c r="O2007" s="1472"/>
    </row>
    <row r="2008" spans="11:15">
      <c r="K2008" s="1469">
        <v>44065</v>
      </c>
      <c r="L2008" s="1470"/>
      <c r="M2008" s="1471">
        <v>0</v>
      </c>
      <c r="N2008" s="1472">
        <v>1.6059551064837811</v>
      </c>
      <c r="O2008" s="1472"/>
    </row>
    <row r="2009" spans="11:15">
      <c r="K2009" s="1469">
        <v>44066</v>
      </c>
      <c r="L2009" s="1470"/>
      <c r="M2009" s="1471">
        <v>0</v>
      </c>
      <c r="N2009" s="1472">
        <v>1.6059551064837811</v>
      </c>
      <c r="O2009" s="1472"/>
    </row>
    <row r="2010" spans="11:15">
      <c r="K2010" s="1469">
        <v>44067</v>
      </c>
      <c r="L2010" s="1470" t="s">
        <v>2129</v>
      </c>
      <c r="M2010" s="1471">
        <v>7.4689999999999999E-3</v>
      </c>
      <c r="N2010" s="1472">
        <v>1.6060750552706844</v>
      </c>
      <c r="O2010" s="1472"/>
    </row>
    <row r="2011" spans="11:15">
      <c r="K2011" s="1469">
        <v>44068</v>
      </c>
      <c r="L2011" s="1470" t="s">
        <v>2129</v>
      </c>
      <c r="M2011" s="1471">
        <v>7.4689999999999999E-3</v>
      </c>
      <c r="N2011" s="1472">
        <v>1.6061950130165625</v>
      </c>
      <c r="O2011" s="1472"/>
    </row>
    <row r="2012" spans="11:15">
      <c r="K2012" s="1469">
        <v>44069</v>
      </c>
      <c r="L2012" s="1470" t="s">
        <v>2129</v>
      </c>
      <c r="M2012" s="1471">
        <v>7.4689999999999999E-3</v>
      </c>
      <c r="N2012" s="1472">
        <v>1.6063149797220846</v>
      </c>
      <c r="O2012" s="1472"/>
    </row>
    <row r="2013" spans="11:15">
      <c r="K2013" s="1469">
        <v>44070</v>
      </c>
      <c r="L2013" s="1470" t="s">
        <v>2129</v>
      </c>
      <c r="M2013" s="1471">
        <v>7.4689999999999999E-3</v>
      </c>
      <c r="N2013" s="1472">
        <v>1.60643495538792</v>
      </c>
      <c r="O2013" s="1472"/>
    </row>
    <row r="2014" spans="11:15">
      <c r="K2014" s="1469">
        <v>44071</v>
      </c>
      <c r="L2014" s="1470" t="s">
        <v>2129</v>
      </c>
      <c r="M2014" s="1471">
        <v>7.4689999999999999E-3</v>
      </c>
      <c r="N2014" s="1472">
        <v>1.6065549400147379</v>
      </c>
      <c r="O2014" s="1472"/>
    </row>
    <row r="2015" spans="11:15">
      <c r="K2015" s="1469">
        <v>44072</v>
      </c>
      <c r="L2015" s="1470"/>
      <c r="M2015" s="1471">
        <v>0</v>
      </c>
      <c r="N2015" s="1472">
        <v>1.6065549400147379</v>
      </c>
      <c r="O2015" s="1472"/>
    </row>
    <row r="2016" spans="11:15">
      <c r="K2016" s="1469">
        <v>44073</v>
      </c>
      <c r="L2016" s="1470"/>
      <c r="M2016" s="1471">
        <v>0</v>
      </c>
      <c r="N2016" s="1472">
        <v>1.6065549400147379</v>
      </c>
      <c r="O2016" s="1472"/>
    </row>
    <row r="2017" spans="11:15">
      <c r="K2017" s="1469">
        <v>44074</v>
      </c>
      <c r="L2017" s="1470" t="s">
        <v>2129</v>
      </c>
      <c r="M2017" s="1471">
        <v>7.4689999999999999E-3</v>
      </c>
      <c r="N2017" s="1472">
        <v>1.6066749336032076</v>
      </c>
      <c r="O2017" s="1472"/>
    </row>
    <row r="2018" spans="11:15">
      <c r="K2018" s="1469">
        <v>44075</v>
      </c>
      <c r="L2018" s="1470" t="s">
        <v>2129</v>
      </c>
      <c r="M2018" s="1471">
        <v>7.4689999999999999E-3</v>
      </c>
      <c r="N2018" s="1472">
        <v>1.6067949361539984</v>
      </c>
      <c r="O2018" s="1472"/>
    </row>
    <row r="2019" spans="11:15">
      <c r="K2019" s="1469">
        <v>44076</v>
      </c>
      <c r="L2019" s="1470" t="s">
        <v>2129</v>
      </c>
      <c r="M2019" s="1471">
        <v>7.4689999999999999E-3</v>
      </c>
      <c r="N2019" s="1472">
        <v>1.6069149476677795</v>
      </c>
      <c r="O2019" s="1472"/>
    </row>
    <row r="2020" spans="11:15">
      <c r="K2020" s="1469">
        <v>44077</v>
      </c>
      <c r="L2020" s="1470" t="s">
        <v>2129</v>
      </c>
      <c r="M2020" s="1471">
        <v>7.4689999999999999E-3</v>
      </c>
      <c r="N2020" s="1472">
        <v>1.6070349681452207</v>
      </c>
      <c r="O2020" s="1472"/>
    </row>
    <row r="2021" spans="11:15">
      <c r="K2021" s="1469">
        <v>44078</v>
      </c>
      <c r="L2021" s="1470" t="s">
        <v>2129</v>
      </c>
      <c r="M2021" s="1471">
        <v>7.4689999999999999E-3</v>
      </c>
      <c r="N2021" s="1472">
        <v>1.6071549975869914</v>
      </c>
      <c r="O2021" s="1472"/>
    </row>
    <row r="2022" spans="11:15">
      <c r="K2022" s="1469">
        <v>44079</v>
      </c>
      <c r="L2022" s="1470"/>
      <c r="M2022" s="1471">
        <v>0</v>
      </c>
      <c r="N2022" s="1472">
        <v>1.6071549975869914</v>
      </c>
      <c r="O2022" s="1472"/>
    </row>
    <row r="2023" spans="11:15">
      <c r="K2023" s="1469">
        <v>44080</v>
      </c>
      <c r="L2023" s="1470"/>
      <c r="M2023" s="1471">
        <v>0</v>
      </c>
      <c r="N2023" s="1472">
        <v>1.6071549975869914</v>
      </c>
      <c r="O2023" s="1472"/>
    </row>
    <row r="2024" spans="11:15">
      <c r="K2024" s="1469">
        <v>44081</v>
      </c>
      <c r="L2024" s="1470"/>
      <c r="M2024" s="1471">
        <v>0</v>
      </c>
      <c r="N2024" s="1472">
        <v>1.6071549975869914</v>
      </c>
      <c r="O2024" s="1472"/>
    </row>
    <row r="2025" spans="11:15">
      <c r="K2025" s="1469">
        <v>44082</v>
      </c>
      <c r="L2025" s="1470" t="s">
        <v>2129</v>
      </c>
      <c r="M2025" s="1471">
        <v>7.4689999999999999E-3</v>
      </c>
      <c r="N2025" s="1472">
        <v>1.6072750359937611</v>
      </c>
      <c r="O2025" s="1472"/>
    </row>
    <row r="2026" spans="11:15">
      <c r="K2026" s="1469">
        <v>44083</v>
      </c>
      <c r="L2026" s="1470" t="s">
        <v>2129</v>
      </c>
      <c r="M2026" s="1471">
        <v>7.4689999999999999E-3</v>
      </c>
      <c r="N2026" s="1472">
        <v>1.6073950833661994</v>
      </c>
      <c r="O2026" s="1472"/>
    </row>
    <row r="2027" spans="11:15">
      <c r="K2027" s="1469">
        <v>44084</v>
      </c>
      <c r="L2027" s="1470" t="s">
        <v>2129</v>
      </c>
      <c r="M2027" s="1471">
        <v>7.4689999999999999E-3</v>
      </c>
      <c r="N2027" s="1472">
        <v>1.6075151397049758</v>
      </c>
      <c r="O2027" s="1472"/>
    </row>
    <row r="2028" spans="11:15">
      <c r="K2028" s="1469">
        <v>44085</v>
      </c>
      <c r="L2028" s="1470" t="s">
        <v>2129</v>
      </c>
      <c r="M2028" s="1471">
        <v>7.4689999999999999E-3</v>
      </c>
      <c r="N2028" s="1472">
        <v>1.6076352050107603</v>
      </c>
      <c r="O2028" s="1472"/>
    </row>
    <row r="2029" spans="11:15">
      <c r="K2029" s="1469">
        <v>44086</v>
      </c>
      <c r="L2029" s="1470"/>
      <c r="M2029" s="1471">
        <v>0</v>
      </c>
      <c r="N2029" s="1472">
        <v>1.6076352050107603</v>
      </c>
      <c r="O2029" s="1472"/>
    </row>
    <row r="2030" spans="11:15">
      <c r="K2030" s="1469">
        <v>44087</v>
      </c>
      <c r="L2030" s="1470"/>
      <c r="M2030" s="1471">
        <v>0</v>
      </c>
      <c r="N2030" s="1472">
        <v>1.6076352050107603</v>
      </c>
      <c r="O2030" s="1472"/>
    </row>
    <row r="2031" spans="11:15">
      <c r="K2031" s="1469">
        <v>44088</v>
      </c>
      <c r="L2031" s="1470" t="s">
        <v>2129</v>
      </c>
      <c r="M2031" s="1471">
        <v>7.4689999999999999E-3</v>
      </c>
      <c r="N2031" s="1472">
        <v>1.6077552792842225</v>
      </c>
      <c r="O2031" s="1472"/>
    </row>
    <row r="2032" spans="11:15">
      <c r="K2032" s="1469">
        <v>44089</v>
      </c>
      <c r="L2032" s="1470" t="s">
        <v>2129</v>
      </c>
      <c r="M2032" s="1471">
        <v>7.4689999999999999E-3</v>
      </c>
      <c r="N2032" s="1472">
        <v>1.607875362526032</v>
      </c>
      <c r="O2032" s="1472"/>
    </row>
    <row r="2033" spans="11:15">
      <c r="K2033" s="1469">
        <v>44090</v>
      </c>
      <c r="L2033" s="1470" t="s">
        <v>2129</v>
      </c>
      <c r="M2033" s="1471">
        <v>7.4689999999999999E-3</v>
      </c>
      <c r="N2033" s="1472">
        <v>1.6079954547368589</v>
      </c>
      <c r="O2033" s="1472"/>
    </row>
    <row r="2034" spans="11:15">
      <c r="K2034" s="1469">
        <v>44091</v>
      </c>
      <c r="L2034" s="1470" t="s">
        <v>2129</v>
      </c>
      <c r="M2034" s="1471">
        <v>7.4689999999999999E-3</v>
      </c>
      <c r="N2034" s="1472">
        <v>1.608115555917373</v>
      </c>
      <c r="O2034" s="1472"/>
    </row>
    <row r="2035" spans="11:15">
      <c r="K2035" s="1469">
        <v>44092</v>
      </c>
      <c r="L2035" s="1470" t="s">
        <v>2129</v>
      </c>
      <c r="M2035" s="1471">
        <v>7.4689999999999999E-3</v>
      </c>
      <c r="N2035" s="1472">
        <v>1.6082356660682444</v>
      </c>
      <c r="O2035" s="1472"/>
    </row>
    <row r="2036" spans="11:15">
      <c r="K2036" s="1469">
        <v>44093</v>
      </c>
      <c r="L2036" s="1470"/>
      <c r="M2036" s="1471">
        <v>0</v>
      </c>
      <c r="N2036" s="1472">
        <v>1.6082356660682444</v>
      </c>
      <c r="O2036" s="1472"/>
    </row>
    <row r="2037" spans="11:15">
      <c r="K2037" s="1469">
        <v>44094</v>
      </c>
      <c r="L2037" s="1470"/>
      <c r="M2037" s="1471">
        <v>0</v>
      </c>
      <c r="N2037" s="1472">
        <v>1.6082356660682444</v>
      </c>
      <c r="O2037" s="1472"/>
    </row>
    <row r="2038" spans="11:15">
      <c r="K2038" s="1469">
        <v>44095</v>
      </c>
      <c r="L2038" s="1470" t="s">
        <v>2129</v>
      </c>
      <c r="M2038" s="1471">
        <v>7.4689999999999999E-3</v>
      </c>
      <c r="N2038" s="1472">
        <v>1.6083557851901429</v>
      </c>
      <c r="O2038" s="1472"/>
    </row>
    <row r="2039" spans="11:15">
      <c r="K2039" s="1469">
        <v>44096</v>
      </c>
      <c r="L2039" s="1470" t="s">
        <v>2129</v>
      </c>
      <c r="M2039" s="1471">
        <v>7.4689999999999999E-3</v>
      </c>
      <c r="N2039" s="1472">
        <v>1.6084759132837387</v>
      </c>
      <c r="O2039" s="1472"/>
    </row>
    <row r="2040" spans="11:15">
      <c r="K2040" s="1469">
        <v>44097</v>
      </c>
      <c r="L2040" s="1470" t="s">
        <v>2129</v>
      </c>
      <c r="M2040" s="1471">
        <v>7.4689999999999999E-3</v>
      </c>
      <c r="N2040" s="1472">
        <v>1.6085960503497019</v>
      </c>
      <c r="O2040" s="1472"/>
    </row>
    <row r="2041" spans="11:15">
      <c r="K2041" s="1469">
        <v>44098</v>
      </c>
      <c r="L2041" s="1470" t="s">
        <v>2129</v>
      </c>
      <c r="M2041" s="1471">
        <v>7.4689999999999999E-3</v>
      </c>
      <c r="N2041" s="1472">
        <v>1.6087161963887024</v>
      </c>
      <c r="O2041" s="1472"/>
    </row>
    <row r="2042" spans="11:15">
      <c r="K2042" s="1469">
        <v>44099</v>
      </c>
      <c r="L2042" s="1470" t="s">
        <v>2129</v>
      </c>
      <c r="M2042" s="1471">
        <v>7.4689999999999999E-3</v>
      </c>
      <c r="N2042" s="1472">
        <v>1.6088363514014106</v>
      </c>
      <c r="O2042" s="1472"/>
    </row>
    <row r="2043" spans="11:15">
      <c r="K2043" s="1469">
        <v>44100</v>
      </c>
      <c r="L2043" s="1470"/>
      <c r="M2043" s="1471">
        <v>0</v>
      </c>
      <c r="N2043" s="1472">
        <v>1.6088363514014106</v>
      </c>
      <c r="O2043" s="1472"/>
    </row>
    <row r="2044" spans="11:15">
      <c r="K2044" s="1469">
        <v>44101</v>
      </c>
      <c r="L2044" s="1470"/>
      <c r="M2044" s="1471">
        <v>0</v>
      </c>
      <c r="N2044" s="1472">
        <v>1.6088363514014106</v>
      </c>
      <c r="O2044" s="1472"/>
    </row>
    <row r="2045" spans="11:15">
      <c r="K2045" s="1469">
        <v>44102</v>
      </c>
      <c r="L2045" s="1470" t="s">
        <v>2129</v>
      </c>
      <c r="M2045" s="1471">
        <v>7.4689999999999999E-3</v>
      </c>
      <c r="N2045" s="1472">
        <v>1.6089565153884966</v>
      </c>
      <c r="O2045" s="1472"/>
    </row>
    <row r="2046" spans="11:15">
      <c r="K2046" s="1469">
        <v>44103</v>
      </c>
      <c r="L2046" s="1470" t="s">
        <v>2129</v>
      </c>
      <c r="M2046" s="1471">
        <v>7.4689999999999999E-3</v>
      </c>
      <c r="N2046" s="1472">
        <v>1.6090766883506309</v>
      </c>
      <c r="O2046" s="1472"/>
    </row>
    <row r="2047" spans="11:15">
      <c r="K2047" s="1469">
        <v>44104</v>
      </c>
      <c r="L2047" s="1470" t="s">
        <v>2129</v>
      </c>
      <c r="M2047" s="1471">
        <v>7.4689999999999999E-3</v>
      </c>
      <c r="N2047" s="1472">
        <v>1.6091968702884838</v>
      </c>
      <c r="O2047" s="1472"/>
    </row>
    <row r="2048" spans="11:15">
      <c r="K2048" s="1469">
        <v>44105</v>
      </c>
      <c r="L2048" s="1470" t="s">
        <v>2129</v>
      </c>
      <c r="M2048" s="1471">
        <v>7.4689999999999999E-3</v>
      </c>
      <c r="N2048" s="1472">
        <v>1.6093170612027254</v>
      </c>
      <c r="O2048" s="1472"/>
    </row>
    <row r="2049" spans="11:15">
      <c r="K2049" s="1469">
        <v>44106</v>
      </c>
      <c r="L2049" s="1470" t="s">
        <v>2129</v>
      </c>
      <c r="M2049" s="1471">
        <v>7.4689999999999999E-3</v>
      </c>
      <c r="N2049" s="1472">
        <v>1.6094372610940266</v>
      </c>
      <c r="O2049" s="1472"/>
    </row>
    <row r="2050" spans="11:15">
      <c r="K2050" s="1469">
        <v>44107</v>
      </c>
      <c r="L2050" s="1470"/>
      <c r="M2050" s="1471">
        <v>0</v>
      </c>
      <c r="N2050" s="1472">
        <v>1.6094372610940266</v>
      </c>
      <c r="O2050" s="1472"/>
    </row>
    <row r="2051" spans="11:15">
      <c r="K2051" s="1469">
        <v>44108</v>
      </c>
      <c r="L2051" s="1470"/>
      <c r="M2051" s="1471">
        <v>0</v>
      </c>
      <c r="N2051" s="1472">
        <v>1.6094372610940266</v>
      </c>
      <c r="O2051" s="1472"/>
    </row>
    <row r="2052" spans="11:15">
      <c r="K2052" s="1469">
        <v>44109</v>
      </c>
      <c r="L2052" s="1470" t="s">
        <v>2129</v>
      </c>
      <c r="M2052" s="1471">
        <v>7.4689999999999999E-3</v>
      </c>
      <c r="N2052" s="1472">
        <v>1.6095574699630577</v>
      </c>
      <c r="O2052" s="1472"/>
    </row>
    <row r="2053" spans="11:15">
      <c r="K2053" s="1469">
        <v>44110</v>
      </c>
      <c r="L2053" s="1470" t="s">
        <v>2129</v>
      </c>
      <c r="M2053" s="1471">
        <v>7.4689999999999999E-3</v>
      </c>
      <c r="N2053" s="1472">
        <v>1.609677687810489</v>
      </c>
      <c r="O2053" s="1472"/>
    </row>
    <row r="2054" spans="11:15">
      <c r="K2054" s="1469">
        <v>44111</v>
      </c>
      <c r="L2054" s="1470" t="s">
        <v>2129</v>
      </c>
      <c r="M2054" s="1471">
        <v>7.4689999999999999E-3</v>
      </c>
      <c r="N2054" s="1472">
        <v>1.6097979146369914</v>
      </c>
      <c r="O2054" s="1472"/>
    </row>
    <row r="2055" spans="11:15">
      <c r="K2055" s="1469">
        <v>44112</v>
      </c>
      <c r="L2055" s="1470" t="s">
        <v>2129</v>
      </c>
      <c r="M2055" s="1471">
        <v>7.4689999999999999E-3</v>
      </c>
      <c r="N2055" s="1472">
        <v>1.6099181504432356</v>
      </c>
      <c r="O2055" s="1472"/>
    </row>
    <row r="2056" spans="11:15">
      <c r="K2056" s="1469">
        <v>44113</v>
      </c>
      <c r="L2056" s="1470" t="s">
        <v>2129</v>
      </c>
      <c r="M2056" s="1471">
        <v>7.4689999999999999E-3</v>
      </c>
      <c r="N2056" s="1472">
        <v>1.610038395229892</v>
      </c>
      <c r="O2056" s="1472"/>
    </row>
    <row r="2057" spans="11:15">
      <c r="K2057" s="1469">
        <v>44114</v>
      </c>
      <c r="L2057" s="1470"/>
      <c r="M2057" s="1471">
        <v>0</v>
      </c>
      <c r="N2057" s="1472">
        <v>1.610038395229892</v>
      </c>
      <c r="O2057" s="1472"/>
    </row>
    <row r="2058" spans="11:15">
      <c r="K2058" s="1469">
        <v>44115</v>
      </c>
      <c r="L2058" s="1470"/>
      <c r="M2058" s="1471">
        <v>0</v>
      </c>
      <c r="N2058" s="1472">
        <v>1.610038395229892</v>
      </c>
      <c r="O2058" s="1472"/>
    </row>
    <row r="2059" spans="11:15">
      <c r="K2059" s="1469">
        <v>44116</v>
      </c>
      <c r="L2059" s="1470"/>
      <c r="M2059" s="1471">
        <v>0</v>
      </c>
      <c r="N2059" s="1472">
        <v>1.610038395229892</v>
      </c>
      <c r="O2059" s="1472"/>
    </row>
    <row r="2060" spans="11:15">
      <c r="K2060" s="1469">
        <v>44117</v>
      </c>
      <c r="L2060" s="1470" t="s">
        <v>2129</v>
      </c>
      <c r="M2060" s="1471">
        <v>7.4689999999999999E-3</v>
      </c>
      <c r="N2060" s="1472">
        <v>1.6101586489976316</v>
      </c>
      <c r="O2060" s="1472"/>
    </row>
    <row r="2061" spans="11:15">
      <c r="K2061" s="1469">
        <v>44118</v>
      </c>
      <c r="L2061" s="1470" t="s">
        <v>2129</v>
      </c>
      <c r="M2061" s="1471">
        <v>7.4689999999999999E-3</v>
      </c>
      <c r="N2061" s="1472">
        <v>1.6102789117471252</v>
      </c>
      <c r="O2061" s="1472"/>
    </row>
    <row r="2062" spans="11:15">
      <c r="K2062" s="1469">
        <v>44119</v>
      </c>
      <c r="L2062" s="1470" t="s">
        <v>2129</v>
      </c>
      <c r="M2062" s="1471">
        <v>7.4689999999999999E-3</v>
      </c>
      <c r="N2062" s="1472">
        <v>1.6103991834790434</v>
      </c>
      <c r="O2062" s="1472"/>
    </row>
    <row r="2063" spans="11:15">
      <c r="K2063" s="1469">
        <v>44120</v>
      </c>
      <c r="L2063" s="1470" t="s">
        <v>2129</v>
      </c>
      <c r="M2063" s="1471">
        <v>7.4689999999999999E-3</v>
      </c>
      <c r="N2063" s="1472">
        <v>1.6105194641940574</v>
      </c>
      <c r="O2063" s="1472"/>
    </row>
    <row r="2064" spans="11:15">
      <c r="K2064" s="1469">
        <v>44121</v>
      </c>
      <c r="L2064" s="1470"/>
      <c r="M2064" s="1471">
        <v>0</v>
      </c>
      <c r="N2064" s="1472">
        <v>1.6105194641940574</v>
      </c>
      <c r="O2064" s="1472"/>
    </row>
    <row r="2065" spans="11:15">
      <c r="K2065" s="1469">
        <v>44122</v>
      </c>
      <c r="L2065" s="1470"/>
      <c r="M2065" s="1471">
        <v>0</v>
      </c>
      <c r="N2065" s="1472">
        <v>1.6105194641940574</v>
      </c>
      <c r="O2065" s="1472"/>
    </row>
    <row r="2066" spans="11:15">
      <c r="K2066" s="1469">
        <v>44123</v>
      </c>
      <c r="L2066" s="1470" t="s">
        <v>2129</v>
      </c>
      <c r="M2066" s="1471">
        <v>7.4689999999999999E-3</v>
      </c>
      <c r="N2066" s="1472">
        <v>1.6106397538928381</v>
      </c>
      <c r="O2066" s="1472"/>
    </row>
    <row r="2067" spans="11:15">
      <c r="K2067" s="1469">
        <v>44124</v>
      </c>
      <c r="L2067" s="1470" t="s">
        <v>2129</v>
      </c>
      <c r="M2067" s="1471">
        <v>7.4689999999999999E-3</v>
      </c>
      <c r="N2067" s="1472">
        <v>1.6107600525760561</v>
      </c>
      <c r="O2067" s="1472"/>
    </row>
    <row r="2068" spans="11:15">
      <c r="K2068" s="1469">
        <v>44125</v>
      </c>
      <c r="L2068" s="1470" t="s">
        <v>2129</v>
      </c>
      <c r="M2068" s="1471">
        <v>7.4689999999999999E-3</v>
      </c>
      <c r="N2068" s="1472">
        <v>1.6108803602443829</v>
      </c>
      <c r="O2068" s="1472"/>
    </row>
    <row r="2069" spans="11:15">
      <c r="K2069" s="1469">
        <v>44126</v>
      </c>
      <c r="L2069" s="1470" t="s">
        <v>2129</v>
      </c>
      <c r="M2069" s="1471">
        <v>7.4689999999999999E-3</v>
      </c>
      <c r="N2069" s="1472">
        <v>1.6110006768984895</v>
      </c>
      <c r="O2069" s="1472"/>
    </row>
    <row r="2070" spans="11:15">
      <c r="K2070" s="1469">
        <v>44127</v>
      </c>
      <c r="L2070" s="1470" t="s">
        <v>2129</v>
      </c>
      <c r="M2070" s="1471">
        <v>7.4689999999999999E-3</v>
      </c>
      <c r="N2070" s="1472">
        <v>1.611121002539047</v>
      </c>
      <c r="O2070" s="1472"/>
    </row>
    <row r="2071" spans="11:15">
      <c r="K2071" s="1469">
        <v>44128</v>
      </c>
      <c r="L2071" s="1470"/>
      <c r="M2071" s="1471">
        <v>0</v>
      </c>
      <c r="N2071" s="1472">
        <v>1.611121002539047</v>
      </c>
      <c r="O2071" s="1472"/>
    </row>
    <row r="2072" spans="11:15">
      <c r="K2072" s="1469">
        <v>44129</v>
      </c>
      <c r="L2072" s="1470"/>
      <c r="M2072" s="1471">
        <v>0</v>
      </c>
      <c r="N2072" s="1472">
        <v>1.611121002539047</v>
      </c>
      <c r="O2072" s="1472"/>
    </row>
    <row r="2073" spans="11:15">
      <c r="K2073" s="1469">
        <v>44130</v>
      </c>
      <c r="L2073" s="1470" t="s">
        <v>2129</v>
      </c>
      <c r="M2073" s="1471">
        <v>7.4689999999999999E-3</v>
      </c>
      <c r="N2073" s="1472">
        <v>1.6112413371667265</v>
      </c>
      <c r="O2073" s="1472"/>
    </row>
    <row r="2074" spans="11:15">
      <c r="K2074" s="1469">
        <v>44131</v>
      </c>
      <c r="L2074" s="1470" t="s">
        <v>2129</v>
      </c>
      <c r="M2074" s="1471">
        <v>7.4689999999999999E-3</v>
      </c>
      <c r="N2074" s="1472">
        <v>1.6113616807821993</v>
      </c>
      <c r="O2074" s="1472"/>
    </row>
    <row r="2075" spans="11:15">
      <c r="K2075" s="1469">
        <v>44132</v>
      </c>
      <c r="L2075" s="1470" t="s">
        <v>2129</v>
      </c>
      <c r="M2075" s="1471">
        <v>7.4689999999999999E-3</v>
      </c>
      <c r="N2075" s="1472">
        <v>1.6114820333861368</v>
      </c>
      <c r="O2075" s="1472"/>
    </row>
    <row r="2076" spans="11:15">
      <c r="K2076" s="1469">
        <v>44133</v>
      </c>
      <c r="L2076" s="1470" t="s">
        <v>2129</v>
      </c>
      <c r="M2076" s="1471">
        <v>7.4689999999999999E-3</v>
      </c>
      <c r="N2076" s="1472">
        <v>1.6116023949792104</v>
      </c>
      <c r="O2076" s="1472"/>
    </row>
    <row r="2077" spans="11:15">
      <c r="K2077" s="1469">
        <v>44134</v>
      </c>
      <c r="L2077" s="1470" t="s">
        <v>2129</v>
      </c>
      <c r="M2077" s="1471">
        <v>7.4689999999999999E-3</v>
      </c>
      <c r="N2077" s="1472">
        <v>1.6117227655620914</v>
      </c>
      <c r="O2077" s="1472"/>
    </row>
    <row r="2078" spans="11:15">
      <c r="K2078" s="1469">
        <v>44135</v>
      </c>
      <c r="L2078" s="1470"/>
      <c r="M2078" s="1471">
        <v>0</v>
      </c>
      <c r="N2078" s="1472">
        <v>1.6117227655620914</v>
      </c>
      <c r="O2078" s="1472"/>
    </row>
    <row r="2079" spans="11:15">
      <c r="K2079" s="1469">
        <v>44136</v>
      </c>
      <c r="L2079" s="1470"/>
      <c r="M2079" s="1471">
        <v>0</v>
      </c>
      <c r="N2079" s="1472">
        <v>1.6117227655620914</v>
      </c>
      <c r="O2079" s="1472"/>
    </row>
    <row r="2080" spans="11:15">
      <c r="K2080" s="1469">
        <v>44137</v>
      </c>
      <c r="L2080" s="1470"/>
      <c r="M2080" s="1471">
        <v>0</v>
      </c>
      <c r="N2080" s="1472">
        <v>1.6117227655620914</v>
      </c>
      <c r="O2080" s="1472"/>
    </row>
    <row r="2081" spans="11:15">
      <c r="K2081" s="1469">
        <v>44138</v>
      </c>
      <c r="L2081" s="1470" t="s">
        <v>2129</v>
      </c>
      <c r="M2081" s="1471">
        <v>7.4689999999999999E-3</v>
      </c>
      <c r="N2081" s="1472">
        <v>1.6118431451354511</v>
      </c>
      <c r="O2081" s="1472"/>
    </row>
    <row r="2082" spans="11:15">
      <c r="K2082" s="1469">
        <v>44139</v>
      </c>
      <c r="L2082" s="1470" t="s">
        <v>2129</v>
      </c>
      <c r="M2082" s="1471">
        <v>7.4689999999999999E-3</v>
      </c>
      <c r="N2082" s="1472">
        <v>1.6119635336999611</v>
      </c>
      <c r="O2082" s="1472"/>
    </row>
    <row r="2083" spans="11:15">
      <c r="K2083" s="1469">
        <v>44140</v>
      </c>
      <c r="L2083" s="1470" t="s">
        <v>2129</v>
      </c>
      <c r="M2083" s="1471">
        <v>7.4689999999999999E-3</v>
      </c>
      <c r="N2083" s="1472">
        <v>1.6120839312562931</v>
      </c>
      <c r="O2083" s="1472"/>
    </row>
    <row r="2084" spans="11:15">
      <c r="K2084" s="1469">
        <v>44141</v>
      </c>
      <c r="L2084" s="1470" t="s">
        <v>2129</v>
      </c>
      <c r="M2084" s="1471">
        <v>7.4689999999999999E-3</v>
      </c>
      <c r="N2084" s="1472">
        <v>1.6122043378051185</v>
      </c>
      <c r="O2084" s="1472"/>
    </row>
    <row r="2085" spans="11:15">
      <c r="K2085" s="1469">
        <v>44142</v>
      </c>
      <c r="L2085" s="1470"/>
      <c r="M2085" s="1471">
        <v>0</v>
      </c>
      <c r="N2085" s="1472">
        <v>1.6122043378051185</v>
      </c>
      <c r="O2085" s="1472"/>
    </row>
    <row r="2086" spans="11:15">
      <c r="K2086" s="1469">
        <v>44143</v>
      </c>
      <c r="L2086" s="1470"/>
      <c r="M2086" s="1471">
        <v>0</v>
      </c>
      <c r="N2086" s="1472">
        <v>1.6122043378051185</v>
      </c>
      <c r="O2086" s="1472"/>
    </row>
    <row r="2087" spans="11:15">
      <c r="K2087" s="1469">
        <v>44144</v>
      </c>
      <c r="L2087" s="1470" t="s">
        <v>2129</v>
      </c>
      <c r="M2087" s="1471">
        <v>7.4689999999999999E-3</v>
      </c>
      <c r="N2087" s="1472">
        <v>1.612324753347109</v>
      </c>
      <c r="O2087" s="1472"/>
    </row>
    <row r="2088" spans="11:15">
      <c r="K2088" s="1469">
        <v>44145</v>
      </c>
      <c r="L2088" s="1470" t="s">
        <v>2129</v>
      </c>
      <c r="M2088" s="1471">
        <v>7.4689999999999999E-3</v>
      </c>
      <c r="N2088" s="1472">
        <v>1.6124451778829363</v>
      </c>
      <c r="O2088" s="1472"/>
    </row>
    <row r="2089" spans="11:15">
      <c r="K2089" s="1469">
        <v>44146</v>
      </c>
      <c r="L2089" s="1470" t="s">
        <v>2129</v>
      </c>
      <c r="M2089" s="1471">
        <v>7.4689999999999999E-3</v>
      </c>
      <c r="N2089" s="1472">
        <v>1.6125656114132723</v>
      </c>
      <c r="O2089" s="1472"/>
    </row>
    <row r="2090" spans="11:15">
      <c r="K2090" s="1469">
        <v>44147</v>
      </c>
      <c r="L2090" s="1470" t="s">
        <v>2129</v>
      </c>
      <c r="M2090" s="1471">
        <v>7.4689999999999999E-3</v>
      </c>
      <c r="N2090" s="1472">
        <v>1.6126860539387886</v>
      </c>
      <c r="O2090" s="1472"/>
    </row>
    <row r="2091" spans="11:15">
      <c r="K2091" s="1469">
        <v>44148</v>
      </c>
      <c r="L2091" s="1470" t="s">
        <v>2129</v>
      </c>
      <c r="M2091" s="1471">
        <v>7.4689999999999999E-3</v>
      </c>
      <c r="N2091" s="1472">
        <v>1.6128065054601572</v>
      </c>
      <c r="O2091" s="1472"/>
    </row>
    <row r="2092" spans="11:15">
      <c r="K2092" s="1469">
        <v>44149</v>
      </c>
      <c r="L2092" s="1470"/>
      <c r="M2092" s="1471">
        <v>0</v>
      </c>
      <c r="N2092" s="1472">
        <v>1.6128065054601572</v>
      </c>
      <c r="O2092" s="1472"/>
    </row>
    <row r="2093" spans="11:15">
      <c r="K2093" s="1469">
        <v>44150</v>
      </c>
      <c r="L2093" s="1470"/>
      <c r="M2093" s="1471">
        <v>0</v>
      </c>
      <c r="N2093" s="1472">
        <v>1.6128065054601572</v>
      </c>
      <c r="O2093" s="1472"/>
    </row>
    <row r="2094" spans="11:15">
      <c r="K2094" s="1469">
        <v>44151</v>
      </c>
      <c r="L2094" s="1470" t="s">
        <v>2129</v>
      </c>
      <c r="M2094" s="1471">
        <v>7.4689999999999999E-3</v>
      </c>
      <c r="N2094" s="1472">
        <v>1.6129269659780499</v>
      </c>
      <c r="O2094" s="1472"/>
    </row>
    <row r="2095" spans="11:15">
      <c r="K2095" s="1469">
        <v>44152</v>
      </c>
      <c r="L2095" s="1470" t="s">
        <v>2129</v>
      </c>
      <c r="M2095" s="1471">
        <v>7.4689999999999999E-3</v>
      </c>
      <c r="N2095" s="1472">
        <v>1.6130474354931386</v>
      </c>
      <c r="O2095" s="1472"/>
    </row>
    <row r="2096" spans="11:15">
      <c r="K2096" s="1469">
        <v>44153</v>
      </c>
      <c r="L2096" s="1470" t="s">
        <v>2129</v>
      </c>
      <c r="M2096" s="1471">
        <v>7.4689999999999999E-3</v>
      </c>
      <c r="N2096" s="1472">
        <v>1.6131679140060955</v>
      </c>
      <c r="O2096" s="1472"/>
    </row>
    <row r="2097" spans="11:15">
      <c r="K2097" s="1469">
        <v>44154</v>
      </c>
      <c r="L2097" s="1470" t="s">
        <v>2129</v>
      </c>
      <c r="M2097" s="1471">
        <v>7.4689999999999999E-3</v>
      </c>
      <c r="N2097" s="1472">
        <v>1.6132884015175926</v>
      </c>
      <c r="O2097" s="1472"/>
    </row>
    <row r="2098" spans="11:15">
      <c r="K2098" s="1469">
        <v>44155</v>
      </c>
      <c r="L2098" s="1470" t="s">
        <v>2129</v>
      </c>
      <c r="M2098" s="1471">
        <v>7.4689999999999999E-3</v>
      </c>
      <c r="N2098" s="1472">
        <v>1.6134088980283019</v>
      </c>
      <c r="O2098" s="1472"/>
    </row>
    <row r="2099" spans="11:15">
      <c r="K2099" s="1469">
        <v>44156</v>
      </c>
      <c r="L2099" s="1470"/>
      <c r="M2099" s="1471">
        <v>0</v>
      </c>
      <c r="N2099" s="1472">
        <v>1.6134088980283019</v>
      </c>
      <c r="O2099" s="1472"/>
    </row>
    <row r="2100" spans="11:15">
      <c r="K2100" s="1469">
        <v>44157</v>
      </c>
      <c r="L2100" s="1470"/>
      <c r="M2100" s="1471">
        <v>0</v>
      </c>
      <c r="N2100" s="1472">
        <v>1.6134088980283019</v>
      </c>
      <c r="O2100" s="1472"/>
    </row>
    <row r="2101" spans="11:15">
      <c r="K2101" s="1469">
        <v>44158</v>
      </c>
      <c r="L2101" s="1470" t="s">
        <v>2129</v>
      </c>
      <c r="M2101" s="1471">
        <v>7.4689999999999999E-3</v>
      </c>
      <c r="N2101" s="1472">
        <v>1.6135294035388956</v>
      </c>
      <c r="O2101" s="1472"/>
    </row>
    <row r="2102" spans="11:15">
      <c r="K2102" s="1469">
        <v>44159</v>
      </c>
      <c r="L2102" s="1470" t="s">
        <v>2129</v>
      </c>
      <c r="M2102" s="1471">
        <v>7.4689999999999999E-3</v>
      </c>
      <c r="N2102" s="1472">
        <v>1.6136499180500459</v>
      </c>
      <c r="O2102" s="1472"/>
    </row>
    <row r="2103" spans="11:15">
      <c r="K2103" s="1469">
        <v>44160</v>
      </c>
      <c r="L2103" s="1470" t="s">
        <v>2129</v>
      </c>
      <c r="M2103" s="1471">
        <v>7.4689999999999999E-3</v>
      </c>
      <c r="N2103" s="1472">
        <v>1.613770441562425</v>
      </c>
      <c r="O2103" s="1472"/>
    </row>
    <row r="2104" spans="11:15">
      <c r="K2104" s="1469">
        <v>44161</v>
      </c>
      <c r="L2104" s="1470" t="s">
        <v>2129</v>
      </c>
      <c r="M2104" s="1471">
        <v>7.4689999999999999E-3</v>
      </c>
      <c r="N2104" s="1472">
        <v>1.6138909740767051</v>
      </c>
      <c r="O2104" s="1472"/>
    </row>
    <row r="2105" spans="11:15">
      <c r="K2105" s="1469">
        <v>44162</v>
      </c>
      <c r="L2105" s="1470" t="s">
        <v>2129</v>
      </c>
      <c r="M2105" s="1471">
        <v>7.4689999999999999E-3</v>
      </c>
      <c r="N2105" s="1472">
        <v>1.6140115155935588</v>
      </c>
      <c r="O2105" s="1472"/>
    </row>
    <row r="2106" spans="11:15">
      <c r="K2106" s="1469">
        <v>44163</v>
      </c>
      <c r="L2106" s="1470"/>
      <c r="M2106" s="1471">
        <v>0</v>
      </c>
      <c r="N2106" s="1472">
        <v>1.6140115155935588</v>
      </c>
      <c r="O2106" s="1472"/>
    </row>
    <row r="2107" spans="11:15">
      <c r="K2107" s="1469">
        <v>44164</v>
      </c>
      <c r="L2107" s="1470"/>
      <c r="M2107" s="1471">
        <v>0</v>
      </c>
      <c r="N2107" s="1472">
        <v>1.6140115155935588</v>
      </c>
      <c r="O2107" s="1472"/>
    </row>
    <row r="2108" spans="11:15">
      <c r="K2108" s="1469">
        <v>44165</v>
      </c>
      <c r="L2108" s="1470" t="s">
        <v>2129</v>
      </c>
      <c r="M2108" s="1471">
        <v>7.4689999999999999E-3</v>
      </c>
      <c r="N2108" s="1472">
        <v>1.6141320661136584</v>
      </c>
      <c r="O2108" s="1472"/>
    </row>
    <row r="2109" spans="11:15">
      <c r="K2109" s="1469">
        <v>44166</v>
      </c>
      <c r="L2109" s="1470" t="s">
        <v>2129</v>
      </c>
      <c r="M2109" s="1471">
        <v>7.4689999999999999E-3</v>
      </c>
      <c r="N2109" s="1472">
        <v>1.6142526256376764</v>
      </c>
      <c r="O2109" s="1472"/>
    </row>
    <row r="2110" spans="11:15">
      <c r="K2110" s="1469">
        <v>44167</v>
      </c>
      <c r="L2110" s="1470" t="s">
        <v>2129</v>
      </c>
      <c r="M2110" s="1471">
        <v>7.4689999999999999E-3</v>
      </c>
      <c r="N2110" s="1472">
        <v>1.6143731941662851</v>
      </c>
      <c r="O2110" s="1472"/>
    </row>
    <row r="2111" spans="11:15">
      <c r="K2111" s="1469">
        <v>44168</v>
      </c>
      <c r="L2111" s="1470" t="s">
        <v>2129</v>
      </c>
      <c r="M2111" s="1471">
        <v>7.4689999999999999E-3</v>
      </c>
      <c r="N2111" s="1472">
        <v>1.6144937717001573</v>
      </c>
      <c r="O2111" s="1472"/>
    </row>
    <row r="2112" spans="11:15">
      <c r="K2112" s="1469">
        <v>44169</v>
      </c>
      <c r="L2112" s="1470" t="s">
        <v>2129</v>
      </c>
      <c r="M2112" s="1471">
        <v>7.4689999999999999E-3</v>
      </c>
      <c r="N2112" s="1472">
        <v>1.6146143582399655</v>
      </c>
      <c r="O2112" s="1472"/>
    </row>
    <row r="2113" spans="11:15">
      <c r="K2113" s="1469">
        <v>44170</v>
      </c>
      <c r="L2113" s="1470"/>
      <c r="M2113" s="1471">
        <v>0</v>
      </c>
      <c r="N2113" s="1472">
        <v>1.6146143582399655</v>
      </c>
      <c r="O2113" s="1472"/>
    </row>
    <row r="2114" spans="11:15">
      <c r="K2114" s="1469">
        <v>44171</v>
      </c>
      <c r="L2114" s="1470"/>
      <c r="M2114" s="1471">
        <v>0</v>
      </c>
      <c r="N2114" s="1472">
        <v>1.6146143582399655</v>
      </c>
      <c r="O2114" s="1472"/>
    </row>
    <row r="2115" spans="11:15">
      <c r="K2115" s="1469">
        <v>44172</v>
      </c>
      <c r="L2115" s="1470" t="s">
        <v>2129</v>
      </c>
      <c r="M2115" s="1471">
        <v>7.4689999999999999E-3</v>
      </c>
      <c r="N2115" s="1472">
        <v>1.6147349537863822</v>
      </c>
      <c r="O2115" s="1472"/>
    </row>
    <row r="2116" spans="11:15">
      <c r="K2116" s="1469">
        <v>44173</v>
      </c>
      <c r="L2116" s="1470" t="s">
        <v>2129</v>
      </c>
      <c r="M2116" s="1471">
        <v>7.4689999999999999E-3</v>
      </c>
      <c r="N2116" s="1472">
        <v>1.6148555583400803</v>
      </c>
      <c r="O2116" s="1472"/>
    </row>
    <row r="2117" spans="11:15">
      <c r="K2117" s="1469">
        <v>44174</v>
      </c>
      <c r="L2117" s="1470" t="s">
        <v>2129</v>
      </c>
      <c r="M2117" s="1471">
        <v>7.4689999999999999E-3</v>
      </c>
      <c r="N2117" s="1472">
        <v>1.6149761719017326</v>
      </c>
      <c r="O2117" s="1472"/>
    </row>
    <row r="2118" spans="11:15">
      <c r="K2118" s="1469">
        <v>44175</v>
      </c>
      <c r="L2118" s="1470" t="s">
        <v>2129</v>
      </c>
      <c r="M2118" s="1471">
        <v>7.4689999999999999E-3</v>
      </c>
      <c r="N2118" s="1472">
        <v>1.6150967944720118</v>
      </c>
      <c r="O2118" s="1472"/>
    </row>
    <row r="2119" spans="11:15">
      <c r="K2119" s="1469">
        <v>44176</v>
      </c>
      <c r="L2119" s="1470" t="s">
        <v>2129</v>
      </c>
      <c r="M2119" s="1471">
        <v>7.4689999999999999E-3</v>
      </c>
      <c r="N2119" s="1472">
        <v>1.6152174260515908</v>
      </c>
      <c r="O2119" s="1472"/>
    </row>
    <row r="2120" spans="11:15">
      <c r="K2120" s="1469">
        <v>44177</v>
      </c>
      <c r="L2120" s="1470"/>
      <c r="M2120" s="1471">
        <v>0</v>
      </c>
      <c r="N2120" s="1472">
        <v>1.6152174260515908</v>
      </c>
      <c r="O2120" s="1472"/>
    </row>
    <row r="2121" spans="11:15">
      <c r="K2121" s="1469">
        <v>44178</v>
      </c>
      <c r="L2121" s="1470"/>
      <c r="M2121" s="1471">
        <v>0</v>
      </c>
      <c r="N2121" s="1472">
        <v>1.6152174260515908</v>
      </c>
      <c r="O2121" s="1472"/>
    </row>
    <row r="2122" spans="11:15">
      <c r="K2122" s="1469">
        <v>44179</v>
      </c>
      <c r="L2122" s="1470" t="s">
        <v>2129</v>
      </c>
      <c r="M2122" s="1471">
        <v>7.4689999999999999E-3</v>
      </c>
      <c r="N2122" s="1472">
        <v>1.6153380666411425</v>
      </c>
      <c r="O2122" s="1472"/>
    </row>
    <row r="2123" spans="11:15">
      <c r="K2123" s="1469">
        <v>44180</v>
      </c>
      <c r="L2123" s="1470" t="s">
        <v>2129</v>
      </c>
      <c r="M2123" s="1471">
        <v>7.4689999999999999E-3</v>
      </c>
      <c r="N2123" s="1472">
        <v>1.6154587162413399</v>
      </c>
      <c r="O2123" s="1472"/>
    </row>
    <row r="2124" spans="11:15">
      <c r="K2124" s="1469">
        <v>44181</v>
      </c>
      <c r="L2124" s="1470" t="s">
        <v>2129</v>
      </c>
      <c r="M2124" s="1471">
        <v>7.4689999999999999E-3</v>
      </c>
      <c r="N2124" s="1472">
        <v>1.6155793748528557</v>
      </c>
      <c r="O2124" s="1472"/>
    </row>
    <row r="2125" spans="11:15">
      <c r="K2125" s="1469">
        <v>44182</v>
      </c>
      <c r="L2125" s="1470" t="s">
        <v>2129</v>
      </c>
      <c r="M2125" s="1471">
        <v>7.4689999999999999E-3</v>
      </c>
      <c r="N2125" s="1472">
        <v>1.6157000424763635</v>
      </c>
      <c r="O2125" s="1472"/>
    </row>
    <row r="2126" spans="11:15">
      <c r="K2126" s="1469">
        <v>44183</v>
      </c>
      <c r="L2126" s="1470" t="s">
        <v>2129</v>
      </c>
      <c r="M2126" s="1471">
        <v>7.4689999999999999E-3</v>
      </c>
      <c r="N2126" s="1472">
        <v>1.615820719112536</v>
      </c>
      <c r="O2126" s="1472"/>
    </row>
    <row r="2127" spans="11:15">
      <c r="K2127" s="1469">
        <v>44184</v>
      </c>
      <c r="L2127" s="1470"/>
      <c r="M2127" s="1471">
        <v>0</v>
      </c>
      <c r="N2127" s="1472">
        <v>1.615820719112536</v>
      </c>
      <c r="O2127" s="1472"/>
    </row>
    <row r="2128" spans="11:15">
      <c r="K2128" s="1469">
        <v>44185</v>
      </c>
      <c r="L2128" s="1470"/>
      <c r="M2128" s="1471">
        <v>0</v>
      </c>
      <c r="N2128" s="1472">
        <v>1.615820719112536</v>
      </c>
      <c r="O2128" s="1472"/>
    </row>
    <row r="2129" spans="11:15">
      <c r="K2129" s="1469">
        <v>44186</v>
      </c>
      <c r="L2129" s="1470" t="s">
        <v>2129</v>
      </c>
      <c r="M2129" s="1471">
        <v>7.4689999999999999E-3</v>
      </c>
      <c r="N2129" s="1472">
        <v>1.6159414047620464</v>
      </c>
      <c r="O2129" s="1472"/>
    </row>
    <row r="2130" spans="11:15">
      <c r="K2130" s="1469">
        <v>44187</v>
      </c>
      <c r="L2130" s="1470" t="s">
        <v>2129</v>
      </c>
      <c r="M2130" s="1471">
        <v>7.4689999999999999E-3</v>
      </c>
      <c r="N2130" s="1472">
        <v>1.6160620994255679</v>
      </c>
      <c r="O2130" s="1472"/>
    </row>
    <row r="2131" spans="11:15">
      <c r="K2131" s="1469">
        <v>44188</v>
      </c>
      <c r="L2131" s="1470" t="s">
        <v>2129</v>
      </c>
      <c r="M2131" s="1471">
        <v>7.4689999999999999E-3</v>
      </c>
      <c r="N2131" s="1472">
        <v>1.6161828031037739</v>
      </c>
      <c r="O2131" s="1472"/>
    </row>
    <row r="2132" spans="11:15">
      <c r="K2132" s="1469">
        <v>44189</v>
      </c>
      <c r="L2132" s="1470" t="s">
        <v>2129</v>
      </c>
      <c r="M2132" s="1471">
        <v>7.4689999999999999E-3</v>
      </c>
      <c r="N2132" s="1472">
        <v>1.6163035157973376</v>
      </c>
      <c r="O2132" s="1472"/>
    </row>
    <row r="2133" spans="11:15">
      <c r="K2133" s="1469">
        <v>44190</v>
      </c>
      <c r="L2133" s="1470"/>
      <c r="M2133" s="1471">
        <v>0</v>
      </c>
      <c r="N2133" s="1472">
        <v>1.6163035157973376</v>
      </c>
      <c r="O2133" s="1472"/>
    </row>
    <row r="2134" spans="11:15">
      <c r="K2134" s="1469">
        <v>44191</v>
      </c>
      <c r="L2134" s="1470"/>
      <c r="M2134" s="1471">
        <v>0</v>
      </c>
      <c r="N2134" s="1472">
        <v>1.6163035157973376</v>
      </c>
      <c r="O2134" s="1472"/>
    </row>
    <row r="2135" spans="11:15">
      <c r="K2135" s="1469">
        <v>44192</v>
      </c>
      <c r="L2135" s="1470"/>
      <c r="M2135" s="1471">
        <v>0</v>
      </c>
      <c r="N2135" s="1472">
        <v>1.6163035157973376</v>
      </c>
      <c r="O2135" s="1472"/>
    </row>
    <row r="2136" spans="11:15">
      <c r="K2136" s="1469">
        <v>44193</v>
      </c>
      <c r="L2136" s="1470" t="s">
        <v>2129</v>
      </c>
      <c r="M2136" s="1471">
        <v>7.4689999999999999E-3</v>
      </c>
      <c r="N2136" s="1472">
        <v>1.6164242375069324</v>
      </c>
      <c r="O2136" s="1472"/>
    </row>
    <row r="2137" spans="11:15">
      <c r="K2137" s="1469">
        <v>44194</v>
      </c>
      <c r="L2137" s="1470" t="s">
        <v>2129</v>
      </c>
      <c r="M2137" s="1471">
        <v>7.4689999999999999E-3</v>
      </c>
      <c r="N2137" s="1472">
        <v>1.6165449682332318</v>
      </c>
      <c r="O2137" s="1472"/>
    </row>
    <row r="2138" spans="11:15">
      <c r="K2138" s="1469">
        <v>44195</v>
      </c>
      <c r="L2138" s="1470" t="s">
        <v>2129</v>
      </c>
      <c r="M2138" s="1471">
        <v>7.4689999999999999E-3</v>
      </c>
      <c r="N2138" s="1472">
        <v>1.6166657079769091</v>
      </c>
      <c r="O2138" s="1472"/>
    </row>
    <row r="2139" spans="11:15">
      <c r="K2139" s="1469">
        <v>44196</v>
      </c>
      <c r="L2139" s="1470" t="s">
        <v>2129</v>
      </c>
      <c r="M2139" s="1471">
        <v>7.4689999999999999E-3</v>
      </c>
      <c r="N2139" s="1472">
        <v>1.6167864567386379</v>
      </c>
      <c r="O2139" s="1472"/>
    </row>
    <row r="2140" spans="11:15">
      <c r="K2140" s="1469">
        <v>44197</v>
      </c>
      <c r="L2140" s="1470"/>
      <c r="M2140" s="1471">
        <v>0</v>
      </c>
      <c r="N2140" s="1472">
        <v>1.6167864567386379</v>
      </c>
      <c r="O2140" s="1472"/>
    </row>
    <row r="2141" spans="11:15">
      <c r="K2141" s="1469">
        <v>44198</v>
      </c>
      <c r="L2141" s="1470"/>
      <c r="M2141" s="1471">
        <v>0</v>
      </c>
      <c r="N2141" s="1472">
        <v>1.6167864567386379</v>
      </c>
      <c r="O2141" s="1472"/>
    </row>
    <row r="2142" spans="11:15">
      <c r="K2142" s="1469">
        <v>44199</v>
      </c>
      <c r="L2142" s="1470"/>
      <c r="M2142" s="1471">
        <v>0</v>
      </c>
      <c r="N2142" s="1472">
        <v>1.6167864567386379</v>
      </c>
      <c r="O2142" s="1472"/>
    </row>
    <row r="2143" spans="11:15">
      <c r="K2143" s="1469">
        <v>44200</v>
      </c>
      <c r="L2143" s="1470" t="s">
        <v>2129</v>
      </c>
      <c r="M2143" s="1471">
        <v>7.4689999999999999E-3</v>
      </c>
      <c r="N2143" s="1472">
        <v>1.6169072145190915</v>
      </c>
      <c r="O2143" s="1472"/>
    </row>
    <row r="2144" spans="11:15">
      <c r="K2144" s="1469">
        <v>44201</v>
      </c>
      <c r="L2144" s="1470" t="s">
        <v>2129</v>
      </c>
      <c r="M2144" s="1471">
        <v>7.4689999999999999E-3</v>
      </c>
      <c r="N2144" s="1472">
        <v>1.6170279813189439</v>
      </c>
      <c r="O2144" s="1472"/>
    </row>
    <row r="2145" spans="11:15">
      <c r="K2145" s="1469">
        <v>44202</v>
      </c>
      <c r="L2145" s="1470" t="s">
        <v>2129</v>
      </c>
      <c r="M2145" s="1471">
        <v>7.4689999999999999E-3</v>
      </c>
      <c r="N2145" s="1472">
        <v>1.6171487571388685</v>
      </c>
      <c r="O2145" s="1472"/>
    </row>
    <row r="2146" spans="11:15">
      <c r="K2146" s="1469">
        <v>44203</v>
      </c>
      <c r="L2146" s="1470" t="s">
        <v>2129</v>
      </c>
      <c r="M2146" s="1471">
        <v>7.4689999999999999E-3</v>
      </c>
      <c r="N2146" s="1472">
        <v>1.6172695419795391</v>
      </c>
      <c r="O2146" s="1472"/>
    </row>
    <row r="2147" spans="11:15">
      <c r="K2147" s="1469">
        <v>44204</v>
      </c>
      <c r="L2147" s="1470" t="s">
        <v>2129</v>
      </c>
      <c r="M2147" s="1471">
        <v>7.4689999999999999E-3</v>
      </c>
      <c r="N2147" s="1472">
        <v>1.6173903358416295</v>
      </c>
      <c r="O2147" s="1472"/>
    </row>
    <row r="2148" spans="11:15">
      <c r="K2148" s="1469">
        <v>44205</v>
      </c>
      <c r="L2148" s="1470"/>
      <c r="M2148" s="1471">
        <v>0</v>
      </c>
      <c r="N2148" s="1472">
        <v>1.6173903358416295</v>
      </c>
      <c r="O2148" s="1472"/>
    </row>
    <row r="2149" spans="11:15">
      <c r="K2149" s="1469">
        <v>44206</v>
      </c>
      <c r="L2149" s="1470"/>
      <c r="M2149" s="1471">
        <v>0</v>
      </c>
      <c r="N2149" s="1472">
        <v>1.6173903358416295</v>
      </c>
      <c r="O2149" s="1472"/>
    </row>
    <row r="2150" spans="11:15">
      <c r="K2150" s="1469">
        <v>44207</v>
      </c>
      <c r="L2150" s="1470" t="s">
        <v>2129</v>
      </c>
      <c r="M2150" s="1471">
        <v>7.4689999999999999E-3</v>
      </c>
      <c r="N2150" s="1472">
        <v>1.6175111387258134</v>
      </c>
      <c r="O2150" s="1472"/>
    </row>
    <row r="2151" spans="11:15">
      <c r="K2151" s="1469">
        <v>44208</v>
      </c>
      <c r="L2151" s="1470" t="s">
        <v>2129</v>
      </c>
      <c r="M2151" s="1471">
        <v>7.4689999999999999E-3</v>
      </c>
      <c r="N2151" s="1472">
        <v>1.6176319506327648</v>
      </c>
      <c r="O2151" s="1472"/>
    </row>
    <row r="2152" spans="11:15">
      <c r="K2152" s="1469">
        <v>44209</v>
      </c>
      <c r="L2152" s="1470" t="s">
        <v>2129</v>
      </c>
      <c r="M2152" s="1471">
        <v>7.4689999999999999E-3</v>
      </c>
      <c r="N2152" s="1472">
        <v>1.6177527715631574</v>
      </c>
      <c r="O2152" s="1472"/>
    </row>
    <row r="2153" spans="11:15">
      <c r="K2153" s="1469">
        <v>44210</v>
      </c>
      <c r="L2153" s="1470" t="s">
        <v>2129</v>
      </c>
      <c r="M2153" s="1471">
        <v>7.4689999999999999E-3</v>
      </c>
      <c r="N2153" s="1472">
        <v>1.6178736015176653</v>
      </c>
      <c r="O2153" s="1472"/>
    </row>
    <row r="2154" spans="11:15">
      <c r="K2154" s="1469">
        <v>44211</v>
      </c>
      <c r="L2154" s="1470" t="s">
        <v>2129</v>
      </c>
      <c r="M2154" s="1471">
        <v>7.4689999999999999E-3</v>
      </c>
      <c r="N2154" s="1472">
        <v>1.6179944404969626</v>
      </c>
      <c r="O2154" s="1472"/>
    </row>
    <row r="2155" spans="11:15">
      <c r="K2155" s="1469">
        <v>44212</v>
      </c>
      <c r="L2155" s="1470"/>
      <c r="M2155" s="1471">
        <v>0</v>
      </c>
      <c r="N2155" s="1472">
        <v>1.6179944404969626</v>
      </c>
      <c r="O2155" s="1472"/>
    </row>
    <row r="2156" spans="11:15">
      <c r="K2156" s="1469">
        <v>44213</v>
      </c>
      <c r="L2156" s="1470"/>
      <c r="M2156" s="1471">
        <v>0</v>
      </c>
      <c r="N2156" s="1472">
        <v>1.6179944404969626</v>
      </c>
      <c r="O2156" s="1472"/>
    </row>
    <row r="2157" spans="11:15">
      <c r="K2157" s="1469">
        <v>44214</v>
      </c>
      <c r="L2157" s="1470" t="s">
        <v>2129</v>
      </c>
      <c r="M2157" s="1471">
        <v>7.4689999999999999E-3</v>
      </c>
      <c r="N2157" s="1472">
        <v>1.6181152885017231</v>
      </c>
      <c r="O2157" s="1472"/>
    </row>
    <row r="2158" spans="11:15">
      <c r="K2158" s="1469">
        <v>44215</v>
      </c>
      <c r="L2158" s="1470" t="s">
        <v>2129</v>
      </c>
      <c r="M2158" s="1471">
        <v>7.4689999999999999E-3</v>
      </c>
      <c r="N2158" s="1472">
        <v>1.6182361455326213</v>
      </c>
      <c r="O2158" s="1472"/>
    </row>
    <row r="2159" spans="11:15">
      <c r="K2159" s="1469">
        <v>44216</v>
      </c>
      <c r="L2159" s="1470" t="s">
        <v>2129</v>
      </c>
      <c r="M2159" s="1471">
        <v>7.4689999999999999E-3</v>
      </c>
      <c r="N2159" s="1472">
        <v>1.618357011590331</v>
      </c>
      <c r="O2159" s="1472"/>
    </row>
    <row r="2160" spans="11:15">
      <c r="K2160" s="1469">
        <v>44217</v>
      </c>
      <c r="L2160" s="1470" t="s">
        <v>2129</v>
      </c>
      <c r="M2160" s="1471">
        <v>7.4689999999999999E-3</v>
      </c>
      <c r="N2160" s="1472">
        <v>1.6184778866755265</v>
      </c>
      <c r="O2160" s="1472"/>
    </row>
    <row r="2161" spans="11:15">
      <c r="K2161" s="1469">
        <v>44218</v>
      </c>
      <c r="L2161" s="1470" t="s">
        <v>2129</v>
      </c>
      <c r="M2161" s="1471">
        <v>7.4689999999999999E-3</v>
      </c>
      <c r="N2161" s="1472">
        <v>1.6185987707888823</v>
      </c>
      <c r="O2161" s="1472"/>
    </row>
    <row r="2162" spans="11:15">
      <c r="K2162" s="1469">
        <v>44219</v>
      </c>
      <c r="L2162" s="1470"/>
      <c r="M2162" s="1471">
        <v>0</v>
      </c>
      <c r="N2162" s="1472">
        <v>1.6185987707888823</v>
      </c>
      <c r="O2162" s="1472"/>
    </row>
    <row r="2163" spans="11:15">
      <c r="K2163" s="1469">
        <v>44220</v>
      </c>
      <c r="L2163" s="1470"/>
      <c r="M2163" s="1471">
        <v>0</v>
      </c>
      <c r="N2163" s="1472">
        <v>1.6185987707888823</v>
      </c>
      <c r="O2163" s="1472"/>
    </row>
    <row r="2164" spans="11:15">
      <c r="K2164" s="1469">
        <v>44221</v>
      </c>
      <c r="L2164" s="1470" t="s">
        <v>2129</v>
      </c>
      <c r="M2164" s="1471">
        <v>7.4689999999999999E-3</v>
      </c>
      <c r="N2164" s="1472">
        <v>1.6187196639310724</v>
      </c>
      <c r="O2164" s="1472"/>
    </row>
    <row r="2165" spans="11:15">
      <c r="K2165" s="1469">
        <v>44222</v>
      </c>
      <c r="L2165" s="1470" t="s">
        <v>2129</v>
      </c>
      <c r="M2165" s="1471">
        <v>7.4689999999999999E-3</v>
      </c>
      <c r="N2165" s="1472">
        <v>1.6188405661027712</v>
      </c>
      <c r="O2165" s="1472"/>
    </row>
    <row r="2166" spans="11:15">
      <c r="K2166" s="1469">
        <v>44223</v>
      </c>
      <c r="L2166" s="1470" t="s">
        <v>2129</v>
      </c>
      <c r="M2166" s="1471">
        <v>7.4689999999999999E-3</v>
      </c>
      <c r="N2166" s="1472">
        <v>1.6189614773046532</v>
      </c>
      <c r="O2166" s="1472"/>
    </row>
    <row r="2167" spans="11:15">
      <c r="K2167" s="1469">
        <v>44224</v>
      </c>
      <c r="L2167" s="1470" t="s">
        <v>2129</v>
      </c>
      <c r="M2167" s="1471">
        <v>7.4689999999999999E-3</v>
      </c>
      <c r="N2167" s="1472">
        <v>1.6190823975373929</v>
      </c>
      <c r="O2167" s="1472"/>
    </row>
    <row r="2168" spans="11:15">
      <c r="K2168" s="1469">
        <v>44225</v>
      </c>
      <c r="L2168" s="1470" t="s">
        <v>2129</v>
      </c>
      <c r="M2168" s="1471">
        <v>7.4689999999999999E-3</v>
      </c>
      <c r="N2168" s="1472">
        <v>1.6192033268016648</v>
      </c>
      <c r="O2168" s="1472"/>
    </row>
    <row r="2169" spans="11:15">
      <c r="K2169" s="1469">
        <v>44226</v>
      </c>
      <c r="L2169" s="1470"/>
      <c r="M2169" s="1471">
        <v>0</v>
      </c>
      <c r="N2169" s="1472">
        <v>1.6192033268016648</v>
      </c>
      <c r="O2169" s="1472"/>
    </row>
    <row r="2170" spans="11:15">
      <c r="K2170" s="1469">
        <v>44227</v>
      </c>
      <c r="L2170" s="1470"/>
      <c r="M2170" s="1471">
        <v>0</v>
      </c>
      <c r="N2170" s="1472">
        <v>1.6192033268016648</v>
      </c>
      <c r="O2170" s="1472"/>
    </row>
    <row r="2171" spans="11:15">
      <c r="K2171" s="1469">
        <v>44228</v>
      </c>
      <c r="L2171" s="1470" t="s">
        <v>2129</v>
      </c>
      <c r="M2171" s="1471">
        <v>7.4689999999999999E-3</v>
      </c>
      <c r="N2171" s="1472">
        <v>1.6193242650981434</v>
      </c>
      <c r="O2171" s="1472"/>
    </row>
    <row r="2172" spans="11:15">
      <c r="K2172" s="1469">
        <v>44229</v>
      </c>
      <c r="L2172" s="1470" t="s">
        <v>2129</v>
      </c>
      <c r="M2172" s="1471">
        <v>7.4689999999999999E-3</v>
      </c>
      <c r="N2172" s="1472">
        <v>1.6194452124275034</v>
      </c>
      <c r="O2172" s="1472"/>
    </row>
    <row r="2173" spans="11:15">
      <c r="K2173" s="1469">
        <v>44230</v>
      </c>
      <c r="L2173" s="1470" t="s">
        <v>2129</v>
      </c>
      <c r="M2173" s="1471">
        <v>7.4689999999999999E-3</v>
      </c>
      <c r="N2173" s="1472">
        <v>1.6195661687904195</v>
      </c>
      <c r="O2173" s="1472"/>
    </row>
    <row r="2174" spans="11:15">
      <c r="K2174" s="1469">
        <v>44231</v>
      </c>
      <c r="L2174" s="1470" t="s">
        <v>2129</v>
      </c>
      <c r="M2174" s="1471">
        <v>7.4689999999999999E-3</v>
      </c>
      <c r="N2174" s="1472">
        <v>1.6196871341875663</v>
      </c>
      <c r="O2174" s="1472"/>
    </row>
    <row r="2175" spans="11:15">
      <c r="K2175" s="1469">
        <v>44232</v>
      </c>
      <c r="L2175" s="1470" t="s">
        <v>2129</v>
      </c>
      <c r="M2175" s="1471">
        <v>7.4689999999999999E-3</v>
      </c>
      <c r="N2175" s="1472">
        <v>1.6198081086196185</v>
      </c>
      <c r="O2175" s="1472"/>
    </row>
    <row r="2176" spans="11:15">
      <c r="K2176" s="1469">
        <v>44233</v>
      </c>
      <c r="L2176" s="1470"/>
      <c r="M2176" s="1471">
        <v>0</v>
      </c>
      <c r="N2176" s="1472">
        <v>1.6198081086196185</v>
      </c>
      <c r="O2176" s="1472"/>
    </row>
    <row r="2177" spans="11:15">
      <c r="K2177" s="1469">
        <v>44234</v>
      </c>
      <c r="L2177" s="1470"/>
      <c r="M2177" s="1471">
        <v>0</v>
      </c>
      <c r="N2177" s="1472">
        <v>1.6198081086196185</v>
      </c>
      <c r="O2177" s="1472"/>
    </row>
    <row r="2178" spans="11:15">
      <c r="K2178" s="1469">
        <v>44235</v>
      </c>
      <c r="L2178" s="1470" t="s">
        <v>2129</v>
      </c>
      <c r="M2178" s="1471">
        <v>7.4689999999999999E-3</v>
      </c>
      <c r="N2178" s="1472">
        <v>1.6199290920872513</v>
      </c>
      <c r="O2178" s="1472"/>
    </row>
    <row r="2179" spans="11:15">
      <c r="K2179" s="1469">
        <v>44236</v>
      </c>
      <c r="L2179" s="1470" t="s">
        <v>2129</v>
      </c>
      <c r="M2179" s="1471">
        <v>7.4689999999999999E-3</v>
      </c>
      <c r="N2179" s="1472">
        <v>1.6200500845911392</v>
      </c>
      <c r="O2179" s="1472"/>
    </row>
    <row r="2180" spans="11:15">
      <c r="K2180" s="1469">
        <v>44237</v>
      </c>
      <c r="L2180" s="1470" t="s">
        <v>2129</v>
      </c>
      <c r="M2180" s="1471">
        <v>7.4689999999999999E-3</v>
      </c>
      <c r="N2180" s="1472">
        <v>1.6201710861319571</v>
      </c>
      <c r="O2180" s="1472"/>
    </row>
    <row r="2181" spans="11:15">
      <c r="K2181" s="1469">
        <v>44238</v>
      </c>
      <c r="L2181" s="1470" t="s">
        <v>2129</v>
      </c>
      <c r="M2181" s="1471">
        <v>7.4689999999999999E-3</v>
      </c>
      <c r="N2181" s="1472">
        <v>1.6202920967103802</v>
      </c>
      <c r="O2181" s="1472"/>
    </row>
    <row r="2182" spans="11:15">
      <c r="K2182" s="1469">
        <v>44239</v>
      </c>
      <c r="L2182" s="1470" t="s">
        <v>2129</v>
      </c>
      <c r="M2182" s="1471">
        <v>7.4689999999999999E-3</v>
      </c>
      <c r="N2182" s="1472">
        <v>1.6204131163270834</v>
      </c>
      <c r="O2182" s="1472"/>
    </row>
    <row r="2183" spans="11:15">
      <c r="K2183" s="1469">
        <v>44240</v>
      </c>
      <c r="L2183" s="1470"/>
      <c r="M2183" s="1471">
        <v>0</v>
      </c>
      <c r="N2183" s="1472">
        <v>1.6204131163270834</v>
      </c>
      <c r="O2183" s="1472"/>
    </row>
    <row r="2184" spans="11:15">
      <c r="K2184" s="1469">
        <v>44241</v>
      </c>
      <c r="L2184" s="1470"/>
      <c r="M2184" s="1471">
        <v>0</v>
      </c>
      <c r="N2184" s="1472">
        <v>1.6204131163270834</v>
      </c>
      <c r="O2184" s="1472"/>
    </row>
    <row r="2185" spans="11:15">
      <c r="K2185" s="1469">
        <v>44242</v>
      </c>
      <c r="L2185" s="1470"/>
      <c r="M2185" s="1471">
        <v>0</v>
      </c>
      <c r="N2185" s="1472">
        <v>1.6204131163270834</v>
      </c>
      <c r="O2185" s="1472"/>
    </row>
    <row r="2186" spans="11:15">
      <c r="K2186" s="1469">
        <v>44243</v>
      </c>
      <c r="L2186" s="1470"/>
      <c r="M2186" s="1471">
        <v>0</v>
      </c>
      <c r="N2186" s="1472">
        <v>1.6204131163270834</v>
      </c>
      <c r="O2186" s="1472"/>
    </row>
    <row r="2187" spans="11:15">
      <c r="K2187" s="1469">
        <v>44244</v>
      </c>
      <c r="L2187" s="1470" t="s">
        <v>2129</v>
      </c>
      <c r="M2187" s="1471">
        <v>7.4689999999999999E-3</v>
      </c>
      <c r="N2187" s="1472">
        <v>1.6205341449827417</v>
      </c>
      <c r="O2187" s="1472"/>
    </row>
    <row r="2188" spans="11:15">
      <c r="K2188" s="1469">
        <v>44245</v>
      </c>
      <c r="L2188" s="1470" t="s">
        <v>2129</v>
      </c>
      <c r="M2188" s="1471">
        <v>7.4689999999999999E-3</v>
      </c>
      <c r="N2188" s="1472">
        <v>1.6206551826780304</v>
      </c>
      <c r="O2188" s="1472"/>
    </row>
    <row r="2189" spans="11:15">
      <c r="K2189" s="1469">
        <v>44246</v>
      </c>
      <c r="L2189" s="1470" t="s">
        <v>2129</v>
      </c>
      <c r="M2189" s="1471">
        <v>7.4689999999999999E-3</v>
      </c>
      <c r="N2189" s="1472">
        <v>1.6207762294136245</v>
      </c>
      <c r="O2189" s="1472"/>
    </row>
    <row r="2190" spans="11:15">
      <c r="K2190" s="1469">
        <v>44247</v>
      </c>
      <c r="L2190" s="1470"/>
      <c r="M2190" s="1471">
        <v>0</v>
      </c>
      <c r="N2190" s="1472">
        <v>1.6207762294136245</v>
      </c>
      <c r="O2190" s="1472"/>
    </row>
    <row r="2191" spans="11:15">
      <c r="K2191" s="1469">
        <v>44248</v>
      </c>
      <c r="L2191" s="1470"/>
      <c r="M2191" s="1471">
        <v>0</v>
      </c>
      <c r="N2191" s="1472">
        <v>1.6207762294136245</v>
      </c>
      <c r="O2191" s="1472"/>
    </row>
    <row r="2192" spans="11:15">
      <c r="K2192" s="1469">
        <v>44249</v>
      </c>
      <c r="L2192" s="1470" t="s">
        <v>2129</v>
      </c>
      <c r="M2192" s="1471">
        <v>7.4689999999999999E-3</v>
      </c>
      <c r="N2192" s="1472">
        <v>1.6208972851901993</v>
      </c>
      <c r="O2192" s="1472"/>
    </row>
    <row r="2193" spans="11:15">
      <c r="K2193" s="1469">
        <v>44250</v>
      </c>
      <c r="L2193" s="1470" t="s">
        <v>2129</v>
      </c>
      <c r="M2193" s="1471">
        <v>7.4689999999999999E-3</v>
      </c>
      <c r="N2193" s="1472">
        <v>1.6210183500084301</v>
      </c>
      <c r="O2193" s="1472"/>
    </row>
    <row r="2194" spans="11:15">
      <c r="K2194" s="1469">
        <v>44251</v>
      </c>
      <c r="L2194" s="1470" t="s">
        <v>2129</v>
      </c>
      <c r="M2194" s="1471">
        <v>7.4689999999999999E-3</v>
      </c>
      <c r="N2194" s="1472">
        <v>1.621139423868992</v>
      </c>
      <c r="O2194" s="1472"/>
    </row>
    <row r="2195" spans="11:15">
      <c r="K2195" s="1469">
        <v>44252</v>
      </c>
      <c r="L2195" s="1470" t="s">
        <v>2129</v>
      </c>
      <c r="M2195" s="1471">
        <v>7.4689999999999999E-3</v>
      </c>
      <c r="N2195" s="1472">
        <v>1.6212605067725607</v>
      </c>
      <c r="O2195" s="1472"/>
    </row>
    <row r="2196" spans="11:15">
      <c r="K2196" s="1469">
        <v>44253</v>
      </c>
      <c r="L2196" s="1470" t="s">
        <v>2129</v>
      </c>
      <c r="M2196" s="1471">
        <v>7.4689999999999999E-3</v>
      </c>
      <c r="N2196" s="1472">
        <v>1.6213815987198115</v>
      </c>
      <c r="O2196" s="1472"/>
    </row>
    <row r="2197" spans="11:15">
      <c r="K2197" s="1469">
        <v>44254</v>
      </c>
      <c r="L2197" s="1470"/>
      <c r="M2197" s="1471">
        <v>0</v>
      </c>
      <c r="N2197" s="1472">
        <v>1.6213815987198115</v>
      </c>
      <c r="O2197" s="1472"/>
    </row>
    <row r="2198" spans="11:15">
      <c r="K2198" s="1469">
        <v>44255</v>
      </c>
      <c r="L2198" s="1470"/>
      <c r="M2198" s="1471">
        <v>0</v>
      </c>
      <c r="N2198" s="1472">
        <v>1.6213815987198115</v>
      </c>
      <c r="O2198" s="1472"/>
    </row>
    <row r="2199" spans="11:15">
      <c r="K2199" s="1469">
        <v>44256</v>
      </c>
      <c r="L2199" s="1470" t="s">
        <v>2129</v>
      </c>
      <c r="M2199" s="1471">
        <v>7.4689999999999999E-3</v>
      </c>
      <c r="N2199" s="1472">
        <v>1.6215026997114197</v>
      </c>
      <c r="O2199" s="1472"/>
    </row>
    <row r="2200" spans="11:15">
      <c r="K2200" s="1469">
        <v>44257</v>
      </c>
      <c r="L2200" s="1470" t="s">
        <v>2129</v>
      </c>
      <c r="M2200" s="1471">
        <v>7.4689999999999999E-3</v>
      </c>
      <c r="N2200" s="1472">
        <v>1.6216238097480611</v>
      </c>
      <c r="O2200" s="1472"/>
    </row>
    <row r="2201" spans="11:15">
      <c r="K2201" s="1469">
        <v>44258</v>
      </c>
      <c r="L2201" s="1470" t="s">
        <v>2129</v>
      </c>
      <c r="M2201" s="1471">
        <v>7.4689999999999999E-3</v>
      </c>
      <c r="N2201" s="1472">
        <v>1.6217449288304111</v>
      </c>
      <c r="O2201" s="1472"/>
    </row>
    <row r="2202" spans="11:15">
      <c r="K2202" s="1469">
        <v>44259</v>
      </c>
      <c r="L2202" s="1470" t="s">
        <v>2129</v>
      </c>
      <c r="M2202" s="1471">
        <v>7.4689999999999999E-3</v>
      </c>
      <c r="N2202" s="1472">
        <v>1.6218660569591454</v>
      </c>
      <c r="O2202" s="1472"/>
    </row>
    <row r="2203" spans="11:15">
      <c r="K2203" s="1469">
        <v>44260</v>
      </c>
      <c r="L2203" s="1470" t="s">
        <v>2129</v>
      </c>
      <c r="M2203" s="1471">
        <v>7.4689999999999999E-3</v>
      </c>
      <c r="N2203" s="1472">
        <v>1.6219871941349395</v>
      </c>
      <c r="O2203" s="1472"/>
    </row>
    <row r="2204" spans="11:15">
      <c r="K2204" s="1469">
        <v>44261</v>
      </c>
      <c r="L2204" s="1470"/>
      <c r="M2204" s="1471">
        <v>0</v>
      </c>
      <c r="N2204" s="1472">
        <v>1.6219871941349395</v>
      </c>
      <c r="O2204" s="1472"/>
    </row>
    <row r="2205" spans="11:15">
      <c r="K2205" s="1469">
        <v>44262</v>
      </c>
      <c r="L2205" s="1470"/>
      <c r="M2205" s="1471">
        <v>0</v>
      </c>
      <c r="N2205" s="1472">
        <v>1.6219871941349395</v>
      </c>
      <c r="O2205" s="1472"/>
    </row>
    <row r="2206" spans="11:15">
      <c r="K2206" s="1469">
        <v>44263</v>
      </c>
      <c r="L2206" s="1470" t="s">
        <v>2129</v>
      </c>
      <c r="M2206" s="1471">
        <v>7.4689999999999999E-3</v>
      </c>
      <c r="N2206" s="1472">
        <v>1.6221083403584693</v>
      </c>
      <c r="O2206" s="1472"/>
    </row>
    <row r="2207" spans="11:15">
      <c r="K2207" s="1469">
        <v>44264</v>
      </c>
      <c r="L2207" s="1470" t="s">
        <v>2129</v>
      </c>
      <c r="M2207" s="1471">
        <v>7.4689999999999999E-3</v>
      </c>
      <c r="N2207" s="1472">
        <v>1.6222294956304106</v>
      </c>
      <c r="O2207" s="1472"/>
    </row>
    <row r="2208" spans="11:15">
      <c r="K2208" s="1469">
        <v>44265</v>
      </c>
      <c r="L2208" s="1470" t="s">
        <v>2129</v>
      </c>
      <c r="M2208" s="1471">
        <v>7.4689999999999999E-3</v>
      </c>
      <c r="N2208" s="1472">
        <v>1.6223506599514392</v>
      </c>
      <c r="O2208" s="1472"/>
    </row>
    <row r="2209" spans="11:15">
      <c r="K2209" s="1469">
        <v>44266</v>
      </c>
      <c r="L2209" s="1470" t="s">
        <v>2129</v>
      </c>
      <c r="M2209" s="1471">
        <v>7.4689999999999999E-3</v>
      </c>
      <c r="N2209" s="1472">
        <v>1.622471833322231</v>
      </c>
      <c r="O2209" s="1472"/>
    </row>
    <row r="2210" spans="11:15">
      <c r="K2210" s="1469">
        <v>44267</v>
      </c>
      <c r="L2210" s="1470" t="s">
        <v>2129</v>
      </c>
      <c r="M2210" s="1471">
        <v>7.4689999999999999E-3</v>
      </c>
      <c r="N2210" s="1472">
        <v>1.6225930157434618</v>
      </c>
      <c r="O2210" s="1472"/>
    </row>
    <row r="2211" spans="11:15">
      <c r="K2211" s="1469">
        <v>44268</v>
      </c>
      <c r="L2211" s="1470"/>
      <c r="M2211" s="1471">
        <v>0</v>
      </c>
      <c r="N2211" s="1472">
        <v>1.6225930157434618</v>
      </c>
      <c r="O2211" s="1472"/>
    </row>
    <row r="2212" spans="11:15">
      <c r="K2212" s="1469">
        <v>44269</v>
      </c>
      <c r="L2212" s="1470"/>
      <c r="M2212" s="1471">
        <v>0</v>
      </c>
      <c r="N2212" s="1472">
        <v>1.6225930157434618</v>
      </c>
      <c r="O2212" s="1472"/>
    </row>
    <row r="2213" spans="11:15">
      <c r="K2213" s="1469">
        <v>44270</v>
      </c>
      <c r="L2213" s="1470" t="s">
        <v>2129</v>
      </c>
      <c r="M2213" s="1471">
        <v>7.4689999999999999E-3</v>
      </c>
      <c r="N2213" s="1472">
        <v>1.6227142072158076</v>
      </c>
      <c r="O2213" s="1472"/>
    </row>
    <row r="2214" spans="11:15">
      <c r="K2214" s="1469">
        <v>44271</v>
      </c>
      <c r="L2214" s="1470" t="s">
        <v>2129</v>
      </c>
      <c r="M2214" s="1471">
        <v>7.4689999999999999E-3</v>
      </c>
      <c r="N2214" s="1472">
        <v>1.6228354077399445</v>
      </c>
      <c r="O2214" s="1472"/>
    </row>
    <row r="2215" spans="11:15">
      <c r="K2215" s="1469">
        <v>44272</v>
      </c>
      <c r="L2215" s="1470" t="s">
        <v>2129</v>
      </c>
      <c r="M2215" s="1471">
        <v>7.4689999999999999E-3</v>
      </c>
      <c r="N2215" s="1472">
        <v>1.6229566173165484</v>
      </c>
      <c r="O2215" s="1472"/>
    </row>
    <row r="2216" spans="11:15">
      <c r="K2216" s="1469">
        <v>44273</v>
      </c>
      <c r="L2216" s="1470" t="s">
        <v>2129</v>
      </c>
      <c r="M2216" s="1471">
        <v>1.0378999999999999E-2</v>
      </c>
      <c r="N2216" s="1472">
        <v>1.6231250639838597</v>
      </c>
      <c r="O2216" s="1472"/>
    </row>
    <row r="2217" spans="11:15">
      <c r="K2217" s="1469">
        <v>44274</v>
      </c>
      <c r="L2217" s="1470" t="s">
        <v>2129</v>
      </c>
      <c r="M2217" s="1471">
        <v>1.0378999999999999E-2</v>
      </c>
      <c r="N2217" s="1472">
        <v>1.6232935281342507</v>
      </c>
      <c r="O2217" s="1472"/>
    </row>
    <row r="2218" spans="11:15">
      <c r="K2218" s="1469">
        <v>44275</v>
      </c>
      <c r="L2218" s="1470"/>
      <c r="M2218" s="1471">
        <v>0</v>
      </c>
      <c r="N2218" s="1472">
        <v>1.6232935281342507</v>
      </c>
      <c r="O2218" s="1472"/>
    </row>
    <row r="2219" spans="11:15">
      <c r="K2219" s="1469">
        <v>44276</v>
      </c>
      <c r="L2219" s="1470"/>
      <c r="M2219" s="1471">
        <v>0</v>
      </c>
      <c r="N2219" s="1472">
        <v>1.6232935281342507</v>
      </c>
      <c r="O2219" s="1472"/>
    </row>
    <row r="2220" spans="11:15">
      <c r="K2220" s="1469">
        <v>44277</v>
      </c>
      <c r="L2220" s="1470" t="s">
        <v>2129</v>
      </c>
      <c r="M2220" s="1471">
        <v>1.0378999999999999E-2</v>
      </c>
      <c r="N2220" s="1472">
        <v>1.6234620097695358</v>
      </c>
      <c r="O2220" s="1472"/>
    </row>
    <row r="2221" spans="11:15">
      <c r="K2221" s="1469">
        <v>44278</v>
      </c>
      <c r="L2221" s="1470" t="s">
        <v>2129</v>
      </c>
      <c r="M2221" s="1471">
        <v>1.0378999999999999E-2</v>
      </c>
      <c r="N2221" s="1472">
        <v>1.6236305088915299</v>
      </c>
      <c r="O2221" s="1472"/>
    </row>
    <row r="2222" spans="11:15">
      <c r="K2222" s="1469">
        <v>44279</v>
      </c>
      <c r="L2222" s="1470" t="s">
        <v>2129</v>
      </c>
      <c r="M2222" s="1471">
        <v>1.0378999999999999E-2</v>
      </c>
      <c r="N2222" s="1472">
        <v>1.6237990255020478</v>
      </c>
      <c r="O2222" s="1472"/>
    </row>
    <row r="2223" spans="11:15">
      <c r="K2223" s="1469">
        <v>44280</v>
      </c>
      <c r="L2223" s="1470" t="s">
        <v>2129</v>
      </c>
      <c r="M2223" s="1471">
        <v>1.0378999999999999E-2</v>
      </c>
      <c r="N2223" s="1472">
        <v>1.6239675596029048</v>
      </c>
      <c r="O2223" s="1472"/>
    </row>
    <row r="2224" spans="11:15">
      <c r="K2224" s="1469">
        <v>44281</v>
      </c>
      <c r="L2224" s="1470" t="s">
        <v>2129</v>
      </c>
      <c r="M2224" s="1471">
        <v>1.0378999999999999E-2</v>
      </c>
      <c r="N2224" s="1472">
        <v>1.6241361111959161</v>
      </c>
      <c r="O2224" s="1472"/>
    </row>
    <row r="2225" spans="11:15">
      <c r="K2225" s="1469">
        <v>44282</v>
      </c>
      <c r="L2225" s="1470"/>
      <c r="M2225" s="1471">
        <v>0</v>
      </c>
      <c r="N2225" s="1472">
        <v>1.6241361111959161</v>
      </c>
      <c r="O2225" s="1472"/>
    </row>
    <row r="2226" spans="11:15">
      <c r="K2226" s="1469">
        <v>44283</v>
      </c>
      <c r="L2226" s="1470"/>
      <c r="M2226" s="1471">
        <v>0</v>
      </c>
      <c r="N2226" s="1472">
        <v>1.6241361111959161</v>
      </c>
      <c r="O2226" s="1472"/>
    </row>
    <row r="2227" spans="11:15">
      <c r="K2227" s="1469">
        <v>44284</v>
      </c>
      <c r="L2227" s="1470" t="s">
        <v>2129</v>
      </c>
      <c r="M2227" s="1471">
        <v>1.0378999999999999E-2</v>
      </c>
      <c r="N2227" s="1472">
        <v>1.6243046802828971</v>
      </c>
      <c r="O2227" s="1472"/>
    </row>
    <row r="2228" spans="11:15">
      <c r="K2228" s="1469">
        <v>44285</v>
      </c>
      <c r="L2228" s="1470" t="s">
        <v>2129</v>
      </c>
      <c r="M2228" s="1471">
        <v>1.0378999999999999E-2</v>
      </c>
      <c r="N2228" s="1472">
        <v>1.6244732668656638</v>
      </c>
      <c r="O2228" s="1472"/>
    </row>
    <row r="2229" spans="11:15">
      <c r="K2229" s="1469">
        <v>44286</v>
      </c>
      <c r="L2229" s="1470" t="s">
        <v>2129</v>
      </c>
      <c r="M2229" s="1471">
        <v>1.0378999999999999E-2</v>
      </c>
      <c r="N2229" s="1472">
        <v>1.624641870946032</v>
      </c>
      <c r="O2229" s="1472"/>
    </row>
    <row r="2230" spans="11:15">
      <c r="K2230" s="1469">
        <v>44287</v>
      </c>
      <c r="L2230" s="1470" t="s">
        <v>2129</v>
      </c>
      <c r="M2230" s="1471">
        <v>1.0378999999999999E-2</v>
      </c>
      <c r="N2230" s="1472">
        <v>1.6248104925258176</v>
      </c>
      <c r="O2230" s="1472"/>
    </row>
    <row r="2231" spans="11:15">
      <c r="K2231" s="1469">
        <v>44288</v>
      </c>
      <c r="L2231" s="1470"/>
      <c r="M2231" s="1471">
        <v>0</v>
      </c>
      <c r="N2231" s="1472">
        <v>1.6248104925258176</v>
      </c>
      <c r="O2231" s="1472"/>
    </row>
    <row r="2232" spans="11:15">
      <c r="K2232" s="1469">
        <v>44289</v>
      </c>
      <c r="L2232" s="1470"/>
      <c r="M2232" s="1471">
        <v>0</v>
      </c>
      <c r="N2232" s="1472">
        <v>1.6248104925258176</v>
      </c>
      <c r="O2232" s="1472"/>
    </row>
    <row r="2233" spans="11:15">
      <c r="K2233" s="1469">
        <v>44290</v>
      </c>
      <c r="L2233" s="1470"/>
      <c r="M2233" s="1471">
        <v>0</v>
      </c>
      <c r="N2233" s="1472">
        <v>1.6248104925258176</v>
      </c>
      <c r="O2233" s="1472"/>
    </row>
    <row r="2234" spans="11:15">
      <c r="K2234" s="1469">
        <v>44291</v>
      </c>
      <c r="L2234" s="1470" t="s">
        <v>2129</v>
      </c>
      <c r="M2234" s="1471">
        <v>1.0378999999999999E-2</v>
      </c>
      <c r="N2234" s="1472">
        <v>1.6249791316068369</v>
      </c>
      <c r="O2234" s="1472"/>
    </row>
    <row r="2235" spans="11:15">
      <c r="K2235" s="1469">
        <v>44292</v>
      </c>
      <c r="L2235" s="1470" t="s">
        <v>2129</v>
      </c>
      <c r="M2235" s="1471">
        <v>1.0378999999999999E-2</v>
      </c>
      <c r="N2235" s="1472">
        <v>1.6251477881909064</v>
      </c>
      <c r="O2235" s="1472"/>
    </row>
    <row r="2236" spans="11:15">
      <c r="K2236" s="1469">
        <v>44293</v>
      </c>
      <c r="L2236" s="1470" t="s">
        <v>2129</v>
      </c>
      <c r="M2236" s="1471">
        <v>1.0378999999999999E-2</v>
      </c>
      <c r="N2236" s="1472">
        <v>1.6253164622798428</v>
      </c>
      <c r="O2236" s="1472"/>
    </row>
    <row r="2237" spans="11:15">
      <c r="K2237" s="1469">
        <v>44294</v>
      </c>
      <c r="L2237" s="1470" t="s">
        <v>2129</v>
      </c>
      <c r="M2237" s="1471">
        <v>1.0378999999999999E-2</v>
      </c>
      <c r="N2237" s="1472">
        <v>1.6254851538754629</v>
      </c>
      <c r="O2237" s="1472"/>
    </row>
    <row r="2238" spans="11:15">
      <c r="K2238" s="1469">
        <v>44295</v>
      </c>
      <c r="L2238" s="1470" t="s">
        <v>2129</v>
      </c>
      <c r="M2238" s="1471">
        <v>1.0378999999999999E-2</v>
      </c>
      <c r="N2238" s="1472">
        <v>1.6256538629795838</v>
      </c>
      <c r="O2238" s="1472"/>
    </row>
    <row r="2239" spans="11:15">
      <c r="K2239" s="1469">
        <v>44296</v>
      </c>
      <c r="L2239" s="1470"/>
      <c r="M2239" s="1471">
        <v>0</v>
      </c>
      <c r="N2239" s="1472">
        <v>1.6256538629795838</v>
      </c>
      <c r="O2239" s="1472"/>
    </row>
    <row r="2240" spans="11:15">
      <c r="K2240" s="1469">
        <v>44297</v>
      </c>
      <c r="L2240" s="1470"/>
      <c r="M2240" s="1471">
        <v>0</v>
      </c>
      <c r="N2240" s="1472">
        <v>1.6256538629795838</v>
      </c>
      <c r="O2240" s="1472"/>
    </row>
    <row r="2241" spans="11:15">
      <c r="K2241" s="1469">
        <v>44298</v>
      </c>
      <c r="L2241" s="1470" t="s">
        <v>2129</v>
      </c>
      <c r="M2241" s="1471">
        <v>1.0378999999999999E-2</v>
      </c>
      <c r="N2241" s="1472">
        <v>1.6258225895940226</v>
      </c>
      <c r="O2241" s="1472"/>
    </row>
    <row r="2242" spans="11:15">
      <c r="K2242" s="1469">
        <v>44299</v>
      </c>
      <c r="L2242" s="1470" t="s">
        <v>2129</v>
      </c>
      <c r="M2242" s="1471">
        <v>1.0378999999999999E-2</v>
      </c>
      <c r="N2242" s="1472">
        <v>1.6259913337205967</v>
      </c>
      <c r="O2242" s="1472"/>
    </row>
    <row r="2243" spans="11:15">
      <c r="K2243" s="1469">
        <v>44300</v>
      </c>
      <c r="L2243" s="1470" t="s">
        <v>2129</v>
      </c>
      <c r="M2243" s="1471">
        <v>1.0378999999999999E-2</v>
      </c>
      <c r="N2243" s="1472">
        <v>1.6261600953611237</v>
      </c>
      <c r="O2243" s="1472"/>
    </row>
    <row r="2244" spans="11:15">
      <c r="K2244" s="1469">
        <v>44301</v>
      </c>
      <c r="L2244" s="1470" t="s">
        <v>2129</v>
      </c>
      <c r="M2244" s="1471">
        <v>1.0378999999999999E-2</v>
      </c>
      <c r="N2244" s="1472">
        <v>1.6263288745174214</v>
      </c>
      <c r="O2244" s="1472"/>
    </row>
    <row r="2245" spans="11:15">
      <c r="K2245" s="1469">
        <v>44302</v>
      </c>
      <c r="L2245" s="1470" t="s">
        <v>2129</v>
      </c>
      <c r="M2245" s="1471">
        <v>1.0378999999999999E-2</v>
      </c>
      <c r="N2245" s="1472">
        <v>1.6264976711913075</v>
      </c>
      <c r="O2245" s="1472"/>
    </row>
    <row r="2246" spans="11:15">
      <c r="K2246" s="1469">
        <v>44303</v>
      </c>
      <c r="L2246" s="1470"/>
      <c r="M2246" s="1471">
        <v>0</v>
      </c>
      <c r="N2246" s="1472">
        <v>1.6264976711913075</v>
      </c>
      <c r="O2246" s="1472"/>
    </row>
    <row r="2247" spans="11:15">
      <c r="K2247" s="1469">
        <v>44304</v>
      </c>
      <c r="L2247" s="1470"/>
      <c r="M2247" s="1471">
        <v>0</v>
      </c>
      <c r="N2247" s="1472">
        <v>1.6264976711913075</v>
      </c>
      <c r="O2247" s="1472"/>
    </row>
    <row r="2248" spans="11:15">
      <c r="K2248" s="1469">
        <v>44305</v>
      </c>
      <c r="L2248" s="1470" t="s">
        <v>2129</v>
      </c>
      <c r="M2248" s="1471">
        <v>1.0378999999999999E-2</v>
      </c>
      <c r="N2248" s="1472">
        <v>1.6266664853846005</v>
      </c>
      <c r="O2248" s="1472"/>
    </row>
    <row r="2249" spans="11:15">
      <c r="K2249" s="1469">
        <v>44306</v>
      </c>
      <c r="L2249" s="1470" t="s">
        <v>2129</v>
      </c>
      <c r="M2249" s="1471">
        <v>1.0378999999999999E-2</v>
      </c>
      <c r="N2249" s="1472">
        <v>1.6268353170991185</v>
      </c>
      <c r="O2249" s="1472"/>
    </row>
    <row r="2250" spans="11:15">
      <c r="K2250" s="1469">
        <v>44307</v>
      </c>
      <c r="L2250" s="1470"/>
      <c r="M2250" s="1471">
        <v>0</v>
      </c>
      <c r="N2250" s="1472">
        <v>1.6268353170991185</v>
      </c>
      <c r="O2250" s="1472"/>
    </row>
    <row r="2251" spans="11:15">
      <c r="K2251" s="1469">
        <v>44308</v>
      </c>
      <c r="L2251" s="1470" t="s">
        <v>2129</v>
      </c>
      <c r="M2251" s="1471">
        <v>1.0378999999999999E-2</v>
      </c>
      <c r="N2251" s="1472">
        <v>1.6270041663366803</v>
      </c>
      <c r="O2251" s="1472"/>
    </row>
    <row r="2252" spans="11:15">
      <c r="K2252" s="1469">
        <v>44309</v>
      </c>
      <c r="L2252" s="1470" t="s">
        <v>2129</v>
      </c>
      <c r="M2252" s="1471">
        <v>1.0378999999999999E-2</v>
      </c>
      <c r="N2252" s="1472">
        <v>1.6271730330991045</v>
      </c>
      <c r="O2252" s="1472"/>
    </row>
    <row r="2253" spans="11:15">
      <c r="K2253" s="1469">
        <v>44310</v>
      </c>
      <c r="L2253" s="1470"/>
      <c r="M2253" s="1471">
        <v>0</v>
      </c>
      <c r="N2253" s="1472">
        <v>1.6271730330991045</v>
      </c>
      <c r="O2253" s="1472"/>
    </row>
    <row r="2254" spans="11:15">
      <c r="K2254" s="1469">
        <v>44311</v>
      </c>
      <c r="L2254" s="1470"/>
      <c r="M2254" s="1471">
        <v>0</v>
      </c>
      <c r="N2254" s="1472">
        <v>1.6271730330991045</v>
      </c>
      <c r="O2254" s="1472"/>
    </row>
    <row r="2255" spans="11:15">
      <c r="K2255" s="1469">
        <v>44312</v>
      </c>
      <c r="L2255" s="1470" t="s">
        <v>2129</v>
      </c>
      <c r="M2255" s="1471">
        <v>1.0378999999999999E-2</v>
      </c>
      <c r="N2255" s="1472">
        <v>1.62734191738821</v>
      </c>
      <c r="O2255" s="1472"/>
    </row>
    <row r="2256" spans="11:15">
      <c r="K2256" s="1469">
        <v>44313</v>
      </c>
      <c r="L2256" s="1470" t="s">
        <v>2129</v>
      </c>
      <c r="M2256" s="1471">
        <v>1.0378999999999999E-2</v>
      </c>
      <c r="N2256" s="1472">
        <v>1.6275108192058159</v>
      </c>
      <c r="O2256" s="1472"/>
    </row>
    <row r="2257" spans="11:15">
      <c r="K2257" s="1469">
        <v>44314</v>
      </c>
      <c r="L2257" s="1470" t="s">
        <v>2129</v>
      </c>
      <c r="M2257" s="1471">
        <v>1.0378999999999999E-2</v>
      </c>
      <c r="N2257" s="1472">
        <v>1.6276797385537414</v>
      </c>
      <c r="O2257" s="1472"/>
    </row>
    <row r="2258" spans="11:15">
      <c r="K2258" s="1469">
        <v>44315</v>
      </c>
      <c r="L2258" s="1470" t="s">
        <v>2129</v>
      </c>
      <c r="M2258" s="1471">
        <v>1.0378999999999999E-2</v>
      </c>
      <c r="N2258" s="1472">
        <v>1.627848675433806</v>
      </c>
      <c r="O2258" s="1472"/>
    </row>
    <row r="2259" spans="11:15">
      <c r="K2259" s="1469">
        <v>44316</v>
      </c>
      <c r="L2259" s="1470" t="s">
        <v>2129</v>
      </c>
      <c r="M2259" s="1471">
        <v>1.0378999999999999E-2</v>
      </c>
      <c r="N2259" s="1472">
        <v>1.6280176298478293</v>
      </c>
      <c r="O2259" s="1472"/>
    </row>
    <row r="2260" spans="11:15">
      <c r="K2260" s="1469">
        <v>44317</v>
      </c>
      <c r="L2260" s="1470"/>
      <c r="M2260" s="1471">
        <v>0</v>
      </c>
      <c r="N2260" s="1472">
        <v>1.6280176298478293</v>
      </c>
      <c r="O2260" s="1472"/>
    </row>
    <row r="2261" spans="11:15">
      <c r="K2261" s="1469">
        <v>44318</v>
      </c>
      <c r="L2261" s="1470"/>
      <c r="M2261" s="1471">
        <v>0</v>
      </c>
      <c r="N2261" s="1472">
        <v>1.6280176298478293</v>
      </c>
      <c r="O2261" s="1472"/>
    </row>
    <row r="2262" spans="11:15">
      <c r="K2262" s="1469">
        <v>44319</v>
      </c>
      <c r="L2262" s="1470" t="s">
        <v>2129</v>
      </c>
      <c r="M2262" s="1471">
        <v>1.0378999999999999E-2</v>
      </c>
      <c r="N2262" s="1472">
        <v>1.6281866017976312</v>
      </c>
      <c r="O2262" s="1472"/>
    </row>
    <row r="2263" spans="11:15">
      <c r="K2263" s="1469">
        <v>44320</v>
      </c>
      <c r="L2263" s="1470" t="s">
        <v>2129</v>
      </c>
      <c r="M2263" s="1471">
        <v>1.0378999999999999E-2</v>
      </c>
      <c r="N2263" s="1472">
        <v>1.6283555912850318</v>
      </c>
      <c r="O2263" s="1472"/>
    </row>
    <row r="2264" spans="11:15">
      <c r="K2264" s="1469">
        <v>44321</v>
      </c>
      <c r="L2264" s="1470" t="s">
        <v>2129</v>
      </c>
      <c r="M2264" s="1471">
        <v>1.0378999999999999E-2</v>
      </c>
      <c r="N2264" s="1472">
        <v>1.6285245983118515</v>
      </c>
      <c r="O2264" s="1472"/>
    </row>
    <row r="2265" spans="11:15">
      <c r="K2265" s="1469">
        <v>44322</v>
      </c>
      <c r="L2265" s="1470" t="s">
        <v>2129</v>
      </c>
      <c r="M2265" s="1471">
        <v>1.3269E-2</v>
      </c>
      <c r="N2265" s="1472">
        <v>1.6287406872408015</v>
      </c>
      <c r="O2265" s="1472"/>
    </row>
    <row r="2266" spans="11:15">
      <c r="K2266" s="1469">
        <v>44323</v>
      </c>
      <c r="L2266" s="1470" t="s">
        <v>2129</v>
      </c>
      <c r="M2266" s="1471">
        <v>1.3269E-2</v>
      </c>
      <c r="N2266" s="1472">
        <v>1.6289568048425915</v>
      </c>
      <c r="O2266" s="1472"/>
    </row>
    <row r="2267" spans="11:15">
      <c r="K2267" s="1469">
        <v>44324</v>
      </c>
      <c r="L2267" s="1470"/>
      <c r="M2267" s="1471">
        <v>0</v>
      </c>
      <c r="N2267" s="1472">
        <v>1.6289568048425915</v>
      </c>
      <c r="O2267" s="1472"/>
    </row>
    <row r="2268" spans="11:15">
      <c r="K2268" s="1469">
        <v>44325</v>
      </c>
      <c r="L2268" s="1470"/>
      <c r="M2268" s="1471">
        <v>0</v>
      </c>
      <c r="N2268" s="1472">
        <v>1.6289568048425915</v>
      </c>
      <c r="O2268" s="1472"/>
    </row>
    <row r="2269" spans="11:15">
      <c r="K2269" s="1469">
        <v>44326</v>
      </c>
      <c r="L2269" s="1470" t="s">
        <v>2129</v>
      </c>
      <c r="M2269" s="1471">
        <v>1.3269E-2</v>
      </c>
      <c r="N2269" s="1472">
        <v>1.6291729511210262</v>
      </c>
      <c r="O2269" s="1472"/>
    </row>
    <row r="2270" spans="11:15">
      <c r="K2270" s="1469">
        <v>44327</v>
      </c>
      <c r="L2270" s="1470" t="s">
        <v>2129</v>
      </c>
      <c r="M2270" s="1471">
        <v>1.3269E-2</v>
      </c>
      <c r="N2270" s="1472">
        <v>1.6293891260799105</v>
      </c>
      <c r="O2270" s="1472"/>
    </row>
    <row r="2271" spans="11:15">
      <c r="K2271" s="1469">
        <v>44328</v>
      </c>
      <c r="L2271" s="1470" t="s">
        <v>2129</v>
      </c>
      <c r="M2271" s="1471">
        <v>1.3269E-2</v>
      </c>
      <c r="N2271" s="1472">
        <v>1.6296053297230502</v>
      </c>
      <c r="O2271" s="1472"/>
    </row>
    <row r="2272" spans="11:15">
      <c r="K2272" s="1469">
        <v>44329</v>
      </c>
      <c r="L2272" s="1470" t="s">
        <v>2129</v>
      </c>
      <c r="M2272" s="1471">
        <v>1.3269E-2</v>
      </c>
      <c r="N2272" s="1472">
        <v>1.6298215620542511</v>
      </c>
      <c r="O2272" s="1472"/>
    </row>
    <row r="2273" spans="11:15">
      <c r="K2273" s="1469">
        <v>44330</v>
      </c>
      <c r="L2273" s="1470" t="s">
        <v>2129</v>
      </c>
      <c r="M2273" s="1471">
        <v>1.3269E-2</v>
      </c>
      <c r="N2273" s="1472">
        <v>1.6300378230773203</v>
      </c>
      <c r="O2273" s="1472"/>
    </row>
    <row r="2274" spans="11:15">
      <c r="K2274" s="1469">
        <v>44331</v>
      </c>
      <c r="L2274" s="1470"/>
      <c r="M2274" s="1471">
        <v>0</v>
      </c>
      <c r="N2274" s="1472">
        <v>1.6300378230773203</v>
      </c>
      <c r="O2274" s="1472"/>
    </row>
    <row r="2275" spans="11:15">
      <c r="K2275" s="1469">
        <v>44332</v>
      </c>
      <c r="L2275" s="1470"/>
      <c r="M2275" s="1471">
        <v>0</v>
      </c>
      <c r="N2275" s="1472">
        <v>1.6300378230773203</v>
      </c>
      <c r="O2275" s="1472"/>
    </row>
    <row r="2276" spans="11:15">
      <c r="K2276" s="1469">
        <v>44333</v>
      </c>
      <c r="L2276" s="1470" t="s">
        <v>2129</v>
      </c>
      <c r="M2276" s="1471">
        <v>1.3269E-2</v>
      </c>
      <c r="N2276" s="1472">
        <v>1.6302541127960644</v>
      </c>
      <c r="O2276" s="1472"/>
    </row>
    <row r="2277" spans="11:15">
      <c r="K2277" s="1469">
        <v>44334</v>
      </c>
      <c r="L2277" s="1470" t="s">
        <v>2129</v>
      </c>
      <c r="M2277" s="1471">
        <v>1.3269E-2</v>
      </c>
      <c r="N2277" s="1472">
        <v>1.6304704312142912</v>
      </c>
      <c r="O2277" s="1472"/>
    </row>
    <row r="2278" spans="11:15">
      <c r="K2278" s="1469">
        <v>44335</v>
      </c>
      <c r="L2278" s="1470" t="s">
        <v>2129</v>
      </c>
      <c r="M2278" s="1471">
        <v>1.3269E-2</v>
      </c>
      <c r="N2278" s="1472">
        <v>1.6306867783358092</v>
      </c>
      <c r="O2278" s="1472"/>
    </row>
    <row r="2279" spans="11:15">
      <c r="K2279" s="1469">
        <v>44336</v>
      </c>
      <c r="L2279" s="1470" t="s">
        <v>2129</v>
      </c>
      <c r="M2279" s="1471">
        <v>1.3269E-2</v>
      </c>
      <c r="N2279" s="1472">
        <v>1.6309031541644268</v>
      </c>
      <c r="O2279" s="1472"/>
    </row>
    <row r="2280" spans="11:15">
      <c r="K2280" s="1469">
        <v>44337</v>
      </c>
      <c r="L2280" s="1470" t="s">
        <v>2129</v>
      </c>
      <c r="M2280" s="1471">
        <v>1.3269E-2</v>
      </c>
      <c r="N2280" s="1472">
        <v>1.6311195587039529</v>
      </c>
      <c r="O2280" s="1472"/>
    </row>
    <row r="2281" spans="11:15">
      <c r="K2281" s="1469">
        <v>44338</v>
      </c>
      <c r="L2281" s="1470"/>
      <c r="M2281" s="1471">
        <v>0</v>
      </c>
      <c r="N2281" s="1472">
        <v>1.6311195587039529</v>
      </c>
      <c r="O2281" s="1472"/>
    </row>
    <row r="2282" spans="11:15">
      <c r="K2282" s="1469">
        <v>44339</v>
      </c>
      <c r="L2282" s="1470"/>
      <c r="M2282" s="1471">
        <v>0</v>
      </c>
      <c r="N2282" s="1472">
        <v>1.6311195587039529</v>
      </c>
      <c r="O2282" s="1472"/>
    </row>
    <row r="2283" spans="11:15">
      <c r="K2283" s="1469">
        <v>44340</v>
      </c>
      <c r="L2283" s="1470" t="s">
        <v>2129</v>
      </c>
      <c r="M2283" s="1471">
        <v>1.3269E-2</v>
      </c>
      <c r="N2283" s="1472">
        <v>1.6313359919581973</v>
      </c>
      <c r="O2283" s="1472"/>
    </row>
    <row r="2284" spans="11:15">
      <c r="K2284" s="1469">
        <v>44341</v>
      </c>
      <c r="L2284" s="1470" t="s">
        <v>2129</v>
      </c>
      <c r="M2284" s="1471">
        <v>1.3269E-2</v>
      </c>
      <c r="N2284" s="1472">
        <v>1.6315524539309703</v>
      </c>
      <c r="O2284" s="1472"/>
    </row>
    <row r="2285" spans="11:15">
      <c r="K2285" s="1469">
        <v>44342</v>
      </c>
      <c r="L2285" s="1470" t="s">
        <v>2129</v>
      </c>
      <c r="M2285" s="1471">
        <v>1.3269E-2</v>
      </c>
      <c r="N2285" s="1472">
        <v>1.6317689446260824</v>
      </c>
      <c r="O2285" s="1472"/>
    </row>
    <row r="2286" spans="11:15">
      <c r="K2286" s="1469">
        <v>44343</v>
      </c>
      <c r="L2286" s="1470" t="s">
        <v>2129</v>
      </c>
      <c r="M2286" s="1471">
        <v>1.3269E-2</v>
      </c>
      <c r="N2286" s="1472">
        <v>1.6319854640473448</v>
      </c>
      <c r="O2286" s="1472"/>
    </row>
    <row r="2287" spans="11:15">
      <c r="K2287" s="1469">
        <v>44344</v>
      </c>
      <c r="L2287" s="1470" t="s">
        <v>2129</v>
      </c>
      <c r="M2287" s="1471">
        <v>1.3269E-2</v>
      </c>
      <c r="N2287" s="1472">
        <v>1.6322020121985694</v>
      </c>
      <c r="O2287" s="1472"/>
    </row>
    <row r="2288" spans="11:15">
      <c r="K2288" s="1469">
        <v>44345</v>
      </c>
      <c r="L2288" s="1470"/>
      <c r="M2288" s="1471">
        <v>0</v>
      </c>
      <c r="N2288" s="1472">
        <v>1.6322020121985694</v>
      </c>
      <c r="O2288" s="1472"/>
    </row>
    <row r="2289" spans="11:15">
      <c r="K2289" s="1469">
        <v>44346</v>
      </c>
      <c r="L2289" s="1470"/>
      <c r="M2289" s="1471">
        <v>0</v>
      </c>
      <c r="N2289" s="1472">
        <v>1.6322020121985694</v>
      </c>
      <c r="O2289" s="1472"/>
    </row>
    <row r="2290" spans="11:15">
      <c r="K2290" s="1469">
        <v>44347</v>
      </c>
      <c r="L2290" s="1470" t="s">
        <v>2129</v>
      </c>
      <c r="M2290" s="1471">
        <v>1.3269E-2</v>
      </c>
      <c r="N2290" s="1472">
        <v>1.6324185890835681</v>
      </c>
      <c r="O2290" s="1472"/>
    </row>
    <row r="2291" spans="11:15">
      <c r="K2291" s="1469">
        <v>44348</v>
      </c>
      <c r="L2291" s="1470" t="s">
        <v>2129</v>
      </c>
      <c r="M2291" s="1471">
        <v>1.3269E-2</v>
      </c>
      <c r="N2291" s="1472">
        <v>1.6326351947061537</v>
      </c>
      <c r="O2291" s="1472"/>
    </row>
    <row r="2292" spans="11:15">
      <c r="K2292" s="1469">
        <v>44349</v>
      </c>
      <c r="L2292" s="1470" t="s">
        <v>2129</v>
      </c>
      <c r="M2292" s="1471">
        <v>1.3269E-2</v>
      </c>
      <c r="N2292" s="1472">
        <v>1.6328518290701393</v>
      </c>
      <c r="O2292" s="1472"/>
    </row>
    <row r="2293" spans="11:15">
      <c r="K2293" s="1469">
        <v>44350</v>
      </c>
      <c r="L2293" s="1470"/>
      <c r="M2293" s="1471">
        <v>0</v>
      </c>
      <c r="N2293" s="1472">
        <v>1.6328518290701393</v>
      </c>
      <c r="O2293" s="1472"/>
    </row>
    <row r="2294" spans="11:15">
      <c r="K2294" s="1469">
        <v>44351</v>
      </c>
      <c r="L2294" s="1470" t="s">
        <v>2129</v>
      </c>
      <c r="M2294" s="1471">
        <v>1.3269E-2</v>
      </c>
      <c r="N2294" s="1472">
        <v>1.6330684921793386</v>
      </c>
      <c r="O2294" s="1472"/>
    </row>
    <row r="2295" spans="11:15">
      <c r="K2295" s="1469">
        <v>44352</v>
      </c>
      <c r="L2295" s="1470"/>
      <c r="M2295" s="1471">
        <v>0</v>
      </c>
      <c r="N2295" s="1472">
        <v>1.6330684921793386</v>
      </c>
      <c r="O2295" s="1472"/>
    </row>
    <row r="2296" spans="11:15">
      <c r="K2296" s="1469">
        <v>44353</v>
      </c>
      <c r="L2296" s="1470"/>
      <c r="M2296" s="1471">
        <v>0</v>
      </c>
      <c r="N2296" s="1472">
        <v>1.6330684921793386</v>
      </c>
      <c r="O2296" s="1472"/>
    </row>
    <row r="2297" spans="11:15">
      <c r="K2297" s="1469">
        <v>44354</v>
      </c>
      <c r="L2297" s="1470" t="s">
        <v>2129</v>
      </c>
      <c r="M2297" s="1471">
        <v>1.3269E-2</v>
      </c>
      <c r="N2297" s="1472">
        <v>1.633285184037566</v>
      </c>
      <c r="O2297" s="1472"/>
    </row>
    <row r="2298" spans="11:15">
      <c r="K2298" s="1469">
        <v>44355</v>
      </c>
      <c r="L2298" s="1470" t="s">
        <v>2129</v>
      </c>
      <c r="M2298" s="1471">
        <v>1.3269E-2</v>
      </c>
      <c r="N2298" s="1472">
        <v>1.6335019046486359</v>
      </c>
      <c r="O2298" s="1472"/>
    </row>
    <row r="2299" spans="11:15">
      <c r="K2299" s="1469">
        <v>44356</v>
      </c>
      <c r="L2299" s="1470" t="s">
        <v>2129</v>
      </c>
      <c r="M2299" s="1471">
        <v>1.3269E-2</v>
      </c>
      <c r="N2299" s="1472">
        <v>1.6337186540163637</v>
      </c>
      <c r="O2299" s="1472"/>
    </row>
    <row r="2300" spans="11:15">
      <c r="K2300" s="1469">
        <v>44357</v>
      </c>
      <c r="L2300" s="1470" t="s">
        <v>2129</v>
      </c>
      <c r="M2300" s="1471">
        <v>1.3269E-2</v>
      </c>
      <c r="N2300" s="1472">
        <v>1.6339354321445652</v>
      </c>
      <c r="O2300" s="1472"/>
    </row>
    <row r="2301" spans="11:15">
      <c r="K2301" s="1469">
        <v>44358</v>
      </c>
      <c r="L2301" s="1470" t="s">
        <v>2129</v>
      </c>
      <c r="M2301" s="1471">
        <v>1.3269E-2</v>
      </c>
      <c r="N2301" s="1472">
        <v>1.6341522390370564</v>
      </c>
      <c r="O2301" s="1472"/>
    </row>
    <row r="2302" spans="11:15">
      <c r="K2302" s="1469">
        <v>44359</v>
      </c>
      <c r="L2302" s="1470"/>
      <c r="M2302" s="1471">
        <v>0</v>
      </c>
      <c r="N2302" s="1472">
        <v>1.6341522390370564</v>
      </c>
      <c r="O2302" s="1472"/>
    </row>
    <row r="2303" spans="11:15">
      <c r="K2303" s="1469">
        <v>44360</v>
      </c>
      <c r="L2303" s="1470"/>
      <c r="M2303" s="1471">
        <v>0</v>
      </c>
      <c r="N2303" s="1472">
        <v>1.6341522390370564</v>
      </c>
      <c r="O2303" s="1472"/>
    </row>
    <row r="2304" spans="11:15">
      <c r="K2304" s="1469">
        <v>44361</v>
      </c>
      <c r="L2304" s="1470" t="s">
        <v>2129</v>
      </c>
      <c r="M2304" s="1471">
        <v>1.3269E-2</v>
      </c>
      <c r="N2304" s="1472">
        <v>1.6343690746976542</v>
      </c>
      <c r="O2304" s="1472"/>
    </row>
    <row r="2305" spans="11:15">
      <c r="K2305" s="1469">
        <v>44362</v>
      </c>
      <c r="L2305" s="1470" t="s">
        <v>2129</v>
      </c>
      <c r="M2305" s="1471">
        <v>1.3269E-2</v>
      </c>
      <c r="N2305" s="1472">
        <v>1.634585939130176</v>
      </c>
      <c r="O2305" s="1472"/>
    </row>
    <row r="2306" spans="11:15">
      <c r="K2306" s="1469">
        <v>44363</v>
      </c>
      <c r="L2306" s="1470" t="s">
        <v>2129</v>
      </c>
      <c r="M2306" s="1471">
        <v>1.3269E-2</v>
      </c>
      <c r="N2306" s="1472">
        <v>1.6348028323384394</v>
      </c>
      <c r="O2306" s="1472"/>
    </row>
    <row r="2307" spans="11:15">
      <c r="K2307" s="1469">
        <v>44364</v>
      </c>
      <c r="L2307" s="1470" t="s">
        <v>2129</v>
      </c>
      <c r="M2307" s="1471">
        <v>1.6136999999999999E-2</v>
      </c>
      <c r="N2307" s="1472">
        <v>1.635066640471494</v>
      </c>
      <c r="O2307" s="1472"/>
    </row>
    <row r="2308" spans="11:15">
      <c r="K2308" s="1469">
        <v>44365</v>
      </c>
      <c r="L2308" s="1470" t="s">
        <v>2129</v>
      </c>
      <c r="M2308" s="1471">
        <v>1.6136999999999999E-2</v>
      </c>
      <c r="N2308" s="1472">
        <v>1.6353304911752669</v>
      </c>
      <c r="O2308" s="1472"/>
    </row>
    <row r="2309" spans="11:15">
      <c r="K2309" s="1469">
        <v>44366</v>
      </c>
      <c r="L2309" s="1470"/>
      <c r="M2309" s="1471">
        <v>0</v>
      </c>
      <c r="N2309" s="1472">
        <v>1.6353304911752669</v>
      </c>
      <c r="O2309" s="1472"/>
    </row>
    <row r="2310" spans="11:15">
      <c r="K2310" s="1469">
        <v>44367</v>
      </c>
      <c r="L2310" s="1470"/>
      <c r="M2310" s="1471">
        <v>0</v>
      </c>
      <c r="N2310" s="1472">
        <v>1.6353304911752669</v>
      </c>
      <c r="O2310" s="1472"/>
    </row>
    <row r="2311" spans="11:15">
      <c r="K2311" s="1469">
        <v>44368</v>
      </c>
      <c r="L2311" s="1470" t="s">
        <v>2129</v>
      </c>
      <c r="M2311" s="1471">
        <v>1.6136999999999999E-2</v>
      </c>
      <c r="N2311" s="1472">
        <v>1.6355943844566279</v>
      </c>
      <c r="O2311" s="1472"/>
    </row>
    <row r="2312" spans="11:15">
      <c r="K2312" s="1469">
        <v>44369</v>
      </c>
      <c r="L2312" s="1470" t="s">
        <v>2129</v>
      </c>
      <c r="M2312" s="1471">
        <v>1.6136999999999999E-2</v>
      </c>
      <c r="N2312" s="1472">
        <v>1.6358583203224477</v>
      </c>
      <c r="O2312" s="1472"/>
    </row>
    <row r="2313" spans="11:15">
      <c r="K2313" s="1469">
        <v>44370</v>
      </c>
      <c r="L2313" s="1470" t="s">
        <v>2129</v>
      </c>
      <c r="M2313" s="1471">
        <v>1.6136999999999999E-2</v>
      </c>
      <c r="N2313" s="1472">
        <v>1.6361222987795982</v>
      </c>
      <c r="O2313" s="1472"/>
    </row>
    <row r="2314" spans="11:15">
      <c r="K2314" s="1469">
        <v>44371</v>
      </c>
      <c r="L2314" s="1470" t="s">
        <v>2129</v>
      </c>
      <c r="M2314" s="1471">
        <v>1.6136999999999999E-2</v>
      </c>
      <c r="N2314" s="1472">
        <v>1.6363863198349524</v>
      </c>
      <c r="O2314" s="1472"/>
    </row>
    <row r="2315" spans="11:15">
      <c r="K2315" s="1469">
        <v>44372</v>
      </c>
      <c r="L2315" s="1470" t="s">
        <v>2129</v>
      </c>
      <c r="M2315" s="1471">
        <v>1.6136999999999999E-2</v>
      </c>
      <c r="N2315" s="1472">
        <v>1.6366503834953843</v>
      </c>
      <c r="O2315" s="1472"/>
    </row>
    <row r="2316" spans="11:15">
      <c r="K2316" s="1469">
        <v>44373</v>
      </c>
      <c r="L2316" s="1470"/>
      <c r="M2316" s="1471">
        <v>0</v>
      </c>
      <c r="N2316" s="1472">
        <v>1.6366503834953843</v>
      </c>
      <c r="O2316" s="1472"/>
    </row>
    <row r="2317" spans="11:15">
      <c r="K2317" s="1469">
        <v>44374</v>
      </c>
      <c r="L2317" s="1470"/>
      <c r="M2317" s="1471">
        <v>0</v>
      </c>
      <c r="N2317" s="1472">
        <v>1.6366503834953843</v>
      </c>
      <c r="O2317" s="1472"/>
    </row>
    <row r="2318" spans="11:15">
      <c r="K2318" s="1469">
        <v>44375</v>
      </c>
      <c r="L2318" s="1470" t="s">
        <v>2129</v>
      </c>
      <c r="M2318" s="1471">
        <v>1.6136999999999999E-2</v>
      </c>
      <c r="N2318" s="1472">
        <v>1.636914489767769</v>
      </c>
      <c r="O2318" s="1472"/>
    </row>
    <row r="2319" spans="11:15">
      <c r="K2319" s="1469">
        <v>44376</v>
      </c>
      <c r="L2319" s="1470" t="s">
        <v>2129</v>
      </c>
      <c r="M2319" s="1471">
        <v>1.6136999999999999E-2</v>
      </c>
      <c r="N2319" s="1472">
        <v>1.6371786386589828</v>
      </c>
      <c r="O2319" s="1472"/>
    </row>
    <row r="2320" spans="11:15">
      <c r="K2320" s="1469">
        <v>44377</v>
      </c>
      <c r="L2320" s="1470" t="s">
        <v>2129</v>
      </c>
      <c r="M2320" s="1471">
        <v>1.6136999999999999E-2</v>
      </c>
      <c r="N2320" s="1472">
        <v>1.6374428301759034</v>
      </c>
      <c r="O2320" s="1472"/>
    </row>
    <row r="2321" spans="11:15">
      <c r="K2321" s="1469">
        <v>44378</v>
      </c>
      <c r="L2321" s="1470" t="s">
        <v>2129</v>
      </c>
      <c r="M2321" s="1471">
        <v>1.6136999999999999E-2</v>
      </c>
      <c r="N2321" s="1472">
        <v>1.637707064325409</v>
      </c>
      <c r="O2321" s="1472"/>
    </row>
    <row r="2322" spans="11:15">
      <c r="K2322" s="1469">
        <v>44379</v>
      </c>
      <c r="L2322" s="1470" t="s">
        <v>2129</v>
      </c>
      <c r="M2322" s="1471">
        <v>1.6136999999999999E-2</v>
      </c>
      <c r="N2322" s="1472">
        <v>1.6379713411143793</v>
      </c>
      <c r="O2322" s="1472"/>
    </row>
    <row r="2323" spans="11:15">
      <c r="K2323" s="1469">
        <v>44380</v>
      </c>
      <c r="L2323" s="1470"/>
      <c r="M2323" s="1471">
        <v>0</v>
      </c>
      <c r="N2323" s="1472">
        <v>1.6379713411143793</v>
      </c>
      <c r="O2323" s="1472"/>
    </row>
    <row r="2324" spans="11:15">
      <c r="K2324" s="1469">
        <v>44381</v>
      </c>
      <c r="L2324" s="1470"/>
      <c r="M2324" s="1471">
        <v>0</v>
      </c>
      <c r="N2324" s="1472">
        <v>1.6379713411143793</v>
      </c>
      <c r="O2324" s="1472"/>
    </row>
    <row r="2325" spans="11:15">
      <c r="K2325" s="1469">
        <v>44382</v>
      </c>
      <c r="L2325" s="1470" t="s">
        <v>2129</v>
      </c>
      <c r="M2325" s="1471">
        <v>1.6136999999999999E-2</v>
      </c>
      <c r="N2325" s="1472">
        <v>1.638235660549695</v>
      </c>
      <c r="O2325" s="1472"/>
    </row>
    <row r="2326" spans="11:15">
      <c r="K2326" s="1469">
        <v>44383</v>
      </c>
      <c r="L2326" s="1470" t="s">
        <v>2129</v>
      </c>
      <c r="M2326" s="1471">
        <v>1.6136999999999999E-2</v>
      </c>
      <c r="N2326" s="1472">
        <v>1.638500022638238</v>
      </c>
      <c r="O2326" s="1472"/>
    </row>
    <row r="2327" spans="11:15">
      <c r="K2327" s="1469">
        <v>44384</v>
      </c>
      <c r="L2327" s="1470" t="s">
        <v>2129</v>
      </c>
      <c r="M2327" s="1471">
        <v>1.6136999999999999E-2</v>
      </c>
      <c r="N2327" s="1472">
        <v>1.6387644273868913</v>
      </c>
      <c r="O2327" s="1472"/>
    </row>
    <row r="2328" spans="11:15">
      <c r="K2328" s="1469">
        <v>44385</v>
      </c>
      <c r="L2328" s="1470" t="s">
        <v>2129</v>
      </c>
      <c r="M2328" s="1471">
        <v>1.6136999999999999E-2</v>
      </c>
      <c r="N2328" s="1472">
        <v>1.6390288748025388</v>
      </c>
      <c r="O2328" s="1472"/>
    </row>
    <row r="2329" spans="11:15">
      <c r="K2329" s="1469">
        <v>44386</v>
      </c>
      <c r="L2329" s="1470" t="s">
        <v>2129</v>
      </c>
      <c r="M2329" s="1471">
        <v>1.6136999999999999E-2</v>
      </c>
      <c r="N2329" s="1472">
        <v>1.6392933648920658</v>
      </c>
      <c r="O2329" s="1472"/>
    </row>
    <row r="2330" spans="11:15">
      <c r="K2330" s="1469">
        <v>44387</v>
      </c>
      <c r="L2330" s="1470"/>
      <c r="M2330" s="1471">
        <v>0</v>
      </c>
      <c r="N2330" s="1472">
        <v>1.6392933648920658</v>
      </c>
      <c r="O2330" s="1472"/>
    </row>
    <row r="2331" spans="11:15">
      <c r="K2331" s="1469">
        <v>44388</v>
      </c>
      <c r="L2331" s="1470"/>
      <c r="M2331" s="1471">
        <v>0</v>
      </c>
      <c r="N2331" s="1472">
        <v>1.6392933648920658</v>
      </c>
      <c r="O2331" s="1472"/>
    </row>
    <row r="2332" spans="11:15">
      <c r="K2332" s="1469">
        <v>44389</v>
      </c>
      <c r="L2332" s="1470" t="s">
        <v>2129</v>
      </c>
      <c r="M2332" s="1471">
        <v>1.6136999999999999E-2</v>
      </c>
      <c r="N2332" s="1472">
        <v>1.6395578976623586</v>
      </c>
      <c r="O2332" s="1472"/>
    </row>
    <row r="2333" spans="11:15">
      <c r="K2333" s="1469">
        <v>44390</v>
      </c>
      <c r="L2333" s="1470" t="s">
        <v>2129</v>
      </c>
      <c r="M2333" s="1471">
        <v>1.6136999999999999E-2</v>
      </c>
      <c r="N2333" s="1472">
        <v>1.6398224731203044</v>
      </c>
      <c r="O2333" s="1472"/>
    </row>
    <row r="2334" spans="11:15">
      <c r="K2334" s="1469">
        <v>44391</v>
      </c>
      <c r="L2334" s="1470" t="s">
        <v>2129</v>
      </c>
      <c r="M2334" s="1471">
        <v>1.6136999999999999E-2</v>
      </c>
      <c r="N2334" s="1472">
        <v>1.6400870912727918</v>
      </c>
      <c r="O2334" s="1472"/>
    </row>
    <row r="2335" spans="11:15">
      <c r="K2335" s="1469">
        <v>44392</v>
      </c>
      <c r="L2335" s="1470" t="s">
        <v>2129</v>
      </c>
      <c r="M2335" s="1471">
        <v>1.6136999999999999E-2</v>
      </c>
      <c r="N2335" s="1472">
        <v>1.6403517521267106</v>
      </c>
      <c r="O2335" s="1472"/>
    </row>
    <row r="2336" spans="11:15">
      <c r="K2336" s="1469">
        <v>44393</v>
      </c>
      <c r="L2336" s="1470" t="s">
        <v>2129</v>
      </c>
      <c r="M2336" s="1471">
        <v>1.6136999999999999E-2</v>
      </c>
      <c r="N2336" s="1472">
        <v>1.6406164556889513</v>
      </c>
      <c r="O2336" s="1472"/>
    </row>
    <row r="2337" spans="11:15">
      <c r="K2337" s="1469">
        <v>44394</v>
      </c>
      <c r="L2337" s="1470"/>
      <c r="M2337" s="1471">
        <v>0</v>
      </c>
      <c r="N2337" s="1472">
        <v>1.6406164556889513</v>
      </c>
      <c r="O2337" s="1472"/>
    </row>
    <row r="2338" spans="11:15">
      <c r="K2338" s="1469">
        <v>44395</v>
      </c>
      <c r="L2338" s="1470"/>
      <c r="M2338" s="1471">
        <v>0</v>
      </c>
      <c r="N2338" s="1472">
        <v>1.6406164556889513</v>
      </c>
      <c r="O2338" s="1472"/>
    </row>
    <row r="2339" spans="11:15">
      <c r="K2339" s="1469">
        <v>44396</v>
      </c>
      <c r="L2339" s="1470" t="s">
        <v>2129</v>
      </c>
      <c r="M2339" s="1471">
        <v>1.6136999999999999E-2</v>
      </c>
      <c r="N2339" s="1472">
        <v>1.6408812019664059</v>
      </c>
      <c r="O2339" s="1472"/>
    </row>
    <row r="2340" spans="11:15">
      <c r="K2340" s="1469">
        <v>44397</v>
      </c>
      <c r="L2340" s="1470" t="s">
        <v>2129</v>
      </c>
      <c r="M2340" s="1471">
        <v>1.6136999999999999E-2</v>
      </c>
      <c r="N2340" s="1472">
        <v>1.6411459909659674</v>
      </c>
      <c r="O2340" s="1472"/>
    </row>
    <row r="2341" spans="11:15">
      <c r="K2341" s="1469">
        <v>44398</v>
      </c>
      <c r="L2341" s="1470" t="s">
        <v>2129</v>
      </c>
      <c r="M2341" s="1471">
        <v>1.6136999999999999E-2</v>
      </c>
      <c r="N2341" s="1472">
        <v>1.6414108226945296</v>
      </c>
      <c r="O2341" s="1472"/>
    </row>
    <row r="2342" spans="11:15">
      <c r="K2342" s="1469">
        <v>44399</v>
      </c>
      <c r="L2342" s="1470" t="s">
        <v>2129</v>
      </c>
      <c r="M2342" s="1471">
        <v>1.6136999999999999E-2</v>
      </c>
      <c r="N2342" s="1472">
        <v>1.6416756971589879</v>
      </c>
      <c r="O2342" s="1472"/>
    </row>
    <row r="2343" spans="11:15">
      <c r="K2343" s="1469">
        <v>44400</v>
      </c>
      <c r="L2343" s="1470" t="s">
        <v>2129</v>
      </c>
      <c r="M2343" s="1471">
        <v>1.6136999999999999E-2</v>
      </c>
      <c r="N2343" s="1472">
        <v>1.6419406143662385</v>
      </c>
      <c r="O2343" s="1472"/>
    </row>
    <row r="2344" spans="11:15">
      <c r="K2344" s="1469">
        <v>44401</v>
      </c>
      <c r="L2344" s="1470"/>
      <c r="M2344" s="1471">
        <v>0</v>
      </c>
      <c r="N2344" s="1472">
        <v>1.6419406143662385</v>
      </c>
      <c r="O2344" s="1472"/>
    </row>
    <row r="2345" spans="11:15">
      <c r="K2345" s="1469">
        <v>44402</v>
      </c>
      <c r="L2345" s="1470"/>
      <c r="M2345" s="1471">
        <v>0</v>
      </c>
      <c r="N2345" s="1472">
        <v>1.6419406143662385</v>
      </c>
      <c r="O2345" s="1472"/>
    </row>
    <row r="2346" spans="11:15">
      <c r="K2346" s="1469">
        <v>44403</v>
      </c>
      <c r="L2346" s="1470" t="s">
        <v>2129</v>
      </c>
      <c r="M2346" s="1471">
        <v>1.6136999999999999E-2</v>
      </c>
      <c r="N2346" s="1472">
        <v>1.6422055743231789</v>
      </c>
      <c r="O2346" s="1472"/>
    </row>
    <row r="2347" spans="11:15">
      <c r="K2347" s="1469">
        <v>44404</v>
      </c>
      <c r="L2347" s="1470" t="s">
        <v>2129</v>
      </c>
      <c r="M2347" s="1471">
        <v>1.6136999999999999E-2</v>
      </c>
      <c r="N2347" s="1472">
        <v>1.6424705770367076</v>
      </c>
      <c r="O2347" s="1472"/>
    </row>
    <row r="2348" spans="11:15">
      <c r="K2348" s="1469">
        <v>44405</v>
      </c>
      <c r="L2348" s="1470" t="s">
        <v>2129</v>
      </c>
      <c r="M2348" s="1471">
        <v>1.6136999999999999E-2</v>
      </c>
      <c r="N2348" s="1472">
        <v>1.6427356225137242</v>
      </c>
      <c r="O2348" s="1472"/>
    </row>
    <row r="2349" spans="11:15">
      <c r="K2349" s="1469">
        <v>44406</v>
      </c>
      <c r="L2349" s="1470" t="s">
        <v>2129</v>
      </c>
      <c r="M2349" s="1471">
        <v>1.6136999999999999E-2</v>
      </c>
      <c r="N2349" s="1472">
        <v>1.6430007107611293</v>
      </c>
      <c r="O2349" s="1472"/>
    </row>
    <row r="2350" spans="11:15">
      <c r="K2350" s="1469">
        <v>44407</v>
      </c>
      <c r="L2350" s="1470" t="s">
        <v>2129</v>
      </c>
      <c r="M2350" s="1471">
        <v>1.6136999999999999E-2</v>
      </c>
      <c r="N2350" s="1472">
        <v>1.6432658417858248</v>
      </c>
      <c r="O2350" s="1472"/>
    </row>
    <row r="2351" spans="11:15">
      <c r="K2351" s="1469">
        <v>44408</v>
      </c>
      <c r="L2351" s="1470"/>
      <c r="M2351" s="1471">
        <v>0</v>
      </c>
      <c r="N2351" s="1472">
        <v>1.6432658417858248</v>
      </c>
      <c r="O2351" s="1472"/>
    </row>
    <row r="2352" spans="11:15">
      <c r="K2352" s="1469">
        <v>44409</v>
      </c>
      <c r="L2352" s="1470"/>
      <c r="M2352" s="1471">
        <v>0</v>
      </c>
      <c r="N2352" s="1472">
        <v>1.6432658417858248</v>
      </c>
      <c r="O2352" s="1472"/>
    </row>
    <row r="2353" spans="11:15">
      <c r="K2353" s="1469">
        <v>44410</v>
      </c>
      <c r="L2353" s="1470" t="s">
        <v>2129</v>
      </c>
      <c r="M2353" s="1471">
        <v>1.6136999999999999E-2</v>
      </c>
      <c r="N2353" s="1472">
        <v>1.6435310155947138</v>
      </c>
      <c r="O2353" s="1472"/>
    </row>
    <row r="2354" spans="11:15">
      <c r="K2354" s="1469">
        <v>44411</v>
      </c>
      <c r="L2354" s="1470" t="s">
        <v>2129</v>
      </c>
      <c r="M2354" s="1471">
        <v>1.6136999999999999E-2</v>
      </c>
      <c r="N2354" s="1472">
        <v>1.6437962321947004</v>
      </c>
      <c r="O2354" s="1472"/>
    </row>
    <row r="2355" spans="11:15">
      <c r="K2355" s="1469">
        <v>44412</v>
      </c>
      <c r="L2355" s="1470" t="s">
        <v>2129</v>
      </c>
      <c r="M2355" s="1471">
        <v>1.6136999999999999E-2</v>
      </c>
      <c r="N2355" s="1472">
        <v>1.6440614915926897</v>
      </c>
      <c r="O2355" s="1472"/>
    </row>
    <row r="2356" spans="11:15">
      <c r="K2356" s="1469">
        <v>44413</v>
      </c>
      <c r="L2356" s="1470" t="s">
        <v>2129</v>
      </c>
      <c r="M2356" s="1471">
        <v>1.993E-2</v>
      </c>
      <c r="N2356" s="1472">
        <v>1.6443891530479642</v>
      </c>
      <c r="O2356" s="1472"/>
    </row>
    <row r="2357" spans="11:15">
      <c r="K2357" s="1469">
        <v>44414</v>
      </c>
      <c r="L2357" s="1470" t="s">
        <v>2129</v>
      </c>
      <c r="M2357" s="1471">
        <v>1.993E-2</v>
      </c>
      <c r="N2357" s="1472">
        <v>1.6447168798061667</v>
      </c>
      <c r="O2357" s="1472"/>
    </row>
    <row r="2358" spans="11:15">
      <c r="K2358" s="1469">
        <v>44415</v>
      </c>
      <c r="L2358" s="1470"/>
      <c r="M2358" s="1471">
        <v>0</v>
      </c>
      <c r="N2358" s="1472">
        <v>1.6447168798061667</v>
      </c>
      <c r="O2358" s="1472"/>
    </row>
    <row r="2359" spans="11:15">
      <c r="K2359" s="1469">
        <v>44416</v>
      </c>
      <c r="L2359" s="1470"/>
      <c r="M2359" s="1471">
        <v>0</v>
      </c>
      <c r="N2359" s="1472">
        <v>1.6447168798061667</v>
      </c>
      <c r="O2359" s="1472"/>
    </row>
    <row r="2360" spans="11:15">
      <c r="K2360" s="1469">
        <v>44417</v>
      </c>
      <c r="L2360" s="1470" t="s">
        <v>2129</v>
      </c>
      <c r="M2360" s="1471">
        <v>1.993E-2</v>
      </c>
      <c r="N2360" s="1472">
        <v>1.645044671880312</v>
      </c>
      <c r="O2360" s="1472"/>
    </row>
    <row r="2361" spans="11:15">
      <c r="K2361" s="1469">
        <v>44418</v>
      </c>
      <c r="L2361" s="1470" t="s">
        <v>2129</v>
      </c>
      <c r="M2361" s="1471">
        <v>1.993E-2</v>
      </c>
      <c r="N2361" s="1472">
        <v>1.6453725292834178</v>
      </c>
      <c r="O2361" s="1472"/>
    </row>
    <row r="2362" spans="11:15">
      <c r="K2362" s="1469">
        <v>44419</v>
      </c>
      <c r="L2362" s="1470" t="s">
        <v>2129</v>
      </c>
      <c r="M2362" s="1471">
        <v>1.993E-2</v>
      </c>
      <c r="N2362" s="1472">
        <v>1.6457004520285041</v>
      </c>
      <c r="O2362" s="1472"/>
    </row>
    <row r="2363" spans="11:15">
      <c r="K2363" s="1469">
        <v>44420</v>
      </c>
      <c r="L2363" s="1470" t="s">
        <v>2129</v>
      </c>
      <c r="M2363" s="1471">
        <v>1.993E-2</v>
      </c>
      <c r="N2363" s="1472">
        <v>1.6460284401285934</v>
      </c>
      <c r="O2363" s="1472"/>
    </row>
    <row r="2364" spans="11:15">
      <c r="K2364" s="1469">
        <v>44421</v>
      </c>
      <c r="L2364" s="1470" t="s">
        <v>2129</v>
      </c>
      <c r="M2364" s="1471">
        <v>1.993E-2</v>
      </c>
      <c r="N2364" s="1472">
        <v>1.646356493596711</v>
      </c>
      <c r="O2364" s="1472"/>
    </row>
    <row r="2365" spans="11:15">
      <c r="K2365" s="1469">
        <v>44422</v>
      </c>
      <c r="L2365" s="1470"/>
      <c r="M2365" s="1471">
        <v>0</v>
      </c>
      <c r="N2365" s="1472">
        <v>1.646356493596711</v>
      </c>
      <c r="O2365" s="1472"/>
    </row>
    <row r="2366" spans="11:15">
      <c r="K2366" s="1469">
        <v>44423</v>
      </c>
      <c r="L2366" s="1470"/>
      <c r="M2366" s="1471">
        <v>0</v>
      </c>
      <c r="N2366" s="1472">
        <v>1.646356493596711</v>
      </c>
      <c r="O2366" s="1472"/>
    </row>
    <row r="2367" spans="11:15">
      <c r="K2367" s="1469">
        <v>44424</v>
      </c>
      <c r="L2367" s="1470" t="s">
        <v>2129</v>
      </c>
      <c r="M2367" s="1471">
        <v>1.993E-2</v>
      </c>
      <c r="N2367" s="1472">
        <v>1.6466846124458849</v>
      </c>
      <c r="O2367" s="1472"/>
    </row>
    <row r="2368" spans="11:15">
      <c r="K2368" s="1469">
        <v>44425</v>
      </c>
      <c r="L2368" s="1470" t="s">
        <v>2129</v>
      </c>
      <c r="M2368" s="1471">
        <v>1.993E-2</v>
      </c>
      <c r="N2368" s="1472">
        <v>1.6470127966891455</v>
      </c>
      <c r="O2368" s="1472"/>
    </row>
    <row r="2369" spans="11:15">
      <c r="K2369" s="1469">
        <v>44426</v>
      </c>
      <c r="L2369" s="1470" t="s">
        <v>2129</v>
      </c>
      <c r="M2369" s="1471">
        <v>1.993E-2</v>
      </c>
      <c r="N2369" s="1472">
        <v>1.6473410463395257</v>
      </c>
      <c r="O2369" s="1472"/>
    </row>
    <row r="2370" spans="11:15">
      <c r="K2370" s="1469">
        <v>44427</v>
      </c>
      <c r="L2370" s="1470" t="s">
        <v>2129</v>
      </c>
      <c r="M2370" s="1471">
        <v>1.993E-2</v>
      </c>
      <c r="N2370" s="1472">
        <v>1.6476693614100613</v>
      </c>
      <c r="O2370" s="1472"/>
    </row>
    <row r="2371" spans="11:15">
      <c r="K2371" s="1469">
        <v>44428</v>
      </c>
      <c r="L2371" s="1470" t="s">
        <v>2129</v>
      </c>
      <c r="M2371" s="1471">
        <v>1.993E-2</v>
      </c>
      <c r="N2371" s="1472">
        <v>1.6479977419137903</v>
      </c>
      <c r="O2371" s="1472"/>
    </row>
    <row r="2372" spans="11:15">
      <c r="K2372" s="1469">
        <v>44429</v>
      </c>
      <c r="L2372" s="1470"/>
      <c r="M2372" s="1471">
        <v>0</v>
      </c>
      <c r="N2372" s="1472">
        <v>1.6479977419137903</v>
      </c>
      <c r="O2372" s="1472"/>
    </row>
    <row r="2373" spans="11:15">
      <c r="K2373" s="1469">
        <v>44430</v>
      </c>
      <c r="L2373" s="1470"/>
      <c r="M2373" s="1471">
        <v>0</v>
      </c>
      <c r="N2373" s="1472">
        <v>1.6479977419137903</v>
      </c>
      <c r="O2373" s="1472"/>
    </row>
    <row r="2374" spans="11:15">
      <c r="K2374" s="1469">
        <v>44431</v>
      </c>
      <c r="L2374" s="1470" t="s">
        <v>2129</v>
      </c>
      <c r="M2374" s="1471">
        <v>1.993E-2</v>
      </c>
      <c r="N2374" s="1472">
        <v>1.6483261878637538</v>
      </c>
      <c r="O2374" s="1472"/>
    </row>
    <row r="2375" spans="11:15">
      <c r="K2375" s="1469">
        <v>44432</v>
      </c>
      <c r="L2375" s="1470" t="s">
        <v>2129</v>
      </c>
      <c r="M2375" s="1471">
        <v>1.993E-2</v>
      </c>
      <c r="N2375" s="1472">
        <v>1.6486546992729951</v>
      </c>
      <c r="O2375" s="1472"/>
    </row>
    <row r="2376" spans="11:15">
      <c r="K2376" s="1469">
        <v>44433</v>
      </c>
      <c r="L2376" s="1470" t="s">
        <v>2129</v>
      </c>
      <c r="M2376" s="1471">
        <v>1.993E-2</v>
      </c>
      <c r="N2376" s="1472">
        <v>1.6489832761545602</v>
      </c>
      <c r="O2376" s="1472"/>
    </row>
    <row r="2377" spans="11:15">
      <c r="K2377" s="1469">
        <v>44434</v>
      </c>
      <c r="L2377" s="1470" t="s">
        <v>2129</v>
      </c>
      <c r="M2377" s="1471">
        <v>1.993E-2</v>
      </c>
      <c r="N2377" s="1472">
        <v>1.6493119185214977</v>
      </c>
      <c r="O2377" s="1472"/>
    </row>
    <row r="2378" spans="11:15">
      <c r="K2378" s="1469">
        <v>44435</v>
      </c>
      <c r="L2378" s="1470" t="s">
        <v>2129</v>
      </c>
      <c r="M2378" s="1471">
        <v>1.993E-2</v>
      </c>
      <c r="N2378" s="1472">
        <v>1.649640626386859</v>
      </c>
      <c r="O2378" s="1472"/>
    </row>
    <row r="2379" spans="11:15">
      <c r="K2379" s="1469">
        <v>44436</v>
      </c>
      <c r="L2379" s="1470"/>
      <c r="M2379" s="1471">
        <v>0</v>
      </c>
      <c r="N2379" s="1472">
        <v>1.649640626386859</v>
      </c>
      <c r="O2379" s="1472"/>
    </row>
    <row r="2380" spans="11:15">
      <c r="K2380" s="1469">
        <v>44437</v>
      </c>
      <c r="L2380" s="1470"/>
      <c r="M2380" s="1471">
        <v>0</v>
      </c>
      <c r="N2380" s="1472">
        <v>1.649640626386859</v>
      </c>
      <c r="O2380" s="1472"/>
    </row>
    <row r="2381" spans="11:15">
      <c r="K2381" s="1469">
        <v>44438</v>
      </c>
      <c r="L2381" s="1470" t="s">
        <v>2129</v>
      </c>
      <c r="M2381" s="1471">
        <v>1.993E-2</v>
      </c>
      <c r="N2381" s="1472">
        <v>1.6499693997636979</v>
      </c>
      <c r="O2381" s="1472"/>
    </row>
    <row r="2382" spans="11:15">
      <c r="K2382" s="1469">
        <v>44439</v>
      </c>
      <c r="L2382" s="1470" t="s">
        <v>2129</v>
      </c>
      <c r="M2382" s="1471">
        <v>1.993E-2</v>
      </c>
      <c r="N2382" s="1472">
        <v>1.6502982386650709</v>
      </c>
      <c r="O2382" s="1472"/>
    </row>
    <row r="2383" spans="11:15">
      <c r="K2383" s="1469">
        <v>44440</v>
      </c>
      <c r="L2383" s="1470" t="s">
        <v>2129</v>
      </c>
      <c r="M2383" s="1471">
        <v>1.993E-2</v>
      </c>
      <c r="N2383" s="1472">
        <v>1.6506271431040369</v>
      </c>
      <c r="O2383" s="1472"/>
    </row>
    <row r="2384" spans="11:15">
      <c r="K2384" s="1469">
        <v>44441</v>
      </c>
      <c r="L2384" s="1470" t="s">
        <v>2129</v>
      </c>
      <c r="M2384" s="1471">
        <v>1.993E-2</v>
      </c>
      <c r="N2384" s="1472">
        <v>1.6509561130936576</v>
      </c>
      <c r="O2384" s="1472"/>
    </row>
    <row r="2385" spans="11:15">
      <c r="K2385" s="1469">
        <v>44442</v>
      </c>
      <c r="L2385" s="1470" t="s">
        <v>2129</v>
      </c>
      <c r="M2385" s="1471">
        <v>1.993E-2</v>
      </c>
      <c r="N2385" s="1472">
        <v>1.6512851486469973</v>
      </c>
      <c r="O2385" s="1472"/>
    </row>
    <row r="2386" spans="11:15">
      <c r="K2386" s="1469">
        <v>44443</v>
      </c>
      <c r="L2386" s="1470"/>
      <c r="M2386" s="1471">
        <v>0</v>
      </c>
      <c r="N2386" s="1472">
        <v>1.6512851486469973</v>
      </c>
      <c r="O2386" s="1472"/>
    </row>
    <row r="2387" spans="11:15">
      <c r="K2387" s="1469">
        <v>44444</v>
      </c>
      <c r="L2387" s="1470"/>
      <c r="M2387" s="1471">
        <v>0</v>
      </c>
      <c r="N2387" s="1472">
        <v>1.6512851486469973</v>
      </c>
      <c r="O2387" s="1472"/>
    </row>
    <row r="2388" spans="11:15">
      <c r="K2388" s="1469">
        <v>44445</v>
      </c>
      <c r="L2388" s="1470" t="s">
        <v>2129</v>
      </c>
      <c r="M2388" s="1471">
        <v>1.993E-2</v>
      </c>
      <c r="N2388" s="1472">
        <v>1.6516142497771227</v>
      </c>
      <c r="O2388" s="1472"/>
    </row>
    <row r="2389" spans="11:15">
      <c r="K2389" s="1469">
        <v>44446</v>
      </c>
      <c r="L2389" s="1470"/>
      <c r="M2389" s="1471">
        <v>0</v>
      </c>
      <c r="N2389" s="1472">
        <v>1.6516142497771227</v>
      </c>
      <c r="O2389" s="1472"/>
    </row>
    <row r="2390" spans="11:15">
      <c r="K2390" s="1469">
        <v>44447</v>
      </c>
      <c r="L2390" s="1470" t="s">
        <v>2129</v>
      </c>
      <c r="M2390" s="1471">
        <v>1.993E-2</v>
      </c>
      <c r="N2390" s="1472">
        <v>1.6519434164971032</v>
      </c>
      <c r="O2390" s="1472"/>
    </row>
    <row r="2391" spans="11:15">
      <c r="K2391" s="1469">
        <v>44448</v>
      </c>
      <c r="L2391" s="1470" t="s">
        <v>2129</v>
      </c>
      <c r="M2391" s="1471">
        <v>1.993E-2</v>
      </c>
      <c r="N2391" s="1472">
        <v>1.652272648820011</v>
      </c>
      <c r="O2391" s="1472"/>
    </row>
    <row r="2392" spans="11:15">
      <c r="K2392" s="1469">
        <v>44449</v>
      </c>
      <c r="L2392" s="1470" t="s">
        <v>2129</v>
      </c>
      <c r="M2392" s="1471">
        <v>1.993E-2</v>
      </c>
      <c r="N2392" s="1472">
        <v>1.6526019467589208</v>
      </c>
      <c r="O2392" s="1472"/>
    </row>
    <row r="2393" spans="11:15">
      <c r="K2393" s="1469">
        <v>44450</v>
      </c>
      <c r="L2393" s="1470"/>
      <c r="M2393" s="1471">
        <v>0</v>
      </c>
      <c r="N2393" s="1472">
        <v>1.6526019467589208</v>
      </c>
      <c r="O2393" s="1472"/>
    </row>
    <row r="2394" spans="11:15">
      <c r="K2394" s="1469">
        <v>44451</v>
      </c>
      <c r="L2394" s="1470"/>
      <c r="M2394" s="1471">
        <v>0</v>
      </c>
      <c r="N2394" s="1472">
        <v>1.6526019467589208</v>
      </c>
      <c r="O2394" s="1472"/>
    </row>
    <row r="2395" spans="11:15">
      <c r="K2395" s="1469">
        <v>44452</v>
      </c>
      <c r="L2395" s="1470" t="s">
        <v>2129</v>
      </c>
      <c r="M2395" s="1471">
        <v>1.993E-2</v>
      </c>
      <c r="N2395" s="1472">
        <v>1.6529313103269099</v>
      </c>
      <c r="O2395" s="1472"/>
    </row>
    <row r="2396" spans="11:15">
      <c r="K2396" s="1469">
        <v>44453</v>
      </c>
      <c r="L2396" s="1470" t="s">
        <v>2129</v>
      </c>
      <c r="M2396" s="1471">
        <v>1.993E-2</v>
      </c>
      <c r="N2396" s="1472">
        <v>1.653260739537058</v>
      </c>
      <c r="O2396" s="1472"/>
    </row>
    <row r="2397" spans="11:15">
      <c r="K2397" s="1469">
        <v>44454</v>
      </c>
      <c r="L2397" s="1470" t="s">
        <v>2129</v>
      </c>
      <c r="M2397" s="1471">
        <v>1.993E-2</v>
      </c>
      <c r="N2397" s="1472">
        <v>1.6535902344024478</v>
      </c>
      <c r="O2397" s="1472"/>
    </row>
    <row r="2398" spans="11:15">
      <c r="K2398" s="1469">
        <v>44455</v>
      </c>
      <c r="L2398" s="1470" t="s">
        <v>2129</v>
      </c>
      <c r="M2398" s="1471">
        <v>1.993E-2</v>
      </c>
      <c r="N2398" s="1472">
        <v>1.6539197949361641</v>
      </c>
      <c r="O2398" s="1472"/>
    </row>
    <row r="2399" spans="11:15">
      <c r="K2399" s="1469">
        <v>44456</v>
      </c>
      <c r="L2399" s="1470" t="s">
        <v>2129</v>
      </c>
      <c r="M2399" s="1471">
        <v>1.993E-2</v>
      </c>
      <c r="N2399" s="1472">
        <v>1.654249421151295</v>
      </c>
      <c r="O2399" s="1472"/>
    </row>
    <row r="2400" spans="11:15">
      <c r="K2400" s="1469">
        <v>44457</v>
      </c>
      <c r="L2400" s="1470"/>
      <c r="M2400" s="1471">
        <v>0</v>
      </c>
      <c r="N2400" s="1472">
        <v>1.654249421151295</v>
      </c>
      <c r="O2400" s="1472"/>
    </row>
    <row r="2401" spans="11:15">
      <c r="K2401" s="1469">
        <v>44458</v>
      </c>
      <c r="L2401" s="1470"/>
      <c r="M2401" s="1471">
        <v>0</v>
      </c>
      <c r="N2401" s="1472">
        <v>1.654249421151295</v>
      </c>
      <c r="O2401" s="1472"/>
    </row>
    <row r="2402" spans="11:15">
      <c r="K2402" s="1469">
        <v>44459</v>
      </c>
      <c r="L2402" s="1470" t="s">
        <v>2129</v>
      </c>
      <c r="M2402" s="1471">
        <v>1.993E-2</v>
      </c>
      <c r="N2402" s="1472">
        <v>1.6545791130609304</v>
      </c>
      <c r="O2402" s="1472"/>
    </row>
    <row r="2403" spans="11:15">
      <c r="K2403" s="1469">
        <v>44460</v>
      </c>
      <c r="L2403" s="1470" t="s">
        <v>2129</v>
      </c>
      <c r="M2403" s="1471">
        <v>1.993E-2</v>
      </c>
      <c r="N2403" s="1472">
        <v>1.6549088706781634</v>
      </c>
      <c r="O2403" s="1472"/>
    </row>
    <row r="2404" spans="11:15">
      <c r="K2404" s="1469">
        <v>44461</v>
      </c>
      <c r="L2404" s="1470" t="s">
        <v>2129</v>
      </c>
      <c r="M2404" s="1471">
        <v>1.993E-2</v>
      </c>
      <c r="N2404" s="1472">
        <v>1.6552386940160895</v>
      </c>
      <c r="O2404" s="1472"/>
    </row>
    <row r="2405" spans="11:15">
      <c r="K2405" s="1469">
        <v>44462</v>
      </c>
      <c r="L2405" s="1470" t="s">
        <v>2129</v>
      </c>
      <c r="M2405" s="1471">
        <v>2.3687E-2</v>
      </c>
      <c r="N2405" s="1472">
        <v>1.6556307704055411</v>
      </c>
      <c r="O2405" s="1472"/>
    </row>
    <row r="2406" spans="11:15">
      <c r="K2406" s="1469">
        <v>44463</v>
      </c>
      <c r="L2406" s="1470" t="s">
        <v>2129</v>
      </c>
      <c r="M2406" s="1471">
        <v>2.3687E-2</v>
      </c>
      <c r="N2406" s="1472">
        <v>1.656022939666127</v>
      </c>
      <c r="O2406" s="1472"/>
    </row>
    <row r="2407" spans="11:15">
      <c r="K2407" s="1469">
        <v>44464</v>
      </c>
      <c r="L2407" s="1470"/>
      <c r="M2407" s="1471">
        <v>0</v>
      </c>
      <c r="N2407" s="1472">
        <v>1.656022939666127</v>
      </c>
      <c r="O2407" s="1472"/>
    </row>
    <row r="2408" spans="11:15">
      <c r="K2408" s="1469">
        <v>44465</v>
      </c>
      <c r="L2408" s="1470"/>
      <c r="M2408" s="1471">
        <v>0</v>
      </c>
      <c r="N2408" s="1472">
        <v>1.656022939666127</v>
      </c>
      <c r="O2408" s="1472"/>
    </row>
    <row r="2409" spans="11:15">
      <c r="K2409" s="1469">
        <v>44466</v>
      </c>
      <c r="L2409" s="1470" t="s">
        <v>2129</v>
      </c>
      <c r="M2409" s="1471">
        <v>2.3687E-2</v>
      </c>
      <c r="N2409" s="1472">
        <v>1.6564152018198457</v>
      </c>
      <c r="O2409" s="1472"/>
    </row>
    <row r="2410" spans="11:15">
      <c r="K2410" s="1469">
        <v>44467</v>
      </c>
      <c r="L2410" s="1470" t="s">
        <v>2129</v>
      </c>
      <c r="M2410" s="1471">
        <v>2.3687E-2</v>
      </c>
      <c r="N2410" s="1472">
        <v>1.6568075568887006</v>
      </c>
      <c r="O2410" s="1472"/>
    </row>
    <row r="2411" spans="11:15">
      <c r="K2411" s="1469">
        <v>44468</v>
      </c>
      <c r="L2411" s="1470" t="s">
        <v>2129</v>
      </c>
      <c r="M2411" s="1471">
        <v>2.3687E-2</v>
      </c>
      <c r="N2411" s="1472">
        <v>1.6572000048947009</v>
      </c>
      <c r="O2411" s="1472"/>
    </row>
    <row r="2412" spans="11:15">
      <c r="K2412" s="1469">
        <v>44469</v>
      </c>
      <c r="L2412" s="1470" t="s">
        <v>2129</v>
      </c>
      <c r="M2412" s="1471">
        <v>2.3687E-2</v>
      </c>
      <c r="N2412" s="1472">
        <v>1.6575925458598602</v>
      </c>
      <c r="O2412" s="1472"/>
    </row>
    <row r="2413" spans="11:15">
      <c r="K2413" s="1469">
        <v>44470</v>
      </c>
      <c r="L2413" s="1470" t="s">
        <v>2129</v>
      </c>
      <c r="M2413" s="1471">
        <v>2.3687E-2</v>
      </c>
      <c r="N2413" s="1472">
        <v>1.657985179806198</v>
      </c>
      <c r="O2413" s="1472"/>
    </row>
    <row r="2414" spans="11:15">
      <c r="K2414" s="1469">
        <v>44471</v>
      </c>
      <c r="L2414" s="1470"/>
      <c r="M2414" s="1471">
        <v>0</v>
      </c>
      <c r="N2414" s="1472">
        <v>1.657985179806198</v>
      </c>
      <c r="O2414" s="1472"/>
    </row>
    <row r="2415" spans="11:15">
      <c r="K2415" s="1469">
        <v>44472</v>
      </c>
      <c r="L2415" s="1470"/>
      <c r="M2415" s="1471">
        <v>0</v>
      </c>
      <c r="N2415" s="1472">
        <v>1.657985179806198</v>
      </c>
      <c r="O2415" s="1472"/>
    </row>
    <row r="2416" spans="11:15">
      <c r="K2416" s="1469">
        <v>44473</v>
      </c>
      <c r="L2416" s="1470" t="s">
        <v>2129</v>
      </c>
      <c r="M2416" s="1471">
        <v>2.3687E-2</v>
      </c>
      <c r="N2416" s="1472">
        <v>1.6583779067557385</v>
      </c>
      <c r="O2416" s="1472"/>
    </row>
    <row r="2417" spans="11:15">
      <c r="K2417" s="1469">
        <v>44474</v>
      </c>
      <c r="L2417" s="1470" t="s">
        <v>2129</v>
      </c>
      <c r="M2417" s="1471">
        <v>2.3687E-2</v>
      </c>
      <c r="N2417" s="1472">
        <v>1.6587707267305116</v>
      </c>
      <c r="O2417" s="1472"/>
    </row>
    <row r="2418" spans="11:15">
      <c r="K2418" s="1469">
        <v>44475</v>
      </c>
      <c r="L2418" s="1470" t="s">
        <v>2129</v>
      </c>
      <c r="M2418" s="1471">
        <v>2.3687E-2</v>
      </c>
      <c r="N2418" s="1472">
        <v>1.6591636397525522</v>
      </c>
      <c r="O2418" s="1472"/>
    </row>
    <row r="2419" spans="11:15">
      <c r="K2419" s="1469">
        <v>44476</v>
      </c>
      <c r="L2419" s="1470" t="s">
        <v>2129</v>
      </c>
      <c r="M2419" s="1471">
        <v>2.3687E-2</v>
      </c>
      <c r="N2419" s="1472">
        <v>1.6595566458439004</v>
      </c>
      <c r="O2419" s="1472"/>
    </row>
    <row r="2420" spans="11:15">
      <c r="K2420" s="1469">
        <v>44477</v>
      </c>
      <c r="L2420" s="1470" t="s">
        <v>2129</v>
      </c>
      <c r="M2420" s="1471">
        <v>2.3687E-2</v>
      </c>
      <c r="N2420" s="1472">
        <v>1.6599497450266014</v>
      </c>
      <c r="O2420" s="1472"/>
    </row>
    <row r="2421" spans="11:15">
      <c r="K2421" s="1469">
        <v>44478</v>
      </c>
      <c r="L2421" s="1470"/>
      <c r="M2421" s="1471">
        <v>0</v>
      </c>
      <c r="N2421" s="1472">
        <v>1.6599497450266014</v>
      </c>
      <c r="O2421" s="1472"/>
    </row>
    <row r="2422" spans="11:15">
      <c r="K2422" s="1469">
        <v>44479</v>
      </c>
      <c r="L2422" s="1470"/>
      <c r="M2422" s="1471">
        <v>0</v>
      </c>
      <c r="N2422" s="1472">
        <v>1.6599497450266014</v>
      </c>
      <c r="O2422" s="1472"/>
    </row>
    <row r="2423" spans="11:15">
      <c r="K2423" s="1469">
        <v>44480</v>
      </c>
      <c r="L2423" s="1470" t="s">
        <v>2129</v>
      </c>
      <c r="M2423" s="1471">
        <v>2.3687E-2</v>
      </c>
      <c r="N2423" s="1472">
        <v>1.6603429373227059</v>
      </c>
      <c r="O2423" s="1472"/>
    </row>
    <row r="2424" spans="11:15">
      <c r="K2424" s="1469">
        <v>44481</v>
      </c>
      <c r="L2424" s="1470"/>
      <c r="M2424" s="1471">
        <v>0</v>
      </c>
      <c r="N2424" s="1472">
        <v>1.6603429373227059</v>
      </c>
      <c r="O2424" s="1472"/>
    </row>
    <row r="2425" spans="11:15">
      <c r="K2425" s="1469">
        <v>44482</v>
      </c>
      <c r="L2425" s="1470" t="s">
        <v>2129</v>
      </c>
      <c r="M2425" s="1471">
        <v>2.3687E-2</v>
      </c>
      <c r="N2425" s="1472">
        <v>1.6607362227542695</v>
      </c>
      <c r="O2425" s="1472"/>
    </row>
    <row r="2426" spans="11:15">
      <c r="K2426" s="1469">
        <v>44483</v>
      </c>
      <c r="L2426" s="1470" t="s">
        <v>2129</v>
      </c>
      <c r="M2426" s="1471">
        <v>2.3687E-2</v>
      </c>
      <c r="N2426" s="1472">
        <v>1.6611296013433532</v>
      </c>
      <c r="O2426" s="1472"/>
    </row>
    <row r="2427" spans="11:15">
      <c r="K2427" s="1469">
        <v>44484</v>
      </c>
      <c r="L2427" s="1470" t="s">
        <v>2129</v>
      </c>
      <c r="M2427" s="1471">
        <v>2.3687E-2</v>
      </c>
      <c r="N2427" s="1472">
        <v>1.6615230731120234</v>
      </c>
      <c r="O2427" s="1472"/>
    </row>
    <row r="2428" spans="11:15">
      <c r="K2428" s="1469">
        <v>44485</v>
      </c>
      <c r="L2428" s="1470"/>
      <c r="M2428" s="1471">
        <v>0</v>
      </c>
      <c r="N2428" s="1472">
        <v>1.6615230731120234</v>
      </c>
      <c r="O2428" s="1472"/>
    </row>
    <row r="2429" spans="11:15">
      <c r="K2429" s="1469">
        <v>44486</v>
      </c>
      <c r="L2429" s="1470"/>
      <c r="M2429" s="1471">
        <v>0</v>
      </c>
      <c r="N2429" s="1472">
        <v>1.6615230731120234</v>
      </c>
      <c r="O2429" s="1472"/>
    </row>
    <row r="2430" spans="11:15">
      <c r="K2430" s="1469">
        <v>44487</v>
      </c>
      <c r="L2430" s="1470" t="s">
        <v>2129</v>
      </c>
      <c r="M2430" s="1471">
        <v>2.3687E-2</v>
      </c>
      <c r="N2430" s="1472">
        <v>1.6619166380823513</v>
      </c>
      <c r="O2430" s="1472"/>
    </row>
    <row r="2431" spans="11:15">
      <c r="K2431" s="1469">
        <v>44488</v>
      </c>
      <c r="L2431" s="1470" t="s">
        <v>2129</v>
      </c>
      <c r="M2431" s="1471">
        <v>2.3687E-2</v>
      </c>
      <c r="N2431" s="1472">
        <v>1.6623102962764138</v>
      </c>
      <c r="O2431" s="1472"/>
    </row>
    <row r="2432" spans="11:15">
      <c r="K2432" s="1469">
        <v>44489</v>
      </c>
      <c r="L2432" s="1470" t="s">
        <v>2129</v>
      </c>
      <c r="M2432" s="1471">
        <v>2.3687E-2</v>
      </c>
      <c r="N2432" s="1472">
        <v>1.6627040477162927</v>
      </c>
      <c r="O2432" s="1472"/>
    </row>
    <row r="2433" spans="11:15">
      <c r="K2433" s="1469">
        <v>44490</v>
      </c>
      <c r="L2433" s="1470" t="s">
        <v>2129</v>
      </c>
      <c r="M2433" s="1471">
        <v>2.3687E-2</v>
      </c>
      <c r="N2433" s="1472">
        <v>1.6630978924240751</v>
      </c>
      <c r="O2433" s="1472"/>
    </row>
    <row r="2434" spans="11:15">
      <c r="K2434" s="1469">
        <v>44491</v>
      </c>
      <c r="L2434" s="1470" t="s">
        <v>2129</v>
      </c>
      <c r="M2434" s="1471">
        <v>2.3687E-2</v>
      </c>
      <c r="N2434" s="1472">
        <v>1.6634918304218536</v>
      </c>
      <c r="O2434" s="1472"/>
    </row>
    <row r="2435" spans="11:15">
      <c r="K2435" s="1469">
        <v>44492</v>
      </c>
      <c r="L2435" s="1470"/>
      <c r="M2435" s="1471">
        <v>0</v>
      </c>
      <c r="N2435" s="1472">
        <v>1.6634918304218536</v>
      </c>
      <c r="O2435" s="1472"/>
    </row>
    <row r="2436" spans="11:15">
      <c r="K2436" s="1469">
        <v>44493</v>
      </c>
      <c r="L2436" s="1470"/>
      <c r="M2436" s="1471">
        <v>0</v>
      </c>
      <c r="N2436" s="1472">
        <v>1.6634918304218536</v>
      </c>
      <c r="O2436" s="1472"/>
    </row>
    <row r="2437" spans="11:15">
      <c r="K2437" s="1469">
        <v>44494</v>
      </c>
      <c r="L2437" s="1470" t="s">
        <v>2129</v>
      </c>
      <c r="M2437" s="1471">
        <v>2.3687E-2</v>
      </c>
      <c r="N2437" s="1472">
        <v>1.6638858617317256</v>
      </c>
      <c r="O2437" s="1472"/>
    </row>
    <row r="2438" spans="11:15">
      <c r="K2438" s="1469">
        <v>44495</v>
      </c>
      <c r="L2438" s="1470" t="s">
        <v>2129</v>
      </c>
      <c r="M2438" s="1471">
        <v>2.3687E-2</v>
      </c>
      <c r="N2438" s="1472">
        <v>1.664279986375794</v>
      </c>
      <c r="O2438" s="1472"/>
    </row>
    <row r="2439" spans="11:15">
      <c r="K2439" s="1469">
        <v>44496</v>
      </c>
      <c r="L2439" s="1470" t="s">
        <v>2129</v>
      </c>
      <c r="M2439" s="1471">
        <v>2.3687E-2</v>
      </c>
      <c r="N2439" s="1472">
        <v>1.6646742043761666</v>
      </c>
      <c r="O2439" s="1472"/>
    </row>
    <row r="2440" spans="11:15">
      <c r="K2440" s="1469">
        <v>44497</v>
      </c>
      <c r="L2440" s="1470" t="s">
        <v>2129</v>
      </c>
      <c r="M2440" s="1471">
        <v>2.9256000000000001E-2</v>
      </c>
      <c r="N2440" s="1472">
        <v>1.6651612214613991</v>
      </c>
      <c r="O2440" s="1472"/>
    </row>
    <row r="2441" spans="11:15">
      <c r="K2441" s="1469">
        <v>44498</v>
      </c>
      <c r="L2441" s="1470" t="s">
        <v>2129</v>
      </c>
      <c r="M2441" s="1471">
        <v>2.9256000000000001E-2</v>
      </c>
      <c r="N2441" s="1472">
        <v>1.66564838102835</v>
      </c>
      <c r="O2441" s="1472"/>
    </row>
    <row r="2442" spans="11:15">
      <c r="K2442" s="1469">
        <v>44499</v>
      </c>
      <c r="L2442" s="1470"/>
      <c r="M2442" s="1471">
        <v>0</v>
      </c>
      <c r="N2442" s="1472">
        <v>1.66564838102835</v>
      </c>
      <c r="O2442" s="1472"/>
    </row>
    <row r="2443" spans="11:15">
      <c r="K2443" s="1469">
        <v>44500</v>
      </c>
      <c r="L2443" s="1470"/>
      <c r="M2443" s="1471">
        <v>0</v>
      </c>
      <c r="N2443" s="1472">
        <v>1.66564838102835</v>
      </c>
      <c r="O2443" s="1472"/>
    </row>
    <row r="2444" spans="11:15">
      <c r="K2444" s="1469">
        <v>44501</v>
      </c>
      <c r="L2444" s="1470" t="s">
        <v>2129</v>
      </c>
      <c r="M2444" s="1471">
        <v>2.9256000000000001E-2</v>
      </c>
      <c r="N2444" s="1472">
        <v>1.6661356831187037</v>
      </c>
      <c r="O2444" s="1472"/>
    </row>
    <row r="2445" spans="11:15">
      <c r="K2445" s="1469">
        <v>44502</v>
      </c>
      <c r="L2445" s="1470"/>
      <c r="M2445" s="1471">
        <v>0</v>
      </c>
      <c r="N2445" s="1472">
        <v>1.6661356831187037</v>
      </c>
      <c r="O2445" s="1472"/>
    </row>
    <row r="2446" spans="11:15">
      <c r="K2446" s="1469">
        <v>44503</v>
      </c>
      <c r="L2446" s="1470" t="s">
        <v>2129</v>
      </c>
      <c r="M2446" s="1471">
        <v>2.9256000000000001E-2</v>
      </c>
      <c r="N2446" s="1472">
        <v>1.6666231277741572</v>
      </c>
      <c r="O2446" s="1472"/>
    </row>
    <row r="2447" spans="11:15">
      <c r="K2447" s="1469">
        <v>44504</v>
      </c>
      <c r="L2447" s="1470" t="s">
        <v>2129</v>
      </c>
      <c r="M2447" s="1471">
        <v>2.9256000000000001E-2</v>
      </c>
      <c r="N2447" s="1472">
        <v>1.6671107150364191</v>
      </c>
      <c r="O2447" s="1472"/>
    </row>
    <row r="2448" spans="11:15">
      <c r="K2448" s="1469">
        <v>44505</v>
      </c>
      <c r="L2448" s="1470" t="s">
        <v>2129</v>
      </c>
      <c r="M2448" s="1471">
        <v>2.9256000000000001E-2</v>
      </c>
      <c r="N2448" s="1472">
        <v>1.6675984449472103</v>
      </c>
      <c r="O2448" s="1472"/>
    </row>
    <row r="2449" spans="11:15">
      <c r="K2449" s="1469">
        <v>44506</v>
      </c>
      <c r="L2449" s="1470"/>
      <c r="M2449" s="1471">
        <v>0</v>
      </c>
      <c r="N2449" s="1472">
        <v>1.6675984449472103</v>
      </c>
      <c r="O2449" s="1472"/>
    </row>
    <row r="2450" spans="11:15">
      <c r="K2450" s="1469">
        <v>44507</v>
      </c>
      <c r="L2450" s="1470"/>
      <c r="M2450" s="1471">
        <v>0</v>
      </c>
      <c r="N2450" s="1472">
        <v>1.6675984449472103</v>
      </c>
      <c r="O2450" s="1472"/>
    </row>
    <row r="2451" spans="11:15">
      <c r="K2451" s="1469">
        <v>44508</v>
      </c>
      <c r="L2451" s="1470" t="s">
        <v>2129</v>
      </c>
      <c r="M2451" s="1471">
        <v>2.9256000000000001E-2</v>
      </c>
      <c r="N2451" s="1472">
        <v>1.6680863175482643</v>
      </c>
      <c r="O2451" s="1472"/>
    </row>
    <row r="2452" spans="11:15">
      <c r="K2452" s="1469">
        <v>44509</v>
      </c>
      <c r="L2452" s="1470" t="s">
        <v>2129</v>
      </c>
      <c r="M2452" s="1471">
        <v>2.9256000000000001E-2</v>
      </c>
      <c r="N2452" s="1472">
        <v>1.6685743328813265</v>
      </c>
      <c r="O2452" s="1472"/>
    </row>
    <row r="2453" spans="11:15">
      <c r="K2453" s="1469">
        <v>44510</v>
      </c>
      <c r="L2453" s="1470" t="s">
        <v>2129</v>
      </c>
      <c r="M2453" s="1471">
        <v>2.9256000000000001E-2</v>
      </c>
      <c r="N2453" s="1472">
        <v>1.6690624909881544</v>
      </c>
      <c r="O2453" s="1472"/>
    </row>
    <row r="2454" spans="11:15">
      <c r="K2454" s="1469">
        <v>44511</v>
      </c>
      <c r="L2454" s="1470" t="s">
        <v>2129</v>
      </c>
      <c r="M2454" s="1471">
        <v>2.9256000000000001E-2</v>
      </c>
      <c r="N2454" s="1472">
        <v>1.6695507919105181</v>
      </c>
      <c r="O2454" s="1472"/>
    </row>
    <row r="2455" spans="11:15">
      <c r="K2455" s="1469">
        <v>44512</v>
      </c>
      <c r="L2455" s="1470" t="s">
        <v>2129</v>
      </c>
      <c r="M2455" s="1471">
        <v>2.9256000000000001E-2</v>
      </c>
      <c r="N2455" s="1472">
        <v>1.6700392356901996</v>
      </c>
      <c r="O2455" s="1472"/>
    </row>
    <row r="2456" spans="11:15">
      <c r="K2456" s="1469">
        <v>44513</v>
      </c>
      <c r="L2456" s="1470"/>
      <c r="M2456" s="1471">
        <v>0</v>
      </c>
      <c r="N2456" s="1472">
        <v>1.6700392356901996</v>
      </c>
      <c r="O2456" s="1472"/>
    </row>
    <row r="2457" spans="11:15">
      <c r="K2457" s="1469">
        <v>44514</v>
      </c>
      <c r="L2457" s="1470"/>
      <c r="M2457" s="1471">
        <v>0</v>
      </c>
      <c r="N2457" s="1472">
        <v>1.6700392356901996</v>
      </c>
      <c r="O2457" s="1472"/>
    </row>
    <row r="2458" spans="11:15">
      <c r="K2458" s="1469">
        <v>44515</v>
      </c>
      <c r="L2458" s="1470"/>
      <c r="M2458" s="1471">
        <v>0</v>
      </c>
      <c r="N2458" s="1472">
        <v>1.6700392356901996</v>
      </c>
      <c r="O2458" s="1472"/>
    </row>
    <row r="2459" spans="11:15">
      <c r="K2459" s="1469">
        <v>44516</v>
      </c>
      <c r="L2459" s="1470" t="s">
        <v>2129</v>
      </c>
      <c r="M2459" s="1471">
        <v>2.9256000000000001E-2</v>
      </c>
      <c r="N2459" s="1472">
        <v>1.6705278223689934</v>
      </c>
      <c r="O2459" s="1472"/>
    </row>
    <row r="2460" spans="11:15">
      <c r="K2460" s="1469">
        <v>44517</v>
      </c>
      <c r="L2460" s="1470" t="s">
        <v>2129</v>
      </c>
      <c r="M2460" s="1471">
        <v>2.9256000000000001E-2</v>
      </c>
      <c r="N2460" s="1472">
        <v>1.6710165519887059</v>
      </c>
      <c r="O2460" s="1472"/>
    </row>
    <row r="2461" spans="11:15">
      <c r="K2461" s="1469">
        <v>44518</v>
      </c>
      <c r="L2461" s="1470" t="s">
        <v>2129</v>
      </c>
      <c r="M2461" s="1471">
        <v>2.9256000000000001E-2</v>
      </c>
      <c r="N2461" s="1472">
        <v>1.6715054245911558</v>
      </c>
      <c r="O2461" s="1472"/>
    </row>
    <row r="2462" spans="11:15">
      <c r="K2462" s="1469">
        <v>44519</v>
      </c>
      <c r="L2462" s="1470" t="s">
        <v>2129</v>
      </c>
      <c r="M2462" s="1471">
        <v>2.9256000000000001E-2</v>
      </c>
      <c r="N2462" s="1472">
        <v>1.6719944402181743</v>
      </c>
      <c r="O2462" s="1472"/>
    </row>
    <row r="2463" spans="11:15">
      <c r="K2463" s="1469">
        <v>44520</v>
      </c>
      <c r="L2463" s="1470"/>
      <c r="M2463" s="1471">
        <v>0</v>
      </c>
      <c r="N2463" s="1472">
        <v>1.6719944402181743</v>
      </c>
      <c r="O2463" s="1472"/>
    </row>
    <row r="2464" spans="11:15">
      <c r="K2464" s="1469">
        <v>44521</v>
      </c>
      <c r="L2464" s="1470"/>
      <c r="M2464" s="1471">
        <v>0</v>
      </c>
      <c r="N2464" s="1472">
        <v>1.6719944402181743</v>
      </c>
      <c r="O2464" s="1472"/>
    </row>
    <row r="2465" spans="11:15">
      <c r="K2465" s="1469">
        <v>44522</v>
      </c>
      <c r="L2465" s="1470" t="s">
        <v>2129</v>
      </c>
      <c r="M2465" s="1471">
        <v>2.9256000000000001E-2</v>
      </c>
      <c r="N2465" s="1472">
        <v>1.6724835989116047</v>
      </c>
      <c r="O2465" s="1472"/>
    </row>
    <row r="2466" spans="11:15">
      <c r="K2466" s="1469">
        <v>44523</v>
      </c>
      <c r="L2466" s="1470" t="s">
        <v>2129</v>
      </c>
      <c r="M2466" s="1471">
        <v>2.9256000000000001E-2</v>
      </c>
      <c r="N2466" s="1472">
        <v>1.6729729007133025</v>
      </c>
      <c r="O2466" s="1472"/>
    </row>
    <row r="2467" spans="11:15">
      <c r="K2467" s="1469">
        <v>44524</v>
      </c>
      <c r="L2467" s="1470" t="s">
        <v>2129</v>
      </c>
      <c r="M2467" s="1471">
        <v>2.9256000000000001E-2</v>
      </c>
      <c r="N2467" s="1472">
        <v>1.6734623456651354</v>
      </c>
      <c r="O2467" s="1472"/>
    </row>
    <row r="2468" spans="11:15">
      <c r="K2468" s="1469">
        <v>44525</v>
      </c>
      <c r="L2468" s="1470" t="s">
        <v>2129</v>
      </c>
      <c r="M2468" s="1471">
        <v>2.9256000000000001E-2</v>
      </c>
      <c r="N2468" s="1472">
        <v>1.6739519338089834</v>
      </c>
      <c r="O2468" s="1472"/>
    </row>
    <row r="2469" spans="11:15">
      <c r="K2469" s="1469">
        <v>44526</v>
      </c>
      <c r="L2469" s="1470" t="s">
        <v>2129</v>
      </c>
      <c r="M2469" s="1471">
        <v>2.9256000000000001E-2</v>
      </c>
      <c r="N2469" s="1472">
        <v>1.6744416651867389</v>
      </c>
      <c r="O2469" s="1472"/>
    </row>
    <row r="2470" spans="11:15">
      <c r="K2470" s="1469">
        <v>44527</v>
      </c>
      <c r="L2470" s="1470"/>
      <c r="M2470" s="1471">
        <v>0</v>
      </c>
      <c r="N2470" s="1472">
        <v>1.6744416651867389</v>
      </c>
      <c r="O2470" s="1472"/>
    </row>
    <row r="2471" spans="11:15">
      <c r="K2471" s="1469">
        <v>44528</v>
      </c>
      <c r="L2471" s="1470"/>
      <c r="M2471" s="1471">
        <v>0</v>
      </c>
      <c r="N2471" s="1472">
        <v>1.6744416651867389</v>
      </c>
      <c r="O2471" s="1472"/>
    </row>
    <row r="2472" spans="11:15">
      <c r="K2472" s="1469">
        <v>44529</v>
      </c>
      <c r="L2472" s="1470" t="s">
        <v>2129</v>
      </c>
      <c r="M2472" s="1471">
        <v>2.9256000000000001E-2</v>
      </c>
      <c r="N2472" s="1472">
        <v>1.6749315398403062</v>
      </c>
      <c r="O2472" s="1472"/>
    </row>
    <row r="2473" spans="11:15">
      <c r="K2473" s="1469">
        <v>44530</v>
      </c>
      <c r="L2473" s="1470" t="s">
        <v>2129</v>
      </c>
      <c r="M2473" s="1471">
        <v>2.9256000000000001E-2</v>
      </c>
      <c r="N2473" s="1472">
        <v>1.6754215578116021</v>
      </c>
      <c r="O2473" s="1472"/>
    </row>
    <row r="2474" spans="11:15">
      <c r="K2474" s="1469">
        <v>44531</v>
      </c>
      <c r="L2474" s="1470" t="s">
        <v>2129</v>
      </c>
      <c r="M2474" s="1471">
        <v>2.9256000000000001E-2</v>
      </c>
      <c r="N2474" s="1472">
        <v>1.6759117191425557</v>
      </c>
      <c r="O2474" s="1472"/>
    </row>
    <row r="2475" spans="11:15">
      <c r="K2475" s="1469">
        <v>44532</v>
      </c>
      <c r="L2475" s="1470" t="s">
        <v>2129</v>
      </c>
      <c r="M2475" s="1471">
        <v>2.9256000000000001E-2</v>
      </c>
      <c r="N2475" s="1472">
        <v>1.6764020238751083</v>
      </c>
      <c r="O2475" s="1472"/>
    </row>
    <row r="2476" spans="11:15">
      <c r="K2476" s="1469">
        <v>44533</v>
      </c>
      <c r="L2476" s="1470" t="s">
        <v>2129</v>
      </c>
      <c r="M2476" s="1471">
        <v>2.9256000000000001E-2</v>
      </c>
      <c r="N2476" s="1472">
        <v>1.6768924720512133</v>
      </c>
      <c r="O2476" s="1472"/>
    </row>
    <row r="2477" spans="11:15">
      <c r="K2477" s="1469">
        <v>44534</v>
      </c>
      <c r="L2477" s="1470"/>
      <c r="M2477" s="1471">
        <v>0</v>
      </c>
      <c r="N2477" s="1472">
        <v>1.6768924720512133</v>
      </c>
      <c r="O2477" s="1472"/>
    </row>
    <row r="2478" spans="11:15">
      <c r="K2478" s="1469">
        <v>44535</v>
      </c>
      <c r="L2478" s="1470"/>
      <c r="M2478" s="1471">
        <v>0</v>
      </c>
      <c r="N2478" s="1472">
        <v>1.6768924720512133</v>
      </c>
      <c r="O2478" s="1472"/>
    </row>
    <row r="2479" spans="11:15">
      <c r="K2479" s="1469">
        <v>44536</v>
      </c>
      <c r="L2479" s="1470" t="s">
        <v>2129</v>
      </c>
      <c r="M2479" s="1471">
        <v>2.9256000000000001E-2</v>
      </c>
      <c r="N2479" s="1472">
        <v>1.6773830637128369</v>
      </c>
      <c r="O2479" s="1472"/>
    </row>
    <row r="2480" spans="11:15">
      <c r="K2480" s="1469">
        <v>44537</v>
      </c>
      <c r="L2480" s="1470" t="s">
        <v>2129</v>
      </c>
      <c r="M2480" s="1471">
        <v>2.9256000000000001E-2</v>
      </c>
      <c r="N2480" s="1472">
        <v>1.6778737989019568</v>
      </c>
      <c r="O2480" s="1472"/>
    </row>
    <row r="2481" spans="11:15">
      <c r="K2481" s="1469">
        <v>44538</v>
      </c>
      <c r="L2481" s="1470" t="s">
        <v>2129</v>
      </c>
      <c r="M2481" s="1471">
        <v>2.9256000000000001E-2</v>
      </c>
      <c r="N2481" s="1472">
        <v>1.6783646776605636</v>
      </c>
      <c r="O2481" s="1472"/>
    </row>
    <row r="2482" spans="11:15">
      <c r="K2482" s="1469">
        <v>44539</v>
      </c>
      <c r="L2482" s="1470" t="s">
        <v>2129</v>
      </c>
      <c r="M2482" s="1471">
        <v>3.4749000000000002E-2</v>
      </c>
      <c r="N2482" s="1472">
        <v>1.678947892602404</v>
      </c>
      <c r="O2482" s="1472"/>
    </row>
    <row r="2483" spans="11:15">
      <c r="K2483" s="1469">
        <v>44540</v>
      </c>
      <c r="L2483" s="1470" t="s">
        <v>2129</v>
      </c>
      <c r="M2483" s="1471">
        <v>3.4749000000000002E-2</v>
      </c>
      <c r="N2483" s="1472">
        <v>1.6795313102056044</v>
      </c>
      <c r="O2483" s="1472"/>
    </row>
    <row r="2484" spans="11:15">
      <c r="K2484" s="1469">
        <v>44541</v>
      </c>
      <c r="L2484" s="1470"/>
      <c r="M2484" s="1471">
        <v>0</v>
      </c>
      <c r="N2484" s="1472">
        <v>1.6795313102056044</v>
      </c>
      <c r="O2484" s="1472"/>
    </row>
    <row r="2485" spans="11:15">
      <c r="K2485" s="1469">
        <v>44542</v>
      </c>
      <c r="L2485" s="1470"/>
      <c r="M2485" s="1471">
        <v>0</v>
      </c>
      <c r="N2485" s="1472">
        <v>1.6795313102056044</v>
      </c>
      <c r="O2485" s="1472"/>
    </row>
    <row r="2486" spans="11:15">
      <c r="K2486" s="1469">
        <v>44543</v>
      </c>
      <c r="L2486" s="1470" t="s">
        <v>2129</v>
      </c>
      <c r="M2486" s="1471">
        <v>3.4749000000000002E-2</v>
      </c>
      <c r="N2486" s="1472">
        <v>1.6801149305405878</v>
      </c>
      <c r="O2486" s="1472"/>
    </row>
    <row r="2487" spans="11:15">
      <c r="K2487" s="1469">
        <v>44544</v>
      </c>
      <c r="L2487" s="1470" t="s">
        <v>2129</v>
      </c>
      <c r="M2487" s="1471">
        <v>3.4749000000000002E-2</v>
      </c>
      <c r="N2487" s="1472">
        <v>1.6806987536778013</v>
      </c>
      <c r="O2487" s="1472"/>
    </row>
    <row r="2488" spans="11:15">
      <c r="K2488" s="1469">
        <v>44545</v>
      </c>
      <c r="L2488" s="1470" t="s">
        <v>2129</v>
      </c>
      <c r="M2488" s="1471">
        <v>3.4749000000000002E-2</v>
      </c>
      <c r="N2488" s="1472">
        <v>1.6812827796877168</v>
      </c>
      <c r="O2488" s="1472"/>
    </row>
    <row r="2489" spans="11:15">
      <c r="K2489" s="1469">
        <v>44546</v>
      </c>
      <c r="L2489" s="1470" t="s">
        <v>2129</v>
      </c>
      <c r="M2489" s="1471">
        <v>3.4749000000000002E-2</v>
      </c>
      <c r="N2489" s="1472">
        <v>1.6818670086408305</v>
      </c>
      <c r="O2489" s="1472"/>
    </row>
    <row r="2490" spans="11:15">
      <c r="K2490" s="1469">
        <v>44547</v>
      </c>
      <c r="L2490" s="1470" t="s">
        <v>2129</v>
      </c>
      <c r="M2490" s="1471">
        <v>3.4749000000000002E-2</v>
      </c>
      <c r="N2490" s="1472">
        <v>1.6824514406076632</v>
      </c>
      <c r="O2490" s="1472"/>
    </row>
    <row r="2491" spans="11:15">
      <c r="K2491" s="1469">
        <v>44548</v>
      </c>
      <c r="L2491" s="1470"/>
      <c r="M2491" s="1471">
        <v>0</v>
      </c>
      <c r="N2491" s="1472">
        <v>1.6824514406076632</v>
      </c>
      <c r="O2491" s="1472"/>
    </row>
    <row r="2492" spans="11:15">
      <c r="K2492" s="1469">
        <v>44549</v>
      </c>
      <c r="L2492" s="1470"/>
      <c r="M2492" s="1471">
        <v>0</v>
      </c>
      <c r="N2492" s="1472">
        <v>1.6824514406076632</v>
      </c>
      <c r="O2492" s="1472"/>
    </row>
    <row r="2493" spans="11:15">
      <c r="K2493" s="1469">
        <v>44550</v>
      </c>
      <c r="L2493" s="1470" t="s">
        <v>2129</v>
      </c>
      <c r="M2493" s="1471">
        <v>3.4749000000000002E-2</v>
      </c>
      <c r="N2493" s="1472">
        <v>1.6830360756587599</v>
      </c>
      <c r="O2493" s="1472"/>
    </row>
    <row r="2494" spans="11:15">
      <c r="K2494" s="1469">
        <v>44551</v>
      </c>
      <c r="L2494" s="1470" t="s">
        <v>2129</v>
      </c>
      <c r="M2494" s="1471">
        <v>3.4749000000000002E-2</v>
      </c>
      <c r="N2494" s="1472">
        <v>1.6836209138646905</v>
      </c>
      <c r="O2494" s="1472"/>
    </row>
    <row r="2495" spans="11:15">
      <c r="K2495" s="1469">
        <v>44552</v>
      </c>
      <c r="L2495" s="1470" t="s">
        <v>2129</v>
      </c>
      <c r="M2495" s="1471">
        <v>3.4749000000000002E-2</v>
      </c>
      <c r="N2495" s="1472">
        <v>1.6842059552960493</v>
      </c>
      <c r="O2495" s="1472"/>
    </row>
    <row r="2496" spans="11:15">
      <c r="K2496" s="1469">
        <v>44553</v>
      </c>
      <c r="L2496" s="1470" t="s">
        <v>2129</v>
      </c>
      <c r="M2496" s="1471">
        <v>3.4749000000000002E-2</v>
      </c>
      <c r="N2496" s="1472">
        <v>1.6847912000234551</v>
      </c>
      <c r="O2496" s="1472"/>
    </row>
    <row r="2497" spans="11:15">
      <c r="K2497" s="1469">
        <v>44554</v>
      </c>
      <c r="L2497" s="1470" t="s">
        <v>2129</v>
      </c>
      <c r="M2497" s="1471">
        <v>3.4749000000000002E-2</v>
      </c>
      <c r="N2497" s="1472">
        <v>1.6853766481175512</v>
      </c>
      <c r="O2497" s="1472"/>
    </row>
    <row r="2498" spans="11:15">
      <c r="K2498" s="1469">
        <v>44555</v>
      </c>
      <c r="L2498" s="1470"/>
      <c r="M2498" s="1471">
        <v>0</v>
      </c>
      <c r="N2498" s="1472">
        <v>1.6853766481175512</v>
      </c>
      <c r="O2498" s="1472"/>
    </row>
    <row r="2499" spans="11:15">
      <c r="K2499" s="1469">
        <v>44556</v>
      </c>
      <c r="L2499" s="1470"/>
      <c r="M2499" s="1471">
        <v>0</v>
      </c>
      <c r="N2499" s="1472">
        <v>1.6853766481175512</v>
      </c>
      <c r="O2499" s="1472"/>
    </row>
    <row r="2500" spans="11:15">
      <c r="K2500" s="1469">
        <v>44557</v>
      </c>
      <c r="L2500" s="1470" t="s">
        <v>2129</v>
      </c>
      <c r="M2500" s="1471">
        <v>3.4749000000000002E-2</v>
      </c>
      <c r="N2500" s="1472">
        <v>1.6859622996490056</v>
      </c>
      <c r="O2500" s="1472"/>
    </row>
    <row r="2501" spans="11:15">
      <c r="K2501" s="1469">
        <v>44558</v>
      </c>
      <c r="L2501" s="1470" t="s">
        <v>2129</v>
      </c>
      <c r="M2501" s="1471">
        <v>3.4749000000000002E-2</v>
      </c>
      <c r="N2501" s="1472">
        <v>1.6865481546885106</v>
      </c>
      <c r="O2501" s="1472"/>
    </row>
    <row r="2502" spans="11:15">
      <c r="K2502" s="1469">
        <v>44559</v>
      </c>
      <c r="L2502" s="1470" t="s">
        <v>2129</v>
      </c>
      <c r="M2502" s="1471">
        <v>3.4749000000000002E-2</v>
      </c>
      <c r="N2502" s="1472">
        <v>1.6871342133067833</v>
      </c>
      <c r="O2502" s="1472"/>
    </row>
    <row r="2503" spans="11:15">
      <c r="K2503" s="1469">
        <v>44560</v>
      </c>
      <c r="L2503" s="1470" t="s">
        <v>2129</v>
      </c>
      <c r="M2503" s="1471">
        <v>3.4749000000000002E-2</v>
      </c>
      <c r="N2503" s="1472">
        <v>1.6877204755745652</v>
      </c>
      <c r="O2503" s="1472"/>
    </row>
    <row r="2504" spans="11:15">
      <c r="K2504" s="1469">
        <v>44561</v>
      </c>
      <c r="L2504" s="1470" t="s">
        <v>2129</v>
      </c>
      <c r="M2504" s="1471">
        <v>3.4749000000000002E-2</v>
      </c>
      <c r="N2504" s="1472">
        <v>1.6883069415626226</v>
      </c>
      <c r="O2504" s="1472"/>
    </row>
    <row r="2505" spans="11:15">
      <c r="K2505" s="1469">
        <v>44562</v>
      </c>
      <c r="L2505" s="1470"/>
      <c r="M2505" s="1471">
        <v>0</v>
      </c>
      <c r="N2505" s="1472">
        <v>1.6883069415626226</v>
      </c>
      <c r="O2505" s="1472"/>
    </row>
    <row r="2506" spans="11:15">
      <c r="K2506" s="1469">
        <v>44563</v>
      </c>
      <c r="L2506" s="1470"/>
      <c r="M2506" s="1471">
        <v>0</v>
      </c>
      <c r="N2506" s="1472">
        <v>1.6883069415626226</v>
      </c>
      <c r="O2506" s="1472"/>
    </row>
    <row r="2507" spans="11:15">
      <c r="K2507" s="1469">
        <v>44564</v>
      </c>
      <c r="L2507" s="1470" t="s">
        <v>2129</v>
      </c>
      <c r="M2507" s="1471">
        <v>3.4749000000000002E-2</v>
      </c>
      <c r="N2507" s="1472">
        <v>1.6888936113417463</v>
      </c>
      <c r="O2507" s="1472"/>
    </row>
    <row r="2508" spans="11:15">
      <c r="K2508" s="1469">
        <v>44565</v>
      </c>
      <c r="L2508" s="1470" t="s">
        <v>2129</v>
      </c>
      <c r="M2508" s="1471">
        <v>3.4749000000000002E-2</v>
      </c>
      <c r="N2508" s="1472">
        <v>1.6894804849827514</v>
      </c>
      <c r="O2508" s="1472"/>
    </row>
    <row r="2509" spans="11:15">
      <c r="K2509" s="1469">
        <v>44566</v>
      </c>
      <c r="L2509" s="1470" t="s">
        <v>2129</v>
      </c>
      <c r="M2509" s="1471">
        <v>3.4749000000000002E-2</v>
      </c>
      <c r="N2509" s="1472">
        <v>1.6900675625564781</v>
      </c>
      <c r="O2509" s="1472"/>
    </row>
    <row r="2510" spans="11:15">
      <c r="K2510" s="1469">
        <v>44567</v>
      </c>
      <c r="L2510" s="1470" t="s">
        <v>2129</v>
      </c>
      <c r="M2510" s="1471">
        <v>3.4749000000000002E-2</v>
      </c>
      <c r="N2510" s="1472">
        <v>1.6906548441337907</v>
      </c>
      <c r="O2510" s="1472"/>
    </row>
    <row r="2511" spans="11:15">
      <c r="K2511" s="1469">
        <v>44568</v>
      </c>
      <c r="L2511" s="1470" t="s">
        <v>2129</v>
      </c>
      <c r="M2511" s="1471">
        <v>3.4749000000000002E-2</v>
      </c>
      <c r="N2511" s="1472">
        <v>1.6912423297855788</v>
      </c>
      <c r="O2511" s="1472"/>
    </row>
    <row r="2512" spans="11:15">
      <c r="K2512" s="1469">
        <v>44569</v>
      </c>
      <c r="L2512" s="1470"/>
      <c r="M2512" s="1471">
        <v>0</v>
      </c>
      <c r="N2512" s="1472">
        <v>1.6912423297855788</v>
      </c>
      <c r="O2512" s="1472"/>
    </row>
    <row r="2513" spans="11:15">
      <c r="K2513" s="1469">
        <v>44570</v>
      </c>
      <c r="L2513" s="1470"/>
      <c r="M2513" s="1471">
        <v>0</v>
      </c>
      <c r="N2513" s="1472">
        <v>1.6912423297855788</v>
      </c>
      <c r="O2513" s="1472"/>
    </row>
    <row r="2514" spans="11:15">
      <c r="K2514" s="1469">
        <v>44571</v>
      </c>
      <c r="L2514" s="1470" t="s">
        <v>2129</v>
      </c>
      <c r="M2514" s="1471">
        <v>3.4749000000000002E-2</v>
      </c>
      <c r="N2514" s="1472">
        <v>1.691830019582756</v>
      </c>
      <c r="O2514" s="1472"/>
    </row>
    <row r="2515" spans="11:15">
      <c r="K2515" s="1469">
        <v>44572</v>
      </c>
      <c r="L2515" s="1470" t="s">
        <v>2129</v>
      </c>
      <c r="M2515" s="1471">
        <v>3.4749000000000002E-2</v>
      </c>
      <c r="N2515" s="1472">
        <v>1.6924179135962609</v>
      </c>
      <c r="O2515" s="1472"/>
    </row>
    <row r="2516" spans="11:15">
      <c r="K2516" s="1469">
        <v>44573</v>
      </c>
      <c r="L2516" s="1470" t="s">
        <v>2129</v>
      </c>
      <c r="M2516" s="1471">
        <v>3.4749000000000002E-2</v>
      </c>
      <c r="N2516" s="1472">
        <v>1.6930060118970565</v>
      </c>
      <c r="O2516" s="1472"/>
    </row>
    <row r="2517" spans="11:15">
      <c r="K2517" s="1469">
        <v>44574</v>
      </c>
      <c r="L2517" s="1470" t="s">
        <v>2129</v>
      </c>
      <c r="M2517" s="1471">
        <v>3.4749000000000002E-2</v>
      </c>
      <c r="N2517" s="1472">
        <v>1.6935943145561305</v>
      </c>
      <c r="O2517" s="1472"/>
    </row>
    <row r="2518" spans="11:15">
      <c r="K2518" s="1469">
        <v>44575</v>
      </c>
      <c r="L2518" s="1470" t="s">
        <v>2129</v>
      </c>
      <c r="M2518" s="1471">
        <v>3.4749000000000002E-2</v>
      </c>
      <c r="N2518" s="1472">
        <v>1.6941828216444956</v>
      </c>
      <c r="O2518" s="1472"/>
    </row>
    <row r="2519" spans="11:15">
      <c r="K2519" s="1469">
        <v>44576</v>
      </c>
      <c r="L2519" s="1470"/>
      <c r="M2519" s="1471">
        <v>0</v>
      </c>
      <c r="N2519" s="1472">
        <v>1.6941828216444956</v>
      </c>
      <c r="O2519" s="1472"/>
    </row>
    <row r="2520" spans="11:15">
      <c r="K2520" s="1469">
        <v>44577</v>
      </c>
      <c r="L2520" s="1470"/>
      <c r="M2520" s="1471">
        <v>0</v>
      </c>
      <c r="N2520" s="1472">
        <v>1.6941828216444956</v>
      </c>
      <c r="O2520" s="1472"/>
    </row>
    <row r="2521" spans="11:15">
      <c r="K2521" s="1469">
        <v>44578</v>
      </c>
      <c r="L2521" s="1470" t="s">
        <v>2129</v>
      </c>
      <c r="M2521" s="1471">
        <v>3.4749000000000002E-2</v>
      </c>
      <c r="N2521" s="1472">
        <v>1.694771533233189</v>
      </c>
      <c r="O2521" s="1472"/>
    </row>
    <row r="2522" spans="11:15">
      <c r="K2522" s="1469">
        <v>44579</v>
      </c>
      <c r="L2522" s="1470" t="s">
        <v>2129</v>
      </c>
      <c r="M2522" s="1471">
        <v>3.4749000000000002E-2</v>
      </c>
      <c r="N2522" s="1472">
        <v>1.6953604493932721</v>
      </c>
      <c r="O2522" s="1472"/>
    </row>
    <row r="2523" spans="11:15">
      <c r="K2523" s="1469">
        <v>44580</v>
      </c>
      <c r="L2523" s="1470" t="s">
        <v>2129</v>
      </c>
      <c r="M2523" s="1471">
        <v>3.4749000000000002E-2</v>
      </c>
      <c r="N2523" s="1472">
        <v>1.6959495701958318</v>
      </c>
      <c r="O2523" s="1472"/>
    </row>
    <row r="2524" spans="11:15">
      <c r="K2524" s="1469">
        <v>44581</v>
      </c>
      <c r="L2524" s="1470" t="s">
        <v>2129</v>
      </c>
      <c r="M2524" s="1471">
        <v>3.4749000000000002E-2</v>
      </c>
      <c r="N2524" s="1472">
        <v>1.6965388957119791</v>
      </c>
      <c r="O2524" s="1472"/>
    </row>
    <row r="2525" spans="11:15">
      <c r="K2525" s="1469">
        <v>44582</v>
      </c>
      <c r="L2525" s="1470" t="s">
        <v>2129</v>
      </c>
      <c r="M2525" s="1471">
        <v>3.4749000000000002E-2</v>
      </c>
      <c r="N2525" s="1472">
        <v>1.6971284260128501</v>
      </c>
      <c r="O2525" s="1472"/>
    </row>
    <row r="2526" spans="11:15">
      <c r="K2526" s="1469">
        <v>44583</v>
      </c>
      <c r="L2526" s="1470"/>
      <c r="M2526" s="1471">
        <v>0</v>
      </c>
      <c r="N2526" s="1472">
        <v>1.6971284260128501</v>
      </c>
      <c r="O2526" s="1472"/>
    </row>
    <row r="2527" spans="11:15">
      <c r="K2527" s="1469">
        <v>44584</v>
      </c>
      <c r="L2527" s="1470"/>
      <c r="M2527" s="1471">
        <v>0</v>
      </c>
      <c r="N2527" s="1472">
        <v>1.6971284260128501</v>
      </c>
      <c r="O2527" s="1472"/>
    </row>
    <row r="2528" spans="11:15">
      <c r="K2528" s="1469">
        <v>44585</v>
      </c>
      <c r="L2528" s="1470" t="s">
        <v>2129</v>
      </c>
      <c r="M2528" s="1471">
        <v>3.4749000000000002E-2</v>
      </c>
      <c r="N2528" s="1472">
        <v>1.6977181611696053</v>
      </c>
      <c r="O2528" s="1472"/>
    </row>
    <row r="2529" spans="11:15">
      <c r="K2529" s="1469">
        <v>44586</v>
      </c>
      <c r="L2529" s="1470" t="s">
        <v>2129</v>
      </c>
      <c r="M2529" s="1471">
        <v>3.4749000000000002E-2</v>
      </c>
      <c r="N2529" s="1472">
        <v>1.69830810125343</v>
      </c>
      <c r="O2529" s="1472"/>
    </row>
    <row r="2530" spans="11:15">
      <c r="K2530" s="1469">
        <v>44587</v>
      </c>
      <c r="L2530" s="1470" t="s">
        <v>2129</v>
      </c>
      <c r="M2530" s="1471">
        <v>3.4749000000000002E-2</v>
      </c>
      <c r="N2530" s="1472">
        <v>1.6988982463355347</v>
      </c>
      <c r="O2530" s="1472"/>
    </row>
    <row r="2531" spans="11:15">
      <c r="K2531" s="1469">
        <v>44588</v>
      </c>
      <c r="L2531" s="1470" t="s">
        <v>2129</v>
      </c>
      <c r="M2531" s="1471">
        <v>3.4749000000000002E-2</v>
      </c>
      <c r="N2531" s="1472">
        <v>1.6994885964871538</v>
      </c>
      <c r="O2531" s="1472"/>
    </row>
    <row r="2532" spans="11:15">
      <c r="K2532" s="1469">
        <v>44589</v>
      </c>
      <c r="L2532" s="1470" t="s">
        <v>2129</v>
      </c>
      <c r="M2532" s="1471">
        <v>3.4749000000000002E-2</v>
      </c>
      <c r="N2532" s="1472">
        <v>1.700079151779547</v>
      </c>
      <c r="O2532" s="1472"/>
    </row>
    <row r="2533" spans="11:15">
      <c r="K2533" s="1469">
        <v>44590</v>
      </c>
      <c r="L2533" s="1470"/>
      <c r="M2533" s="1471">
        <v>0</v>
      </c>
      <c r="N2533" s="1472">
        <v>1.700079151779547</v>
      </c>
      <c r="O2533" s="1472"/>
    </row>
    <row r="2534" spans="11:15">
      <c r="K2534" s="1469">
        <v>44591</v>
      </c>
      <c r="L2534" s="1470"/>
      <c r="M2534" s="1471">
        <v>0</v>
      </c>
      <c r="N2534" s="1472">
        <v>1.700079151779547</v>
      </c>
      <c r="O2534" s="1472"/>
    </row>
    <row r="2535" spans="11:15">
      <c r="K2535" s="1469">
        <v>44592</v>
      </c>
      <c r="L2535" s="1470" t="s">
        <v>2129</v>
      </c>
      <c r="M2535" s="1471">
        <v>3.4749000000000002E-2</v>
      </c>
      <c r="N2535" s="1472">
        <v>1.700669912283999</v>
      </c>
      <c r="O2535" s="1472"/>
    </row>
    <row r="2536" spans="11:15">
      <c r="K2536" s="1469">
        <v>44593</v>
      </c>
      <c r="L2536" s="1470" t="s">
        <v>2129</v>
      </c>
      <c r="M2536" s="1471">
        <v>3.4749000000000002E-2</v>
      </c>
      <c r="N2536" s="1472">
        <v>1.7012608780718186</v>
      </c>
      <c r="O2536" s="1472"/>
    </row>
    <row r="2537" spans="11:15">
      <c r="K2537" s="1469">
        <v>44594</v>
      </c>
      <c r="L2537" s="1470" t="s">
        <v>2129</v>
      </c>
      <c r="M2537" s="1471">
        <v>3.4749000000000002E-2</v>
      </c>
      <c r="N2537" s="1472">
        <v>1.7018520492143399</v>
      </c>
      <c r="O2537" s="1472"/>
    </row>
    <row r="2538" spans="11:15">
      <c r="K2538" s="1469">
        <v>44595</v>
      </c>
      <c r="L2538" s="1470" t="s">
        <v>2129</v>
      </c>
      <c r="M2538" s="1471">
        <v>4.0168000000000002E-2</v>
      </c>
      <c r="N2538" s="1472">
        <v>1.7025356491454682</v>
      </c>
      <c r="O2538" s="1472"/>
    </row>
    <row r="2539" spans="11:15">
      <c r="K2539" s="1469">
        <v>44596</v>
      </c>
      <c r="L2539" s="1470" t="s">
        <v>2129</v>
      </c>
      <c r="M2539" s="1471">
        <v>4.0168000000000002E-2</v>
      </c>
      <c r="N2539" s="1472">
        <v>1.7032195236650169</v>
      </c>
      <c r="O2539" s="1472"/>
    </row>
    <row r="2540" spans="11:15">
      <c r="K2540" s="1469">
        <v>44597</v>
      </c>
      <c r="L2540" s="1470"/>
      <c r="M2540" s="1471">
        <v>0</v>
      </c>
      <c r="N2540" s="1472">
        <v>1.7032195236650169</v>
      </c>
      <c r="O2540" s="1472"/>
    </row>
    <row r="2541" spans="11:15">
      <c r="K2541" s="1469">
        <v>44598</v>
      </c>
      <c r="L2541" s="1470"/>
      <c r="M2541" s="1471">
        <v>0</v>
      </c>
      <c r="N2541" s="1472">
        <v>1.7032195236650169</v>
      </c>
      <c r="O2541" s="1472"/>
    </row>
    <row r="2542" spans="11:15">
      <c r="K2542" s="1469">
        <v>44599</v>
      </c>
      <c r="L2542" s="1470" t="s">
        <v>2129</v>
      </c>
      <c r="M2542" s="1471">
        <v>4.0168000000000002E-2</v>
      </c>
      <c r="N2542" s="1472">
        <v>1.7039036728832826</v>
      </c>
      <c r="O2542" s="1472"/>
    </row>
    <row r="2543" spans="11:15">
      <c r="K2543" s="1469">
        <v>44600</v>
      </c>
      <c r="L2543" s="1470" t="s">
        <v>2129</v>
      </c>
      <c r="M2543" s="1471">
        <v>4.0168000000000002E-2</v>
      </c>
      <c r="N2543" s="1472">
        <v>1.7045880969106062</v>
      </c>
      <c r="O2543" s="1472"/>
    </row>
    <row r="2544" spans="11:15">
      <c r="K2544" s="1469">
        <v>44601</v>
      </c>
      <c r="L2544" s="1470" t="s">
        <v>2129</v>
      </c>
      <c r="M2544" s="1471">
        <v>4.0168000000000002E-2</v>
      </c>
      <c r="N2544" s="1472">
        <v>1.7052727958573732</v>
      </c>
      <c r="O2544" s="1472"/>
    </row>
    <row r="2545" spans="11:15">
      <c r="K2545" s="1469">
        <v>44602</v>
      </c>
      <c r="L2545" s="1470" t="s">
        <v>2129</v>
      </c>
      <c r="M2545" s="1471">
        <v>4.0168000000000002E-2</v>
      </c>
      <c r="N2545" s="1472">
        <v>1.7059577698340131</v>
      </c>
      <c r="O2545" s="1472"/>
    </row>
    <row r="2546" spans="11:15">
      <c r="K2546" s="1469">
        <v>44603</v>
      </c>
      <c r="L2546" s="1470" t="s">
        <v>2129</v>
      </c>
      <c r="M2546" s="1471">
        <v>4.0168000000000002E-2</v>
      </c>
      <c r="N2546" s="1472">
        <v>1.706643018951</v>
      </c>
      <c r="O2546" s="1472"/>
    </row>
    <row r="2547" spans="11:15">
      <c r="K2547" s="1469">
        <v>44604</v>
      </c>
      <c r="L2547" s="1470"/>
      <c r="M2547" s="1471">
        <v>0</v>
      </c>
      <c r="N2547" s="1472">
        <v>1.706643018951</v>
      </c>
      <c r="O2547" s="1472"/>
    </row>
    <row r="2548" spans="11:15">
      <c r="K2548" s="1469">
        <v>44605</v>
      </c>
      <c r="L2548" s="1470"/>
      <c r="M2548" s="1471">
        <v>0</v>
      </c>
      <c r="N2548" s="1472">
        <v>1.706643018951</v>
      </c>
      <c r="O2548" s="1472"/>
    </row>
    <row r="2549" spans="11:15">
      <c r="K2549" s="1469">
        <v>44606</v>
      </c>
      <c r="L2549" s="1470" t="s">
        <v>2129</v>
      </c>
      <c r="M2549" s="1471">
        <v>4.0168000000000002E-2</v>
      </c>
      <c r="N2549" s="1472">
        <v>1.7073285433188521</v>
      </c>
      <c r="O2549" s="1472"/>
    </row>
    <row r="2550" spans="11:15">
      <c r="K2550" s="1469">
        <v>44607</v>
      </c>
      <c r="L2550" s="1470" t="s">
        <v>2129</v>
      </c>
      <c r="M2550" s="1471">
        <v>4.0168000000000002E-2</v>
      </c>
      <c r="N2550" s="1472">
        <v>1.7080143430481323</v>
      </c>
      <c r="O2550" s="1472"/>
    </row>
    <row r="2551" spans="11:15">
      <c r="K2551" s="1469">
        <v>44608</v>
      </c>
      <c r="L2551" s="1470" t="s">
        <v>2129</v>
      </c>
      <c r="M2551" s="1471">
        <v>4.0168000000000002E-2</v>
      </c>
      <c r="N2551" s="1472">
        <v>1.7087004182494478</v>
      </c>
      <c r="O2551" s="1472"/>
    </row>
    <row r="2552" spans="11:15">
      <c r="K2552" s="1469">
        <v>44609</v>
      </c>
      <c r="L2552" s="1470" t="s">
        <v>2129</v>
      </c>
      <c r="M2552" s="1471">
        <v>4.0168000000000002E-2</v>
      </c>
      <c r="N2552" s="1472">
        <v>1.7093867690334503</v>
      </c>
      <c r="O2552" s="1472"/>
    </row>
    <row r="2553" spans="11:15">
      <c r="K2553" s="1469">
        <v>44610</v>
      </c>
      <c r="L2553" s="1470" t="s">
        <v>2129</v>
      </c>
      <c r="M2553" s="1471">
        <v>4.0168000000000002E-2</v>
      </c>
      <c r="N2553" s="1472">
        <v>1.7100733955108356</v>
      </c>
      <c r="O2553" s="1472"/>
    </row>
    <row r="2554" spans="11:15">
      <c r="K2554" s="1469">
        <v>44611</v>
      </c>
      <c r="L2554" s="1470"/>
      <c r="M2554" s="1471">
        <v>0</v>
      </c>
      <c r="N2554" s="1472">
        <v>1.7100733955108356</v>
      </c>
      <c r="O2554" s="1472"/>
    </row>
    <row r="2555" spans="11:15">
      <c r="K2555" s="1469">
        <v>44612</v>
      </c>
      <c r="L2555" s="1470"/>
      <c r="M2555" s="1471">
        <v>0</v>
      </c>
      <c r="N2555" s="1472">
        <v>1.7100733955108356</v>
      </c>
      <c r="O2555" s="1472"/>
    </row>
    <row r="2556" spans="11:15">
      <c r="K2556" s="1469">
        <v>44613</v>
      </c>
      <c r="L2556" s="1470" t="s">
        <v>2129</v>
      </c>
      <c r="M2556" s="1471">
        <v>4.0168000000000002E-2</v>
      </c>
      <c r="N2556" s="1472">
        <v>1.7107602977923444</v>
      </c>
      <c r="O2556" s="1472"/>
    </row>
    <row r="2557" spans="11:15">
      <c r="K2557" s="1469">
        <v>44614</v>
      </c>
      <c r="L2557" s="1470" t="s">
        <v>2129</v>
      </c>
      <c r="M2557" s="1471">
        <v>4.0168000000000002E-2</v>
      </c>
      <c r="N2557" s="1472">
        <v>1.7114474759887615</v>
      </c>
      <c r="O2557" s="1472"/>
    </row>
    <row r="2558" spans="11:15">
      <c r="K2558" s="1469">
        <v>44615</v>
      </c>
      <c r="L2558" s="1470" t="s">
        <v>2129</v>
      </c>
      <c r="M2558" s="1471">
        <v>4.0168000000000002E-2</v>
      </c>
      <c r="N2558" s="1472">
        <v>1.7121349302109166</v>
      </c>
      <c r="O2558" s="1472"/>
    </row>
    <row r="2559" spans="11:15">
      <c r="K2559" s="1469">
        <v>44616</v>
      </c>
      <c r="L2559" s="1470" t="s">
        <v>2129</v>
      </c>
      <c r="M2559" s="1471">
        <v>4.0168000000000002E-2</v>
      </c>
      <c r="N2559" s="1472">
        <v>1.7128226605696837</v>
      </c>
      <c r="O2559" s="1472"/>
    </row>
    <row r="2560" spans="11:15">
      <c r="K2560" s="1469">
        <v>44617</v>
      </c>
      <c r="L2560" s="1470" t="s">
        <v>2129</v>
      </c>
      <c r="M2560" s="1471">
        <v>4.0168000000000002E-2</v>
      </c>
      <c r="N2560" s="1472">
        <v>1.7135106671759812</v>
      </c>
      <c r="O2560" s="1472"/>
    </row>
    <row r="2561" spans="11:15">
      <c r="K2561" s="1469">
        <v>44618</v>
      </c>
      <c r="L2561" s="1470"/>
      <c r="M2561" s="1471">
        <v>0</v>
      </c>
      <c r="N2561" s="1472">
        <v>1.7135106671759812</v>
      </c>
      <c r="O2561" s="1472"/>
    </row>
    <row r="2562" spans="11:15">
      <c r="K2562" s="1469">
        <v>44619</v>
      </c>
      <c r="L2562" s="1470"/>
      <c r="M2562" s="1471">
        <v>0</v>
      </c>
      <c r="N2562" s="1472">
        <v>1.7135106671759812</v>
      </c>
      <c r="O2562" s="1472"/>
    </row>
    <row r="2563" spans="11:15">
      <c r="K2563" s="1469">
        <v>44620</v>
      </c>
      <c r="L2563" s="1470"/>
      <c r="M2563" s="1471">
        <v>0</v>
      </c>
      <c r="N2563" s="1472">
        <v>1.7135106671759812</v>
      </c>
      <c r="O2563" s="1472"/>
    </row>
    <row r="2564" spans="11:15">
      <c r="K2564" s="1469">
        <v>44621</v>
      </c>
      <c r="L2564" s="1470"/>
      <c r="M2564" s="1471">
        <v>0</v>
      </c>
      <c r="N2564" s="1472">
        <v>1.7135106671759812</v>
      </c>
      <c r="O2564" s="1472"/>
    </row>
    <row r="2565" spans="11:15">
      <c r="K2565" s="1469">
        <v>44622</v>
      </c>
      <c r="L2565" s="1470" t="s">
        <v>2129</v>
      </c>
      <c r="M2565" s="1471">
        <v>4.0168000000000002E-2</v>
      </c>
      <c r="N2565" s="1472">
        <v>1.7141989501407724</v>
      </c>
      <c r="O2565" s="1472"/>
    </row>
    <row r="2566" spans="11:15">
      <c r="K2566" s="1469">
        <v>44623</v>
      </c>
      <c r="L2566" s="1470" t="s">
        <v>2129</v>
      </c>
      <c r="M2566" s="1471">
        <v>4.0168000000000002E-2</v>
      </c>
      <c r="N2566" s="1472">
        <v>1.7148875095750649</v>
      </c>
      <c r="O2566" s="1472"/>
    </row>
    <row r="2567" spans="11:15">
      <c r="K2567" s="1469">
        <v>44624</v>
      </c>
      <c r="L2567" s="1470" t="s">
        <v>2129</v>
      </c>
      <c r="M2567" s="1471">
        <v>4.0168000000000002E-2</v>
      </c>
      <c r="N2567" s="1472">
        <v>1.7155763455899109</v>
      </c>
      <c r="O2567" s="1472"/>
    </row>
    <row r="2568" spans="11:15">
      <c r="K2568" s="1469">
        <v>44625</v>
      </c>
      <c r="L2568" s="1470"/>
      <c r="M2568" s="1471">
        <v>0</v>
      </c>
      <c r="N2568" s="1472">
        <v>1.7155763455899109</v>
      </c>
      <c r="O2568" s="1472"/>
    </row>
    <row r="2569" spans="11:15">
      <c r="K2569" s="1469">
        <v>44626</v>
      </c>
      <c r="L2569" s="1470"/>
      <c r="M2569" s="1471">
        <v>0</v>
      </c>
      <c r="N2569" s="1472">
        <v>1.7155763455899109</v>
      </c>
      <c r="O2569" s="1472"/>
    </row>
    <row r="2570" spans="11:15">
      <c r="K2570" s="1469">
        <v>44627</v>
      </c>
      <c r="L2570" s="1470" t="s">
        <v>2129</v>
      </c>
      <c r="M2570" s="1471">
        <v>4.0168000000000002E-2</v>
      </c>
      <c r="N2570" s="1472">
        <v>1.7162654582964074</v>
      </c>
      <c r="O2570" s="1472"/>
    </row>
    <row r="2571" spans="11:15">
      <c r="K2571" s="1469">
        <v>44628</v>
      </c>
      <c r="L2571" s="1470" t="s">
        <v>2129</v>
      </c>
      <c r="M2571" s="1471">
        <v>4.0168000000000002E-2</v>
      </c>
      <c r="N2571" s="1472">
        <v>1.716954847805696</v>
      </c>
      <c r="O2571" s="1472"/>
    </row>
    <row r="2572" spans="11:15">
      <c r="K2572" s="1469">
        <v>44629</v>
      </c>
      <c r="L2572" s="1470" t="s">
        <v>2129</v>
      </c>
      <c r="M2572" s="1471">
        <v>4.0168000000000002E-2</v>
      </c>
      <c r="N2572" s="1472">
        <v>1.7176445142289625</v>
      </c>
      <c r="O2572" s="1472"/>
    </row>
    <row r="2573" spans="11:15">
      <c r="K2573" s="1469">
        <v>44630</v>
      </c>
      <c r="L2573" s="1470" t="s">
        <v>2129</v>
      </c>
      <c r="M2573" s="1471">
        <v>4.0168000000000002E-2</v>
      </c>
      <c r="N2573" s="1472">
        <v>1.718334457677438</v>
      </c>
      <c r="O2573" s="1472"/>
    </row>
    <row r="2574" spans="11:15">
      <c r="K2574" s="1469">
        <v>44631</v>
      </c>
      <c r="L2574" s="1470" t="s">
        <v>2129</v>
      </c>
      <c r="M2574" s="1471">
        <v>4.0168000000000002E-2</v>
      </c>
      <c r="N2574" s="1472">
        <v>1.7190246782623977</v>
      </c>
      <c r="O2574" s="1472"/>
    </row>
    <row r="2575" spans="11:15">
      <c r="K2575" s="1469">
        <v>44632</v>
      </c>
      <c r="L2575" s="1470"/>
      <c r="M2575" s="1471">
        <v>0</v>
      </c>
      <c r="N2575" s="1472">
        <v>1.7190246782623977</v>
      </c>
      <c r="O2575" s="1472"/>
    </row>
    <row r="2576" spans="11:15">
      <c r="K2576" s="1469">
        <v>44633</v>
      </c>
      <c r="L2576" s="1470"/>
      <c r="M2576" s="1471">
        <v>0</v>
      </c>
      <c r="N2576" s="1472">
        <v>1.7190246782623977</v>
      </c>
      <c r="O2576" s="1472"/>
    </row>
    <row r="2577" spans="11:15">
      <c r="K2577" s="1469">
        <v>44634</v>
      </c>
      <c r="L2577" s="1470" t="s">
        <v>2129</v>
      </c>
      <c r="M2577" s="1471">
        <v>4.0168000000000002E-2</v>
      </c>
      <c r="N2577" s="1472">
        <v>1.7197151760951621</v>
      </c>
      <c r="O2577" s="1472"/>
    </row>
    <row r="2578" spans="11:15">
      <c r="K2578" s="1469">
        <v>44635</v>
      </c>
      <c r="L2578" s="1470" t="s">
        <v>2129</v>
      </c>
      <c r="M2578" s="1471">
        <v>4.0168000000000002E-2</v>
      </c>
      <c r="N2578" s="1472">
        <v>1.7204059512870959</v>
      </c>
      <c r="O2578" s="1472"/>
    </row>
    <row r="2579" spans="11:15">
      <c r="K2579" s="1469">
        <v>44636</v>
      </c>
      <c r="L2579" s="1470" t="s">
        <v>2129</v>
      </c>
      <c r="M2579" s="1471">
        <v>4.0168000000000002E-2</v>
      </c>
      <c r="N2579" s="1472">
        <v>1.721097003949609</v>
      </c>
      <c r="O2579" s="1472"/>
    </row>
    <row r="2580" spans="11:15">
      <c r="K2580" s="1469">
        <v>44637</v>
      </c>
      <c r="L2580" s="1470" t="s">
        <v>2129</v>
      </c>
      <c r="M2580" s="1471">
        <v>4.3739E-2</v>
      </c>
      <c r="N2580" s="1472">
        <v>1.7218497945681666</v>
      </c>
      <c r="O2580" s="1472"/>
    </row>
    <row r="2581" spans="11:15">
      <c r="K2581" s="1469">
        <v>44638</v>
      </c>
      <c r="L2581" s="1470" t="s">
        <v>2129</v>
      </c>
      <c r="M2581" s="1471">
        <v>4.3739E-2</v>
      </c>
      <c r="N2581" s="1472">
        <v>1.7226029144498129</v>
      </c>
      <c r="O2581" s="1472"/>
    </row>
    <row r="2582" spans="11:15">
      <c r="K2582" s="1469">
        <v>44639</v>
      </c>
      <c r="L2582" s="1470"/>
      <c r="M2582" s="1471">
        <v>0</v>
      </c>
      <c r="N2582" s="1472">
        <v>1.7226029144498129</v>
      </c>
      <c r="O2582" s="1472"/>
    </row>
    <row r="2583" spans="11:15">
      <c r="K2583" s="1469">
        <v>44640</v>
      </c>
      <c r="L2583" s="1470"/>
      <c r="M2583" s="1471">
        <v>0</v>
      </c>
      <c r="N2583" s="1472">
        <v>1.7226029144498129</v>
      </c>
      <c r="O2583" s="1472"/>
    </row>
    <row r="2584" spans="11:15">
      <c r="K2584" s="1469">
        <v>44641</v>
      </c>
      <c r="L2584" s="1470" t="s">
        <v>2129</v>
      </c>
      <c r="M2584" s="1471">
        <v>4.3739E-2</v>
      </c>
      <c r="N2584" s="1472">
        <v>1.7233563637385643</v>
      </c>
      <c r="O2584" s="1472"/>
    </row>
    <row r="2585" spans="11:15">
      <c r="K2585" s="1469">
        <v>44642</v>
      </c>
      <c r="L2585" s="1470" t="s">
        <v>2129</v>
      </c>
      <c r="M2585" s="1471">
        <v>4.3739E-2</v>
      </c>
      <c r="N2585" s="1472">
        <v>1.7241101425785001</v>
      </c>
      <c r="O2585" s="1472"/>
    </row>
    <row r="2586" spans="11:15">
      <c r="K2586" s="1469">
        <v>44643</v>
      </c>
      <c r="L2586" s="1470" t="s">
        <v>2129</v>
      </c>
      <c r="M2586" s="1471">
        <v>4.3739E-2</v>
      </c>
      <c r="N2586" s="1472">
        <v>1.7248642511137626</v>
      </c>
      <c r="O2586" s="1472"/>
    </row>
    <row r="2587" spans="11:15">
      <c r="K2587" s="1469">
        <v>44644</v>
      </c>
      <c r="L2587" s="1470" t="s">
        <v>2129</v>
      </c>
      <c r="M2587" s="1471">
        <v>4.3739E-2</v>
      </c>
      <c r="N2587" s="1472">
        <v>1.7256186894885575</v>
      </c>
      <c r="O2587" s="1472"/>
    </row>
    <row r="2588" spans="11:15">
      <c r="K2588" s="1469">
        <v>44645</v>
      </c>
      <c r="L2588" s="1470" t="s">
        <v>2129</v>
      </c>
      <c r="M2588" s="1471">
        <v>4.3739E-2</v>
      </c>
      <c r="N2588" s="1472">
        <v>1.726373457847153</v>
      </c>
      <c r="O2588" s="1472"/>
    </row>
    <row r="2589" spans="11:15">
      <c r="K2589" s="1469">
        <v>44646</v>
      </c>
      <c r="L2589" s="1470"/>
      <c r="M2589" s="1471">
        <v>0</v>
      </c>
      <c r="N2589" s="1472">
        <v>1.726373457847153</v>
      </c>
      <c r="O2589" s="1472"/>
    </row>
    <row r="2590" spans="11:15">
      <c r="K2590" s="1469">
        <v>44647</v>
      </c>
      <c r="L2590" s="1470"/>
      <c r="M2590" s="1471">
        <v>0</v>
      </c>
      <c r="N2590" s="1472">
        <v>1.726373457847153</v>
      </c>
      <c r="O2590" s="1472"/>
    </row>
    <row r="2591" spans="11:15">
      <c r="K2591" s="1469">
        <v>44648</v>
      </c>
      <c r="L2591" s="1470" t="s">
        <v>2129</v>
      </c>
      <c r="M2591" s="1471">
        <v>4.3739E-2</v>
      </c>
      <c r="N2591" s="1472">
        <v>1.727128556333881</v>
      </c>
      <c r="O2591" s="1472"/>
    </row>
    <row r="2592" spans="11:15">
      <c r="K2592" s="1469">
        <v>44649</v>
      </c>
      <c r="L2592" s="1470" t="s">
        <v>2129</v>
      </c>
      <c r="M2592" s="1471">
        <v>4.3739E-2</v>
      </c>
      <c r="N2592" s="1472">
        <v>1.727883985093136</v>
      </c>
      <c r="O2592" s="1472"/>
    </row>
    <row r="2593" spans="11:15">
      <c r="K2593" s="1469">
        <v>44650</v>
      </c>
      <c r="L2593" s="1470" t="s">
        <v>2129</v>
      </c>
      <c r="M2593" s="1471">
        <v>4.3739E-2</v>
      </c>
      <c r="N2593" s="1472">
        <v>1.7286397442693762</v>
      </c>
      <c r="O2593" s="1472"/>
    </row>
    <row r="2594" spans="11:15">
      <c r="K2594" s="1469">
        <v>44651</v>
      </c>
      <c r="L2594" s="1470" t="s">
        <v>2129</v>
      </c>
      <c r="M2594" s="1471">
        <v>4.3739E-2</v>
      </c>
      <c r="N2594" s="1472">
        <v>1.7293958340071223</v>
      </c>
      <c r="O2594" s="1472"/>
    </row>
    <row r="2595" spans="11:15">
      <c r="K2595" s="1469">
        <v>44652</v>
      </c>
      <c r="L2595" s="1470" t="s">
        <v>2129</v>
      </c>
      <c r="M2595" s="1471">
        <v>4.3739E-2</v>
      </c>
      <c r="N2595" s="1472">
        <v>1.7301522544509589</v>
      </c>
      <c r="O2595" s="1472"/>
    </row>
    <row r="2596" spans="11:15">
      <c r="K2596" s="1469">
        <v>44653</v>
      </c>
      <c r="L2596" s="1470"/>
      <c r="M2596" s="1471">
        <v>0</v>
      </c>
      <c r="N2596" s="1472">
        <v>1.7301522544509589</v>
      </c>
      <c r="O2596" s="1472"/>
    </row>
    <row r="2597" spans="11:15">
      <c r="K2597" s="1469">
        <v>44654</v>
      </c>
      <c r="L2597" s="1470"/>
      <c r="M2597" s="1471">
        <v>0</v>
      </c>
      <c r="N2597" s="1472">
        <v>1.7301522544509589</v>
      </c>
      <c r="O2597" s="1472"/>
    </row>
    <row r="2598" spans="11:15">
      <c r="K2598" s="1469">
        <v>44655</v>
      </c>
      <c r="L2598" s="1470" t="s">
        <v>2129</v>
      </c>
      <c r="M2598" s="1471">
        <v>4.3739E-2</v>
      </c>
      <c r="N2598" s="1472">
        <v>1.7309090057455334</v>
      </c>
      <c r="O2598" s="1472"/>
    </row>
    <row r="2599" spans="11:15">
      <c r="K2599" s="1469">
        <v>44656</v>
      </c>
      <c r="L2599" s="1470" t="s">
        <v>2129</v>
      </c>
      <c r="M2599" s="1471">
        <v>4.3739E-2</v>
      </c>
      <c r="N2599" s="1472">
        <v>1.7316660880355565</v>
      </c>
      <c r="O2599" s="1472"/>
    </row>
    <row r="2600" spans="11:15">
      <c r="K2600" s="1469">
        <v>44657</v>
      </c>
      <c r="L2600" s="1470" t="s">
        <v>2129</v>
      </c>
      <c r="M2600" s="1471">
        <v>4.3739E-2</v>
      </c>
      <c r="N2600" s="1472">
        <v>1.7324235014658025</v>
      </c>
      <c r="O2600" s="1472"/>
    </row>
    <row r="2601" spans="11:15">
      <c r="K2601" s="1469">
        <v>44658</v>
      </c>
      <c r="L2601" s="1470" t="s">
        <v>2129</v>
      </c>
      <c r="M2601" s="1471">
        <v>4.3739E-2</v>
      </c>
      <c r="N2601" s="1472">
        <v>1.7331812461811087</v>
      </c>
      <c r="O2601" s="1472"/>
    </row>
    <row r="2602" spans="11:15">
      <c r="K2602" s="1469">
        <v>44659</v>
      </c>
      <c r="L2602" s="1470" t="s">
        <v>2129</v>
      </c>
      <c r="M2602" s="1471">
        <v>4.3739E-2</v>
      </c>
      <c r="N2602" s="1472">
        <v>1.7339393223263759</v>
      </c>
      <c r="O2602" s="1472"/>
    </row>
    <row r="2603" spans="11:15">
      <c r="K2603" s="1469">
        <v>44660</v>
      </c>
      <c r="L2603" s="1470"/>
      <c r="M2603" s="1471">
        <v>0</v>
      </c>
      <c r="N2603" s="1472">
        <v>1.7339393223263759</v>
      </c>
      <c r="O2603" s="1472"/>
    </row>
    <row r="2604" spans="11:15">
      <c r="K2604" s="1469">
        <v>44661</v>
      </c>
      <c r="L2604" s="1470"/>
      <c r="M2604" s="1471">
        <v>0</v>
      </c>
      <c r="N2604" s="1472">
        <v>1.7339393223263759</v>
      </c>
      <c r="O2604" s="1472"/>
    </row>
    <row r="2605" spans="11:15">
      <c r="K2605" s="1469">
        <v>44662</v>
      </c>
      <c r="L2605" s="1470" t="s">
        <v>2129</v>
      </c>
      <c r="M2605" s="1471">
        <v>4.3739E-2</v>
      </c>
      <c r="N2605" s="1472">
        <v>1.7346977300465685</v>
      </c>
      <c r="O2605" s="1472"/>
    </row>
    <row r="2606" spans="11:15">
      <c r="K2606" s="1469">
        <v>44663</v>
      </c>
      <c r="L2606" s="1470" t="s">
        <v>2129</v>
      </c>
      <c r="M2606" s="1471">
        <v>4.3739E-2</v>
      </c>
      <c r="N2606" s="1472">
        <v>1.7354564694867136</v>
      </c>
      <c r="O2606" s="1472"/>
    </row>
    <row r="2607" spans="11:15">
      <c r="K2607" s="1469">
        <v>44664</v>
      </c>
      <c r="L2607" s="1470" t="s">
        <v>2129</v>
      </c>
      <c r="M2607" s="1471">
        <v>4.3739E-2</v>
      </c>
      <c r="N2607" s="1472">
        <v>1.7362155407919027</v>
      </c>
      <c r="O2607" s="1472"/>
    </row>
    <row r="2608" spans="11:15">
      <c r="K2608" s="1469">
        <v>44665</v>
      </c>
      <c r="L2608" s="1470" t="s">
        <v>2129</v>
      </c>
      <c r="M2608" s="1471">
        <v>4.3739E-2</v>
      </c>
      <c r="N2608" s="1472">
        <v>1.7369749441072897</v>
      </c>
      <c r="O2608" s="1472"/>
    </row>
    <row r="2609" spans="11:15">
      <c r="K2609" s="1469">
        <v>44666</v>
      </c>
      <c r="L2609" s="1470"/>
      <c r="M2609" s="1471">
        <v>0</v>
      </c>
      <c r="N2609" s="1472">
        <v>1.7369749441072897</v>
      </c>
      <c r="O2609" s="1472"/>
    </row>
    <row r="2610" spans="11:15">
      <c r="K2610" s="1469">
        <v>44667</v>
      </c>
      <c r="L2610" s="1470"/>
      <c r="M2610" s="1471">
        <v>0</v>
      </c>
      <c r="N2610" s="1472">
        <v>1.7369749441072897</v>
      </c>
      <c r="O2610" s="1472"/>
    </row>
    <row r="2611" spans="11:15">
      <c r="K2611" s="1469">
        <v>44668</v>
      </c>
      <c r="L2611" s="1470"/>
      <c r="M2611" s="1471">
        <v>0</v>
      </c>
      <c r="N2611" s="1472">
        <v>1.7369749441072897</v>
      </c>
      <c r="O2611" s="1472"/>
    </row>
    <row r="2612" spans="11:15">
      <c r="K2612" s="1469">
        <v>44669</v>
      </c>
      <c r="L2612" s="1470" t="s">
        <v>2129</v>
      </c>
      <c r="M2612" s="1471">
        <v>4.3739E-2</v>
      </c>
      <c r="N2612" s="1472">
        <v>1.737734679578093</v>
      </c>
      <c r="O2612" s="1472"/>
    </row>
    <row r="2613" spans="11:15">
      <c r="K2613" s="1469">
        <v>44670</v>
      </c>
      <c r="L2613" s="1470" t="s">
        <v>2129</v>
      </c>
      <c r="M2613" s="1471">
        <v>4.3739E-2</v>
      </c>
      <c r="N2613" s="1472">
        <v>1.7384947473495937</v>
      </c>
      <c r="O2613" s="1472"/>
    </row>
    <row r="2614" spans="11:15">
      <c r="K2614" s="1469">
        <v>44671</v>
      </c>
      <c r="L2614" s="1470" t="s">
        <v>2129</v>
      </c>
      <c r="M2614" s="1471">
        <v>4.3739E-2</v>
      </c>
      <c r="N2614" s="1472">
        <v>1.7392551475671372</v>
      </c>
      <c r="O2614" s="1472"/>
    </row>
    <row r="2615" spans="11:15">
      <c r="K2615" s="1469">
        <v>44672</v>
      </c>
      <c r="L2615" s="1470"/>
      <c r="M2615" s="1471">
        <v>0</v>
      </c>
      <c r="N2615" s="1472">
        <v>1.7392551475671372</v>
      </c>
      <c r="O2615" s="1472"/>
    </row>
    <row r="2616" spans="11:15">
      <c r="K2616" s="1469">
        <v>44673</v>
      </c>
      <c r="L2616" s="1470" t="s">
        <v>2129</v>
      </c>
      <c r="M2616" s="1471">
        <v>4.3739E-2</v>
      </c>
      <c r="N2616" s="1472">
        <v>1.7400158803761316</v>
      </c>
      <c r="O2616" s="1472"/>
    </row>
    <row r="2617" spans="11:15">
      <c r="K2617" s="1469">
        <v>44674</v>
      </c>
      <c r="L2617" s="1470"/>
      <c r="M2617" s="1471">
        <v>0</v>
      </c>
      <c r="N2617" s="1472">
        <v>1.7400158803761316</v>
      </c>
      <c r="O2617" s="1472"/>
    </row>
    <row r="2618" spans="11:15">
      <c r="K2618" s="1469">
        <v>44675</v>
      </c>
      <c r="L2618" s="1470"/>
      <c r="M2618" s="1471">
        <v>0</v>
      </c>
      <c r="N2618" s="1472">
        <v>1.7400158803761316</v>
      </c>
      <c r="O2618" s="1472"/>
    </row>
    <row r="2619" spans="11:15">
      <c r="K2619" s="1469">
        <v>44676</v>
      </c>
      <c r="L2619" s="1470" t="s">
        <v>2129</v>
      </c>
      <c r="M2619" s="1471">
        <v>4.3739E-2</v>
      </c>
      <c r="N2619" s="1472">
        <v>1.7407769459220495</v>
      </c>
      <c r="O2619" s="1472"/>
    </row>
    <row r="2620" spans="11:15">
      <c r="K2620" s="1469">
        <v>44677</v>
      </c>
      <c r="L2620" s="1470" t="s">
        <v>2129</v>
      </c>
      <c r="M2620" s="1471">
        <v>4.3739E-2</v>
      </c>
      <c r="N2620" s="1472">
        <v>1.7415383443504264</v>
      </c>
      <c r="O2620" s="1472"/>
    </row>
    <row r="2621" spans="11:15">
      <c r="K2621" s="1469">
        <v>44678</v>
      </c>
      <c r="L2621" s="1470" t="s">
        <v>2129</v>
      </c>
      <c r="M2621" s="1471">
        <v>4.3739E-2</v>
      </c>
      <c r="N2621" s="1472">
        <v>1.7423000758068621</v>
      </c>
      <c r="O2621" s="1472"/>
    </row>
    <row r="2622" spans="11:15">
      <c r="K2622" s="1469">
        <v>44679</v>
      </c>
      <c r="L2622" s="1470" t="s">
        <v>2129</v>
      </c>
      <c r="M2622" s="1471">
        <v>4.3739E-2</v>
      </c>
      <c r="N2622" s="1472">
        <v>1.7430621404370195</v>
      </c>
      <c r="O2622" s="1472"/>
    </row>
    <row r="2623" spans="11:15">
      <c r="K2623" s="1469">
        <v>44680</v>
      </c>
      <c r="L2623" s="1470" t="s">
        <v>2129</v>
      </c>
      <c r="M2623" s="1471">
        <v>4.3739E-2</v>
      </c>
      <c r="N2623" s="1472">
        <v>1.7438245383866253</v>
      </c>
      <c r="O2623" s="1472"/>
    </row>
    <row r="2624" spans="11:15">
      <c r="K2624" s="1469">
        <v>44681</v>
      </c>
      <c r="L2624" s="1470"/>
      <c r="M2624" s="1471">
        <v>0</v>
      </c>
      <c r="N2624" s="1472">
        <v>1.7438245383866253</v>
      </c>
      <c r="O2624" s="1472"/>
    </row>
    <row r="2625" spans="11:15">
      <c r="K2625" s="1469">
        <v>44682</v>
      </c>
      <c r="L2625" s="1470"/>
      <c r="M2625" s="1471">
        <v>0</v>
      </c>
      <c r="N2625" s="1472">
        <v>1.7438245383866253</v>
      </c>
      <c r="O2625" s="1472"/>
    </row>
    <row r="2626" spans="11:15">
      <c r="K2626" s="1469">
        <v>44683</v>
      </c>
      <c r="L2626" s="1470" t="s">
        <v>2129</v>
      </c>
      <c r="M2626" s="1471">
        <v>4.3739E-2</v>
      </c>
      <c r="N2626" s="1472">
        <v>1.7445872698014704</v>
      </c>
      <c r="O2626" s="1472"/>
    </row>
    <row r="2627" spans="11:15">
      <c r="K2627" s="1469">
        <v>44684</v>
      </c>
      <c r="L2627" s="1470" t="s">
        <v>2129</v>
      </c>
      <c r="M2627" s="1471">
        <v>4.3739E-2</v>
      </c>
      <c r="N2627" s="1472">
        <v>1.7453503348274091</v>
      </c>
      <c r="O2627" s="1472"/>
    </row>
    <row r="2628" spans="11:15">
      <c r="K2628" s="1469">
        <v>44685</v>
      </c>
      <c r="L2628" s="1470" t="s">
        <v>2129</v>
      </c>
      <c r="M2628" s="1471">
        <v>4.3739E-2</v>
      </c>
      <c r="N2628" s="1472">
        <v>1.7461137336103594</v>
      </c>
      <c r="O2628" s="1472"/>
    </row>
    <row r="2629" spans="11:15">
      <c r="K2629" s="1469">
        <v>44686</v>
      </c>
      <c r="L2629" s="1470" t="s">
        <v>2129</v>
      </c>
      <c r="M2629" s="1471">
        <v>4.7279000000000002E-2</v>
      </c>
      <c r="N2629" s="1472">
        <v>1.7469392787224729</v>
      </c>
      <c r="O2629" s="1472"/>
    </row>
    <row r="2630" spans="11:15">
      <c r="K2630" s="1469">
        <v>44687</v>
      </c>
      <c r="L2630" s="1470" t="s">
        <v>2129</v>
      </c>
      <c r="M2630" s="1471">
        <v>4.7279000000000002E-2</v>
      </c>
      <c r="N2630" s="1472">
        <v>1.7477652141440598</v>
      </c>
      <c r="O2630" s="1472"/>
    </row>
    <row r="2631" spans="11:15">
      <c r="K2631" s="1469">
        <v>44688</v>
      </c>
      <c r="L2631" s="1470"/>
      <c r="M2631" s="1471">
        <v>0</v>
      </c>
      <c r="N2631" s="1472">
        <v>1.7477652141440598</v>
      </c>
      <c r="O2631" s="1472"/>
    </row>
    <row r="2632" spans="11:15">
      <c r="K2632" s="1469">
        <v>44689</v>
      </c>
      <c r="L2632" s="1470"/>
      <c r="M2632" s="1471">
        <v>0</v>
      </c>
      <c r="N2632" s="1472">
        <v>1.7477652141440598</v>
      </c>
      <c r="O2632" s="1472"/>
    </row>
    <row r="2633" spans="11:15">
      <c r="K2633" s="1469">
        <v>44690</v>
      </c>
      <c r="L2633" s="1470" t="s">
        <v>2129</v>
      </c>
      <c r="M2633" s="1471">
        <v>4.7279000000000002E-2</v>
      </c>
      <c r="N2633" s="1472">
        <v>1.7485915400596548</v>
      </c>
      <c r="O2633" s="1472"/>
    </row>
    <row r="2634" spans="11:15">
      <c r="K2634" s="1469">
        <v>44691</v>
      </c>
      <c r="L2634" s="1470" t="s">
        <v>2129</v>
      </c>
      <c r="M2634" s="1471">
        <v>4.7279000000000002E-2</v>
      </c>
      <c r="N2634" s="1472">
        <v>1.7494182566538794</v>
      </c>
      <c r="O2634" s="1472"/>
    </row>
    <row r="2635" spans="11:15">
      <c r="K2635" s="1469">
        <v>44692</v>
      </c>
      <c r="L2635" s="1470" t="s">
        <v>2129</v>
      </c>
      <c r="M2635" s="1471">
        <v>4.7279000000000002E-2</v>
      </c>
      <c r="N2635" s="1472">
        <v>1.7502453641114426</v>
      </c>
      <c r="O2635" s="1472"/>
    </row>
    <row r="2636" spans="11:15">
      <c r="K2636" s="1469">
        <v>44693</v>
      </c>
      <c r="L2636" s="1470" t="s">
        <v>2129</v>
      </c>
      <c r="M2636" s="1471">
        <v>4.7279000000000002E-2</v>
      </c>
      <c r="N2636" s="1472">
        <v>1.7510728626171406</v>
      </c>
      <c r="O2636" s="1472"/>
    </row>
    <row r="2637" spans="11:15">
      <c r="K2637" s="1469">
        <v>44694</v>
      </c>
      <c r="L2637" s="1470" t="s">
        <v>2129</v>
      </c>
      <c r="M2637" s="1471">
        <v>4.7279000000000002E-2</v>
      </c>
      <c r="N2637" s="1472">
        <v>1.7519007523558572</v>
      </c>
      <c r="O2637" s="1472"/>
    </row>
    <row r="2638" spans="11:15">
      <c r="K2638" s="1469">
        <v>44695</v>
      </c>
      <c r="L2638" s="1470"/>
      <c r="M2638" s="1471">
        <v>0</v>
      </c>
      <c r="N2638" s="1472">
        <v>1.7519007523558572</v>
      </c>
      <c r="O2638" s="1472"/>
    </row>
    <row r="2639" spans="11:15">
      <c r="K2639" s="1469">
        <v>44696</v>
      </c>
      <c r="L2639" s="1470"/>
      <c r="M2639" s="1471">
        <v>0</v>
      </c>
      <c r="N2639" s="1472">
        <v>1.7519007523558572</v>
      </c>
      <c r="O2639" s="1472"/>
    </row>
    <row r="2640" spans="11:15">
      <c r="K2640" s="1469">
        <v>44697</v>
      </c>
      <c r="L2640" s="1470" t="s">
        <v>2129</v>
      </c>
      <c r="M2640" s="1471">
        <v>4.7279000000000002E-2</v>
      </c>
      <c r="N2640" s="1472">
        <v>1.7527290335125634</v>
      </c>
      <c r="O2640" s="1472"/>
    </row>
    <row r="2641" spans="11:15">
      <c r="K2641" s="1469">
        <v>44698</v>
      </c>
      <c r="L2641" s="1470" t="s">
        <v>2129</v>
      </c>
      <c r="M2641" s="1471">
        <v>4.7279000000000002E-2</v>
      </c>
      <c r="N2641" s="1472">
        <v>1.7535577062723176</v>
      </c>
      <c r="O2641" s="1472"/>
    </row>
    <row r="2642" spans="11:15">
      <c r="K2642" s="1469">
        <v>44699</v>
      </c>
      <c r="L2642" s="1470" t="s">
        <v>2129</v>
      </c>
      <c r="M2642" s="1471">
        <v>4.7279000000000002E-2</v>
      </c>
      <c r="N2642" s="1472">
        <v>1.7543867708202658</v>
      </c>
      <c r="O2642" s="1472"/>
    </row>
    <row r="2643" spans="11:15">
      <c r="K2643" s="1469">
        <v>44700</v>
      </c>
      <c r="L2643" s="1470" t="s">
        <v>2129</v>
      </c>
      <c r="M2643" s="1471">
        <v>4.7279000000000002E-2</v>
      </c>
      <c r="N2643" s="1472">
        <v>1.7552162273416418</v>
      </c>
      <c r="O2643" s="1472"/>
    </row>
    <row r="2644" spans="11:15">
      <c r="K2644" s="1469">
        <v>44701</v>
      </c>
      <c r="L2644" s="1470" t="s">
        <v>2129</v>
      </c>
      <c r="M2644" s="1471">
        <v>4.7279000000000002E-2</v>
      </c>
      <c r="N2644" s="1472">
        <v>1.7560460760217664</v>
      </c>
      <c r="O2644" s="1472"/>
    </row>
    <row r="2645" spans="11:15">
      <c r="K2645" s="1469">
        <v>44702</v>
      </c>
      <c r="L2645" s="1470"/>
      <c r="M2645" s="1471">
        <v>0</v>
      </c>
      <c r="N2645" s="1472">
        <v>1.7560460760217664</v>
      </c>
      <c r="O2645" s="1472"/>
    </row>
    <row r="2646" spans="11:15">
      <c r="K2646" s="1469">
        <v>44703</v>
      </c>
      <c r="L2646" s="1470"/>
      <c r="M2646" s="1471">
        <v>0</v>
      </c>
      <c r="N2646" s="1472">
        <v>1.7560460760217664</v>
      </c>
      <c r="O2646" s="1472"/>
    </row>
    <row r="2647" spans="11:15">
      <c r="K2647" s="1469">
        <v>44704</v>
      </c>
      <c r="L2647" s="1470" t="s">
        <v>2129</v>
      </c>
      <c r="M2647" s="1471">
        <v>4.7279000000000002E-2</v>
      </c>
      <c r="N2647" s="1472">
        <v>1.7568763170460486</v>
      </c>
      <c r="O2647" s="1472"/>
    </row>
    <row r="2648" spans="11:15">
      <c r="K2648" s="1469">
        <v>44705</v>
      </c>
      <c r="L2648" s="1470" t="s">
        <v>2129</v>
      </c>
      <c r="M2648" s="1471">
        <v>4.7279000000000002E-2</v>
      </c>
      <c r="N2648" s="1472">
        <v>1.7577069505999847</v>
      </c>
      <c r="O2648" s="1472"/>
    </row>
    <row r="2649" spans="11:15">
      <c r="K2649" s="1469">
        <v>44706</v>
      </c>
      <c r="L2649" s="1470" t="s">
        <v>2129</v>
      </c>
      <c r="M2649" s="1471">
        <v>4.7279000000000002E-2</v>
      </c>
      <c r="N2649" s="1472">
        <v>1.7585379768691587</v>
      </c>
      <c r="O2649" s="1472"/>
    </row>
    <row r="2650" spans="11:15">
      <c r="K2650" s="1469">
        <v>44707</v>
      </c>
      <c r="L2650" s="1470" t="s">
        <v>2129</v>
      </c>
      <c r="M2650" s="1471">
        <v>4.7279000000000002E-2</v>
      </c>
      <c r="N2650" s="1472">
        <v>1.7593693960392425</v>
      </c>
      <c r="O2650" s="1472"/>
    </row>
    <row r="2651" spans="11:15">
      <c r="K2651" s="1469">
        <v>44708</v>
      </c>
      <c r="L2651" s="1470" t="s">
        <v>2129</v>
      </c>
      <c r="M2651" s="1471">
        <v>4.7279000000000002E-2</v>
      </c>
      <c r="N2651" s="1472">
        <v>1.7602012082959957</v>
      </c>
      <c r="O2651" s="1472"/>
    </row>
    <row r="2652" spans="11:15">
      <c r="K2652" s="1469">
        <v>44709</v>
      </c>
      <c r="L2652" s="1470"/>
      <c r="M2652" s="1471">
        <v>0</v>
      </c>
      <c r="N2652" s="1472">
        <v>1.7602012082959957</v>
      </c>
      <c r="O2652" s="1472"/>
    </row>
    <row r="2653" spans="11:15">
      <c r="K2653" s="1469">
        <v>44710</v>
      </c>
      <c r="L2653" s="1470"/>
      <c r="M2653" s="1471">
        <v>0</v>
      </c>
      <c r="N2653" s="1472">
        <v>1.7602012082959957</v>
      </c>
      <c r="O2653" s="1472"/>
    </row>
    <row r="2654" spans="11:15">
      <c r="K2654" s="1469">
        <v>44711</v>
      </c>
      <c r="L2654" s="1470" t="s">
        <v>2129</v>
      </c>
      <c r="M2654" s="1471">
        <v>4.7279000000000002E-2</v>
      </c>
      <c r="N2654" s="1472">
        <v>1.7610334138252657</v>
      </c>
      <c r="O2654" s="1472"/>
    </row>
    <row r="2655" spans="11:15">
      <c r="K2655" s="1469">
        <v>44712</v>
      </c>
      <c r="L2655" s="1470" t="s">
        <v>2129</v>
      </c>
      <c r="M2655" s="1471">
        <v>4.7279000000000002E-2</v>
      </c>
      <c r="N2655" s="1472">
        <v>1.7618660128129879</v>
      </c>
      <c r="O2655" s="1472"/>
    </row>
    <row r="2656" spans="11:15">
      <c r="K2656" s="1469">
        <v>44713</v>
      </c>
      <c r="L2656" s="1470" t="s">
        <v>2129</v>
      </c>
      <c r="M2656" s="1471">
        <v>4.7279000000000002E-2</v>
      </c>
      <c r="N2656" s="1472">
        <v>1.7626990054451857</v>
      </c>
      <c r="O2656" s="1472"/>
    </row>
    <row r="2657" spans="11:15">
      <c r="K2657" s="1469">
        <v>44714</v>
      </c>
      <c r="L2657" s="1470" t="s">
        <v>2129</v>
      </c>
      <c r="M2657" s="1471">
        <v>4.7279000000000002E-2</v>
      </c>
      <c r="N2657" s="1472">
        <v>1.76353239190797</v>
      </c>
      <c r="O2657" s="1472"/>
    </row>
    <row r="2658" spans="11:15">
      <c r="K2658" s="1469">
        <v>44715</v>
      </c>
      <c r="L2658" s="1470" t="s">
        <v>2129</v>
      </c>
      <c r="M2658" s="1471">
        <v>4.7279000000000002E-2</v>
      </c>
      <c r="N2658" s="1472">
        <v>1.7643661723875399</v>
      </c>
      <c r="O2658" s="1472"/>
    </row>
    <row r="2659" spans="11:15">
      <c r="K2659" s="1469">
        <v>44716</v>
      </c>
      <c r="L2659" s="1470"/>
      <c r="M2659" s="1471">
        <v>0</v>
      </c>
      <c r="N2659" s="1472">
        <v>1.7643661723875399</v>
      </c>
      <c r="O2659" s="1472"/>
    </row>
    <row r="2660" spans="11:15">
      <c r="K2660" s="1469">
        <v>44717</v>
      </c>
      <c r="L2660" s="1470"/>
      <c r="M2660" s="1471">
        <v>0</v>
      </c>
      <c r="N2660" s="1472">
        <v>1.7643661723875399</v>
      </c>
      <c r="O2660" s="1472"/>
    </row>
    <row r="2661" spans="11:15">
      <c r="K2661" s="1469">
        <v>44718</v>
      </c>
      <c r="L2661" s="1470" t="s">
        <v>2129</v>
      </c>
      <c r="M2661" s="1471">
        <v>4.7279000000000002E-2</v>
      </c>
      <c r="N2661" s="1472">
        <v>1.7652003470701829</v>
      </c>
      <c r="O2661" s="1472"/>
    </row>
    <row r="2662" spans="11:15">
      <c r="K2662" s="1469">
        <v>44719</v>
      </c>
      <c r="L2662" s="1470" t="s">
        <v>2129</v>
      </c>
      <c r="M2662" s="1471">
        <v>4.7279000000000002E-2</v>
      </c>
      <c r="N2662" s="1472">
        <v>1.7660349161422739</v>
      </c>
      <c r="O2662" s="1472"/>
    </row>
    <row r="2663" spans="11:15">
      <c r="K2663" s="1469">
        <v>44720</v>
      </c>
      <c r="L2663" s="1470" t="s">
        <v>2129</v>
      </c>
      <c r="M2663" s="1471">
        <v>4.7279000000000002E-2</v>
      </c>
      <c r="N2663" s="1472">
        <v>1.7668698797902767</v>
      </c>
      <c r="O2663" s="1472"/>
    </row>
    <row r="2664" spans="11:15">
      <c r="K2664" s="1469">
        <v>44721</v>
      </c>
      <c r="L2664" s="1470" t="s">
        <v>2129</v>
      </c>
      <c r="M2664" s="1471">
        <v>4.7279000000000002E-2</v>
      </c>
      <c r="N2664" s="1472">
        <v>1.7677052382007425</v>
      </c>
      <c r="O2664" s="1472"/>
    </row>
    <row r="2665" spans="11:15">
      <c r="K2665" s="1469">
        <v>44722</v>
      </c>
      <c r="L2665" s="1470" t="s">
        <v>2129</v>
      </c>
      <c r="M2665" s="1471">
        <v>4.7279000000000002E-2</v>
      </c>
      <c r="N2665" s="1472">
        <v>1.7685409915603112</v>
      </c>
      <c r="O2665" s="1472"/>
    </row>
    <row r="2666" spans="11:15">
      <c r="K2666" s="1469">
        <v>44723</v>
      </c>
      <c r="L2666" s="1470"/>
      <c r="M2666" s="1471">
        <v>0</v>
      </c>
      <c r="N2666" s="1472">
        <v>1.7685409915603112</v>
      </c>
      <c r="O2666" s="1472"/>
    </row>
    <row r="2667" spans="11:15">
      <c r="K2667" s="1469">
        <v>44724</v>
      </c>
      <c r="L2667" s="1470"/>
      <c r="M2667" s="1471">
        <v>0</v>
      </c>
      <c r="N2667" s="1472">
        <v>1.7685409915603112</v>
      </c>
      <c r="O2667" s="1472"/>
    </row>
    <row r="2668" spans="11:15">
      <c r="K2668" s="1469">
        <v>44725</v>
      </c>
      <c r="L2668" s="1470" t="s">
        <v>2129</v>
      </c>
      <c r="M2668" s="1471">
        <v>4.7279000000000002E-2</v>
      </c>
      <c r="N2668" s="1472">
        <v>1.7693771400557108</v>
      </c>
      <c r="O2668" s="1472"/>
    </row>
    <row r="2669" spans="11:15">
      <c r="K2669" s="1469">
        <v>44726</v>
      </c>
      <c r="L2669" s="1470" t="s">
        <v>2129</v>
      </c>
      <c r="M2669" s="1471">
        <v>4.7279000000000002E-2</v>
      </c>
      <c r="N2669" s="1472">
        <v>1.7702136838737574</v>
      </c>
      <c r="O2669" s="1472"/>
    </row>
    <row r="2670" spans="11:15">
      <c r="K2670" s="1469">
        <v>44727</v>
      </c>
      <c r="L2670" s="1470" t="s">
        <v>2129</v>
      </c>
      <c r="M2670" s="1471">
        <v>4.7279000000000002E-2</v>
      </c>
      <c r="N2670" s="1472">
        <v>1.7710506232013559</v>
      </c>
      <c r="O2670" s="1472"/>
    </row>
    <row r="2671" spans="11:15">
      <c r="K2671" s="1469">
        <v>44728</v>
      </c>
      <c r="L2671" s="1470"/>
      <c r="M2671" s="1471">
        <v>0</v>
      </c>
      <c r="N2671" s="1472">
        <v>1.7710506232013559</v>
      </c>
      <c r="O2671" s="1472"/>
    </row>
    <row r="2672" spans="11:15">
      <c r="K2672" s="1469">
        <v>44729</v>
      </c>
      <c r="L2672" s="1470" t="s">
        <v>2129</v>
      </c>
      <c r="M2672" s="1471">
        <v>4.9036999999999997E-2</v>
      </c>
      <c r="N2672" s="1472">
        <v>1.7719190932954552</v>
      </c>
      <c r="O2672" s="1472"/>
    </row>
    <row r="2673" spans="11:15">
      <c r="K2673" s="1469">
        <v>44730</v>
      </c>
      <c r="L2673" s="1470"/>
      <c r="M2673" s="1471">
        <v>0</v>
      </c>
      <c r="N2673" s="1472">
        <v>1.7719190932954552</v>
      </c>
      <c r="O2673" s="1472"/>
    </row>
    <row r="2674" spans="11:15">
      <c r="K2674" s="1469">
        <v>44731</v>
      </c>
      <c r="L2674" s="1470"/>
      <c r="M2674" s="1471">
        <v>0</v>
      </c>
      <c r="N2674" s="1472">
        <v>1.7719190932954552</v>
      </c>
      <c r="O2674" s="1472"/>
    </row>
    <row r="2675" spans="11:15">
      <c r="K2675" s="1469">
        <v>44732</v>
      </c>
      <c r="L2675" s="1470" t="s">
        <v>2129</v>
      </c>
      <c r="M2675" s="1471">
        <v>4.9036999999999997E-2</v>
      </c>
      <c r="N2675" s="1472">
        <v>1.7727879892612346</v>
      </c>
      <c r="O2675" s="1472"/>
    </row>
    <row r="2676" spans="11:15">
      <c r="K2676" s="1469">
        <v>44733</v>
      </c>
      <c r="L2676" s="1470" t="s">
        <v>2129</v>
      </c>
      <c r="M2676" s="1471">
        <v>4.9036999999999997E-2</v>
      </c>
      <c r="N2676" s="1472">
        <v>1.7736573113075287</v>
      </c>
      <c r="O2676" s="1472"/>
    </row>
    <row r="2677" spans="11:15">
      <c r="K2677" s="1469">
        <v>44734</v>
      </c>
      <c r="L2677" s="1470" t="s">
        <v>2129</v>
      </c>
      <c r="M2677" s="1471">
        <v>4.9036999999999997E-2</v>
      </c>
      <c r="N2677" s="1472">
        <v>1.7745270596432747</v>
      </c>
      <c r="O2677" s="1472"/>
    </row>
    <row r="2678" spans="11:15">
      <c r="K2678" s="1469">
        <v>44735</v>
      </c>
      <c r="L2678" s="1470" t="s">
        <v>2129</v>
      </c>
      <c r="M2678" s="1471">
        <v>4.9036999999999997E-2</v>
      </c>
      <c r="N2678" s="1472">
        <v>1.7753972344775122</v>
      </c>
      <c r="O2678" s="1472"/>
    </row>
    <row r="2679" spans="11:15">
      <c r="K2679" s="1469">
        <v>44736</v>
      </c>
      <c r="L2679" s="1470" t="s">
        <v>2129</v>
      </c>
      <c r="M2679" s="1471">
        <v>4.9036999999999997E-2</v>
      </c>
      <c r="N2679" s="1472">
        <v>1.7762678360193831</v>
      </c>
      <c r="O2679" s="1472"/>
    </row>
    <row r="2680" spans="11:15">
      <c r="K2680" s="1469">
        <v>44737</v>
      </c>
      <c r="L2680" s="1470"/>
      <c r="M2680" s="1471">
        <v>0</v>
      </c>
      <c r="N2680" s="1472">
        <v>1.7762678360193831</v>
      </c>
      <c r="O2680" s="1472"/>
    </row>
    <row r="2681" spans="11:15">
      <c r="K2681" s="1469">
        <v>44738</v>
      </c>
      <c r="L2681" s="1470"/>
      <c r="M2681" s="1471">
        <v>0</v>
      </c>
      <c r="N2681" s="1472">
        <v>1.7762678360193831</v>
      </c>
      <c r="O2681" s="1472"/>
    </row>
    <row r="2682" spans="11:15">
      <c r="K2682" s="1469">
        <v>44739</v>
      </c>
      <c r="L2682" s="1470" t="s">
        <v>2129</v>
      </c>
      <c r="M2682" s="1471">
        <v>4.9036999999999997E-2</v>
      </c>
      <c r="N2682" s="1472">
        <v>1.7771388644781321</v>
      </c>
      <c r="O2682" s="1472"/>
    </row>
    <row r="2683" spans="11:15">
      <c r="K2683" s="1469">
        <v>44740</v>
      </c>
      <c r="L2683" s="1470" t="s">
        <v>2129</v>
      </c>
      <c r="M2683" s="1471">
        <v>4.9036999999999997E-2</v>
      </c>
      <c r="N2683" s="1472">
        <v>1.7780103200631063</v>
      </c>
      <c r="O2683" s="1472"/>
    </row>
    <row r="2684" spans="11:15">
      <c r="K2684" s="1469">
        <v>44741</v>
      </c>
      <c r="L2684" s="1470" t="s">
        <v>2129</v>
      </c>
      <c r="M2684" s="1471">
        <v>4.9036999999999997E-2</v>
      </c>
      <c r="N2684" s="1472">
        <v>1.7788822029837559</v>
      </c>
      <c r="O2684" s="1472"/>
    </row>
    <row r="2685" spans="11:15">
      <c r="K2685" s="1469">
        <v>44742</v>
      </c>
      <c r="L2685" s="1470" t="s">
        <v>2129</v>
      </c>
      <c r="M2685" s="1471">
        <v>4.9036999999999997E-2</v>
      </c>
      <c r="N2685" s="1472">
        <v>1.7797545134496331</v>
      </c>
      <c r="O2685" s="1472"/>
    </row>
    <row r="2686" spans="11:15">
      <c r="K2686" s="1469">
        <v>44743</v>
      </c>
      <c r="L2686" s="1470" t="s">
        <v>2129</v>
      </c>
      <c r="M2686" s="1471">
        <v>4.9036999999999997E-2</v>
      </c>
      <c r="N2686" s="1472">
        <v>1.7806272516703936</v>
      </c>
      <c r="O2686" s="1472"/>
    </row>
    <row r="2687" spans="11:15">
      <c r="K2687" s="1469">
        <v>44744</v>
      </c>
      <c r="L2687" s="1470"/>
      <c r="M2687" s="1471">
        <v>0</v>
      </c>
      <c r="N2687" s="1472">
        <v>1.7806272516703936</v>
      </c>
      <c r="O2687" s="1472"/>
    </row>
    <row r="2688" spans="11:15">
      <c r="K2688" s="1469">
        <v>44745</v>
      </c>
      <c r="L2688" s="1470"/>
      <c r="M2688" s="1471">
        <v>0</v>
      </c>
      <c r="N2688" s="1472">
        <v>1.7806272516703936</v>
      </c>
      <c r="O2688" s="1472"/>
    </row>
    <row r="2689" spans="11:15">
      <c r="K2689" s="1469">
        <v>44746</v>
      </c>
      <c r="L2689" s="1470" t="s">
        <v>2129</v>
      </c>
      <c r="M2689" s="1471">
        <v>4.9036999999999997E-2</v>
      </c>
      <c r="N2689" s="1472">
        <v>1.7815004178557954</v>
      </c>
      <c r="O2689" s="1472"/>
    </row>
    <row r="2690" spans="11:15">
      <c r="K2690" s="1469">
        <v>44747</v>
      </c>
      <c r="L2690" s="1470" t="s">
        <v>2129</v>
      </c>
      <c r="M2690" s="1471">
        <v>4.9036999999999997E-2</v>
      </c>
      <c r="N2690" s="1472">
        <v>1.7823740122156995</v>
      </c>
      <c r="O2690" s="1472"/>
    </row>
    <row r="2691" spans="11:15">
      <c r="K2691" s="1469">
        <v>44748</v>
      </c>
      <c r="L2691" s="1470" t="s">
        <v>2129</v>
      </c>
      <c r="M2691" s="1471">
        <v>4.9036999999999997E-2</v>
      </c>
      <c r="N2691" s="1472">
        <v>1.7832480349600699</v>
      </c>
      <c r="O2691" s="1472"/>
    </row>
    <row r="2692" spans="11:15">
      <c r="K2692" s="1469">
        <v>44749</v>
      </c>
      <c r="L2692" s="1470" t="s">
        <v>2129</v>
      </c>
      <c r="M2692" s="1471">
        <v>4.9036999999999997E-2</v>
      </c>
      <c r="N2692" s="1472">
        <v>1.7841224862989733</v>
      </c>
      <c r="O2692" s="1472"/>
    </row>
    <row r="2693" spans="11:15">
      <c r="K2693" s="1469">
        <v>44750</v>
      </c>
      <c r="L2693" s="1470" t="s">
        <v>2129</v>
      </c>
      <c r="M2693" s="1471">
        <v>4.9036999999999997E-2</v>
      </c>
      <c r="N2693" s="1472">
        <v>1.7849973664425798</v>
      </c>
      <c r="O2693" s="1472"/>
    </row>
    <row r="2694" spans="11:15">
      <c r="K2694" s="1469">
        <v>44751</v>
      </c>
      <c r="L2694" s="1470"/>
      <c r="M2694" s="1471">
        <v>0</v>
      </c>
      <c r="N2694" s="1472">
        <v>1.7849973664425798</v>
      </c>
      <c r="O2694" s="1472"/>
    </row>
    <row r="2695" spans="11:15">
      <c r="K2695" s="1469">
        <v>44752</v>
      </c>
      <c r="L2695" s="1470"/>
      <c r="M2695" s="1471">
        <v>0</v>
      </c>
      <c r="N2695" s="1472">
        <v>1.7849973664425798</v>
      </c>
      <c r="O2695" s="1472"/>
    </row>
    <row r="2696" spans="11:15">
      <c r="K2696" s="1469">
        <v>44753</v>
      </c>
      <c r="L2696" s="1470" t="s">
        <v>2129</v>
      </c>
      <c r="M2696" s="1471">
        <v>4.9036999999999997E-2</v>
      </c>
      <c r="N2696" s="1472">
        <v>1.7858726756011623</v>
      </c>
      <c r="O2696" s="1472"/>
    </row>
    <row r="2697" spans="11:15">
      <c r="K2697" s="1469">
        <v>44754</v>
      </c>
      <c r="L2697" s="1470" t="s">
        <v>2129</v>
      </c>
      <c r="M2697" s="1471">
        <v>4.9036999999999997E-2</v>
      </c>
      <c r="N2697" s="1472">
        <v>1.7867484139850969</v>
      </c>
      <c r="O2697" s="1472"/>
    </row>
    <row r="2698" spans="11:15">
      <c r="K2698" s="1469">
        <v>44755</v>
      </c>
      <c r="L2698" s="1470" t="s">
        <v>2129</v>
      </c>
      <c r="M2698" s="1471">
        <v>4.9036999999999997E-2</v>
      </c>
      <c r="N2698" s="1472">
        <v>1.7876245818048628</v>
      </c>
      <c r="O2698" s="1472"/>
    </row>
    <row r="2699" spans="11:15">
      <c r="K2699" s="1469">
        <v>44756</v>
      </c>
      <c r="L2699" s="1470" t="s">
        <v>2129</v>
      </c>
      <c r="M2699" s="1471">
        <v>4.9036999999999997E-2</v>
      </c>
      <c r="N2699" s="1472">
        <v>1.7885011792710426</v>
      </c>
      <c r="O2699" s="1472"/>
    </row>
    <row r="2700" spans="11:15">
      <c r="K2700" s="1469">
        <v>44757</v>
      </c>
      <c r="L2700" s="1470" t="s">
        <v>2129</v>
      </c>
      <c r="M2700" s="1471">
        <v>4.9036999999999997E-2</v>
      </c>
      <c r="N2700" s="1472">
        <v>1.7893782065943218</v>
      </c>
      <c r="O2700" s="1472"/>
    </row>
    <row r="2701" spans="11:15">
      <c r="K2701" s="1469">
        <v>44758</v>
      </c>
      <c r="L2701" s="1470"/>
      <c r="M2701" s="1471">
        <v>0</v>
      </c>
      <c r="N2701" s="1472">
        <v>1.7893782065943218</v>
      </c>
      <c r="O2701" s="1472"/>
    </row>
    <row r="2702" spans="11:15">
      <c r="K2702" s="1469">
        <v>44759</v>
      </c>
      <c r="L2702" s="1470"/>
      <c r="M2702" s="1471">
        <v>0</v>
      </c>
      <c r="N2702" s="1472">
        <v>1.7893782065943218</v>
      </c>
      <c r="O2702" s="1472"/>
    </row>
    <row r="2703" spans="11:15">
      <c r="K2703" s="1469">
        <v>44760</v>
      </c>
      <c r="L2703" s="1470" t="s">
        <v>2129</v>
      </c>
      <c r="M2703" s="1471">
        <v>4.9036999999999997E-2</v>
      </c>
      <c r="N2703" s="1472">
        <v>1.7902556639854896</v>
      </c>
      <c r="O2703" s="1472"/>
    </row>
    <row r="2704" spans="11:15">
      <c r="K2704" s="1469">
        <v>44761</v>
      </c>
      <c r="L2704" s="1470" t="s">
        <v>2129</v>
      </c>
      <c r="M2704" s="1471">
        <v>4.9036999999999997E-2</v>
      </c>
      <c r="N2704" s="1472">
        <v>1.7911335516554383</v>
      </c>
      <c r="O2704" s="1472"/>
    </row>
    <row r="2705" spans="11:15">
      <c r="K2705" s="1469">
        <v>44762</v>
      </c>
      <c r="L2705" s="1470" t="s">
        <v>2129</v>
      </c>
      <c r="M2705" s="1471">
        <v>4.9036999999999997E-2</v>
      </c>
      <c r="N2705" s="1472">
        <v>1.7920118698151637</v>
      </c>
      <c r="O2705" s="1472"/>
    </row>
    <row r="2706" spans="11:15">
      <c r="K2706" s="1469">
        <v>44763</v>
      </c>
      <c r="L2706" s="1470" t="s">
        <v>2129</v>
      </c>
      <c r="M2706" s="1471">
        <v>4.9036999999999997E-2</v>
      </c>
      <c r="N2706" s="1472">
        <v>1.7928906186757652</v>
      </c>
      <c r="O2706" s="1472"/>
    </row>
    <row r="2707" spans="11:15">
      <c r="K2707" s="1469">
        <v>44764</v>
      </c>
      <c r="L2707" s="1470" t="s">
        <v>2129</v>
      </c>
      <c r="M2707" s="1471">
        <v>4.9036999999999997E-2</v>
      </c>
      <c r="N2707" s="1472">
        <v>1.7937697984484453</v>
      </c>
      <c r="O2707" s="1472"/>
    </row>
    <row r="2708" spans="11:15">
      <c r="K2708" s="1469">
        <v>44765</v>
      </c>
      <c r="L2708" s="1470"/>
      <c r="M2708" s="1471">
        <v>0</v>
      </c>
      <c r="N2708" s="1472">
        <v>1.7937697984484453</v>
      </c>
      <c r="O2708" s="1472"/>
    </row>
    <row r="2709" spans="11:15">
      <c r="K2709" s="1469">
        <v>44766</v>
      </c>
      <c r="L2709" s="1470"/>
      <c r="M2709" s="1471">
        <v>0</v>
      </c>
      <c r="N2709" s="1472">
        <v>1.7937697984484453</v>
      </c>
      <c r="O2709" s="1472"/>
    </row>
    <row r="2710" spans="11:15">
      <c r="K2710" s="1469">
        <v>44767</v>
      </c>
      <c r="L2710" s="1470" t="s">
        <v>2129</v>
      </c>
      <c r="M2710" s="1471">
        <v>4.9036999999999997E-2</v>
      </c>
      <c r="N2710" s="1472">
        <v>1.7946494093445107</v>
      </c>
      <c r="O2710" s="1472"/>
    </row>
    <row r="2711" spans="11:15">
      <c r="K2711" s="1469">
        <v>44768</v>
      </c>
      <c r="L2711" s="1470" t="s">
        <v>2129</v>
      </c>
      <c r="M2711" s="1471">
        <v>4.9036999999999997E-2</v>
      </c>
      <c r="N2711" s="1472">
        <v>1.795529451575371</v>
      </c>
      <c r="O2711" s="1472"/>
    </row>
    <row r="2712" spans="11:15">
      <c r="K2712" s="1469">
        <v>44769</v>
      </c>
      <c r="L2712" s="1470" t="s">
        <v>2129</v>
      </c>
      <c r="M2712" s="1471">
        <v>4.9036999999999997E-2</v>
      </c>
      <c r="N2712" s="1472">
        <v>1.7964099253525401</v>
      </c>
      <c r="O2712" s="1472"/>
    </row>
    <row r="2713" spans="11:15">
      <c r="K2713" s="1469">
        <v>44770</v>
      </c>
      <c r="L2713" s="1470" t="s">
        <v>2129</v>
      </c>
      <c r="M2713" s="1471">
        <v>4.9036999999999997E-2</v>
      </c>
      <c r="N2713" s="1472">
        <v>1.7972908308876354</v>
      </c>
      <c r="O2713" s="1472"/>
    </row>
    <row r="2714" spans="11:15">
      <c r="K2714" s="1469">
        <v>44771</v>
      </c>
      <c r="L2714" s="1470" t="s">
        <v>2129</v>
      </c>
      <c r="M2714" s="1471">
        <v>4.9036999999999997E-2</v>
      </c>
      <c r="N2714" s="1472">
        <v>1.7981721683923779</v>
      </c>
      <c r="O2714" s="1472"/>
    </row>
    <row r="2715" spans="11:15">
      <c r="K2715" s="1469">
        <v>44772</v>
      </c>
      <c r="L2715" s="1470"/>
      <c r="M2715" s="1471">
        <v>0</v>
      </c>
      <c r="N2715" s="1472">
        <v>1.7981721683923779</v>
      </c>
      <c r="O2715" s="1472"/>
    </row>
    <row r="2716" spans="11:15">
      <c r="K2716" s="1469">
        <v>44773</v>
      </c>
      <c r="L2716" s="1470"/>
      <c r="M2716" s="1471">
        <v>0</v>
      </c>
      <c r="N2716" s="1472">
        <v>1.7981721683923779</v>
      </c>
      <c r="O2716" s="1472"/>
    </row>
    <row r="2717" spans="11:15">
      <c r="K2717" s="1469">
        <v>44774</v>
      </c>
      <c r="L2717" s="1470" t="s">
        <v>2129</v>
      </c>
      <c r="M2717" s="1471">
        <v>4.9036999999999997E-2</v>
      </c>
      <c r="N2717" s="1472">
        <v>1.7990539380785926</v>
      </c>
      <c r="O2717" s="1472"/>
    </row>
    <row r="2718" spans="11:15">
      <c r="K2718" s="1469">
        <v>44775</v>
      </c>
      <c r="L2718" s="1470" t="s">
        <v>2129</v>
      </c>
      <c r="M2718" s="1471">
        <v>4.9036999999999997E-2</v>
      </c>
      <c r="N2718" s="1472">
        <v>1.7999361401582084</v>
      </c>
      <c r="O2718" s="1472"/>
    </row>
    <row r="2719" spans="11:15">
      <c r="K2719" s="1469">
        <v>44776</v>
      </c>
      <c r="L2719" s="1470" t="s">
        <v>2129</v>
      </c>
      <c r="M2719" s="1471">
        <v>4.9036999999999997E-2</v>
      </c>
      <c r="N2719" s="1472">
        <v>1.8008187748432578</v>
      </c>
      <c r="O2719" s="1472"/>
    </row>
    <row r="2720" spans="11:15">
      <c r="K2720" s="1469">
        <v>44777</v>
      </c>
      <c r="L2720" s="1470" t="s">
        <v>2129</v>
      </c>
      <c r="M2720" s="1471">
        <v>5.0788E-2</v>
      </c>
      <c r="N2720" s="1472">
        <v>1.8017333746826252</v>
      </c>
      <c r="O2720" s="1472"/>
    </row>
    <row r="2721" spans="11:15">
      <c r="K2721" s="1469">
        <v>44778</v>
      </c>
      <c r="L2721" s="1470" t="s">
        <v>2129</v>
      </c>
      <c r="M2721" s="1471">
        <v>5.0788E-2</v>
      </c>
      <c r="N2721" s="1472">
        <v>1.802648439028959</v>
      </c>
      <c r="O2721" s="1472"/>
    </row>
    <row r="2722" spans="11:15">
      <c r="K2722" s="1469">
        <v>44779</v>
      </c>
      <c r="L2722" s="1470"/>
      <c r="M2722" s="1471">
        <v>0</v>
      </c>
      <c r="N2722" s="1472">
        <v>1.802648439028959</v>
      </c>
      <c r="O2722" s="1472"/>
    </row>
    <row r="2723" spans="11:15">
      <c r="K2723" s="1469">
        <v>44780</v>
      </c>
      <c r="L2723" s="1470"/>
      <c r="M2723" s="1471">
        <v>0</v>
      </c>
      <c r="N2723" s="1472">
        <v>1.802648439028959</v>
      </c>
      <c r="O2723" s="1472"/>
    </row>
    <row r="2724" spans="11:15">
      <c r="K2724" s="1469">
        <v>44781</v>
      </c>
      <c r="L2724" s="1470" t="s">
        <v>2129</v>
      </c>
      <c r="M2724" s="1471">
        <v>5.0788E-2</v>
      </c>
      <c r="N2724" s="1472">
        <v>1.803563968118173</v>
      </c>
      <c r="O2724" s="1472"/>
    </row>
    <row r="2725" spans="11:15">
      <c r="K2725" s="1469">
        <v>44782</v>
      </c>
      <c r="L2725" s="1470" t="s">
        <v>2129</v>
      </c>
      <c r="M2725" s="1471">
        <v>5.0788E-2</v>
      </c>
      <c r="N2725" s="1472">
        <v>1.8044799621863008</v>
      </c>
      <c r="O2725" s="1472"/>
    </row>
    <row r="2726" spans="11:15">
      <c r="K2726" s="1469">
        <v>44783</v>
      </c>
      <c r="L2726" s="1470" t="s">
        <v>2129</v>
      </c>
      <c r="M2726" s="1471">
        <v>5.0788E-2</v>
      </c>
      <c r="N2726" s="1472">
        <v>1.805396421469496</v>
      </c>
      <c r="O2726" s="1472"/>
    </row>
    <row r="2727" spans="11:15">
      <c r="K2727" s="1469">
        <v>44784</v>
      </c>
      <c r="L2727" s="1470" t="s">
        <v>2129</v>
      </c>
      <c r="M2727" s="1471">
        <v>5.0788E-2</v>
      </c>
      <c r="N2727" s="1472">
        <v>1.8063133462040319</v>
      </c>
      <c r="O2727" s="1472"/>
    </row>
    <row r="2728" spans="11:15">
      <c r="K2728" s="1469">
        <v>44785</v>
      </c>
      <c r="L2728" s="1470" t="s">
        <v>2129</v>
      </c>
      <c r="M2728" s="1471">
        <v>5.0788E-2</v>
      </c>
      <c r="N2728" s="1472">
        <v>1.8072307366263021</v>
      </c>
      <c r="O2728" s="1472"/>
    </row>
    <row r="2729" spans="11:15">
      <c r="K2729" s="1469">
        <v>44786</v>
      </c>
      <c r="L2729" s="1470"/>
      <c r="M2729" s="1471">
        <v>0</v>
      </c>
      <c r="N2729" s="1472">
        <v>1.8072307366263021</v>
      </c>
      <c r="O2729" s="1472"/>
    </row>
    <row r="2730" spans="11:15">
      <c r="K2730" s="1469">
        <v>44787</v>
      </c>
      <c r="L2730" s="1470"/>
      <c r="M2730" s="1471">
        <v>0</v>
      </c>
      <c r="N2730" s="1472">
        <v>1.8072307366263021</v>
      </c>
      <c r="O2730" s="1472"/>
    </row>
    <row r="2731" spans="11:15">
      <c r="K2731" s="1469">
        <v>44788</v>
      </c>
      <c r="L2731" s="1470" t="s">
        <v>2129</v>
      </c>
      <c r="M2731" s="1471">
        <v>5.0788E-2</v>
      </c>
      <c r="N2731" s="1472">
        <v>1.8081485929728198</v>
      </c>
      <c r="O2731" s="1472"/>
    </row>
    <row r="2732" spans="11:15">
      <c r="K2732" s="1469">
        <v>44789</v>
      </c>
      <c r="L2732" s="1470" t="s">
        <v>2129</v>
      </c>
      <c r="M2732" s="1471">
        <v>5.0788E-2</v>
      </c>
      <c r="N2732" s="1472">
        <v>1.8090669154802188</v>
      </c>
      <c r="O2732" s="1472"/>
    </row>
    <row r="2733" spans="11:15">
      <c r="K2733" s="1469">
        <v>44790</v>
      </c>
      <c r="L2733" s="1470" t="s">
        <v>2129</v>
      </c>
      <c r="M2733" s="1471">
        <v>5.0788E-2</v>
      </c>
      <c r="N2733" s="1472">
        <v>1.809985704385253</v>
      </c>
      <c r="O2733" s="1472"/>
    </row>
    <row r="2734" spans="11:15">
      <c r="K2734" s="1469">
        <v>44791</v>
      </c>
      <c r="L2734" s="1470" t="s">
        <v>2129</v>
      </c>
      <c r="M2734" s="1471">
        <v>5.0788E-2</v>
      </c>
      <c r="N2734" s="1472">
        <v>1.8109049599247962</v>
      </c>
      <c r="O2734" s="1472"/>
    </row>
    <row r="2735" spans="11:15">
      <c r="K2735" s="1469">
        <v>44792</v>
      </c>
      <c r="L2735" s="1470" t="s">
        <v>2129</v>
      </c>
      <c r="M2735" s="1471">
        <v>5.0788E-2</v>
      </c>
      <c r="N2735" s="1472">
        <v>1.8118246823358428</v>
      </c>
      <c r="O2735" s="1472"/>
    </row>
    <row r="2736" spans="11:15">
      <c r="K2736" s="1469">
        <v>44793</v>
      </c>
      <c r="L2736" s="1470"/>
      <c r="M2736" s="1471">
        <v>0</v>
      </c>
      <c r="N2736" s="1472">
        <v>1.8118246823358428</v>
      </c>
      <c r="O2736" s="1472"/>
    </row>
    <row r="2737" spans="11:15">
      <c r="K2737" s="1469">
        <v>44794</v>
      </c>
      <c r="L2737" s="1470"/>
      <c r="M2737" s="1471">
        <v>0</v>
      </c>
      <c r="N2737" s="1472">
        <v>1.8118246823358428</v>
      </c>
      <c r="O2737" s="1472"/>
    </row>
    <row r="2738" spans="11:15">
      <c r="K2738" s="1469">
        <v>44795</v>
      </c>
      <c r="L2738" s="1470" t="s">
        <v>2129</v>
      </c>
      <c r="M2738" s="1471">
        <v>5.0788E-2</v>
      </c>
      <c r="N2738" s="1472">
        <v>1.8127448718555075</v>
      </c>
      <c r="O2738" s="1472"/>
    </row>
    <row r="2739" spans="11:15">
      <c r="K2739" s="1469">
        <v>44796</v>
      </c>
      <c r="L2739" s="1470" t="s">
        <v>2129</v>
      </c>
      <c r="M2739" s="1471">
        <v>5.0788E-2</v>
      </c>
      <c r="N2739" s="1472">
        <v>1.8136655287210255</v>
      </c>
      <c r="O2739" s="1472"/>
    </row>
    <row r="2740" spans="11:15">
      <c r="K2740" s="1469">
        <v>44797</v>
      </c>
      <c r="L2740" s="1470" t="s">
        <v>2129</v>
      </c>
      <c r="M2740" s="1471">
        <v>5.0788E-2</v>
      </c>
      <c r="N2740" s="1472">
        <v>1.8145866531697523</v>
      </c>
      <c r="O2740" s="1472"/>
    </row>
    <row r="2741" spans="11:15">
      <c r="K2741" s="1469">
        <v>44798</v>
      </c>
      <c r="L2741" s="1470" t="s">
        <v>2129</v>
      </c>
      <c r="M2741" s="1471">
        <v>5.0788E-2</v>
      </c>
      <c r="N2741" s="1472">
        <v>1.8155082454391642</v>
      </c>
      <c r="O2741" s="1472"/>
    </row>
    <row r="2742" spans="11:15">
      <c r="K2742" s="1469">
        <v>44799</v>
      </c>
      <c r="L2742" s="1470" t="s">
        <v>2129</v>
      </c>
      <c r="M2742" s="1471">
        <v>5.0788E-2</v>
      </c>
      <c r="N2742" s="1472">
        <v>1.8164303057668578</v>
      </c>
      <c r="O2742" s="1472"/>
    </row>
    <row r="2743" spans="11:15">
      <c r="K2743" s="1469">
        <v>44800</v>
      </c>
      <c r="L2743" s="1470"/>
      <c r="M2743" s="1471">
        <v>0</v>
      </c>
      <c r="N2743" s="1472">
        <v>1.8164303057668578</v>
      </c>
      <c r="O2743" s="1472"/>
    </row>
    <row r="2744" spans="11:15">
      <c r="K2744" s="1469">
        <v>44801</v>
      </c>
      <c r="L2744" s="1470"/>
      <c r="M2744" s="1471">
        <v>0</v>
      </c>
      <c r="N2744" s="1472">
        <v>1.8164303057668578</v>
      </c>
      <c r="O2744" s="1472"/>
    </row>
    <row r="2745" spans="11:15">
      <c r="K2745" s="1469">
        <v>44802</v>
      </c>
      <c r="L2745" s="1470" t="s">
        <v>2129</v>
      </c>
      <c r="M2745" s="1471">
        <v>5.0788E-2</v>
      </c>
      <c r="N2745" s="1472">
        <v>1.8173528343905507</v>
      </c>
      <c r="O2745" s="1472"/>
    </row>
    <row r="2746" spans="11:15">
      <c r="K2746" s="1469">
        <v>44803</v>
      </c>
      <c r="L2746" s="1470" t="s">
        <v>2129</v>
      </c>
      <c r="M2746" s="1471">
        <v>5.0788E-2</v>
      </c>
      <c r="N2746" s="1472">
        <v>1.8182758315480809</v>
      </c>
      <c r="O2746" s="1472"/>
    </row>
    <row r="2747" spans="11:15">
      <c r="K2747" s="1469">
        <v>44804</v>
      </c>
      <c r="L2747" s="1470" t="s">
        <v>2129</v>
      </c>
      <c r="M2747" s="1471">
        <v>5.0788E-2</v>
      </c>
      <c r="N2747" s="1472">
        <v>1.8191992974774076</v>
      </c>
      <c r="O2747" s="1472"/>
    </row>
    <row r="2748" spans="11:15">
      <c r="K2748" s="1469">
        <v>44805</v>
      </c>
      <c r="L2748" s="1470" t="s">
        <v>2129</v>
      </c>
      <c r="M2748" s="1471">
        <v>5.0788E-2</v>
      </c>
      <c r="N2748" s="1472">
        <v>1.8201232324166106</v>
      </c>
      <c r="O2748" s="1472"/>
    </row>
    <row r="2749" spans="11:15">
      <c r="K2749" s="1469">
        <v>44806</v>
      </c>
      <c r="L2749" s="1470" t="s">
        <v>2129</v>
      </c>
      <c r="M2749" s="1471">
        <v>5.0788E-2</v>
      </c>
      <c r="N2749" s="1472">
        <v>1.8210476366038904</v>
      </c>
      <c r="O2749" s="1472"/>
    </row>
    <row r="2750" spans="11:15">
      <c r="K2750" s="1469">
        <v>44807</v>
      </c>
      <c r="L2750" s="1470"/>
      <c r="M2750" s="1471">
        <v>0</v>
      </c>
      <c r="N2750" s="1472">
        <v>1.8210476366038904</v>
      </c>
      <c r="O2750" s="1472"/>
    </row>
    <row r="2751" spans="11:15">
      <c r="K2751" s="1469">
        <v>44808</v>
      </c>
      <c r="L2751" s="1470"/>
      <c r="M2751" s="1471">
        <v>0</v>
      </c>
      <c r="N2751" s="1472">
        <v>1.8210476366038904</v>
      </c>
      <c r="O2751" s="1472"/>
    </row>
    <row r="2752" spans="11:15">
      <c r="K2752" s="1469">
        <v>44809</v>
      </c>
      <c r="L2752" s="1470" t="s">
        <v>2129</v>
      </c>
      <c r="M2752" s="1471">
        <v>5.0788E-2</v>
      </c>
      <c r="N2752" s="1472">
        <v>1.8219725102775688</v>
      </c>
      <c r="O2752" s="1472"/>
    </row>
    <row r="2753" spans="11:15">
      <c r="K2753" s="1469">
        <v>44810</v>
      </c>
      <c r="L2753" s="1470" t="s">
        <v>2129</v>
      </c>
      <c r="M2753" s="1471">
        <v>5.0788E-2</v>
      </c>
      <c r="N2753" s="1472">
        <v>1.8228978536760887</v>
      </c>
      <c r="O2753" s="1472"/>
    </row>
    <row r="2754" spans="11:15">
      <c r="K2754" s="1469">
        <v>44811</v>
      </c>
      <c r="L2754" s="1470"/>
      <c r="M2754" s="1471">
        <v>0</v>
      </c>
      <c r="N2754" s="1472">
        <v>1.8228978536760887</v>
      </c>
      <c r="O2754" s="1472"/>
    </row>
    <row r="2755" spans="11:15">
      <c r="K2755" s="1469">
        <v>44812</v>
      </c>
      <c r="L2755" s="1470" t="s">
        <v>2129</v>
      </c>
      <c r="M2755" s="1471">
        <v>5.0788E-2</v>
      </c>
      <c r="N2755" s="1472">
        <v>1.8238236670380137</v>
      </c>
      <c r="O2755" s="1472"/>
    </row>
    <row r="2756" spans="11:15">
      <c r="K2756" s="1469">
        <v>44813</v>
      </c>
      <c r="L2756" s="1470" t="s">
        <v>2129</v>
      </c>
      <c r="M2756" s="1471">
        <v>5.0788E-2</v>
      </c>
      <c r="N2756" s="1472">
        <v>1.824749950602029</v>
      </c>
      <c r="O2756" s="1472"/>
    </row>
    <row r="2757" spans="11:15">
      <c r="K2757" s="1469">
        <v>44814</v>
      </c>
      <c r="L2757" s="1470"/>
      <c r="M2757" s="1471">
        <v>0</v>
      </c>
      <c r="N2757" s="1472">
        <v>1.824749950602029</v>
      </c>
      <c r="O2757" s="1472"/>
    </row>
    <row r="2758" spans="11:15">
      <c r="K2758" s="1469">
        <v>44815</v>
      </c>
      <c r="L2758" s="1470"/>
      <c r="M2758" s="1471">
        <v>0</v>
      </c>
      <c r="N2758" s="1472">
        <v>1.824749950602029</v>
      </c>
      <c r="O2758" s="1472"/>
    </row>
    <row r="2759" spans="11:15">
      <c r="K2759" s="1469">
        <v>44816</v>
      </c>
      <c r="L2759" s="1470" t="s">
        <v>2129</v>
      </c>
      <c r="M2759" s="1471">
        <v>5.0788E-2</v>
      </c>
      <c r="N2759" s="1472">
        <v>1.8256767046069409</v>
      </c>
      <c r="O2759" s="1472"/>
    </row>
    <row r="2760" spans="11:15">
      <c r="K2760" s="1469">
        <v>44817</v>
      </c>
      <c r="L2760" s="1470" t="s">
        <v>2129</v>
      </c>
      <c r="M2760" s="1471">
        <v>5.0788E-2</v>
      </c>
      <c r="N2760" s="1472">
        <v>1.8266039292916767</v>
      </c>
      <c r="O2760" s="1472"/>
    </row>
    <row r="2761" spans="11:15">
      <c r="K2761" s="1469">
        <v>44818</v>
      </c>
      <c r="L2761" s="1470" t="s">
        <v>2129</v>
      </c>
      <c r="M2761" s="1471">
        <v>5.0788E-2</v>
      </c>
      <c r="N2761" s="1472">
        <v>1.8275316248952853</v>
      </c>
      <c r="O2761" s="1472"/>
    </row>
    <row r="2762" spans="11:15">
      <c r="K2762" s="1469">
        <v>44819</v>
      </c>
      <c r="L2762" s="1470" t="s">
        <v>2129</v>
      </c>
      <c r="M2762" s="1471">
        <v>5.0788E-2</v>
      </c>
      <c r="N2762" s="1472">
        <v>1.8284597916569372</v>
      </c>
      <c r="O2762" s="1472"/>
    </row>
    <row r="2763" spans="11:15">
      <c r="K2763" s="1469">
        <v>44820</v>
      </c>
      <c r="L2763" s="1470" t="s">
        <v>2129</v>
      </c>
      <c r="M2763" s="1471">
        <v>5.0788E-2</v>
      </c>
      <c r="N2763" s="1472">
        <v>1.829388429815924</v>
      </c>
      <c r="O2763" s="1472"/>
    </row>
    <row r="2764" spans="11:15">
      <c r="K2764" s="1469">
        <v>44821</v>
      </c>
      <c r="L2764" s="1470"/>
      <c r="M2764" s="1471">
        <v>0</v>
      </c>
      <c r="N2764" s="1472">
        <v>1.829388429815924</v>
      </c>
      <c r="O2764" s="1472"/>
    </row>
    <row r="2765" spans="11:15">
      <c r="K2765" s="1469">
        <v>44822</v>
      </c>
      <c r="L2765" s="1470"/>
      <c r="M2765" s="1471">
        <v>0</v>
      </c>
      <c r="N2765" s="1472">
        <v>1.829388429815924</v>
      </c>
      <c r="O2765" s="1472"/>
    </row>
    <row r="2766" spans="11:15">
      <c r="K2766" s="1469">
        <v>44823</v>
      </c>
      <c r="L2766" s="1470" t="s">
        <v>2129</v>
      </c>
      <c r="M2766" s="1471">
        <v>5.0788E-2</v>
      </c>
      <c r="N2766" s="1472">
        <v>1.8303175396116589</v>
      </c>
      <c r="O2766" s="1472"/>
    </row>
    <row r="2767" spans="11:15">
      <c r="K2767" s="1469">
        <v>44824</v>
      </c>
      <c r="L2767" s="1470" t="s">
        <v>2129</v>
      </c>
      <c r="M2767" s="1471">
        <v>5.0788E-2</v>
      </c>
      <c r="N2767" s="1472">
        <v>1.8312471212836769</v>
      </c>
      <c r="O2767" s="1472"/>
    </row>
    <row r="2768" spans="11:15">
      <c r="K2768" s="1469">
        <v>44825</v>
      </c>
      <c r="L2768" s="1470" t="s">
        <v>2129</v>
      </c>
      <c r="M2768" s="1471">
        <v>5.0788E-2</v>
      </c>
      <c r="N2768" s="1472">
        <v>1.8321771750716345</v>
      </c>
      <c r="O2768" s="1472"/>
    </row>
    <row r="2769" spans="11:15">
      <c r="K2769" s="1469">
        <v>44826</v>
      </c>
      <c r="L2769" s="1470" t="s">
        <v>2129</v>
      </c>
      <c r="M2769" s="1471">
        <v>5.0788E-2</v>
      </c>
      <c r="N2769" s="1472">
        <v>1.8331077012153099</v>
      </c>
      <c r="O2769" s="1472"/>
    </row>
    <row r="2770" spans="11:15">
      <c r="K2770" s="1469">
        <v>44827</v>
      </c>
      <c r="L2770" s="1470" t="s">
        <v>2129</v>
      </c>
      <c r="M2770" s="1471">
        <v>5.0788E-2</v>
      </c>
      <c r="N2770" s="1472">
        <v>1.8340386999546032</v>
      </c>
      <c r="O2770" s="1472"/>
    </row>
    <row r="2771" spans="11:15">
      <c r="K2771" s="1469">
        <v>44828</v>
      </c>
      <c r="L2771" s="1470"/>
      <c r="M2771" s="1471">
        <v>0</v>
      </c>
      <c r="N2771" s="1472">
        <v>1.8340386999546032</v>
      </c>
      <c r="O2771" s="1472"/>
    </row>
    <row r="2772" spans="11:15">
      <c r="K2772" s="1469">
        <v>44829</v>
      </c>
      <c r="L2772" s="1470"/>
      <c r="M2772" s="1471">
        <v>0</v>
      </c>
      <c r="N2772" s="1472">
        <v>1.8340386999546032</v>
      </c>
      <c r="O2772" s="1472"/>
    </row>
    <row r="2773" spans="11:15">
      <c r="K2773" s="1469">
        <v>44830</v>
      </c>
      <c r="L2773" s="1470" t="s">
        <v>2129</v>
      </c>
      <c r="M2773" s="1471">
        <v>5.0788E-2</v>
      </c>
      <c r="N2773" s="1472">
        <v>1.8349701715295361</v>
      </c>
      <c r="O2773" s="1472"/>
    </row>
    <row r="2774" spans="11:15">
      <c r="K2774" s="1469">
        <v>44831</v>
      </c>
      <c r="L2774" s="1470" t="s">
        <v>2129</v>
      </c>
      <c r="M2774" s="1471">
        <v>5.0788E-2</v>
      </c>
      <c r="N2774" s="1472">
        <v>1.8359021161802527</v>
      </c>
      <c r="O2774" s="1472"/>
    </row>
    <row r="2775" spans="11:15">
      <c r="K2775" s="1469">
        <v>44832</v>
      </c>
      <c r="L2775" s="1470" t="s">
        <v>2129</v>
      </c>
      <c r="M2775" s="1471">
        <v>5.0788E-2</v>
      </c>
      <c r="N2775" s="1472">
        <v>1.8368345341470182</v>
      </c>
      <c r="O2775" s="1472"/>
    </row>
    <row r="2776" spans="11:15">
      <c r="K2776" s="1469">
        <v>44833</v>
      </c>
      <c r="L2776" s="1470" t="s">
        <v>2129</v>
      </c>
      <c r="M2776" s="1471">
        <v>5.0788E-2</v>
      </c>
      <c r="N2776" s="1472">
        <v>1.8377674256702208</v>
      </c>
      <c r="O2776" s="1472"/>
    </row>
    <row r="2777" spans="11:15">
      <c r="K2777" s="1469">
        <v>44834</v>
      </c>
      <c r="L2777" s="1470" t="s">
        <v>2129</v>
      </c>
      <c r="M2777" s="1471">
        <v>5.0788E-2</v>
      </c>
      <c r="N2777" s="1472">
        <v>1.8387007909903701</v>
      </c>
      <c r="O2777" s="1472"/>
    </row>
    <row r="2778" spans="11:15">
      <c r="K2778" s="1469">
        <v>44835</v>
      </c>
      <c r="L2778" s="1470"/>
      <c r="M2778" s="1471">
        <v>0</v>
      </c>
      <c r="N2778" s="1472">
        <v>1.8387007909903701</v>
      </c>
      <c r="O2778" s="1472"/>
    </row>
    <row r="2779" spans="11:15">
      <c r="K2779" s="1469">
        <v>44836</v>
      </c>
      <c r="L2779" s="1470"/>
      <c r="M2779" s="1471">
        <v>0</v>
      </c>
      <c r="N2779" s="1472">
        <v>1.8387007909903701</v>
      </c>
      <c r="O2779" s="1472"/>
    </row>
    <row r="2780" spans="11:15">
      <c r="K2780" s="1469">
        <v>44837</v>
      </c>
      <c r="L2780" s="1470" t="s">
        <v>2129</v>
      </c>
      <c r="M2780" s="1471">
        <v>5.0788E-2</v>
      </c>
      <c r="N2780" s="1472">
        <v>1.8396346303480984</v>
      </c>
      <c r="O2780" s="1472"/>
    </row>
    <row r="2781" spans="11:15">
      <c r="K2781" s="1469">
        <v>44838</v>
      </c>
      <c r="L2781" s="1470" t="s">
        <v>2129</v>
      </c>
      <c r="M2781" s="1471">
        <v>5.0788E-2</v>
      </c>
      <c r="N2781" s="1472">
        <v>1.8405689439841595</v>
      </c>
      <c r="O2781" s="1472"/>
    </row>
    <row r="2782" spans="11:15">
      <c r="K2782" s="1469">
        <v>44839</v>
      </c>
      <c r="L2782" s="1470" t="s">
        <v>2129</v>
      </c>
      <c r="M2782" s="1471">
        <v>5.0788E-2</v>
      </c>
      <c r="N2782" s="1472">
        <v>1.8415037321394301</v>
      </c>
      <c r="O2782" s="1472"/>
    </row>
    <row r="2783" spans="11:15">
      <c r="K2783" s="1469">
        <v>44840</v>
      </c>
      <c r="L2783" s="1470" t="s">
        <v>2129</v>
      </c>
      <c r="M2783" s="1471">
        <v>5.0788E-2</v>
      </c>
      <c r="N2783" s="1472">
        <v>1.8424389950549092</v>
      </c>
      <c r="O2783" s="1472"/>
    </row>
    <row r="2784" spans="11:15">
      <c r="K2784" s="1469">
        <v>44841</v>
      </c>
      <c r="L2784" s="1470" t="s">
        <v>2129</v>
      </c>
      <c r="M2784" s="1471">
        <v>5.0788E-2</v>
      </c>
      <c r="N2784" s="1472">
        <v>1.8433747329717176</v>
      </c>
      <c r="O2784" s="1472"/>
    </row>
    <row r="2785" spans="11:15">
      <c r="K2785" s="1469">
        <v>44842</v>
      </c>
      <c r="L2785" s="1470"/>
      <c r="M2785" s="1471">
        <v>0</v>
      </c>
      <c r="N2785" s="1472">
        <v>1.8433747329717176</v>
      </c>
      <c r="O2785" s="1472"/>
    </row>
    <row r="2786" spans="11:15">
      <c r="K2786" s="1469">
        <v>44843</v>
      </c>
      <c r="L2786" s="1470"/>
      <c r="M2786" s="1471">
        <v>0</v>
      </c>
      <c r="N2786" s="1472">
        <v>1.8433747329717176</v>
      </c>
      <c r="O2786" s="1472"/>
    </row>
    <row r="2787" spans="11:15">
      <c r="K2787" s="1469">
        <v>44844</v>
      </c>
      <c r="L2787" s="1470" t="s">
        <v>2129</v>
      </c>
      <c r="M2787" s="1471">
        <v>5.0788E-2</v>
      </c>
      <c r="N2787" s="1472">
        <v>1.8443109461310994</v>
      </c>
      <c r="O2787" s="1472"/>
    </row>
    <row r="2788" spans="11:15">
      <c r="K2788" s="1469">
        <v>44845</v>
      </c>
      <c r="L2788" s="1470" t="s">
        <v>2129</v>
      </c>
      <c r="M2788" s="1471">
        <v>5.0788E-2</v>
      </c>
      <c r="N2788" s="1472">
        <v>1.8452476347744204</v>
      </c>
      <c r="O2788" s="1472"/>
    </row>
    <row r="2789" spans="11:15">
      <c r="K2789" s="1469">
        <v>44846</v>
      </c>
      <c r="L2789" s="1470"/>
      <c r="M2789" s="1471">
        <v>0</v>
      </c>
      <c r="N2789" s="1472">
        <v>1.8452476347744204</v>
      </c>
      <c r="O2789" s="1472"/>
    </row>
    <row r="2790" spans="11:15">
      <c r="K2790" s="1469">
        <v>44847</v>
      </c>
      <c r="L2790" s="1470" t="s">
        <v>2129</v>
      </c>
      <c r="M2790" s="1471">
        <v>5.0788E-2</v>
      </c>
      <c r="N2790" s="1472">
        <v>1.8461847991431697</v>
      </c>
      <c r="O2790" s="1472"/>
    </row>
    <row r="2791" spans="11:15">
      <c r="K2791" s="1469">
        <v>44848</v>
      </c>
      <c r="L2791" s="1470" t="s">
        <v>2129</v>
      </c>
      <c r="M2791" s="1471">
        <v>5.0788E-2</v>
      </c>
      <c r="N2791" s="1472">
        <v>1.8471224394789585</v>
      </c>
      <c r="O2791" s="1472"/>
    </row>
    <row r="2792" spans="11:15">
      <c r="K2792" s="1469">
        <v>44849</v>
      </c>
      <c r="L2792" s="1470"/>
      <c r="M2792" s="1471">
        <v>0</v>
      </c>
      <c r="N2792" s="1472">
        <v>1.8471224394789585</v>
      </c>
      <c r="O2792" s="1472"/>
    </row>
    <row r="2793" spans="11:15">
      <c r="K2793" s="1469">
        <v>44850</v>
      </c>
      <c r="L2793" s="1470"/>
      <c r="M2793" s="1471">
        <v>0</v>
      </c>
      <c r="N2793" s="1472">
        <v>1.8471224394789585</v>
      </c>
      <c r="O2793" s="1472"/>
    </row>
    <row r="2794" spans="11:15">
      <c r="K2794" s="1469">
        <v>44851</v>
      </c>
      <c r="L2794" s="1470" t="s">
        <v>2129</v>
      </c>
      <c r="M2794" s="1471">
        <v>5.0788E-2</v>
      </c>
      <c r="N2794" s="1472">
        <v>1.848060556023521</v>
      </c>
      <c r="O2794" s="1472"/>
    </row>
    <row r="2795" spans="11:15">
      <c r="K2795" s="1469">
        <v>44852</v>
      </c>
      <c r="L2795" s="1470" t="s">
        <v>2129</v>
      </c>
      <c r="M2795" s="1471">
        <v>5.0788E-2</v>
      </c>
      <c r="N2795" s="1472">
        <v>1.8489991490187143</v>
      </c>
      <c r="O2795" s="1472"/>
    </row>
    <row r="2796" spans="11:15">
      <c r="K2796" s="1469">
        <v>44853</v>
      </c>
      <c r="L2796" s="1470" t="s">
        <v>2129</v>
      </c>
      <c r="M2796" s="1471">
        <v>5.0788E-2</v>
      </c>
      <c r="N2796" s="1472">
        <v>1.8499382187065179</v>
      </c>
      <c r="O2796" s="1472"/>
    </row>
    <row r="2797" spans="11:15">
      <c r="K2797" s="1469">
        <v>44854</v>
      </c>
      <c r="L2797" s="1470" t="s">
        <v>2129</v>
      </c>
      <c r="M2797" s="1471">
        <v>5.0788E-2</v>
      </c>
      <c r="N2797" s="1472">
        <v>1.8508777653290345</v>
      </c>
      <c r="O2797" s="1472"/>
    </row>
    <row r="2798" spans="11:15">
      <c r="K2798" s="1469">
        <v>44855</v>
      </c>
      <c r="L2798" s="1470" t="s">
        <v>2129</v>
      </c>
      <c r="M2798" s="1471">
        <v>5.0788E-2</v>
      </c>
      <c r="N2798" s="1472">
        <v>1.8518177891284897</v>
      </c>
      <c r="O2798" s="1472"/>
    </row>
    <row r="2799" spans="11:15">
      <c r="K2799" s="1469">
        <v>44856</v>
      </c>
      <c r="L2799" s="1470"/>
      <c r="M2799" s="1471">
        <v>0</v>
      </c>
      <c r="N2799" s="1472">
        <v>1.8518177891284897</v>
      </c>
      <c r="O2799" s="1472"/>
    </row>
    <row r="2800" spans="11:15">
      <c r="K2800" s="1469">
        <v>44857</v>
      </c>
      <c r="L2800" s="1470"/>
      <c r="M2800" s="1471">
        <v>0</v>
      </c>
      <c r="N2800" s="1472">
        <v>1.8518177891284897</v>
      </c>
      <c r="O2800" s="1472"/>
    </row>
    <row r="2801" spans="11:15">
      <c r="K2801" s="1469">
        <v>44858</v>
      </c>
      <c r="L2801" s="1470" t="s">
        <v>2129</v>
      </c>
      <c r="M2801" s="1471">
        <v>5.0788E-2</v>
      </c>
      <c r="N2801" s="1472">
        <v>1.8527582903472324</v>
      </c>
      <c r="O2801" s="1472"/>
    </row>
    <row r="2802" spans="11:15">
      <c r="K2802" s="1469">
        <v>44859</v>
      </c>
      <c r="L2802" s="1470" t="s">
        <v>2129</v>
      </c>
      <c r="M2802" s="1471">
        <v>5.0788E-2</v>
      </c>
      <c r="N2802" s="1472">
        <v>1.8536992692277339</v>
      </c>
      <c r="O2802" s="1472"/>
    </row>
    <row r="2803" spans="11:15">
      <c r="K2803" s="1469">
        <v>44860</v>
      </c>
      <c r="L2803" s="1470" t="s">
        <v>2129</v>
      </c>
      <c r="M2803" s="1471">
        <v>5.0788E-2</v>
      </c>
      <c r="N2803" s="1472">
        <v>1.8546407260125892</v>
      </c>
      <c r="O2803" s="1472"/>
    </row>
    <row r="2804" spans="11:15">
      <c r="K2804" s="1469">
        <v>44861</v>
      </c>
      <c r="L2804" s="1470" t="s">
        <v>2129</v>
      </c>
      <c r="M2804" s="1471">
        <v>5.0788E-2</v>
      </c>
      <c r="N2804" s="1472">
        <v>1.8555826609445165</v>
      </c>
      <c r="O2804" s="1472"/>
    </row>
    <row r="2805" spans="11:15">
      <c r="K2805" s="1469">
        <v>44862</v>
      </c>
      <c r="L2805" s="1470" t="s">
        <v>2129</v>
      </c>
      <c r="M2805" s="1471">
        <v>5.0788E-2</v>
      </c>
      <c r="N2805" s="1472">
        <v>1.856525074266357</v>
      </c>
      <c r="O2805" s="1472"/>
    </row>
    <row r="2806" spans="11:15">
      <c r="K2806" s="1469">
        <v>44863</v>
      </c>
      <c r="L2806" s="1470"/>
      <c r="M2806" s="1471">
        <v>0</v>
      </c>
      <c r="N2806" s="1472">
        <v>1.856525074266357</v>
      </c>
      <c r="O2806" s="1472"/>
    </row>
    <row r="2807" spans="11:15">
      <c r="K2807" s="1469">
        <v>44864</v>
      </c>
      <c r="L2807" s="1470"/>
      <c r="M2807" s="1471">
        <v>0</v>
      </c>
      <c r="N2807" s="1472">
        <v>1.856525074266357</v>
      </c>
      <c r="O2807" s="1472"/>
    </row>
    <row r="2808" spans="11:15">
      <c r="K2808" s="1469">
        <v>44865</v>
      </c>
      <c r="L2808" s="1470" t="s">
        <v>2129</v>
      </c>
      <c r="M2808" s="1471">
        <v>5.0788E-2</v>
      </c>
      <c r="N2808" s="1472">
        <v>1.8574679662210756</v>
      </c>
      <c r="O2808" s="1472"/>
    </row>
    <row r="2809" spans="11:15">
      <c r="K2809" s="1469">
        <v>44866</v>
      </c>
      <c r="L2809" s="1470" t="s">
        <v>2129</v>
      </c>
      <c r="M2809" s="1471">
        <v>5.0788E-2</v>
      </c>
      <c r="N2809" s="1472">
        <v>1.8584113370517599</v>
      </c>
      <c r="O2809" s="1472"/>
    </row>
    <row r="2810" spans="11:15">
      <c r="K2810" s="1469">
        <v>44867</v>
      </c>
      <c r="L2810" s="1470"/>
      <c r="M2810" s="1471">
        <v>0</v>
      </c>
      <c r="N2810" s="1472">
        <v>1.8584113370517599</v>
      </c>
      <c r="O2810" s="1472"/>
    </row>
    <row r="2811" spans="11:15">
      <c r="K2811" s="1469">
        <v>44868</v>
      </c>
      <c r="L2811" s="1470" t="s">
        <v>2129</v>
      </c>
      <c r="M2811" s="1471">
        <v>5.0788E-2</v>
      </c>
      <c r="N2811" s="1472">
        <v>1.8593551870016218</v>
      </c>
      <c r="O2811" s="1472"/>
    </row>
    <row r="2812" spans="11:15">
      <c r="K2812" s="1469">
        <v>44869</v>
      </c>
      <c r="L2812" s="1470" t="s">
        <v>2129</v>
      </c>
      <c r="M2812" s="1471">
        <v>5.0788E-2</v>
      </c>
      <c r="N2812" s="1472">
        <v>1.8602995163139961</v>
      </c>
      <c r="O2812" s="1472"/>
    </row>
    <row r="2813" spans="11:15">
      <c r="K2813" s="1469">
        <v>44870</v>
      </c>
      <c r="L2813" s="1470"/>
      <c r="M2813" s="1471">
        <v>0</v>
      </c>
      <c r="N2813" s="1472">
        <v>1.8602995163139961</v>
      </c>
      <c r="O2813" s="1472"/>
    </row>
    <row r="2814" spans="11:15">
      <c r="K2814" s="1469">
        <v>44871</v>
      </c>
      <c r="L2814" s="1470"/>
      <c r="M2814" s="1471">
        <v>0</v>
      </c>
      <c r="N2814" s="1472">
        <v>1.8602995163139961</v>
      </c>
      <c r="O2814" s="1472"/>
    </row>
    <row r="2815" spans="11:15">
      <c r="K2815" s="1469">
        <v>44872</v>
      </c>
      <c r="L2815" s="1470" t="s">
        <v>2129</v>
      </c>
      <c r="M2815" s="1471">
        <v>5.0788E-2</v>
      </c>
      <c r="N2815" s="1472">
        <v>1.8612443252323416</v>
      </c>
      <c r="O2815" s="1472"/>
    </row>
    <row r="2816" spans="11:15">
      <c r="K2816" s="1469">
        <v>44873</v>
      </c>
      <c r="L2816" s="1470" t="s">
        <v>2129</v>
      </c>
      <c r="M2816" s="1471">
        <v>5.0788E-2</v>
      </c>
      <c r="N2816" s="1472">
        <v>1.8621896140002407</v>
      </c>
      <c r="O2816" s="1472"/>
    </row>
    <row r="2817" spans="11:15">
      <c r="K2817" s="1469">
        <v>44874</v>
      </c>
      <c r="L2817" s="1470" t="s">
        <v>2129</v>
      </c>
      <c r="M2817" s="1471">
        <v>5.0788E-2</v>
      </c>
      <c r="N2817" s="1472">
        <v>1.8631353828613992</v>
      </c>
      <c r="O2817" s="1472"/>
    </row>
    <row r="2818" spans="11:15">
      <c r="K2818" s="1469">
        <v>44875</v>
      </c>
      <c r="L2818" s="1470" t="s">
        <v>2129</v>
      </c>
      <c r="M2818" s="1471">
        <v>5.0788E-2</v>
      </c>
      <c r="N2818" s="1472">
        <v>1.8640816320596469</v>
      </c>
      <c r="O2818" s="1472"/>
    </row>
    <row r="2819" spans="11:15">
      <c r="K2819" s="1469">
        <v>44876</v>
      </c>
      <c r="L2819" s="1470" t="s">
        <v>2129</v>
      </c>
      <c r="M2819" s="1471">
        <v>5.0788E-2</v>
      </c>
      <c r="N2819" s="1472">
        <v>1.8650283618389374</v>
      </c>
      <c r="O2819" s="1472"/>
    </row>
    <row r="2820" spans="11:15">
      <c r="K2820" s="1469">
        <v>44877</v>
      </c>
      <c r="L2820" s="1470"/>
      <c r="M2820" s="1471">
        <v>0</v>
      </c>
      <c r="N2820" s="1472">
        <v>1.8650283618389374</v>
      </c>
      <c r="O2820" s="1472"/>
    </row>
    <row r="2821" spans="11:15">
      <c r="K2821" s="1469">
        <v>44878</v>
      </c>
      <c r="L2821" s="1470"/>
      <c r="M2821" s="1471">
        <v>0</v>
      </c>
      <c r="N2821" s="1472">
        <v>1.8650283618389374</v>
      </c>
      <c r="O2821" s="1472"/>
    </row>
    <row r="2822" spans="11:15">
      <c r="K2822" s="1469">
        <v>44879</v>
      </c>
      <c r="L2822" s="1470" t="s">
        <v>2129</v>
      </c>
      <c r="M2822" s="1471">
        <v>5.0788E-2</v>
      </c>
      <c r="N2822" s="1472">
        <v>1.8659755724433482</v>
      </c>
      <c r="O2822" s="1472"/>
    </row>
    <row r="2823" spans="11:15">
      <c r="K2823" s="1469">
        <v>44880</v>
      </c>
      <c r="L2823" s="1470"/>
      <c r="M2823" s="1471">
        <v>0</v>
      </c>
      <c r="N2823" s="1472">
        <v>1.8659755724433482</v>
      </c>
      <c r="O2823" s="1472"/>
    </row>
    <row r="2824" spans="11:15">
      <c r="K2824" s="1469">
        <v>44881</v>
      </c>
      <c r="L2824" s="1470" t="s">
        <v>2129</v>
      </c>
      <c r="M2824" s="1471">
        <v>5.0788E-2</v>
      </c>
      <c r="N2824" s="1472">
        <v>1.8669232641170808</v>
      </c>
      <c r="O2824" s="1472"/>
    </row>
    <row r="2825" spans="11:15">
      <c r="K2825" s="1469">
        <v>44882</v>
      </c>
      <c r="L2825" s="1470" t="s">
        <v>2129</v>
      </c>
      <c r="M2825" s="1471">
        <v>5.0788E-2</v>
      </c>
      <c r="N2825" s="1472">
        <v>1.8678714371044605</v>
      </c>
      <c r="O2825" s="1472"/>
    </row>
    <row r="2826" spans="11:15">
      <c r="K2826" s="1469">
        <v>44883</v>
      </c>
      <c r="L2826" s="1470" t="s">
        <v>2129</v>
      </c>
      <c r="M2826" s="1471">
        <v>5.0788E-2</v>
      </c>
      <c r="N2826" s="1472">
        <v>1.8688200916499371</v>
      </c>
      <c r="O2826" s="1472"/>
    </row>
    <row r="2827" spans="11:15">
      <c r="K2827" s="1469">
        <v>44884</v>
      </c>
      <c r="L2827" s="1470"/>
      <c r="M2827" s="1471">
        <v>0</v>
      </c>
      <c r="N2827" s="1472">
        <v>1.8688200916499371</v>
      </c>
      <c r="O2827" s="1472"/>
    </row>
    <row r="2828" spans="11:15">
      <c r="K2828" s="1469">
        <v>44885</v>
      </c>
      <c r="L2828" s="1470"/>
      <c r="M2828" s="1471">
        <v>0</v>
      </c>
      <c r="N2828" s="1472">
        <v>1.8688200916499371</v>
      </c>
      <c r="O2828" s="1472"/>
    </row>
    <row r="2829" spans="11:15">
      <c r="K2829" s="1469">
        <v>44886</v>
      </c>
      <c r="L2829" s="1470" t="s">
        <v>2129</v>
      </c>
      <c r="M2829" s="1471">
        <v>5.0788E-2</v>
      </c>
      <c r="N2829" s="1472">
        <v>1.8697692279980844</v>
      </c>
      <c r="O2829" s="1472"/>
    </row>
    <row r="2830" spans="11:15">
      <c r="K2830" s="1469">
        <v>44887</v>
      </c>
      <c r="L2830" s="1470" t="s">
        <v>2129</v>
      </c>
      <c r="M2830" s="1471">
        <v>5.0788E-2</v>
      </c>
      <c r="N2830" s="1472">
        <v>1.8707188463936002</v>
      </c>
      <c r="O2830" s="1472"/>
    </row>
    <row r="2831" spans="11:15">
      <c r="K2831" s="1469">
        <v>44888</v>
      </c>
      <c r="L2831" s="1470" t="s">
        <v>2129</v>
      </c>
      <c r="M2831" s="1471">
        <v>5.0788E-2</v>
      </c>
      <c r="N2831" s="1472">
        <v>1.8716689470813066</v>
      </c>
      <c r="O2831" s="1472"/>
    </row>
    <row r="2832" spans="11:15">
      <c r="K2832" s="1469">
        <v>44889</v>
      </c>
      <c r="L2832" s="1470" t="s">
        <v>2129</v>
      </c>
      <c r="M2832" s="1471">
        <v>5.0788E-2</v>
      </c>
      <c r="N2832" s="1472">
        <v>1.8726195303061504</v>
      </c>
      <c r="O2832" s="1472"/>
    </row>
    <row r="2833" spans="11:15">
      <c r="K2833" s="1469">
        <v>44890</v>
      </c>
      <c r="L2833" s="1470" t="s">
        <v>2129</v>
      </c>
      <c r="M2833" s="1471">
        <v>5.0788E-2</v>
      </c>
      <c r="N2833" s="1472">
        <v>1.8735705963132023</v>
      </c>
      <c r="O2833" s="1472"/>
    </row>
    <row r="2834" spans="11:15">
      <c r="K2834" s="1469">
        <v>44891</v>
      </c>
      <c r="L2834" s="1470"/>
      <c r="M2834" s="1471">
        <v>0</v>
      </c>
      <c r="N2834" s="1472">
        <v>1.8735705963132023</v>
      </c>
      <c r="O2834" s="1472"/>
    </row>
    <row r="2835" spans="11:15">
      <c r="K2835" s="1469">
        <v>44892</v>
      </c>
      <c r="L2835" s="1470"/>
      <c r="M2835" s="1471">
        <v>0</v>
      </c>
      <c r="N2835" s="1472">
        <v>1.8735705963132023</v>
      </c>
      <c r="O2835" s="1472"/>
    </row>
    <row r="2836" spans="11:15">
      <c r="K2836" s="1469">
        <v>44893</v>
      </c>
      <c r="L2836" s="1470" t="s">
        <v>2129</v>
      </c>
      <c r="M2836" s="1471">
        <v>5.0788E-2</v>
      </c>
      <c r="N2836" s="1472">
        <v>1.8745221453476579</v>
      </c>
      <c r="O2836" s="1472"/>
    </row>
    <row r="2837" spans="11:15">
      <c r="K2837" s="1469">
        <v>44894</v>
      </c>
      <c r="L2837" s="1470" t="s">
        <v>2129</v>
      </c>
      <c r="M2837" s="1471">
        <v>5.0788E-2</v>
      </c>
      <c r="N2837" s="1472">
        <v>1.8754741776548371</v>
      </c>
      <c r="O2837" s="1472"/>
    </row>
    <row r="2838" spans="11:15">
      <c r="K2838" s="1469">
        <v>44895</v>
      </c>
      <c r="L2838" s="1470" t="s">
        <v>2129</v>
      </c>
      <c r="M2838" s="1471">
        <v>5.0788E-2</v>
      </c>
      <c r="N2838" s="1472">
        <v>1.8764266934801845</v>
      </c>
      <c r="O2838" s="1472"/>
    </row>
    <row r="2839" spans="11:15">
      <c r="K2839" s="1469">
        <v>44896</v>
      </c>
      <c r="L2839" s="1470" t="s">
        <v>2129</v>
      </c>
      <c r="M2839" s="1471">
        <v>5.0788E-2</v>
      </c>
      <c r="N2839" s="1472">
        <v>1.8773796930692692</v>
      </c>
      <c r="O2839" s="1472"/>
    </row>
    <row r="2840" spans="11:15">
      <c r="K2840" s="1469">
        <v>44897</v>
      </c>
      <c r="L2840" s="1470" t="s">
        <v>2129</v>
      </c>
      <c r="M2840" s="1471">
        <v>5.0788E-2</v>
      </c>
      <c r="N2840" s="1472">
        <v>1.8783331766677853</v>
      </c>
      <c r="O2840" s="1472"/>
    </row>
    <row r="2841" spans="11:15">
      <c r="K2841" s="1469">
        <v>44898</v>
      </c>
      <c r="L2841" s="1470"/>
      <c r="M2841" s="1471">
        <v>0</v>
      </c>
      <c r="N2841" s="1472">
        <v>1.8783331766677853</v>
      </c>
      <c r="O2841" s="1472"/>
    </row>
    <row r="2842" spans="11:15">
      <c r="K2842" s="1469">
        <v>44899</v>
      </c>
      <c r="L2842" s="1470"/>
      <c r="M2842" s="1471">
        <v>0</v>
      </c>
      <c r="N2842" s="1472">
        <v>1.8783331766677853</v>
      </c>
      <c r="O2842" s="1472"/>
    </row>
    <row r="2843" spans="11:15">
      <c r="K2843" s="1469">
        <v>44900</v>
      </c>
      <c r="L2843" s="1470" t="s">
        <v>2129</v>
      </c>
      <c r="M2843" s="1471">
        <v>5.0788E-2</v>
      </c>
      <c r="N2843" s="1472">
        <v>1.8792871445215513</v>
      </c>
      <c r="O2843" s="1472"/>
    </row>
    <row r="2844" spans="11:15">
      <c r="K2844" s="1469">
        <v>44901</v>
      </c>
      <c r="L2844" s="1470" t="s">
        <v>2129</v>
      </c>
      <c r="M2844" s="1471">
        <v>5.0788E-2</v>
      </c>
      <c r="N2844" s="1472">
        <v>1.8802415968765109</v>
      </c>
      <c r="O2844" s="1472"/>
    </row>
    <row r="2845" spans="11:15">
      <c r="K2845" s="1469">
        <v>44902</v>
      </c>
      <c r="L2845" s="1470" t="s">
        <v>2129</v>
      </c>
      <c r="M2845" s="1471">
        <v>5.0788E-2</v>
      </c>
      <c r="N2845" s="1472">
        <v>1.8811965339787327</v>
      </c>
      <c r="O2845" s="1472"/>
    </row>
    <row r="2846" spans="11:15">
      <c r="K2846" s="1469">
        <v>44903</v>
      </c>
      <c r="L2846" s="1470" t="s">
        <v>2129</v>
      </c>
      <c r="M2846" s="1471">
        <v>5.0788E-2</v>
      </c>
      <c r="N2846" s="1472">
        <v>1.8821519560744098</v>
      </c>
      <c r="O2846" s="1472"/>
    </row>
    <row r="2847" spans="11:15">
      <c r="K2847" s="1469">
        <v>44904</v>
      </c>
      <c r="L2847" s="1470" t="s">
        <v>2129</v>
      </c>
      <c r="M2847" s="1471">
        <v>5.0788E-2</v>
      </c>
      <c r="N2847" s="1472">
        <v>1.8831078634098608</v>
      </c>
      <c r="O2847" s="1472"/>
    </row>
    <row r="2848" spans="11:15">
      <c r="K2848" s="1469">
        <v>44905</v>
      </c>
      <c r="L2848" s="1470"/>
      <c r="M2848" s="1471">
        <v>0</v>
      </c>
      <c r="N2848" s="1472">
        <v>1.8831078634098608</v>
      </c>
      <c r="O2848" s="1472"/>
    </row>
    <row r="2849" spans="11:15">
      <c r="K2849" s="1469">
        <v>44906</v>
      </c>
      <c r="L2849" s="1470"/>
      <c r="M2849" s="1471">
        <v>0</v>
      </c>
      <c r="N2849" s="1472">
        <v>1.8831078634098608</v>
      </c>
      <c r="O2849" s="1472"/>
    </row>
    <row r="2850" spans="11:15">
      <c r="K2850" s="1469">
        <v>44907</v>
      </c>
      <c r="L2850" s="1470" t="s">
        <v>2129</v>
      </c>
      <c r="M2850" s="1471">
        <v>5.0788E-2</v>
      </c>
      <c r="N2850" s="1472">
        <v>1.8840642562315295</v>
      </c>
      <c r="O2850" s="1472"/>
    </row>
    <row r="2851" spans="11:15">
      <c r="K2851" s="1469">
        <v>44908</v>
      </c>
      <c r="L2851" s="1470" t="s">
        <v>2129</v>
      </c>
      <c r="M2851" s="1471">
        <v>5.0788E-2</v>
      </c>
      <c r="N2851" s="1472">
        <v>1.8850211347859844</v>
      </c>
      <c r="O2851" s="1472"/>
    </row>
    <row r="2852" spans="11:15">
      <c r="K2852" s="1469">
        <v>44909</v>
      </c>
      <c r="L2852" s="1470" t="s">
        <v>2129</v>
      </c>
      <c r="M2852" s="1471">
        <v>5.0788E-2</v>
      </c>
      <c r="N2852" s="1472">
        <v>1.8859784993199196</v>
      </c>
      <c r="O2852" s="1472"/>
    </row>
    <row r="2853" spans="11:15">
      <c r="K2853" s="1469">
        <v>44910</v>
      </c>
      <c r="L2853" s="1470" t="s">
        <v>2129</v>
      </c>
      <c r="M2853" s="1471">
        <v>5.0788E-2</v>
      </c>
      <c r="N2853" s="1472">
        <v>1.8869363500801541</v>
      </c>
      <c r="O2853" s="1472"/>
    </row>
    <row r="2854" spans="11:15">
      <c r="K2854" s="1469">
        <v>44911</v>
      </c>
      <c r="L2854" s="1470" t="s">
        <v>2129</v>
      </c>
      <c r="M2854" s="1471">
        <v>5.0788E-2</v>
      </c>
      <c r="N2854" s="1472">
        <v>1.8878946873136329</v>
      </c>
      <c r="O2854" s="1472"/>
    </row>
    <row r="2855" spans="11:15">
      <c r="K2855" s="1469">
        <v>44912</v>
      </c>
      <c r="L2855" s="1470"/>
      <c r="M2855" s="1471">
        <v>0</v>
      </c>
      <c r="N2855" s="1472">
        <v>1.8878946873136329</v>
      </c>
      <c r="O2855" s="1472"/>
    </row>
    <row r="2856" spans="11:15">
      <c r="K2856" s="1469">
        <v>44913</v>
      </c>
      <c r="L2856" s="1470"/>
      <c r="M2856" s="1471">
        <v>0</v>
      </c>
      <c r="N2856" s="1472">
        <v>1.8878946873136329</v>
      </c>
      <c r="O2856" s="1472"/>
    </row>
    <row r="2857" spans="11:15">
      <c r="K2857" s="1469">
        <v>44914</v>
      </c>
      <c r="L2857" s="1470" t="s">
        <v>2129</v>
      </c>
      <c r="M2857" s="1471">
        <v>5.0788E-2</v>
      </c>
      <c r="N2857" s="1472">
        <v>1.8888535112674258</v>
      </c>
      <c r="O2857" s="1472"/>
    </row>
    <row r="2858" spans="11:15">
      <c r="K2858" s="1469">
        <v>44915</v>
      </c>
      <c r="L2858" s="1470" t="s">
        <v>2129</v>
      </c>
      <c r="M2858" s="1471">
        <v>5.0788E-2</v>
      </c>
      <c r="N2858" s="1472">
        <v>1.8898128221887285</v>
      </c>
      <c r="O2858" s="1472"/>
    </row>
    <row r="2859" spans="11:15">
      <c r="K2859" s="1469">
        <v>44916</v>
      </c>
      <c r="L2859" s="1470" t="s">
        <v>2129</v>
      </c>
      <c r="M2859" s="1471">
        <v>5.0788E-2</v>
      </c>
      <c r="N2859" s="1472">
        <v>1.8907726203248618</v>
      </c>
      <c r="O2859" s="1472"/>
    </row>
    <row r="2860" spans="11:15">
      <c r="K2860" s="1469">
        <v>44917</v>
      </c>
      <c r="L2860" s="1470" t="s">
        <v>2129</v>
      </c>
      <c r="M2860" s="1471">
        <v>5.0788E-2</v>
      </c>
      <c r="N2860" s="1472">
        <v>1.8917329059232724</v>
      </c>
      <c r="O2860" s="1472"/>
    </row>
    <row r="2861" spans="11:15">
      <c r="K2861" s="1469">
        <v>44918</v>
      </c>
      <c r="L2861" s="1470" t="s">
        <v>2129</v>
      </c>
      <c r="M2861" s="1471">
        <v>5.0788E-2</v>
      </c>
      <c r="N2861" s="1472">
        <v>1.8926936792315328</v>
      </c>
      <c r="O2861" s="1472"/>
    </row>
    <row r="2862" spans="11:15">
      <c r="K2862" s="1469">
        <v>44919</v>
      </c>
      <c r="L2862" s="1470"/>
      <c r="M2862" s="1471">
        <v>0</v>
      </c>
      <c r="N2862" s="1472">
        <v>1.8926936792315328</v>
      </c>
      <c r="O2862" s="1472"/>
    </row>
    <row r="2863" spans="11:15">
      <c r="K2863" s="1469">
        <v>44920</v>
      </c>
      <c r="L2863" s="1470"/>
      <c r="M2863" s="1471">
        <v>0</v>
      </c>
      <c r="N2863" s="1472">
        <v>1.8926936792315328</v>
      </c>
      <c r="O2863" s="1472"/>
    </row>
    <row r="2864" spans="11:15">
      <c r="K2864" s="1469">
        <v>44921</v>
      </c>
      <c r="L2864" s="1470" t="s">
        <v>2129</v>
      </c>
      <c r="M2864" s="1471">
        <v>5.0788E-2</v>
      </c>
      <c r="N2864" s="1472">
        <v>1.8936549404973408</v>
      </c>
      <c r="O2864" s="1472"/>
    </row>
    <row r="2865" spans="11:15">
      <c r="K2865" s="1469">
        <v>44922</v>
      </c>
      <c r="L2865" s="1470" t="s">
        <v>2129</v>
      </c>
      <c r="M2865" s="1471">
        <v>5.0788E-2</v>
      </c>
      <c r="N2865" s="1472">
        <v>1.8946166899685206</v>
      </c>
      <c r="O2865" s="1472"/>
    </row>
    <row r="2866" spans="11:15">
      <c r="K2866" s="1469">
        <v>44923</v>
      </c>
      <c r="L2866" s="1470" t="s">
        <v>2129</v>
      </c>
      <c r="M2866" s="1471">
        <v>5.0788E-2</v>
      </c>
      <c r="N2866" s="1472">
        <v>1.895578927893022</v>
      </c>
      <c r="O2866" s="1472"/>
    </row>
    <row r="2867" spans="11:15">
      <c r="K2867" s="1469">
        <v>44924</v>
      </c>
      <c r="L2867" s="1470" t="s">
        <v>2129</v>
      </c>
      <c r="M2867" s="1471">
        <v>5.0788E-2</v>
      </c>
      <c r="N2867" s="1472">
        <v>1.8965416545189202</v>
      </c>
      <c r="O2867" s="1472"/>
    </row>
    <row r="2868" spans="11:15">
      <c r="K2868" s="1469">
        <v>44925</v>
      </c>
      <c r="L2868" s="1470" t="s">
        <v>2129</v>
      </c>
      <c r="M2868" s="1471">
        <v>5.0788E-2</v>
      </c>
      <c r="N2868" s="1472">
        <v>1.8975048700944173</v>
      </c>
      <c r="O2868" s="1472"/>
    </row>
    <row r="2869" spans="11:15">
      <c r="K2869" s="1469">
        <v>44926</v>
      </c>
      <c r="L2869" s="1470"/>
      <c r="M2869" s="1471">
        <v>0</v>
      </c>
      <c r="N2869" s="1472">
        <v>1.8975048700944173</v>
      </c>
      <c r="O2869" s="1472"/>
    </row>
    <row r="2870" spans="11:15">
      <c r="K2870" s="1469">
        <v>44927</v>
      </c>
      <c r="L2870" s="1470"/>
      <c r="M2870" s="1471">
        <v>0</v>
      </c>
      <c r="N2870" s="1472">
        <v>1.8975048700944173</v>
      </c>
      <c r="O2870" s="1472"/>
    </row>
    <row r="2871" spans="11:15">
      <c r="K2871" s="1469">
        <v>44928</v>
      </c>
      <c r="L2871" s="1470" t="s">
        <v>2129</v>
      </c>
      <c r="M2871" s="1471">
        <v>5.0788E-2</v>
      </c>
      <c r="N2871" s="1472">
        <v>1.8984685748678409</v>
      </c>
      <c r="O2871" s="1472"/>
    </row>
    <row r="2872" spans="11:15">
      <c r="K2872" s="1469">
        <v>44929</v>
      </c>
      <c r="L2872" s="1470" t="s">
        <v>2129</v>
      </c>
      <c r="M2872" s="1471">
        <v>5.0788E-2</v>
      </c>
      <c r="N2872" s="1472">
        <v>1.8994327690876449</v>
      </c>
      <c r="O2872" s="1472"/>
    </row>
    <row r="2873" spans="11:15">
      <c r="K2873" s="1469">
        <v>44930</v>
      </c>
      <c r="L2873" s="1470" t="s">
        <v>2129</v>
      </c>
      <c r="M2873" s="1471">
        <v>5.0788E-2</v>
      </c>
      <c r="N2873" s="1472">
        <v>1.9003974530024093</v>
      </c>
      <c r="O2873" s="1472"/>
    </row>
    <row r="2874" spans="11:15">
      <c r="K2874" s="1469">
        <v>44931</v>
      </c>
      <c r="L2874" s="1470" t="s">
        <v>2129</v>
      </c>
      <c r="M2874" s="1471">
        <v>5.0788E-2</v>
      </c>
      <c r="N2874" s="1472">
        <v>1.9013626268608401</v>
      </c>
      <c r="O2874" s="1472"/>
    </row>
    <row r="2875" spans="11:15">
      <c r="K2875" s="1469">
        <v>44932</v>
      </c>
      <c r="L2875" s="1470" t="s">
        <v>2129</v>
      </c>
      <c r="M2875" s="1471">
        <v>5.0788E-2</v>
      </c>
      <c r="N2875" s="1472">
        <v>1.9023282909117702</v>
      </c>
      <c r="O2875" s="1472"/>
    </row>
    <row r="2876" spans="11:15">
      <c r="K2876" s="1469">
        <v>44933</v>
      </c>
      <c r="L2876" s="1470"/>
      <c r="M2876" s="1471">
        <v>0</v>
      </c>
      <c r="N2876" s="1472">
        <v>1.9023282909117702</v>
      </c>
      <c r="O2876" s="1472"/>
    </row>
    <row r="2877" spans="11:15">
      <c r="K2877" s="1469">
        <v>44934</v>
      </c>
      <c r="L2877" s="1470"/>
      <c r="M2877" s="1471">
        <v>0</v>
      </c>
      <c r="N2877" s="1472">
        <v>1.9023282909117702</v>
      </c>
      <c r="O2877" s="1472"/>
    </row>
    <row r="2878" spans="11:15">
      <c r="K2878" s="1469">
        <v>44935</v>
      </c>
      <c r="L2878" s="1470" t="s">
        <v>2129</v>
      </c>
      <c r="M2878" s="1471">
        <v>5.0788E-2</v>
      </c>
      <c r="N2878" s="1472">
        <v>1.9032944454041585</v>
      </c>
      <c r="O2878" s="1472"/>
    </row>
    <row r="2879" spans="11:15">
      <c r="K2879" s="1469">
        <v>44936</v>
      </c>
      <c r="L2879" s="1470" t="s">
        <v>2129</v>
      </c>
      <c r="M2879" s="1471">
        <v>5.0788E-2</v>
      </c>
      <c r="N2879" s="1472">
        <v>1.9042610905870905</v>
      </c>
      <c r="O2879" s="1472"/>
    </row>
    <row r="2880" spans="11:15">
      <c r="K2880" s="1469">
        <v>44937</v>
      </c>
      <c r="L2880" s="1470" t="s">
        <v>2129</v>
      </c>
      <c r="M2880" s="1471">
        <v>5.0788E-2</v>
      </c>
      <c r="N2880" s="1472">
        <v>1.905228226709778</v>
      </c>
      <c r="O2880" s="1472"/>
    </row>
    <row r="2881" spans="11:15">
      <c r="K2881" s="1469">
        <v>44938</v>
      </c>
      <c r="L2881" s="1470" t="s">
        <v>2129</v>
      </c>
      <c r="M2881" s="1471">
        <v>5.0788E-2</v>
      </c>
      <c r="N2881" s="1472">
        <v>1.9061958540215593</v>
      </c>
      <c r="O2881" s="1472"/>
    </row>
    <row r="2882" spans="11:15">
      <c r="K2882" s="1469">
        <v>44939</v>
      </c>
      <c r="L2882" s="1470" t="s">
        <v>2129</v>
      </c>
      <c r="M2882" s="1471">
        <v>5.0788E-2</v>
      </c>
      <c r="N2882" s="1472">
        <v>1.9071639727718999</v>
      </c>
      <c r="O2882" s="1472"/>
    </row>
    <row r="2883" spans="11:15">
      <c r="K2883" s="1469">
        <v>44940</v>
      </c>
      <c r="L2883" s="1470"/>
      <c r="M2883" s="1471">
        <v>0</v>
      </c>
      <c r="N2883" s="1472">
        <v>1.9071639727718999</v>
      </c>
      <c r="O2883" s="1472"/>
    </row>
    <row r="2884" spans="11:15">
      <c r="K2884" s="1469">
        <v>44941</v>
      </c>
      <c r="L2884" s="1470"/>
      <c r="M2884" s="1471">
        <v>0</v>
      </c>
      <c r="N2884" s="1472">
        <v>1.9071639727718999</v>
      </c>
      <c r="O2884" s="1472"/>
    </row>
    <row r="2885" spans="11:15">
      <c r="K2885" s="1469">
        <v>44942</v>
      </c>
      <c r="L2885" s="1470" t="s">
        <v>2129</v>
      </c>
      <c r="M2885" s="1471">
        <v>5.0788E-2</v>
      </c>
      <c r="N2885" s="1472">
        <v>1.9081325832103913</v>
      </c>
      <c r="O2885" s="1472"/>
    </row>
    <row r="2886" spans="11:15">
      <c r="K2886" s="1469">
        <v>44943</v>
      </c>
      <c r="L2886" s="1470" t="s">
        <v>2129</v>
      </c>
      <c r="M2886" s="1471">
        <v>5.0788E-2</v>
      </c>
      <c r="N2886" s="1472">
        <v>1.9091016855867522</v>
      </c>
      <c r="O2886" s="1472"/>
    </row>
    <row r="2887" spans="11:15">
      <c r="K2887" s="1469">
        <v>44944</v>
      </c>
      <c r="L2887" s="1470" t="s">
        <v>2129</v>
      </c>
      <c r="M2887" s="1471">
        <v>5.0788E-2</v>
      </c>
      <c r="N2887" s="1472">
        <v>1.9100712801508279</v>
      </c>
      <c r="O2887" s="1472"/>
    </row>
    <row r="2888" spans="11:15">
      <c r="K2888" s="1469">
        <v>44945</v>
      </c>
      <c r="L2888" s="1470" t="s">
        <v>2129</v>
      </c>
      <c r="M2888" s="1471">
        <v>5.0788E-2</v>
      </c>
      <c r="N2888" s="1472">
        <v>1.911041367152591</v>
      </c>
      <c r="O2888" s="1472"/>
    </row>
    <row r="2889" spans="11:15">
      <c r="K2889" s="1469">
        <v>44946</v>
      </c>
      <c r="L2889" s="1470" t="s">
        <v>2129</v>
      </c>
      <c r="M2889" s="1471">
        <v>5.0788E-2</v>
      </c>
      <c r="N2889" s="1472">
        <v>1.9120119468421404</v>
      </c>
      <c r="O2889" s="1472"/>
    </row>
    <row r="2890" spans="11:15">
      <c r="K2890" s="1469">
        <v>44947</v>
      </c>
      <c r="L2890" s="1470"/>
      <c r="M2890" s="1471">
        <v>0</v>
      </c>
      <c r="N2890" s="1472">
        <v>1.9120119468421404</v>
      </c>
      <c r="O2890" s="1472"/>
    </row>
    <row r="2891" spans="11:15">
      <c r="K2891" s="1469">
        <v>44948</v>
      </c>
      <c r="L2891" s="1470"/>
      <c r="M2891" s="1471">
        <v>0</v>
      </c>
      <c r="N2891" s="1472">
        <v>1.9120119468421404</v>
      </c>
      <c r="O2891" s="1472"/>
    </row>
    <row r="2892" spans="11:15">
      <c r="K2892" s="1469">
        <v>44949</v>
      </c>
      <c r="L2892" s="1470" t="s">
        <v>2129</v>
      </c>
      <c r="M2892" s="1471">
        <v>5.0788E-2</v>
      </c>
      <c r="N2892" s="1472">
        <v>1.9129830194697026</v>
      </c>
      <c r="O2892" s="1472"/>
    </row>
    <row r="2893" spans="11:15">
      <c r="K2893" s="1469">
        <v>44950</v>
      </c>
      <c r="L2893" s="1470" t="s">
        <v>2129</v>
      </c>
      <c r="M2893" s="1471">
        <v>5.0788E-2</v>
      </c>
      <c r="N2893" s="1472">
        <v>1.913954585285631</v>
      </c>
      <c r="O2893" s="1472"/>
    </row>
    <row r="2894" spans="11:15">
      <c r="K2894" s="1469">
        <v>44951</v>
      </c>
      <c r="L2894" s="1470" t="s">
        <v>2129</v>
      </c>
      <c r="M2894" s="1471">
        <v>5.0788E-2</v>
      </c>
      <c r="N2894" s="1472">
        <v>1.9149266445404058</v>
      </c>
      <c r="O2894" s="1472"/>
    </row>
    <row r="2895" spans="11:15">
      <c r="K2895" s="1469">
        <v>44952</v>
      </c>
      <c r="L2895" s="1470" t="s">
        <v>2129</v>
      </c>
      <c r="M2895" s="1471">
        <v>5.0788E-2</v>
      </c>
      <c r="N2895" s="1472">
        <v>1.9158991974846351</v>
      </c>
      <c r="O2895" s="1472"/>
    </row>
    <row r="2896" spans="11:15">
      <c r="K2896" s="1469">
        <v>44953</v>
      </c>
      <c r="L2896" s="1470" t="s">
        <v>2129</v>
      </c>
      <c r="M2896" s="1471">
        <v>5.0788E-2</v>
      </c>
      <c r="N2896" s="1472">
        <v>1.9168722443690536</v>
      </c>
      <c r="O2896" s="1472"/>
    </row>
    <row r="2897" spans="11:15">
      <c r="K2897" s="1469">
        <v>44954</v>
      </c>
      <c r="L2897" s="1470"/>
      <c r="M2897" s="1471">
        <v>0</v>
      </c>
      <c r="N2897" s="1472">
        <v>1.9168722443690536</v>
      </c>
      <c r="O2897" s="1472"/>
    </row>
    <row r="2898" spans="11:15">
      <c r="K2898" s="1469">
        <v>44955</v>
      </c>
      <c r="L2898" s="1470"/>
      <c r="M2898" s="1471">
        <v>0</v>
      </c>
      <c r="N2898" s="1472">
        <v>1.9168722443690536</v>
      </c>
      <c r="O2898" s="1472"/>
    </row>
    <row r="2899" spans="11:15">
      <c r="K2899" s="1469">
        <v>44956</v>
      </c>
      <c r="L2899" s="1470" t="s">
        <v>2129</v>
      </c>
      <c r="M2899" s="1471">
        <v>5.0788E-2</v>
      </c>
      <c r="N2899" s="1472">
        <v>1.9178457854445237</v>
      </c>
      <c r="O2899" s="1472"/>
    </row>
    <row r="2900" spans="11:15">
      <c r="K2900" s="1469">
        <v>44957</v>
      </c>
      <c r="L2900" s="1470" t="s">
        <v>2129</v>
      </c>
      <c r="M2900" s="1471">
        <v>5.0788E-2</v>
      </c>
      <c r="N2900" s="1472">
        <v>1.9188198209620353</v>
      </c>
      <c r="O2900" s="1472"/>
    </row>
    <row r="2901" spans="11:15">
      <c r="K2901" s="1469">
        <v>44958</v>
      </c>
      <c r="L2901" s="1470" t="s">
        <v>2129</v>
      </c>
      <c r="M2901" s="1471">
        <v>5.0788E-2</v>
      </c>
      <c r="N2901" s="1472">
        <v>1.9197943511727056</v>
      </c>
      <c r="O2901" s="1472"/>
    </row>
    <row r="2902" spans="11:15">
      <c r="K2902" s="1469">
        <v>44959</v>
      </c>
      <c r="L2902" s="1470" t="s">
        <v>2129</v>
      </c>
      <c r="M2902" s="1471">
        <v>5.0788E-2</v>
      </c>
      <c r="N2902" s="1472">
        <v>1.9207693763277791</v>
      </c>
      <c r="O2902" s="1472"/>
    </row>
    <row r="2903" spans="11:15">
      <c r="K2903" s="1469">
        <v>44960</v>
      </c>
      <c r="L2903" s="1470" t="s">
        <v>2129</v>
      </c>
      <c r="M2903" s="1471">
        <v>5.0788E-2</v>
      </c>
      <c r="N2903" s="1472">
        <v>1.9217448966786286</v>
      </c>
      <c r="O2903" s="1472"/>
    </row>
    <row r="2904" spans="11:15">
      <c r="K2904" s="1469">
        <v>44961</v>
      </c>
      <c r="L2904" s="1470"/>
      <c r="M2904" s="1471">
        <v>0</v>
      </c>
      <c r="N2904" s="1472">
        <v>1.9217448966786286</v>
      </c>
      <c r="O2904" s="1472"/>
    </row>
    <row r="2905" spans="11:15">
      <c r="K2905" s="1469">
        <v>44962</v>
      </c>
      <c r="L2905" s="1470"/>
      <c r="M2905" s="1471">
        <v>0</v>
      </c>
      <c r="N2905" s="1472">
        <v>1.9217448966786286</v>
      </c>
      <c r="O2905" s="1472"/>
    </row>
    <row r="2906" spans="11:15">
      <c r="K2906" s="1469">
        <v>44963</v>
      </c>
      <c r="L2906" s="1470" t="s">
        <v>2129</v>
      </c>
      <c r="M2906" s="1471">
        <v>5.0788E-2</v>
      </c>
      <c r="N2906" s="1472">
        <v>1.9227209124767537</v>
      </c>
      <c r="O2906" s="1472"/>
    </row>
    <row r="2907" spans="11:15">
      <c r="K2907" s="1469">
        <v>44964</v>
      </c>
      <c r="L2907" s="1470" t="s">
        <v>2129</v>
      </c>
      <c r="M2907" s="1471">
        <v>5.0788E-2</v>
      </c>
      <c r="N2907" s="1472">
        <v>1.9236974239737825</v>
      </c>
      <c r="O2907" s="1472"/>
    </row>
    <row r="2908" spans="11:15">
      <c r="K2908" s="1469">
        <v>44965</v>
      </c>
      <c r="L2908" s="1470" t="s">
        <v>2129</v>
      </c>
      <c r="M2908" s="1471">
        <v>5.0788E-2</v>
      </c>
      <c r="N2908" s="1472">
        <v>1.9246744314214703</v>
      </c>
      <c r="O2908" s="1472"/>
    </row>
    <row r="2909" spans="11:15">
      <c r="K2909" s="1469">
        <v>44966</v>
      </c>
      <c r="L2909" s="1470" t="s">
        <v>2129</v>
      </c>
      <c r="M2909" s="1471">
        <v>5.0788E-2</v>
      </c>
      <c r="N2909" s="1472">
        <v>1.9256519350717007</v>
      </c>
      <c r="O2909" s="1472"/>
    </row>
    <row r="2910" spans="11:15">
      <c r="K2910" s="1469">
        <v>44967</v>
      </c>
      <c r="L2910" s="1470" t="s">
        <v>2129</v>
      </c>
      <c r="M2910" s="1471">
        <v>5.0788E-2</v>
      </c>
      <c r="N2910" s="1472">
        <v>1.9266299351764851</v>
      </c>
      <c r="O2910" s="1472"/>
    </row>
    <row r="2911" spans="11:15">
      <c r="K2911" s="1469">
        <v>44968</v>
      </c>
      <c r="L2911" s="1470"/>
      <c r="M2911" s="1471">
        <v>0</v>
      </c>
      <c r="N2911" s="1472">
        <v>1.9266299351764851</v>
      </c>
      <c r="O2911" s="1472"/>
    </row>
    <row r="2912" spans="11:15">
      <c r="K2912" s="1469">
        <v>44969</v>
      </c>
      <c r="L2912" s="1470"/>
      <c r="M2912" s="1471">
        <v>0</v>
      </c>
      <c r="N2912" s="1472">
        <v>1.9266299351764851</v>
      </c>
      <c r="O2912" s="1472"/>
    </row>
    <row r="2913" spans="11:15">
      <c r="K2913" s="1469">
        <v>44970</v>
      </c>
      <c r="L2913" s="1470" t="s">
        <v>2129</v>
      </c>
      <c r="M2913" s="1471">
        <v>5.0788E-2</v>
      </c>
      <c r="N2913" s="1472">
        <v>1.9276084319879625</v>
      </c>
      <c r="O2913" s="1472"/>
    </row>
    <row r="2914" spans="11:15">
      <c r="K2914" s="1469">
        <v>44971</v>
      </c>
      <c r="L2914" s="1470" t="s">
        <v>2129</v>
      </c>
      <c r="M2914" s="1471">
        <v>5.0788E-2</v>
      </c>
      <c r="N2914" s="1472">
        <v>1.9285874257584006</v>
      </c>
      <c r="O2914" s="1472"/>
    </row>
    <row r="2915" spans="11:15">
      <c r="K2915" s="1469">
        <v>44972</v>
      </c>
      <c r="L2915" s="1470" t="s">
        <v>2129</v>
      </c>
      <c r="M2915" s="1471">
        <v>5.0788E-2</v>
      </c>
      <c r="N2915" s="1472">
        <v>1.9295669167401948</v>
      </c>
      <c r="O2915" s="1472"/>
    </row>
    <row r="2916" spans="11:15">
      <c r="K2916" s="1469">
        <v>44973</v>
      </c>
      <c r="L2916" s="1470" t="s">
        <v>2129</v>
      </c>
      <c r="M2916" s="1471">
        <v>5.0788E-2</v>
      </c>
      <c r="N2916" s="1472">
        <v>1.9305469051858688</v>
      </c>
      <c r="O2916" s="1472"/>
    </row>
    <row r="2917" spans="11:15">
      <c r="K2917" s="1469">
        <v>44974</v>
      </c>
      <c r="L2917" s="1470" t="s">
        <v>2129</v>
      </c>
      <c r="M2917" s="1471">
        <v>5.0788E-2</v>
      </c>
      <c r="N2917" s="1472">
        <v>1.9315273913480746</v>
      </c>
      <c r="O2917" s="1472"/>
    </row>
    <row r="2918" spans="11:15">
      <c r="K2918" s="1469">
        <v>44975</v>
      </c>
      <c r="L2918" s="1470"/>
      <c r="M2918" s="1471">
        <v>0</v>
      </c>
      <c r="N2918" s="1472">
        <v>1.9315273913480746</v>
      </c>
      <c r="O2918" s="1472"/>
    </row>
    <row r="2919" spans="11:15">
      <c r="K2919" s="1469">
        <v>44976</v>
      </c>
      <c r="L2919" s="1470"/>
      <c r="M2919" s="1471">
        <v>0</v>
      </c>
      <c r="N2919" s="1472">
        <v>1.9315273913480746</v>
      </c>
      <c r="O2919" s="1472"/>
    </row>
    <row r="2920" spans="11:15">
      <c r="K2920" s="1469">
        <v>44977</v>
      </c>
      <c r="L2920" s="1470"/>
      <c r="M2920" s="1471">
        <v>0</v>
      </c>
      <c r="N2920" s="1472">
        <v>1.9315273913480746</v>
      </c>
      <c r="O2920" s="1472"/>
    </row>
    <row r="2921" spans="11:15">
      <c r="K2921" s="1469">
        <v>44978</v>
      </c>
      <c r="L2921" s="1470"/>
      <c r="M2921" s="1471">
        <v>0</v>
      </c>
      <c r="N2921" s="1472">
        <v>1.9315273913480746</v>
      </c>
      <c r="O2921" s="1472"/>
    </row>
    <row r="2922" spans="11:15">
      <c r="K2922" s="1469">
        <v>44979</v>
      </c>
      <c r="L2922" s="1470" t="s">
        <v>2129</v>
      </c>
      <c r="M2922" s="1471">
        <v>5.0788E-2</v>
      </c>
      <c r="N2922" s="1472">
        <v>1.9325083754795924</v>
      </c>
      <c r="O2922" s="1472"/>
    </row>
    <row r="2923" spans="11:15">
      <c r="K2923" s="1469">
        <v>44980</v>
      </c>
      <c r="L2923" s="1470" t="s">
        <v>2129</v>
      </c>
      <c r="M2923" s="1471">
        <v>5.0788E-2</v>
      </c>
      <c r="N2923" s="1472">
        <v>1.933489857833331</v>
      </c>
      <c r="O2923" s="1472"/>
    </row>
    <row r="2924" spans="11:15">
      <c r="K2924" s="1469">
        <v>44981</v>
      </c>
      <c r="L2924" s="1470" t="s">
        <v>2129</v>
      </c>
      <c r="M2924" s="1471">
        <v>5.0788E-2</v>
      </c>
      <c r="N2924" s="1472">
        <v>1.9344718386623274</v>
      </c>
      <c r="O2924" s="1472"/>
    </row>
    <row r="2925" spans="11:15">
      <c r="K2925" s="1469">
        <v>44982</v>
      </c>
      <c r="L2925" s="1470"/>
      <c r="M2925" s="1471">
        <v>0</v>
      </c>
      <c r="N2925" s="1472">
        <v>1.9344718386623274</v>
      </c>
      <c r="O2925" s="1472"/>
    </row>
    <row r="2926" spans="11:15">
      <c r="K2926" s="1469">
        <v>44983</v>
      </c>
      <c r="L2926" s="1470"/>
      <c r="M2926" s="1471">
        <v>0</v>
      </c>
      <c r="N2926" s="1472">
        <v>1.9344718386623274</v>
      </c>
      <c r="O2926" s="1472"/>
    </row>
    <row r="2927" spans="11:15">
      <c r="K2927" s="1469">
        <v>44984</v>
      </c>
      <c r="L2927" s="1470" t="s">
        <v>2129</v>
      </c>
      <c r="M2927" s="1471">
        <v>5.0788E-2</v>
      </c>
      <c r="N2927" s="1472">
        <v>1.9354543182197472</v>
      </c>
      <c r="O2927" s="1472"/>
    </row>
    <row r="2928" spans="11:15">
      <c r="K2928" s="1469">
        <v>44985</v>
      </c>
      <c r="L2928" s="1470" t="s">
        <v>2129</v>
      </c>
      <c r="M2928" s="1471">
        <v>5.0788E-2</v>
      </c>
      <c r="N2928" s="1472">
        <v>1.9364372967588848</v>
      </c>
      <c r="O2928" s="1472"/>
    </row>
    <row r="2929" spans="11:15">
      <c r="K2929" s="1469">
        <v>44986</v>
      </c>
      <c r="L2929" s="1470" t="s">
        <v>2129</v>
      </c>
      <c r="M2929" s="1471">
        <v>5.0788E-2</v>
      </c>
      <c r="N2929" s="1472">
        <v>1.9374207745331626</v>
      </c>
      <c r="O2929" s="1472"/>
    </row>
    <row r="2930" spans="11:15">
      <c r="K2930" s="1469">
        <v>44987</v>
      </c>
      <c r="L2930" s="1473" t="s">
        <v>2129</v>
      </c>
      <c r="M2930" s="850">
        <v>5.0788E-2</v>
      </c>
      <c r="N2930" s="1473">
        <v>1.9384047517961325</v>
      </c>
      <c r="O2930" s="1473"/>
    </row>
    <row r="2931" spans="11:15">
      <c r="K2931" s="1469">
        <v>44988</v>
      </c>
      <c r="L2931" s="1473" t="s">
        <v>2129</v>
      </c>
      <c r="M2931" s="850">
        <v>5.0788E-2</v>
      </c>
      <c r="N2931" s="1473">
        <v>1.9393892288014747</v>
      </c>
      <c r="O2931" s="1473"/>
    </row>
    <row r="2932" spans="11:15">
      <c r="K2932" s="1469">
        <v>44989</v>
      </c>
      <c r="L2932" s="1473"/>
      <c r="M2932" s="850">
        <v>0</v>
      </c>
      <c r="N2932" s="1473">
        <v>1.9393892288014747</v>
      </c>
      <c r="O2932" s="1473"/>
    </row>
    <row r="2933" spans="11:15">
      <c r="K2933" s="1469">
        <v>44990</v>
      </c>
      <c r="L2933" s="1473"/>
      <c r="M2933" s="850">
        <v>0</v>
      </c>
      <c r="N2933" s="1473">
        <v>1.9393892288014747</v>
      </c>
      <c r="O2933" s="1473"/>
    </row>
    <row r="2934" spans="11:15">
      <c r="K2934" s="1469">
        <v>44991</v>
      </c>
      <c r="L2934" s="1473" t="s">
        <v>2129</v>
      </c>
      <c r="M2934" s="850">
        <v>5.0788E-2</v>
      </c>
      <c r="N2934" s="1473">
        <v>1.9403742058029985</v>
      </c>
      <c r="O2934" s="1473"/>
    </row>
    <row r="2935" spans="11:15">
      <c r="K2935" s="1469">
        <v>44992</v>
      </c>
      <c r="L2935" s="1473" t="s">
        <v>2129</v>
      </c>
      <c r="M2935" s="850">
        <v>5.0788E-2</v>
      </c>
      <c r="N2935" s="1473">
        <v>1.9413596830546418</v>
      </c>
      <c r="O2935" s="1473"/>
    </row>
    <row r="2936" spans="11:15">
      <c r="K2936" s="1469">
        <v>44993</v>
      </c>
      <c r="L2936" s="1473" t="s">
        <v>2129</v>
      </c>
      <c r="M2936" s="850">
        <v>5.0788E-2</v>
      </c>
      <c r="N2936" s="1473">
        <v>1.9423456608104717</v>
      </c>
      <c r="O2936" s="1473"/>
    </row>
    <row r="2937" spans="11:15">
      <c r="K2937" s="1469">
        <v>44994</v>
      </c>
      <c r="L2937" s="1473" t="s">
        <v>2129</v>
      </c>
      <c r="M2937" s="850">
        <v>5.0788E-2</v>
      </c>
      <c r="N2937" s="1473">
        <v>1.9433321393246841</v>
      </c>
      <c r="O2937" s="1473"/>
    </row>
    <row r="2938" spans="11:15">
      <c r="K2938" s="1469">
        <v>44995</v>
      </c>
      <c r="L2938" s="1473" t="s">
        <v>2129</v>
      </c>
      <c r="M2938" s="850">
        <v>5.0788E-2</v>
      </c>
      <c r="N2938" s="1473">
        <v>1.9443191188516042</v>
      </c>
      <c r="O2938" s="1473"/>
    </row>
    <row r="2939" spans="11:15">
      <c r="K2939" s="1469">
        <v>44996</v>
      </c>
      <c r="L2939" s="1473"/>
      <c r="M2939" s="850">
        <v>0</v>
      </c>
      <c r="N2939" s="1473">
        <v>1.9443191188516042</v>
      </c>
      <c r="O2939" s="1473"/>
    </row>
    <row r="2940" spans="11:15">
      <c r="K2940" s="1469">
        <v>44997</v>
      </c>
      <c r="L2940" s="1473"/>
      <c r="M2940" s="850">
        <v>0</v>
      </c>
      <c r="N2940" s="1473">
        <v>1.9443191188516042</v>
      </c>
      <c r="O2940" s="1473"/>
    </row>
    <row r="2941" spans="11:15">
      <c r="K2941" s="1469">
        <v>44998</v>
      </c>
      <c r="L2941" s="1473" t="s">
        <v>2129</v>
      </c>
      <c r="M2941" s="850">
        <v>5.0788E-2</v>
      </c>
      <c r="N2941" s="1473">
        <v>1.9453065996456866</v>
      </c>
      <c r="O2941" s="1473"/>
    </row>
    <row r="2942" spans="11:15">
      <c r="K2942" s="1469">
        <v>44999</v>
      </c>
      <c r="L2942" s="1473" t="s">
        <v>2129</v>
      </c>
      <c r="M2942" s="850">
        <v>5.0788E-2</v>
      </c>
      <c r="N2942" s="1473">
        <v>1.9462945819615147</v>
      </c>
      <c r="O2942" s="1473"/>
    </row>
    <row r="2943" spans="11:15">
      <c r="K2943" s="1469">
        <v>45000</v>
      </c>
      <c r="L2943" s="1473" t="s">
        <v>2129</v>
      </c>
      <c r="M2943" s="850">
        <v>5.0788E-2</v>
      </c>
      <c r="N2943" s="1473">
        <v>1.9472830660538014</v>
      </c>
      <c r="O2943" s="1473"/>
    </row>
    <row r="2944" spans="11:15">
      <c r="K2944" s="1469">
        <v>45001</v>
      </c>
      <c r="L2944" s="1473" t="s">
        <v>2129</v>
      </c>
      <c r="M2944" s="850">
        <v>5.0788E-2</v>
      </c>
      <c r="N2944" s="1473">
        <v>1.9482720521773889</v>
      </c>
      <c r="O2944" s="1473"/>
    </row>
    <row r="2945" spans="11:15">
      <c r="K2945" s="1469">
        <v>45002</v>
      </c>
      <c r="L2945" s="1473" t="s">
        <v>2129</v>
      </c>
      <c r="M2945" s="850">
        <v>5.0788E-2</v>
      </c>
      <c r="N2945" s="1473">
        <v>1.9492615405872487</v>
      </c>
      <c r="O2945" s="1473"/>
    </row>
    <row r="2946" spans="11:15">
      <c r="K2946" s="1469">
        <v>45003</v>
      </c>
      <c r="L2946" s="1473"/>
      <c r="M2946" s="850">
        <v>0</v>
      </c>
      <c r="N2946" s="1473">
        <v>1.9492615405872487</v>
      </c>
      <c r="O2946" s="1473"/>
    </row>
    <row r="2947" spans="11:15">
      <c r="K2947" s="1469">
        <v>45004</v>
      </c>
      <c r="L2947" s="1473"/>
      <c r="M2947" s="850">
        <v>0</v>
      </c>
      <c r="N2947" s="1473">
        <v>1.9492615405872487</v>
      </c>
      <c r="O2947" s="1473"/>
    </row>
    <row r="2948" spans="11:15">
      <c r="K2948" s="1469">
        <v>45005</v>
      </c>
      <c r="L2948" s="1473" t="s">
        <v>2129</v>
      </c>
      <c r="M2948" s="850">
        <v>5.0788E-2</v>
      </c>
      <c r="N2948" s="1473">
        <v>1.9502515315384821</v>
      </c>
      <c r="O2948" s="1473"/>
    </row>
    <row r="2949" spans="11:15">
      <c r="K2949" s="1469">
        <v>45006</v>
      </c>
      <c r="L2949" s="1473" t="s">
        <v>2129</v>
      </c>
      <c r="M2949" s="850">
        <v>5.0788E-2</v>
      </c>
      <c r="N2949" s="1473">
        <v>1.9512420252863198</v>
      </c>
      <c r="O2949" s="1473"/>
    </row>
    <row r="2950" spans="11:15">
      <c r="K2950" s="1469">
        <v>45007</v>
      </c>
      <c r="L2950" s="1473" t="s">
        <v>2129</v>
      </c>
      <c r="M2950" s="850">
        <v>5.0788E-2</v>
      </c>
      <c r="N2950" s="1473">
        <v>1.9522330220861224</v>
      </c>
      <c r="O2950" s="1473"/>
    </row>
    <row r="2951" spans="11:15">
      <c r="K2951" s="1469">
        <v>45008</v>
      </c>
      <c r="L2951" s="1473" t="s">
        <v>2129</v>
      </c>
      <c r="M2951" s="850">
        <v>5.0788E-2</v>
      </c>
      <c r="N2951" s="1473">
        <v>1.9532245221933795</v>
      </c>
      <c r="O2951" s="1473"/>
    </row>
    <row r="2952" spans="11:15">
      <c r="K2952" s="1469">
        <v>45009</v>
      </c>
      <c r="L2952" s="1473" t="s">
        <v>2129</v>
      </c>
      <c r="M2952" s="850">
        <v>5.0788E-2</v>
      </c>
      <c r="N2952" s="1473">
        <v>1.9542165258637112</v>
      </c>
      <c r="O2952" s="1473"/>
    </row>
    <row r="2953" spans="11:15">
      <c r="K2953" s="1469">
        <v>45010</v>
      </c>
      <c r="L2953" s="1473"/>
      <c r="M2953" s="850">
        <v>0</v>
      </c>
      <c r="N2953" s="1473">
        <v>1.9542165258637112</v>
      </c>
      <c r="O2953" s="1473"/>
    </row>
    <row r="2954" spans="11:15">
      <c r="K2954" s="1469">
        <v>45011</v>
      </c>
      <c r="L2954" s="1473"/>
      <c r="M2954" s="850">
        <v>0</v>
      </c>
      <c r="N2954" s="1473">
        <v>1.9542165258637112</v>
      </c>
      <c r="O2954" s="1473"/>
    </row>
    <row r="2955" spans="11:15">
      <c r="K2955" s="1469">
        <v>45012</v>
      </c>
      <c r="L2955" s="1473" t="s">
        <v>2129</v>
      </c>
      <c r="M2955" s="850">
        <v>5.0788E-2</v>
      </c>
      <c r="N2955" s="1473">
        <v>1.9552090333528669</v>
      </c>
      <c r="O2955" s="1473"/>
    </row>
    <row r="2956" spans="11:15">
      <c r="K2956" s="1469">
        <v>45013</v>
      </c>
      <c r="L2956" s="1473" t="s">
        <v>2129</v>
      </c>
      <c r="M2956" s="850">
        <v>5.0788E-2</v>
      </c>
      <c r="N2956" s="1473">
        <v>1.9562020449167261</v>
      </c>
      <c r="O2956" s="1473"/>
    </row>
    <row r="2957" spans="11:15">
      <c r="K2957" s="1469">
        <v>45014</v>
      </c>
      <c r="L2957" s="1473" t="s">
        <v>2129</v>
      </c>
      <c r="M2957" s="850">
        <v>5.0788E-2</v>
      </c>
      <c r="N2957" s="1473">
        <v>1.9571955608112985</v>
      </c>
      <c r="O2957" s="1473"/>
    </row>
    <row r="2958" spans="11:15">
      <c r="K2958" s="1469">
        <v>45015</v>
      </c>
      <c r="L2958" s="1473" t="s">
        <v>2129</v>
      </c>
      <c r="M2958" s="850">
        <v>5.0788E-2</v>
      </c>
      <c r="N2958" s="1473">
        <v>1.9581895812927235</v>
      </c>
      <c r="O2958" s="1473"/>
    </row>
    <row r="2959" spans="11:15">
      <c r="K2959" s="1469">
        <v>45016</v>
      </c>
      <c r="L2959" s="1473" t="s">
        <v>2129</v>
      </c>
      <c r="M2959" s="850">
        <v>5.0788E-2</v>
      </c>
      <c r="N2959" s="1473">
        <v>1.9591841066172704</v>
      </c>
      <c r="O2959" s="1473"/>
    </row>
    <row r="2960" spans="11:15">
      <c r="K2960" s="1469">
        <v>45017</v>
      </c>
      <c r="L2960" s="1473"/>
      <c r="M2960" s="850">
        <v>0</v>
      </c>
      <c r="N2960" s="1473">
        <v>1.9591841066172704</v>
      </c>
      <c r="O2960" s="1473"/>
    </row>
    <row r="2961" spans="11:15">
      <c r="K2961" s="1469">
        <v>45018</v>
      </c>
      <c r="L2961" s="1473"/>
      <c r="M2961" s="850">
        <v>0</v>
      </c>
      <c r="N2961" s="1473">
        <v>1.9591841066172704</v>
      </c>
      <c r="O2961" s="1473"/>
    </row>
    <row r="2962" spans="11:15">
      <c r="K2962" s="1469">
        <v>45019</v>
      </c>
      <c r="L2962" s="1473" t="s">
        <v>2129</v>
      </c>
      <c r="M2962" s="850">
        <v>5.0788E-2</v>
      </c>
      <c r="N2962" s="1473">
        <v>1.9601791370413393</v>
      </c>
      <c r="O2962" s="1473"/>
    </row>
    <row r="2963" spans="11:15">
      <c r="K2963" s="1469">
        <v>45020</v>
      </c>
      <c r="L2963" s="1473" t="s">
        <v>2129</v>
      </c>
      <c r="M2963" s="850">
        <v>5.0788E-2</v>
      </c>
      <c r="N2963" s="1473">
        <v>1.9611746728214599</v>
      </c>
      <c r="O2963" s="1473"/>
    </row>
    <row r="2964" spans="11:15">
      <c r="K2964" s="1469">
        <v>45021</v>
      </c>
      <c r="L2964" s="1473" t="s">
        <v>2129</v>
      </c>
      <c r="M2964" s="850">
        <v>5.0788E-2</v>
      </c>
      <c r="N2964" s="1473">
        <v>1.9621707142142923</v>
      </c>
      <c r="O2964" s="1473"/>
    </row>
    <row r="2965" spans="11:15">
      <c r="K2965" s="1469">
        <v>45022</v>
      </c>
      <c r="L2965" s="1473" t="s">
        <v>2129</v>
      </c>
      <c r="M2965" s="850">
        <v>5.0788E-2</v>
      </c>
      <c r="N2965" s="1473">
        <v>1.9631672614766276</v>
      </c>
      <c r="O2965" s="1473"/>
    </row>
    <row r="2966" spans="11:15">
      <c r="K2966" s="1469">
        <v>45023</v>
      </c>
      <c r="L2966" s="1473"/>
      <c r="M2966" s="850">
        <v>0</v>
      </c>
      <c r="N2966" s="1473">
        <v>1.9631672614766276</v>
      </c>
      <c r="O2966" s="1473"/>
    </row>
    <row r="2967" spans="11:15">
      <c r="K2967" s="1469">
        <v>45024</v>
      </c>
      <c r="L2967" s="1473"/>
      <c r="M2967" s="850">
        <v>0</v>
      </c>
      <c r="N2967" s="1473">
        <v>1.9631672614766276</v>
      </c>
      <c r="O2967" s="1473"/>
    </row>
    <row r="2968" spans="11:15">
      <c r="K2968" s="1469">
        <v>45025</v>
      </c>
      <c r="L2968" s="1473"/>
      <c r="M2968" s="850">
        <v>0</v>
      </c>
      <c r="N2968" s="1473">
        <v>1.9631672614766276</v>
      </c>
      <c r="O2968" s="1473"/>
    </row>
    <row r="2969" spans="11:15">
      <c r="K2969" s="1469">
        <v>45026</v>
      </c>
      <c r="L2969" s="1473" t="s">
        <v>2129</v>
      </c>
      <c r="M2969" s="850">
        <v>5.0788E-2</v>
      </c>
      <c r="N2969" s="1473">
        <v>1.9641643148653865</v>
      </c>
      <c r="O2969" s="1473"/>
    </row>
    <row r="2970" spans="11:15">
      <c r="K2970" s="1469">
        <v>45027</v>
      </c>
      <c r="L2970" s="1473" t="s">
        <v>2129</v>
      </c>
      <c r="M2970" s="850">
        <v>5.0788E-2</v>
      </c>
      <c r="N2970" s="1473">
        <v>1.9651618746376203</v>
      </c>
      <c r="O2970" s="1473"/>
    </row>
    <row r="2971" spans="11:15">
      <c r="K2971" s="1469">
        <v>45028</v>
      </c>
      <c r="L2971" s="1473" t="s">
        <v>2129</v>
      </c>
      <c r="M2971" s="850">
        <v>5.0788E-2</v>
      </c>
      <c r="N2971" s="1473">
        <v>1.9661599410505113</v>
      </c>
      <c r="O2971" s="1473"/>
    </row>
    <row r="2972" spans="11:15">
      <c r="K2972" s="1469">
        <v>45029</v>
      </c>
      <c r="L2972" s="1473" t="s">
        <v>2129</v>
      </c>
      <c r="M2972" s="850">
        <v>5.0788E-2</v>
      </c>
      <c r="N2972" s="1473">
        <v>1.9671585143613721</v>
      </c>
      <c r="O2972" s="1473"/>
    </row>
    <row r="2973" spans="11:15">
      <c r="K2973" s="1469">
        <v>45030</v>
      </c>
      <c r="L2973" s="1473" t="s">
        <v>2129</v>
      </c>
      <c r="M2973" s="850">
        <v>5.0788E-2</v>
      </c>
      <c r="N2973" s="1473">
        <v>1.968157594827646</v>
      </c>
      <c r="O2973" s="1473"/>
    </row>
    <row r="2974" spans="11:15">
      <c r="K2974" s="1469">
        <v>45031</v>
      </c>
      <c r="L2974" s="1473"/>
      <c r="M2974" s="850">
        <v>0</v>
      </c>
      <c r="N2974" s="1473">
        <v>1.968157594827646</v>
      </c>
      <c r="O2974" s="1473"/>
    </row>
    <row r="2975" spans="11:15">
      <c r="K2975" s="1469">
        <v>45032</v>
      </c>
      <c r="L2975" s="1473"/>
      <c r="M2975" s="850">
        <v>0</v>
      </c>
      <c r="N2975" s="1473">
        <v>1.968157594827646</v>
      </c>
      <c r="O2975" s="1473"/>
    </row>
    <row r="2976" spans="11:15">
      <c r="K2976" s="1469">
        <v>45033</v>
      </c>
      <c r="L2976" s="1473" t="s">
        <v>2129</v>
      </c>
      <c r="M2976" s="850">
        <v>5.0788E-2</v>
      </c>
      <c r="N2976" s="1473">
        <v>1.969157182706907</v>
      </c>
      <c r="O2976" s="1473"/>
    </row>
    <row r="2977" spans="11:15">
      <c r="K2977" s="1469">
        <v>45034</v>
      </c>
      <c r="L2977" s="1473" t="s">
        <v>2129</v>
      </c>
      <c r="M2977" s="850">
        <v>5.0788E-2</v>
      </c>
      <c r="N2977" s="1473">
        <v>1.9701572782568602</v>
      </c>
      <c r="O2977" s="1473"/>
    </row>
    <row r="2978" spans="11:15">
      <c r="K2978" s="1469">
        <v>45035</v>
      </c>
      <c r="L2978" s="1473" t="s">
        <v>2129</v>
      </c>
      <c r="M2978" s="850">
        <v>5.0788E-2</v>
      </c>
      <c r="N2978" s="1473">
        <v>1.9711578817353412</v>
      </c>
      <c r="O2978" s="1473"/>
    </row>
    <row r="2979" spans="11:15">
      <c r="K2979" s="1469">
        <v>45036</v>
      </c>
      <c r="L2979" s="1473" t="s">
        <v>2129</v>
      </c>
      <c r="M2979" s="850">
        <v>5.0788E-2</v>
      </c>
      <c r="N2979" s="1473">
        <v>1.972158993400317</v>
      </c>
      <c r="O2979" s="1473"/>
    </row>
    <row r="2980" spans="11:15">
      <c r="K2980" s="1469">
        <v>45037</v>
      </c>
      <c r="L2980" s="1473"/>
      <c r="M2980" s="850">
        <v>0</v>
      </c>
      <c r="N2980" s="1473">
        <v>1.972158993400317</v>
      </c>
      <c r="O2980" s="1473"/>
    </row>
    <row r="2981" spans="11:15">
      <c r="K2981" s="1469">
        <v>45038</v>
      </c>
      <c r="L2981" s="1473"/>
      <c r="M2981" s="850">
        <v>0</v>
      </c>
      <c r="N2981" s="1473">
        <v>1.972158993400317</v>
      </c>
      <c r="O2981" s="1473"/>
    </row>
    <row r="2982" spans="11:15">
      <c r="K2982" s="1469">
        <v>45039</v>
      </c>
      <c r="L2982" s="1473"/>
      <c r="M2982" s="850">
        <v>0</v>
      </c>
      <c r="N2982" s="1473">
        <v>1.972158993400317</v>
      </c>
      <c r="O2982" s="1473"/>
    </row>
    <row r="2983" spans="11:15">
      <c r="K2983" s="1469">
        <v>45040</v>
      </c>
      <c r="L2983" s="1473" t="s">
        <v>2129</v>
      </c>
      <c r="M2983" s="850">
        <v>5.0788E-2</v>
      </c>
      <c r="N2983" s="1473">
        <v>1.9731606135098851</v>
      </c>
      <c r="O2983" s="1473"/>
    </row>
    <row r="2984" spans="11:15">
      <c r="K2984" s="1469">
        <v>45041</v>
      </c>
      <c r="L2984" s="1473" t="s">
        <v>2129</v>
      </c>
      <c r="M2984" s="850">
        <v>5.0788E-2</v>
      </c>
      <c r="N2984" s="1473">
        <v>1.9741627423222745</v>
      </c>
      <c r="O2984" s="1473"/>
    </row>
    <row r="2985" spans="11:15">
      <c r="K2985" s="1469">
        <v>45042</v>
      </c>
      <c r="L2985" s="1473" t="s">
        <v>2129</v>
      </c>
      <c r="M2985" s="850">
        <v>5.0788E-2</v>
      </c>
      <c r="N2985" s="1473">
        <v>1.9751653800958451</v>
      </c>
      <c r="O2985" s="1473"/>
    </row>
    <row r="2986" spans="11:15">
      <c r="K2986" s="1469">
        <v>45043</v>
      </c>
      <c r="L2986" s="1473" t="s">
        <v>2129</v>
      </c>
      <c r="M2986" s="850">
        <v>5.0788E-2</v>
      </c>
      <c r="N2986" s="1473">
        <v>1.9761685270890883</v>
      </c>
      <c r="O2986" s="1473"/>
    </row>
    <row r="2987" spans="11:15">
      <c r="K2987" s="1469">
        <v>45044</v>
      </c>
      <c r="L2987" s="1473" t="s">
        <v>2129</v>
      </c>
      <c r="M2987" s="850">
        <v>5.0788E-2</v>
      </c>
      <c r="N2987" s="1473">
        <v>1.9771721835606264</v>
      </c>
      <c r="O2987" s="1473"/>
    </row>
    <row r="2988" spans="11:15">
      <c r="K2988" s="1469">
        <v>45045</v>
      </c>
      <c r="L2988" s="1473"/>
      <c r="M2988" s="850">
        <v>0</v>
      </c>
      <c r="N2988" s="1473">
        <v>1.9771721835606264</v>
      </c>
      <c r="O2988" s="1473"/>
    </row>
    <row r="2989" spans="11:15">
      <c r="K2989" s="1469">
        <v>45046</v>
      </c>
      <c r="L2989" s="1473"/>
      <c r="M2989" s="850">
        <v>0</v>
      </c>
      <c r="N2989" s="1473">
        <v>1.9771721835606264</v>
      </c>
      <c r="O2989" s="1473"/>
    </row>
    <row r="2990" spans="11:15">
      <c r="K2990" s="1469">
        <v>45047</v>
      </c>
      <c r="L2990" s="1473"/>
      <c r="M2990" s="850">
        <v>0</v>
      </c>
      <c r="N2990" s="1473">
        <v>1.9771721835606264</v>
      </c>
      <c r="O2990" s="1473"/>
    </row>
    <row r="2991" spans="11:15">
      <c r="K2991" s="1469">
        <v>45048</v>
      </c>
      <c r="L2991" s="1473" t="s">
        <v>2129</v>
      </c>
      <c r="M2991" s="850">
        <v>5.0788E-2</v>
      </c>
      <c r="N2991" s="1473">
        <v>1.9781763497692133</v>
      </c>
      <c r="O2991" s="1473"/>
    </row>
    <row r="2992" spans="11:15">
      <c r="K2992" s="1469">
        <v>45049</v>
      </c>
      <c r="L2992" s="1473" t="s">
        <v>2129</v>
      </c>
      <c r="M2992" s="850">
        <v>5.0788E-2</v>
      </c>
      <c r="N2992" s="1473">
        <v>1.9791810259737341</v>
      </c>
      <c r="O2992" s="1473"/>
    </row>
    <row r="2993" spans="11:15">
      <c r="K2993" s="1469">
        <v>45050</v>
      </c>
      <c r="L2993" s="1473" t="s">
        <v>2129</v>
      </c>
      <c r="M2993" s="850">
        <v>5.0788E-2</v>
      </c>
      <c r="N2993" s="1473">
        <v>1.9801862124332057</v>
      </c>
      <c r="O2993" s="1473"/>
    </row>
    <row r="2994" spans="11:15">
      <c r="K2994" s="1469">
        <v>45051</v>
      </c>
      <c r="L2994" s="1473" t="s">
        <v>2129</v>
      </c>
      <c r="M2994" s="850">
        <v>5.0788E-2</v>
      </c>
      <c r="N2994" s="1473">
        <v>1.9811919094067763</v>
      </c>
      <c r="O2994" s="1473"/>
    </row>
    <row r="2995" spans="11:15">
      <c r="K2995" s="1469">
        <v>45052</v>
      </c>
      <c r="L2995" s="1473"/>
      <c r="M2995" s="850">
        <v>0</v>
      </c>
      <c r="N2995" s="1473">
        <v>1.9811919094067763</v>
      </c>
      <c r="O2995" s="1473"/>
    </row>
    <row r="2996" spans="11:15">
      <c r="K2996" s="1469">
        <v>45053</v>
      </c>
      <c r="L2996" s="1473"/>
      <c r="M2996" s="850">
        <v>0</v>
      </c>
      <c r="N2996" s="1473">
        <v>1.9811919094067763</v>
      </c>
      <c r="O2996" s="1473"/>
    </row>
    <row r="2997" spans="11:15">
      <c r="K2997" s="1469">
        <v>45054</v>
      </c>
      <c r="L2997" s="1473" t="s">
        <v>2129</v>
      </c>
      <c r="M2997" s="850">
        <v>5.0788E-2</v>
      </c>
      <c r="N2997" s="1473">
        <v>1.9821981171537257</v>
      </c>
      <c r="O2997" s="1473"/>
    </row>
    <row r="2998" spans="11:15">
      <c r="K2998" s="1469">
        <v>45055</v>
      </c>
      <c r="L2998" s="1473" t="s">
        <v>2129</v>
      </c>
      <c r="M2998" s="850">
        <v>5.0788E-2</v>
      </c>
      <c r="N2998" s="1473">
        <v>1.9832048359334657</v>
      </c>
      <c r="O2998" s="1473"/>
    </row>
    <row r="2999" spans="11:15">
      <c r="K2999" s="1469">
        <v>45056</v>
      </c>
      <c r="L2999" s="1473" t="s">
        <v>2129</v>
      </c>
      <c r="M2999" s="850">
        <v>5.0788E-2</v>
      </c>
      <c r="N2999" s="1473">
        <v>1.9842120660055396</v>
      </c>
      <c r="O2999" s="1473"/>
    </row>
    <row r="3000" spans="11:15">
      <c r="K3000" s="1469">
        <v>45057</v>
      </c>
      <c r="L3000" s="1473" t="s">
        <v>2129</v>
      </c>
      <c r="M3000" s="850">
        <v>5.0788E-2</v>
      </c>
      <c r="N3000" s="1473">
        <v>1.9852198076296226</v>
      </c>
      <c r="O3000" s="1473"/>
    </row>
    <row r="3001" spans="11:15">
      <c r="K3001" s="1469">
        <v>45058</v>
      </c>
      <c r="L3001" s="1473" t="s">
        <v>2129</v>
      </c>
      <c r="M3001" s="850">
        <v>5.0788E-2</v>
      </c>
      <c r="N3001" s="1473">
        <v>1.9862280610655216</v>
      </c>
      <c r="O3001" s="1473"/>
    </row>
    <row r="3002" spans="11:15">
      <c r="K3002" s="1469">
        <v>45059</v>
      </c>
      <c r="L3002" s="1473"/>
      <c r="M3002" s="850">
        <v>0</v>
      </c>
      <c r="N3002" s="1473">
        <v>1.9862280610655216</v>
      </c>
      <c r="O3002" s="1473"/>
    </row>
    <row r="3003" spans="11:15">
      <c r="K3003" s="1469">
        <v>45060</v>
      </c>
      <c r="L3003" s="1473"/>
      <c r="M3003" s="850">
        <v>0</v>
      </c>
      <c r="N3003" s="1473">
        <v>1.9862280610655216</v>
      </c>
      <c r="O3003" s="1473"/>
    </row>
    <row r="3004" spans="11:15">
      <c r="K3004" s="1469">
        <v>45061</v>
      </c>
      <c r="L3004" s="1473" t="s">
        <v>2129</v>
      </c>
      <c r="M3004" s="850">
        <v>5.0788E-2</v>
      </c>
      <c r="N3004" s="1473">
        <v>1.9872368265731757</v>
      </c>
      <c r="O3004" s="1473"/>
    </row>
    <row r="3005" spans="11:15">
      <c r="K3005" s="1469">
        <v>45062</v>
      </c>
      <c r="L3005" s="1473" t="s">
        <v>2129</v>
      </c>
      <c r="M3005" s="850">
        <v>5.0788E-2</v>
      </c>
      <c r="N3005" s="1473">
        <v>1.9882461044126558</v>
      </c>
      <c r="O3005" s="1473"/>
    </row>
    <row r="3006" spans="11:15">
      <c r="K3006" s="1469">
        <v>45063</v>
      </c>
      <c r="L3006" s="1473" t="s">
        <v>2129</v>
      </c>
      <c r="M3006" s="850">
        <v>5.0788E-2</v>
      </c>
      <c r="N3006" s="1473">
        <v>1.989255894844165</v>
      </c>
      <c r="O3006" s="1473"/>
    </row>
    <row r="3007" spans="11:15">
      <c r="K3007" s="1469">
        <v>45064</v>
      </c>
      <c r="L3007" s="1473" t="s">
        <v>2129</v>
      </c>
      <c r="M3007" s="850">
        <v>5.0788E-2</v>
      </c>
      <c r="N3007" s="1473">
        <v>1.9902661981280385</v>
      </c>
      <c r="O3007" s="1473"/>
    </row>
    <row r="3008" spans="11:15">
      <c r="K3008" s="1469">
        <v>45065</v>
      </c>
      <c r="L3008" s="1473" t="s">
        <v>2129</v>
      </c>
      <c r="M3008" s="850">
        <v>5.0788E-2</v>
      </c>
      <c r="N3008" s="1473">
        <v>1.9912770145247438</v>
      </c>
      <c r="O3008" s="1473"/>
    </row>
    <row r="3009" spans="11:15">
      <c r="K3009" s="1469">
        <v>45066</v>
      </c>
      <c r="L3009" s="1473"/>
      <c r="M3009" s="850">
        <v>0</v>
      </c>
      <c r="N3009" s="1473">
        <v>1.9912770145247438</v>
      </c>
      <c r="O3009" s="1473"/>
    </row>
    <row r="3010" spans="11:15">
      <c r="K3010" s="1469">
        <v>45067</v>
      </c>
      <c r="L3010" s="1473"/>
      <c r="M3010" s="850">
        <v>0</v>
      </c>
      <c r="N3010" s="1473">
        <v>1.9912770145247438</v>
      </c>
      <c r="O3010" s="1473"/>
    </row>
    <row r="3011" spans="11:15">
      <c r="K3011" s="1469">
        <v>45068</v>
      </c>
      <c r="L3011" s="1473" t="s">
        <v>2129</v>
      </c>
      <c r="M3011" s="850">
        <v>5.0788E-2</v>
      </c>
      <c r="N3011" s="1473">
        <v>1.9922883442948807</v>
      </c>
      <c r="O3011" s="1473"/>
    </row>
    <row r="3012" spans="11:15">
      <c r="K3012" s="1469">
        <v>45069</v>
      </c>
      <c r="L3012" s="1473" t="s">
        <v>2129</v>
      </c>
      <c r="M3012" s="850">
        <v>5.0788E-2</v>
      </c>
      <c r="N3012" s="1473">
        <v>1.9933001876991812</v>
      </c>
      <c r="O3012" s="1473"/>
    </row>
    <row r="3013" spans="11:15">
      <c r="K3013" s="1469">
        <v>45070</v>
      </c>
      <c r="L3013" s="1473" t="s">
        <v>2129</v>
      </c>
      <c r="M3013" s="850">
        <v>5.0788E-2</v>
      </c>
      <c r="N3013" s="1473">
        <v>1.9943125449985097</v>
      </c>
      <c r="O3013" s="1473"/>
    </row>
    <row r="3014" spans="11:15">
      <c r="K3014" s="1469">
        <v>45071</v>
      </c>
      <c r="L3014" s="1473" t="s">
        <v>2129</v>
      </c>
      <c r="M3014" s="850">
        <v>5.0788E-2</v>
      </c>
      <c r="N3014" s="1473">
        <v>1.9953254164538636</v>
      </c>
      <c r="O3014" s="1473"/>
    </row>
    <row r="3015" spans="11:15">
      <c r="K3015" s="1469">
        <v>45072</v>
      </c>
      <c r="L3015" s="1473" t="s">
        <v>2129</v>
      </c>
      <c r="M3015" s="850">
        <v>5.0788E-2</v>
      </c>
      <c r="N3015" s="1473">
        <v>1.9963388023263722</v>
      </c>
      <c r="O3015" s="1473"/>
    </row>
    <row r="3016" spans="11:15">
      <c r="K3016" s="1469">
        <v>45073</v>
      </c>
      <c r="L3016" s="1473"/>
      <c r="M3016" s="850">
        <v>0</v>
      </c>
      <c r="N3016" s="1473">
        <v>1.9963388023263722</v>
      </c>
      <c r="O3016" s="1473"/>
    </row>
    <row r="3017" spans="11:15">
      <c r="K3017" s="1469">
        <v>45074</v>
      </c>
      <c r="L3017" s="1473"/>
      <c r="M3017" s="850">
        <v>0</v>
      </c>
      <c r="N3017" s="1473">
        <v>1.9963388023263722</v>
      </c>
      <c r="O3017" s="1473"/>
    </row>
    <row r="3018" spans="11:15">
      <c r="K3018" s="1469">
        <v>45075</v>
      </c>
      <c r="L3018" s="1473" t="s">
        <v>2129</v>
      </c>
      <c r="M3018" s="850">
        <v>5.0788E-2</v>
      </c>
      <c r="N3018" s="1473">
        <v>1.9973527028772977</v>
      </c>
      <c r="O3018" s="1473"/>
    </row>
    <row r="3019" spans="11:15">
      <c r="K3019" s="1469">
        <v>45076</v>
      </c>
      <c r="L3019" s="1473" t="s">
        <v>2129</v>
      </c>
      <c r="M3019" s="850">
        <v>5.0788E-2</v>
      </c>
      <c r="N3019" s="1473">
        <v>1.9983671183680352</v>
      </c>
      <c r="O3019" s="1473"/>
    </row>
    <row r="3020" spans="11:15">
      <c r="K3020" s="1469">
        <v>45077</v>
      </c>
      <c r="L3020" s="1473" t="s">
        <v>2129</v>
      </c>
      <c r="M3020" s="850">
        <v>5.0788E-2</v>
      </c>
      <c r="N3020" s="1473">
        <v>1.999382049060112</v>
      </c>
      <c r="O3020" s="1473"/>
    </row>
    <row r="3021" spans="11:15">
      <c r="K3021" s="1469">
        <v>45078</v>
      </c>
      <c r="L3021" s="1473" t="s">
        <v>2129</v>
      </c>
      <c r="M3021" s="850">
        <v>5.0788E-2</v>
      </c>
      <c r="N3021" s="1473">
        <v>2.0003974952151888</v>
      </c>
      <c r="O3021" s="1473"/>
    </row>
    <row r="3022" spans="11:15">
      <c r="K3022" s="1469">
        <v>45079</v>
      </c>
      <c r="L3022" s="1473" t="s">
        <v>2129</v>
      </c>
      <c r="M3022" s="850">
        <v>5.0788E-2</v>
      </c>
      <c r="N3022" s="1473">
        <v>2.0014134570950586</v>
      </c>
      <c r="O3022" s="1473"/>
    </row>
    <row r="3023" spans="11:15">
      <c r="K3023" s="1469">
        <v>45080</v>
      </c>
      <c r="L3023" s="1473"/>
      <c r="M3023" s="850">
        <v>0</v>
      </c>
      <c r="N3023" s="1473">
        <v>2.0014134570950586</v>
      </c>
      <c r="O3023" s="1473"/>
    </row>
    <row r="3024" spans="11:15">
      <c r="K3024" s="1469">
        <v>45081</v>
      </c>
      <c r="L3024" s="1473"/>
      <c r="M3024" s="850">
        <v>0</v>
      </c>
      <c r="N3024" s="1473">
        <v>2.0014134570950586</v>
      </c>
      <c r="O3024" s="1473"/>
    </row>
    <row r="3025" spans="11:15">
      <c r="K3025" s="1469">
        <v>45082</v>
      </c>
      <c r="L3025" s="1473" t="s">
        <v>2129</v>
      </c>
      <c r="M3025" s="850">
        <v>5.0788E-2</v>
      </c>
      <c r="N3025" s="1473">
        <v>2.0024299349616479</v>
      </c>
      <c r="O3025" s="1473"/>
    </row>
    <row r="3026" spans="11:15">
      <c r="K3026" s="1469">
        <v>45083</v>
      </c>
      <c r="L3026" s="1473" t="s">
        <v>2129</v>
      </c>
      <c r="M3026" s="850">
        <v>5.0788E-2</v>
      </c>
      <c r="N3026" s="1473">
        <v>2.003446929077016</v>
      </c>
      <c r="O3026" s="1473"/>
    </row>
    <row r="3027" spans="11:15">
      <c r="K3027" s="1469">
        <v>45084</v>
      </c>
      <c r="L3027" s="1473" t="s">
        <v>2129</v>
      </c>
      <c r="M3027" s="850">
        <v>5.0788E-2</v>
      </c>
      <c r="N3027" s="1473">
        <v>2.0044644397033555</v>
      </c>
      <c r="O3027" s="1473"/>
    </row>
    <row r="3028" spans="11:15">
      <c r="K3028" s="1469">
        <v>45085</v>
      </c>
      <c r="L3028" s="1473"/>
      <c r="M3028" s="850">
        <v>0</v>
      </c>
      <c r="N3028" s="1473">
        <v>2.0044644397033555</v>
      </c>
      <c r="O3028" s="1473"/>
    </row>
    <row r="3029" spans="11:15">
      <c r="K3029" s="1469">
        <v>45086</v>
      </c>
      <c r="L3029" s="1473" t="s">
        <v>2129</v>
      </c>
      <c r="M3029" s="850">
        <v>5.0788E-2</v>
      </c>
      <c r="N3029" s="1473">
        <v>2.0054824671029921</v>
      </c>
      <c r="O3029" s="1473"/>
    </row>
    <row r="3030" spans="11:15">
      <c r="K3030" s="1469">
        <v>45087</v>
      </c>
      <c r="L3030" s="1473"/>
      <c r="M3030" s="850">
        <v>0</v>
      </c>
      <c r="N3030" s="1473">
        <v>2.0054824671029921</v>
      </c>
      <c r="O3030" s="1473"/>
    </row>
    <row r="3031" spans="11:15">
      <c r="K3031" s="1469">
        <v>45088</v>
      </c>
      <c r="L3031" s="1473"/>
      <c r="M3031" s="850">
        <v>0</v>
      </c>
      <c r="N3031" s="1473">
        <v>2.0054824671029921</v>
      </c>
      <c r="O3031" s="1473"/>
    </row>
    <row r="3032" spans="11:15">
      <c r="K3032" s="1469">
        <v>45089</v>
      </c>
      <c r="L3032" s="1473" t="s">
        <v>2129</v>
      </c>
      <c r="M3032" s="850">
        <v>5.0788E-2</v>
      </c>
      <c r="N3032" s="1473">
        <v>2.0065010115383846</v>
      </c>
      <c r="O3032" s="1473"/>
    </row>
    <row r="3033" spans="11:15">
      <c r="K3033" s="1469">
        <v>45090</v>
      </c>
      <c r="L3033" s="1473" t="s">
        <v>2129</v>
      </c>
      <c r="M3033" s="850">
        <v>5.0788E-2</v>
      </c>
      <c r="N3033" s="1473">
        <v>2.0075200732721248</v>
      </c>
      <c r="O3033" s="1473"/>
    </row>
    <row r="3034" spans="11:15">
      <c r="K3034" s="1469">
        <v>45091</v>
      </c>
      <c r="L3034" s="1473" t="s">
        <v>2129</v>
      </c>
      <c r="M3034" s="850">
        <v>5.0788E-2</v>
      </c>
      <c r="N3034" s="1473">
        <v>2.0085396525669381</v>
      </c>
      <c r="O3034" s="1473"/>
    </row>
    <row r="3035" spans="11:15">
      <c r="K3035" s="1469">
        <v>45092</v>
      </c>
      <c r="L3035" s="1473" t="s">
        <v>2129</v>
      </c>
      <c r="M3035" s="850">
        <v>5.0788E-2</v>
      </c>
      <c r="N3035" s="1473">
        <v>2.0095597496856836</v>
      </c>
      <c r="O3035" s="1473"/>
    </row>
    <row r="3036" spans="11:15">
      <c r="K3036" s="1469">
        <v>45093</v>
      </c>
      <c r="L3036" s="1473" t="s">
        <v>2129</v>
      </c>
      <c r="M3036" s="850">
        <v>5.0788E-2</v>
      </c>
      <c r="N3036" s="1473">
        <v>2.0105803648913541</v>
      </c>
      <c r="O3036" s="1473"/>
    </row>
    <row r="3037" spans="11:15">
      <c r="K3037" s="1469">
        <v>45094</v>
      </c>
      <c r="L3037" s="1473"/>
      <c r="M3037" s="850">
        <v>0</v>
      </c>
      <c r="N3037" s="1473">
        <v>2.0105803648913541</v>
      </c>
      <c r="O3037" s="1473"/>
    </row>
    <row r="3038" spans="11:15">
      <c r="K3038" s="1469">
        <v>45095</v>
      </c>
      <c r="L3038" s="1473"/>
      <c r="M3038" s="850">
        <v>0</v>
      </c>
      <c r="N3038" s="1473">
        <v>2.0105803648913541</v>
      </c>
      <c r="O3038" s="1473"/>
    </row>
    <row r="3039" spans="11:15">
      <c r="K3039" s="1469">
        <v>45096</v>
      </c>
      <c r="L3039" s="1473" t="s">
        <v>2129</v>
      </c>
      <c r="M3039" s="850">
        <v>5.0788E-2</v>
      </c>
      <c r="N3039" s="1473">
        <v>2.0116014984470749</v>
      </c>
      <c r="O3039" s="1473"/>
    </row>
    <row r="3040" spans="11:15">
      <c r="K3040" s="1469">
        <v>45097</v>
      </c>
      <c r="L3040" s="1473" t="s">
        <v>2129</v>
      </c>
      <c r="M3040" s="850">
        <v>5.0788E-2</v>
      </c>
      <c r="N3040" s="1473">
        <v>2.0126231506161063</v>
      </c>
      <c r="O3040" s="1473"/>
    </row>
    <row r="3041" spans="11:15">
      <c r="K3041" s="1469">
        <v>45098</v>
      </c>
      <c r="L3041" s="1473" t="s">
        <v>2129</v>
      </c>
      <c r="M3041" s="850">
        <v>5.0788E-2</v>
      </c>
      <c r="N3041" s="1473">
        <v>2.0136453216618411</v>
      </c>
      <c r="O3041" s="1473"/>
    </row>
    <row r="3042" spans="11:15">
      <c r="K3042" s="1469">
        <v>45099</v>
      </c>
      <c r="L3042" s="1473" t="s">
        <v>2129</v>
      </c>
      <c r="M3042" s="850">
        <v>5.0788E-2</v>
      </c>
      <c r="N3042" s="1473">
        <v>2.0146680118478066</v>
      </c>
      <c r="O3042" s="1473"/>
    </row>
    <row r="3043" spans="11:15">
      <c r="K3043" s="1469">
        <v>45100</v>
      </c>
      <c r="L3043" s="1473" t="s">
        <v>2129</v>
      </c>
      <c r="M3043" s="850">
        <v>5.0788E-2</v>
      </c>
      <c r="N3043" s="1473">
        <v>2.0156912214376641</v>
      </c>
      <c r="O3043" s="1473"/>
    </row>
    <row r="3044" spans="11:15">
      <c r="K3044" s="1469">
        <v>45101</v>
      </c>
      <c r="L3044" s="1473"/>
      <c r="M3044" s="850">
        <v>0</v>
      </c>
      <c r="N3044" s="1473">
        <v>2.0156912214376641</v>
      </c>
      <c r="O3044" s="1473"/>
    </row>
    <row r="3045" spans="11:15">
      <c r="K3045" s="1469">
        <v>45102</v>
      </c>
      <c r="L3045" s="1473"/>
      <c r="M3045" s="850">
        <v>0</v>
      </c>
      <c r="N3045" s="1473">
        <v>2.0156912214376641</v>
      </c>
      <c r="O3045" s="1473"/>
    </row>
    <row r="3046" spans="11:15">
      <c r="K3046" s="1469">
        <v>45103</v>
      </c>
      <c r="L3046" s="1473" t="s">
        <v>2129</v>
      </c>
      <c r="M3046" s="850">
        <v>5.0788E-2</v>
      </c>
      <c r="N3046" s="1473">
        <v>2.0167149506952078</v>
      </c>
      <c r="O3046" s="1473"/>
    </row>
    <row r="3047" spans="11:15">
      <c r="K3047" s="1469">
        <v>45104</v>
      </c>
      <c r="L3047" s="1473" t="s">
        <v>2129</v>
      </c>
      <c r="M3047" s="850">
        <v>5.0788E-2</v>
      </c>
      <c r="N3047" s="1473">
        <v>2.017739199884367</v>
      </c>
      <c r="O3047" s="1473"/>
    </row>
    <row r="3048" spans="11:15">
      <c r="K3048" s="1469">
        <v>45105</v>
      </c>
      <c r="L3048" s="1473" t="s">
        <v>2129</v>
      </c>
      <c r="M3048" s="850">
        <v>5.0788E-2</v>
      </c>
      <c r="N3048" s="1473">
        <v>2.0187639692692043</v>
      </c>
      <c r="O3048" s="1473"/>
    </row>
    <row r="3049" spans="11:15">
      <c r="K3049" s="1469">
        <v>45106</v>
      </c>
      <c r="L3049" s="1473" t="s">
        <v>2129</v>
      </c>
      <c r="M3049" s="850">
        <v>5.0788E-2</v>
      </c>
      <c r="N3049" s="1473">
        <v>2.0197892591139168</v>
      </c>
      <c r="O3049" s="1473"/>
    </row>
    <row r="3050" spans="11:15">
      <c r="K3050" s="1469">
        <v>45107</v>
      </c>
      <c r="L3050" s="1473" t="s">
        <v>2129</v>
      </c>
      <c r="M3050" s="850">
        <v>5.0788E-2</v>
      </c>
      <c r="N3050" s="1473">
        <v>2.0208150696828358</v>
      </c>
      <c r="O3050" s="1473"/>
    </row>
    <row r="3051" spans="11:15">
      <c r="K3051" s="1469">
        <v>45108</v>
      </c>
      <c r="L3051" s="1473"/>
      <c r="M3051" s="850">
        <v>0</v>
      </c>
      <c r="N3051" s="1473">
        <v>2.0208150696828358</v>
      </c>
      <c r="O3051" s="1473"/>
    </row>
    <row r="3052" spans="11:15">
      <c r="K3052" s="1469">
        <v>45109</v>
      </c>
      <c r="L3052" s="1473"/>
      <c r="M3052" s="850">
        <v>0</v>
      </c>
      <c r="N3052" s="1473">
        <v>2.0208150696828358</v>
      </c>
      <c r="O3052" s="1473"/>
    </row>
    <row r="3053" spans="11:15">
      <c r="K3053" s="1469">
        <v>45110</v>
      </c>
      <c r="L3053" s="1473" t="s">
        <v>2129</v>
      </c>
      <c r="M3053" s="850">
        <v>5.0788E-2</v>
      </c>
      <c r="N3053" s="1473">
        <v>2.0218414012404264</v>
      </c>
      <c r="O3053" s="1473"/>
    </row>
    <row r="3054" spans="11:15">
      <c r="K3054" s="1469">
        <v>45111</v>
      </c>
      <c r="L3054" s="1473" t="s">
        <v>2129</v>
      </c>
      <c r="M3054" s="850">
        <v>5.0788E-2</v>
      </c>
      <c r="N3054" s="1473">
        <v>2.0228682540512883</v>
      </c>
      <c r="O3054" s="1473"/>
    </row>
    <row r="3055" spans="11:15">
      <c r="K3055" s="1469">
        <v>45112</v>
      </c>
      <c r="L3055" s="1473" t="s">
        <v>2129</v>
      </c>
      <c r="M3055" s="850">
        <v>5.0788E-2</v>
      </c>
      <c r="N3055" s="1473">
        <v>2.0238956283801559</v>
      </c>
      <c r="O3055" s="1473"/>
    </row>
    <row r="3056" spans="11:15">
      <c r="K3056" s="1469">
        <v>45113</v>
      </c>
      <c r="L3056" s="1473" t="s">
        <v>2129</v>
      </c>
      <c r="M3056" s="850">
        <v>5.0788E-2</v>
      </c>
      <c r="N3056" s="1473">
        <v>2.0249235244918977</v>
      </c>
      <c r="O3056" s="1473"/>
    </row>
    <row r="3057" spans="11:15">
      <c r="K3057" s="1469">
        <v>45114</v>
      </c>
      <c r="L3057" s="1473" t="s">
        <v>2129</v>
      </c>
      <c r="M3057" s="850">
        <v>5.0788E-2</v>
      </c>
      <c r="N3057" s="1473">
        <v>2.0259519426515169</v>
      </c>
      <c r="O3057" s="1473"/>
    </row>
    <row r="3058" spans="11:15">
      <c r="K3058" s="1469">
        <v>45115</v>
      </c>
      <c r="L3058" s="1473"/>
      <c r="M3058" s="850">
        <v>0</v>
      </c>
      <c r="N3058" s="1473">
        <v>2.0259519426515169</v>
      </c>
      <c r="O3058" s="1473"/>
    </row>
    <row r="3059" spans="11:15">
      <c r="K3059" s="1469">
        <v>45116</v>
      </c>
      <c r="L3059" s="1473"/>
      <c r="M3059" s="850">
        <v>0</v>
      </c>
      <c r="N3059" s="1473">
        <v>2.0259519426515169</v>
      </c>
      <c r="O3059" s="1473"/>
    </row>
    <row r="3060" spans="11:15">
      <c r="K3060" s="1469">
        <v>45117</v>
      </c>
      <c r="L3060" s="1473" t="s">
        <v>2129</v>
      </c>
      <c r="M3060" s="850">
        <v>5.0788E-2</v>
      </c>
      <c r="N3060" s="1473">
        <v>2.0269808831241507</v>
      </c>
      <c r="O3060" s="1473"/>
    </row>
    <row r="3061" spans="11:15">
      <c r="K3061" s="1469">
        <v>45118</v>
      </c>
      <c r="L3061" s="1473" t="s">
        <v>2129</v>
      </c>
      <c r="M3061" s="850">
        <v>5.0788E-2</v>
      </c>
      <c r="N3061" s="1473">
        <v>2.0280103461750718</v>
      </c>
      <c r="O3061" s="1473"/>
    </row>
    <row r="3062" spans="11:15">
      <c r="K3062" s="1469">
        <v>45119</v>
      </c>
      <c r="L3062" s="1473" t="s">
        <v>2129</v>
      </c>
      <c r="M3062" s="850">
        <v>5.0788E-2</v>
      </c>
      <c r="N3062" s="1473">
        <v>2.029040332069687</v>
      </c>
      <c r="O3062" s="1473"/>
    </row>
    <row r="3063" spans="11:15">
      <c r="K3063" s="1469">
        <v>45120</v>
      </c>
      <c r="L3063" s="1473" t="s">
        <v>2129</v>
      </c>
      <c r="M3063" s="850">
        <v>5.0788E-2</v>
      </c>
      <c r="N3063" s="1473">
        <v>2.0300708410735386</v>
      </c>
      <c r="O3063" s="1473"/>
    </row>
    <row r="3064" spans="11:15">
      <c r="K3064" s="1469">
        <v>45121</v>
      </c>
      <c r="L3064" s="1473" t="s">
        <v>2129</v>
      </c>
      <c r="M3064" s="850">
        <v>5.0788E-2</v>
      </c>
      <c r="N3064" s="1473">
        <v>2.031101873452303</v>
      </c>
      <c r="O3064" s="1473"/>
    </row>
    <row r="3065" spans="11:15">
      <c r="K3065" s="1469">
        <v>45122</v>
      </c>
      <c r="L3065" s="1473"/>
      <c r="M3065" s="850">
        <v>0</v>
      </c>
      <c r="N3065" s="1473">
        <v>2.031101873452303</v>
      </c>
      <c r="O3065" s="1473"/>
    </row>
    <row r="3066" spans="11:15">
      <c r="K3066" s="1469">
        <v>45123</v>
      </c>
      <c r="L3066" s="1473"/>
      <c r="M3066" s="850">
        <v>0</v>
      </c>
      <c r="N3066" s="1473">
        <v>2.031101873452303</v>
      </c>
      <c r="O3066" s="1473"/>
    </row>
    <row r="3067" spans="11:15">
      <c r="K3067" s="1469">
        <v>45124</v>
      </c>
      <c r="L3067" s="1473" t="s">
        <v>2129</v>
      </c>
      <c r="M3067" s="850">
        <v>5.0788E-2</v>
      </c>
      <c r="N3067" s="1473">
        <v>2.0321334294717919</v>
      </c>
      <c r="O3067" s="1473"/>
    </row>
    <row r="3068" spans="11:15">
      <c r="K3068" s="1469">
        <v>45125</v>
      </c>
      <c r="L3068" s="1473" t="s">
        <v>2129</v>
      </c>
      <c r="M3068" s="850">
        <v>5.0788E-2</v>
      </c>
      <c r="N3068" s="1473">
        <v>2.0331655093979522</v>
      </c>
      <c r="O3068" s="1473"/>
    </row>
    <row r="3069" spans="11:15">
      <c r="K3069" s="1469">
        <v>45126</v>
      </c>
      <c r="L3069" s="1473" t="s">
        <v>2129</v>
      </c>
      <c r="M3069" s="850">
        <v>5.0788E-2</v>
      </c>
      <c r="N3069" s="1473">
        <v>2.0341981134968652</v>
      </c>
      <c r="O3069" s="1473"/>
    </row>
    <row r="3070" spans="11:15">
      <c r="K3070" s="1469">
        <v>45127</v>
      </c>
      <c r="L3070" s="1473" t="s">
        <v>2129</v>
      </c>
      <c r="M3070" s="850">
        <v>5.0788E-2</v>
      </c>
      <c r="N3070" s="1473">
        <v>2.0352312420347478</v>
      </c>
      <c r="O3070" s="1473"/>
    </row>
    <row r="3071" spans="11:15">
      <c r="K3071" s="1469">
        <v>45128</v>
      </c>
      <c r="L3071" s="1473" t="s">
        <v>2129</v>
      </c>
      <c r="M3071" s="850">
        <v>5.0788E-2</v>
      </c>
      <c r="N3071" s="1473">
        <v>2.0362648952779523</v>
      </c>
      <c r="O3071" s="1473"/>
    </row>
    <row r="3072" spans="11:15">
      <c r="K3072" s="1469">
        <v>45129</v>
      </c>
      <c r="L3072" s="1473"/>
      <c r="M3072" s="850">
        <v>0</v>
      </c>
      <c r="N3072" s="1473">
        <v>2.0362648952779523</v>
      </c>
      <c r="O3072" s="1473"/>
    </row>
    <row r="3073" spans="11:15">
      <c r="K3073" s="1469">
        <v>45130</v>
      </c>
      <c r="L3073" s="1473"/>
      <c r="M3073" s="850">
        <v>0</v>
      </c>
      <c r="N3073" s="1473">
        <v>2.0362648952779523</v>
      </c>
      <c r="O3073" s="1473"/>
    </row>
    <row r="3074" spans="11:15">
      <c r="K3074" s="1469">
        <v>45131</v>
      </c>
      <c r="L3074" s="1473" t="s">
        <v>2129</v>
      </c>
      <c r="M3074" s="850">
        <v>5.0788E-2</v>
      </c>
      <c r="N3074" s="1473">
        <v>2.0372990734929659</v>
      </c>
      <c r="O3074" s="1473"/>
    </row>
    <row r="3075" spans="11:15">
      <c r="K3075" s="1469">
        <v>45132</v>
      </c>
      <c r="L3075" s="1473" t="s">
        <v>2129</v>
      </c>
      <c r="M3075" s="850">
        <v>5.0788E-2</v>
      </c>
      <c r="N3075" s="1473">
        <v>2.0383337769464114</v>
      </c>
      <c r="O3075" s="1473"/>
    </row>
    <row r="3076" spans="11:15">
      <c r="K3076" s="1469">
        <v>45133</v>
      </c>
      <c r="L3076" s="1473" t="s">
        <v>2129</v>
      </c>
      <c r="M3076" s="850">
        <v>5.0788E-2</v>
      </c>
      <c r="N3076" s="1473">
        <v>2.0393690059050469</v>
      </c>
      <c r="O3076" s="1473"/>
    </row>
    <row r="3077" spans="11:15">
      <c r="K3077" s="1469">
        <v>45134</v>
      </c>
      <c r="L3077" s="1473" t="s">
        <v>2129</v>
      </c>
      <c r="M3077" s="850">
        <v>5.0788E-2</v>
      </c>
      <c r="N3077" s="1473">
        <v>2.040404760635766</v>
      </c>
      <c r="O3077" s="1473"/>
    </row>
    <row r="3078" spans="11:15">
      <c r="K3078" s="1469">
        <v>45135</v>
      </c>
      <c r="L3078" s="1473" t="s">
        <v>2129</v>
      </c>
      <c r="M3078" s="850">
        <v>5.0788E-2</v>
      </c>
      <c r="N3078" s="1473">
        <v>2.0414410414055979</v>
      </c>
      <c r="O3078" s="1473"/>
    </row>
    <row r="3079" spans="11:15">
      <c r="K3079" s="1469">
        <v>45136</v>
      </c>
      <c r="L3079" s="1473"/>
      <c r="M3079" s="850">
        <v>0</v>
      </c>
      <c r="N3079" s="1473">
        <v>2.0414410414055979</v>
      </c>
      <c r="O3079" s="1473"/>
    </row>
    <row r="3080" spans="11:15">
      <c r="K3080" s="1469">
        <v>45137</v>
      </c>
      <c r="L3080" s="1473"/>
      <c r="M3080" s="850">
        <v>0</v>
      </c>
      <c r="N3080" s="1473">
        <v>2.0414410414055979</v>
      </c>
      <c r="O3080" s="1473"/>
    </row>
    <row r="3081" spans="11:15">
      <c r="K3081" s="1469">
        <v>45138</v>
      </c>
      <c r="L3081" s="1473" t="s">
        <v>2129</v>
      </c>
      <c r="M3081" s="850">
        <v>5.0788E-2</v>
      </c>
      <c r="N3081" s="1473">
        <v>2.042477848481707</v>
      </c>
      <c r="O3081" s="1473"/>
    </row>
    <row r="3082" spans="11:15">
      <c r="K3082" s="1469">
        <v>45139</v>
      </c>
      <c r="L3082" s="1473" t="s">
        <v>2129</v>
      </c>
      <c r="M3082" s="850">
        <v>5.0788E-2</v>
      </c>
      <c r="N3082" s="1473">
        <v>2.0435151821313937</v>
      </c>
      <c r="O3082" s="1473"/>
    </row>
    <row r="3083" spans="11:15">
      <c r="K3083" s="1469">
        <v>45140</v>
      </c>
      <c r="L3083" s="1473" t="s">
        <v>2129</v>
      </c>
      <c r="M3083" s="850">
        <v>5.0788E-2</v>
      </c>
      <c r="N3083" s="1473">
        <v>2.0445530426220948</v>
      </c>
      <c r="O3083" s="1473"/>
    </row>
    <row r="3084" spans="11:15">
      <c r="K3084" s="1469">
        <v>45141</v>
      </c>
      <c r="L3084" s="1473" t="s">
        <v>2129</v>
      </c>
      <c r="M3084" s="850">
        <v>5.0788E-2</v>
      </c>
      <c r="N3084" s="1473">
        <v>2.0455914302213816</v>
      </c>
      <c r="O3084" s="1473"/>
    </row>
    <row r="3085" spans="11:15">
      <c r="K3085" s="1469">
        <v>45142</v>
      </c>
      <c r="L3085" s="1473" t="s">
        <v>2129</v>
      </c>
      <c r="M3085" s="850">
        <v>5.0788E-2</v>
      </c>
      <c r="N3085" s="1473">
        <v>2.0466303451969625</v>
      </c>
      <c r="O3085" s="1473"/>
    </row>
    <row r="3086" spans="11:15">
      <c r="K3086" s="1469">
        <v>45143</v>
      </c>
      <c r="L3086" s="1473"/>
      <c r="M3086" s="850">
        <v>0</v>
      </c>
      <c r="N3086" s="1473">
        <v>2.0466303451969625</v>
      </c>
      <c r="O3086" s="1473"/>
    </row>
    <row r="3087" spans="11:15">
      <c r="K3087" s="1469">
        <v>45144</v>
      </c>
      <c r="L3087" s="1473"/>
      <c r="M3087" s="850">
        <v>0</v>
      </c>
      <c r="N3087" s="1473">
        <v>2.0466303451969625</v>
      </c>
      <c r="O3087" s="1473"/>
    </row>
    <row r="3088" spans="11:15">
      <c r="K3088" s="1469">
        <v>45145</v>
      </c>
      <c r="L3088" s="1473" t="s">
        <v>2129</v>
      </c>
      <c r="M3088" s="850">
        <v>5.0788E-2</v>
      </c>
      <c r="N3088" s="1473">
        <v>2.0476697878166812</v>
      </c>
      <c r="O3088" s="1473"/>
    </row>
    <row r="3089" spans="11:15">
      <c r="K3089" s="1469">
        <v>45146</v>
      </c>
      <c r="L3089" s="1473" t="s">
        <v>2129</v>
      </c>
      <c r="M3089" s="850">
        <v>5.0788E-2</v>
      </c>
      <c r="N3089" s="1473">
        <v>2.0487097583485174</v>
      </c>
      <c r="O3089" s="1473"/>
    </row>
    <row r="3090" spans="11:15">
      <c r="K3090" s="1469">
        <v>45147</v>
      </c>
      <c r="L3090" s="1473" t="s">
        <v>2129</v>
      </c>
      <c r="M3090" s="850">
        <v>5.0788E-2</v>
      </c>
      <c r="N3090" s="1473">
        <v>2.0497502570605874</v>
      </c>
      <c r="O3090" s="1473"/>
    </row>
    <row r="3091" spans="11:15">
      <c r="K3091" s="1469">
        <v>45148</v>
      </c>
      <c r="L3091" s="1473" t="s">
        <v>2129</v>
      </c>
      <c r="M3091" s="850">
        <v>5.0788E-2</v>
      </c>
      <c r="N3091" s="1473">
        <v>2.0507912842211433</v>
      </c>
      <c r="O3091" s="1473"/>
    </row>
    <row r="3092" spans="11:15">
      <c r="K3092" s="1469">
        <v>45149</v>
      </c>
      <c r="L3092" s="1473" t="s">
        <v>2129</v>
      </c>
      <c r="M3092" s="850">
        <v>5.0788E-2</v>
      </c>
      <c r="N3092" s="1473">
        <v>2.0518328400985735</v>
      </c>
      <c r="O3092" s="1473"/>
    </row>
    <row r="3093" spans="11:15">
      <c r="K3093" s="1469">
        <v>45150</v>
      </c>
      <c r="L3093" s="1473"/>
      <c r="M3093" s="850">
        <v>0</v>
      </c>
      <c r="N3093" s="1473">
        <v>2.0518328400985735</v>
      </c>
      <c r="O3093" s="1473"/>
    </row>
    <row r="3094" spans="11:15">
      <c r="K3094" s="1469">
        <v>45151</v>
      </c>
      <c r="L3094" s="1473"/>
      <c r="M3094" s="850">
        <v>0</v>
      </c>
      <c r="N3094" s="1473">
        <v>2.0518328400985735</v>
      </c>
      <c r="O3094" s="1473"/>
    </row>
    <row r="3095" spans="11:15">
      <c r="K3095" s="1469">
        <v>45152</v>
      </c>
      <c r="L3095" s="1473" t="s">
        <v>2129</v>
      </c>
      <c r="M3095" s="850">
        <v>5.0788E-2</v>
      </c>
      <c r="N3095" s="1473">
        <v>2.0528749249614027</v>
      </c>
      <c r="O3095" s="1473"/>
    </row>
    <row r="3096" spans="11:15">
      <c r="K3096" s="1469">
        <v>45153</v>
      </c>
      <c r="L3096" s="1473" t="s">
        <v>2129</v>
      </c>
      <c r="M3096" s="850">
        <v>5.0788E-2</v>
      </c>
      <c r="N3096" s="1473">
        <v>2.053917539078292</v>
      </c>
      <c r="O3096" s="1473"/>
    </row>
    <row r="3097" spans="11:15">
      <c r="K3097" s="1469">
        <v>45154</v>
      </c>
      <c r="L3097" s="1473" t="s">
        <v>2129</v>
      </c>
      <c r="M3097" s="850">
        <v>5.0788E-2</v>
      </c>
      <c r="N3097" s="1473">
        <v>2.0549606827180393</v>
      </c>
      <c r="O3097" s="1473"/>
    </row>
    <row r="3098" spans="11:15">
      <c r="K3098" s="1469">
        <v>45155</v>
      </c>
      <c r="L3098" s="1473" t="s">
        <v>2129</v>
      </c>
      <c r="M3098" s="850">
        <v>5.0788E-2</v>
      </c>
      <c r="N3098" s="1473">
        <v>2.056004356149578</v>
      </c>
      <c r="O3098" s="1473"/>
    </row>
    <row r="3099" spans="11:15">
      <c r="K3099" s="1469">
        <v>45156</v>
      </c>
      <c r="L3099" s="1473" t="s">
        <v>2129</v>
      </c>
      <c r="M3099" s="850">
        <v>5.0788E-2</v>
      </c>
      <c r="N3099" s="1473">
        <v>2.0570485596419794</v>
      </c>
      <c r="O3099" s="1473"/>
    </row>
    <row r="3100" spans="11:15">
      <c r="K3100" s="1469">
        <v>45157</v>
      </c>
      <c r="L3100" s="1473"/>
      <c r="M3100" s="850">
        <v>0</v>
      </c>
      <c r="N3100" s="1473">
        <v>2.0570485596419794</v>
      </c>
      <c r="O3100" s="1473"/>
    </row>
    <row r="3101" spans="11:15">
      <c r="K3101" s="1469">
        <v>45158</v>
      </c>
      <c r="L3101" s="1473"/>
      <c r="M3101" s="850">
        <v>0</v>
      </c>
      <c r="N3101" s="1473">
        <v>2.0570485596419794</v>
      </c>
      <c r="O3101" s="1473"/>
    </row>
    <row r="3102" spans="11:15">
      <c r="K3102" s="1469">
        <v>45159</v>
      </c>
      <c r="L3102" s="1473" t="s">
        <v>2129</v>
      </c>
      <c r="M3102" s="850">
        <v>5.0788E-2</v>
      </c>
      <c r="N3102" s="1473">
        <v>2.0580932934644505</v>
      </c>
      <c r="O3102" s="1473"/>
    </row>
    <row r="3103" spans="11:15">
      <c r="K3103" s="1469">
        <v>45160</v>
      </c>
      <c r="L3103" s="1473" t="s">
        <v>2129</v>
      </c>
      <c r="M3103" s="850">
        <v>5.0788E-2</v>
      </c>
      <c r="N3103" s="1473">
        <v>2.0591385578863353</v>
      </c>
      <c r="O3103" s="1473"/>
    </row>
    <row r="3104" spans="11:15">
      <c r="K3104" s="1469">
        <v>45161</v>
      </c>
      <c r="L3104" s="1473" t="s">
        <v>2129</v>
      </c>
      <c r="M3104" s="850">
        <v>5.0788E-2</v>
      </c>
      <c r="N3104" s="1473">
        <v>2.0601843531771147</v>
      </c>
      <c r="O3104" s="1473"/>
    </row>
    <row r="3105" spans="11:15">
      <c r="K3105" s="1469">
        <v>45162</v>
      </c>
      <c r="L3105" s="1473" t="s">
        <v>2129</v>
      </c>
      <c r="M3105" s="850">
        <v>5.0788E-2</v>
      </c>
      <c r="N3105" s="1473">
        <v>2.0612306796064064</v>
      </c>
      <c r="O3105" s="1473"/>
    </row>
    <row r="3106" spans="11:15">
      <c r="K3106" s="1469">
        <v>45163</v>
      </c>
      <c r="L3106" s="1473" t="s">
        <v>2129</v>
      </c>
      <c r="M3106" s="850">
        <v>5.0788E-2</v>
      </c>
      <c r="N3106" s="1473">
        <v>2.0622775374439648</v>
      </c>
      <c r="O3106" s="1473"/>
    </row>
    <row r="3107" spans="11:15">
      <c r="K3107" s="1469">
        <v>45164</v>
      </c>
      <c r="L3107" s="1473"/>
      <c r="M3107" s="850">
        <v>0</v>
      </c>
      <c r="N3107" s="1473">
        <v>2.0622775374439648</v>
      </c>
      <c r="O3107" s="1473"/>
    </row>
    <row r="3108" spans="11:15">
      <c r="K3108" s="1469">
        <v>45165</v>
      </c>
      <c r="L3108" s="1473"/>
      <c r="M3108" s="850">
        <v>0</v>
      </c>
      <c r="N3108" s="1473">
        <v>2.0622775374439648</v>
      </c>
      <c r="O3108" s="1473"/>
    </row>
    <row r="3109" spans="11:15">
      <c r="K3109" s="1469">
        <v>45166</v>
      </c>
      <c r="L3109" s="1473" t="s">
        <v>2129</v>
      </c>
      <c r="M3109" s="850">
        <v>5.0788E-2</v>
      </c>
      <c r="N3109" s="1473">
        <v>2.0633249269596821</v>
      </c>
      <c r="O3109" s="1473"/>
    </row>
    <row r="3110" spans="11:15">
      <c r="K3110" s="1469">
        <v>45167</v>
      </c>
      <c r="L3110" s="1473" t="s">
        <v>2129</v>
      </c>
      <c r="M3110" s="850">
        <v>5.0788E-2</v>
      </c>
      <c r="N3110" s="1473">
        <v>2.0643728484235866</v>
      </c>
      <c r="O3110" s="1473"/>
    </row>
    <row r="3111" spans="11:15">
      <c r="K3111" s="1469">
        <v>45168</v>
      </c>
      <c r="L3111" s="1473" t="s">
        <v>2129</v>
      </c>
      <c r="M3111" s="850">
        <v>5.0788E-2</v>
      </c>
      <c r="N3111" s="1473">
        <v>2.0654213021058441</v>
      </c>
      <c r="O3111" s="1473"/>
    </row>
    <row r="3112" spans="11:15">
      <c r="K3112" s="1469">
        <v>45169</v>
      </c>
      <c r="L3112" s="1473" t="s">
        <v>2129</v>
      </c>
      <c r="M3112" s="850">
        <v>5.0788E-2</v>
      </c>
      <c r="N3112" s="1473">
        <v>2.0664702882767578</v>
      </c>
      <c r="O3112" s="1473"/>
    </row>
    <row r="3113" spans="11:15">
      <c r="K3113" s="1469">
        <v>45170</v>
      </c>
      <c r="L3113" s="1473" t="s">
        <v>2129</v>
      </c>
      <c r="M3113" s="850">
        <v>5.0788E-2</v>
      </c>
      <c r="N3113" s="1473">
        <v>2.067519807206768</v>
      </c>
      <c r="O3113" s="1473"/>
    </row>
    <row r="3114" spans="11:15">
      <c r="K3114" s="1469">
        <v>45171</v>
      </c>
      <c r="L3114" s="1473"/>
      <c r="M3114" s="850">
        <v>0</v>
      </c>
      <c r="N3114" s="1473">
        <v>2.067519807206768</v>
      </c>
      <c r="O3114" s="1473"/>
    </row>
    <row r="3115" spans="11:15">
      <c r="K3115" s="1469">
        <v>45172</v>
      </c>
      <c r="L3115" s="1473"/>
      <c r="M3115" s="850">
        <v>0</v>
      </c>
      <c r="N3115" s="1473">
        <v>2.067519807206768</v>
      </c>
      <c r="O3115" s="1473"/>
    </row>
    <row r="3116" spans="11:15">
      <c r="K3116" s="1469">
        <v>45173</v>
      </c>
      <c r="L3116" s="1473" t="s">
        <v>2129</v>
      </c>
      <c r="M3116" s="850">
        <v>5.0788E-2</v>
      </c>
      <c r="N3116" s="1473">
        <v>2.0685698591664523</v>
      </c>
      <c r="O3116" s="1473"/>
    </row>
    <row r="3117" spans="11:15">
      <c r="K3117" s="1469">
        <v>45174</v>
      </c>
      <c r="L3117" s="1473" t="s">
        <v>2129</v>
      </c>
      <c r="M3117" s="850">
        <v>5.0788E-2</v>
      </c>
      <c r="N3117" s="1473">
        <v>2.0696204444265258</v>
      </c>
      <c r="O3117" s="1473"/>
    </row>
    <row r="3118" spans="11:15">
      <c r="K3118" s="1469">
        <v>45175</v>
      </c>
      <c r="L3118" s="1473" t="s">
        <v>2129</v>
      </c>
      <c r="M3118" s="850">
        <v>5.0788E-2</v>
      </c>
      <c r="N3118" s="1473">
        <v>2.0706715632578412</v>
      </c>
      <c r="O3118" s="1473"/>
    </row>
    <row r="3119" spans="11:15">
      <c r="K3119" s="1469">
        <v>45176</v>
      </c>
      <c r="L3119" s="1473"/>
      <c r="M3119" s="850">
        <v>0</v>
      </c>
      <c r="N3119" s="1473">
        <v>2.0706715632578412</v>
      </c>
      <c r="O3119" s="1473"/>
    </row>
    <row r="3120" spans="11:15">
      <c r="K3120" s="1469">
        <v>45177</v>
      </c>
      <c r="L3120" s="1473" t="s">
        <v>2129</v>
      </c>
      <c r="M3120" s="850">
        <v>5.0788E-2</v>
      </c>
      <c r="N3120" s="1473">
        <v>2.0717232159313888</v>
      </c>
      <c r="O3120" s="1473"/>
    </row>
    <row r="3121" spans="11:15">
      <c r="K3121" s="1469">
        <v>45178</v>
      </c>
      <c r="L3121" s="1473"/>
      <c r="M3121" s="850">
        <v>0</v>
      </c>
      <c r="N3121" s="1473">
        <v>2.0717232159313888</v>
      </c>
      <c r="O3121" s="1473"/>
    </row>
    <row r="3122" spans="11:15">
      <c r="K3122" s="1469">
        <v>45179</v>
      </c>
      <c r="L3122" s="1473"/>
      <c r="M3122" s="850">
        <v>0</v>
      </c>
      <c r="N3122" s="1473">
        <v>2.0717232159313888</v>
      </c>
      <c r="O3122" s="1473"/>
    </row>
    <row r="3123" spans="11:15">
      <c r="K3123" s="1469">
        <v>45180</v>
      </c>
      <c r="L3123" s="1473" t="s">
        <v>2129</v>
      </c>
      <c r="M3123" s="850">
        <v>5.0788E-2</v>
      </c>
      <c r="N3123" s="1473">
        <v>2.0727754027182961</v>
      </c>
      <c r="O3123" s="1473"/>
    </row>
    <row r="3124" spans="11:15">
      <c r="K3124" s="1469">
        <v>45181</v>
      </c>
      <c r="L3124" s="1473" t="s">
        <v>2129</v>
      </c>
      <c r="M3124" s="850">
        <v>5.0788E-2</v>
      </c>
      <c r="N3124" s="1473">
        <v>2.0738281238898288</v>
      </c>
      <c r="O3124" s="1473"/>
    </row>
    <row r="3125" spans="11:15">
      <c r="K3125" s="1469">
        <v>45182</v>
      </c>
      <c r="L3125" s="1473" t="s">
        <v>2129</v>
      </c>
      <c r="M3125" s="850">
        <v>5.0788E-2</v>
      </c>
      <c r="N3125" s="1473">
        <v>2.07488137971739</v>
      </c>
      <c r="O3125" s="1473"/>
    </row>
    <row r="3126" spans="11:15">
      <c r="K3126" s="1469">
        <v>45183</v>
      </c>
      <c r="L3126" s="1473" t="s">
        <v>2129</v>
      </c>
      <c r="M3126" s="850">
        <v>5.0788E-2</v>
      </c>
      <c r="N3126" s="1473">
        <v>2.0759351704725209</v>
      </c>
      <c r="O3126" s="1473"/>
    </row>
    <row r="3127" spans="11:15">
      <c r="K3127" s="1469">
        <v>45184</v>
      </c>
      <c r="L3127" s="1473" t="s">
        <v>2129</v>
      </c>
      <c r="M3127" s="850">
        <v>5.0788E-2</v>
      </c>
      <c r="N3127" s="1473">
        <v>2.0769894964269007</v>
      </c>
      <c r="O3127" s="1473"/>
    </row>
    <row r="3128" spans="11:15">
      <c r="K3128" s="1469">
        <v>45185</v>
      </c>
      <c r="L3128" s="1473"/>
      <c r="M3128" s="850">
        <v>0</v>
      </c>
      <c r="N3128" s="1473">
        <v>2.0769894964269007</v>
      </c>
      <c r="O3128" s="1473"/>
    </row>
    <row r="3129" spans="11:15">
      <c r="K3129" s="1469">
        <v>45186</v>
      </c>
      <c r="L3129" s="1473"/>
      <c r="M3129" s="850">
        <v>0</v>
      </c>
      <c r="N3129" s="1473">
        <v>2.0769894964269007</v>
      </c>
      <c r="O3129" s="1473"/>
    </row>
    <row r="3130" spans="11:15">
      <c r="K3130" s="1469">
        <v>45187</v>
      </c>
      <c r="L3130" s="1473" t="s">
        <v>2129</v>
      </c>
      <c r="M3130" s="850">
        <v>5.0788E-2</v>
      </c>
      <c r="N3130" s="1473">
        <v>2.0780443578523462</v>
      </c>
      <c r="O3130" s="1473"/>
    </row>
    <row r="3131" spans="11:15">
      <c r="K3131" s="1469">
        <v>45188</v>
      </c>
      <c r="L3131" s="1473" t="s">
        <v>2129</v>
      </c>
      <c r="M3131" s="850">
        <v>5.0788E-2</v>
      </c>
      <c r="N3131" s="1473">
        <v>2.0790997550208123</v>
      </c>
      <c r="O3131" s="1473"/>
    </row>
    <row r="3132" spans="11:15">
      <c r="K3132" s="1469">
        <v>45189</v>
      </c>
      <c r="L3132" s="1473" t="s">
        <v>2129</v>
      </c>
      <c r="M3132" s="850">
        <v>5.0788E-2</v>
      </c>
      <c r="N3132" s="1473">
        <v>2.0801556882043926</v>
      </c>
      <c r="O3132" s="1473"/>
    </row>
    <row r="3133" spans="11:15">
      <c r="K3133" s="1469">
        <v>45190</v>
      </c>
      <c r="L3133" s="1473" t="s">
        <v>2129</v>
      </c>
      <c r="M3133" s="850">
        <v>5.0788E-2</v>
      </c>
      <c r="N3133" s="1473">
        <v>2.081212157675318</v>
      </c>
      <c r="O3133" s="1473"/>
    </row>
    <row r="3134" spans="11:15">
      <c r="K3134" s="1469">
        <v>45191</v>
      </c>
      <c r="L3134" s="1473" t="s">
        <v>2129</v>
      </c>
      <c r="M3134" s="850">
        <v>5.0788E-2</v>
      </c>
      <c r="N3134" s="1473">
        <v>2.0822691637059583</v>
      </c>
      <c r="O3134" s="1473"/>
    </row>
    <row r="3135" spans="11:15">
      <c r="K3135" s="1469">
        <v>45192</v>
      </c>
      <c r="L3135" s="1473"/>
      <c r="M3135" s="850">
        <v>0</v>
      </c>
      <c r="N3135" s="1473">
        <v>2.0822691637059583</v>
      </c>
      <c r="O3135" s="1473"/>
    </row>
    <row r="3136" spans="11:15">
      <c r="K3136" s="1469">
        <v>45193</v>
      </c>
      <c r="L3136" s="1473"/>
      <c r="M3136" s="850">
        <v>0</v>
      </c>
      <c r="N3136" s="1473">
        <v>2.0822691637059583</v>
      </c>
      <c r="O3136" s="1473"/>
    </row>
    <row r="3137" spans="11:15">
      <c r="K3137" s="1469">
        <v>45194</v>
      </c>
      <c r="L3137" s="1473" t="s">
        <v>2129</v>
      </c>
      <c r="M3137" s="850">
        <v>5.0788E-2</v>
      </c>
      <c r="N3137" s="1473">
        <v>2.0833267065688212</v>
      </c>
      <c r="O3137" s="1473"/>
    </row>
    <row r="3138" spans="11:15">
      <c r="K3138" s="1469">
        <v>45195</v>
      </c>
      <c r="L3138" s="1473" t="s">
        <v>2129</v>
      </c>
      <c r="M3138" s="850">
        <v>5.0788E-2</v>
      </c>
      <c r="N3138" s="1473">
        <v>2.0843847865365532</v>
      </c>
      <c r="O3138" s="1473"/>
    </row>
    <row r="3139" spans="11:15">
      <c r="K3139" s="1469">
        <v>45196</v>
      </c>
      <c r="L3139" s="1473" t="s">
        <v>2129</v>
      </c>
      <c r="M3139" s="850">
        <v>5.0788E-2</v>
      </c>
      <c r="N3139" s="1473">
        <v>2.0854434038819396</v>
      </c>
      <c r="O3139" s="1473"/>
    </row>
    <row r="3140" spans="11:15">
      <c r="K3140" s="1469">
        <v>45197</v>
      </c>
      <c r="L3140" s="1473" t="s">
        <v>2129</v>
      </c>
      <c r="M3140" s="850">
        <v>5.0788E-2</v>
      </c>
      <c r="N3140" s="1473">
        <v>2.0865025588779034</v>
      </c>
      <c r="O3140" s="1473"/>
    </row>
    <row r="3141" spans="11:15">
      <c r="K3141" s="1469">
        <v>45198</v>
      </c>
      <c r="L3141" s="1473" t="s">
        <v>2129</v>
      </c>
      <c r="M3141" s="850">
        <v>5.0788E-2</v>
      </c>
      <c r="N3141" s="1473">
        <v>2.0875622517975061</v>
      </c>
      <c r="O3141" s="1473"/>
    </row>
    <row r="3142" spans="11:15">
      <c r="K3142" s="1469">
        <v>45199</v>
      </c>
      <c r="L3142" s="1473"/>
      <c r="M3142" s="850">
        <v>0</v>
      </c>
      <c r="N3142" s="1473">
        <v>2.0875622517975061</v>
      </c>
      <c r="O3142" s="1473"/>
    </row>
    <row r="3143" spans="11:15">
      <c r="K3143" s="1469">
        <v>45200</v>
      </c>
      <c r="L3143" s="1473"/>
      <c r="M3143" s="850">
        <v>0</v>
      </c>
      <c r="N3143" s="1473">
        <v>2.0875622517975061</v>
      </c>
      <c r="O3143" s="1473"/>
    </row>
    <row r="3144" spans="11:15">
      <c r="K3144" s="1469">
        <v>45201</v>
      </c>
      <c r="L3144" s="1473" t="s">
        <v>2129</v>
      </c>
      <c r="M3144" s="850">
        <v>5.0788E-2</v>
      </c>
      <c r="N3144" s="1473">
        <v>2.0886224829139493</v>
      </c>
      <c r="O3144" s="1473"/>
    </row>
    <row r="3145" spans="11:15">
      <c r="K3145" s="1469">
        <v>45202</v>
      </c>
      <c r="L3145" s="1473" t="s">
        <v>2129</v>
      </c>
      <c r="M3145" s="850">
        <v>5.0788E-2</v>
      </c>
      <c r="N3145" s="1473">
        <v>2.0896832525005715</v>
      </c>
      <c r="O3145" s="1473"/>
    </row>
    <row r="3146" spans="11:15">
      <c r="K3146" s="1469">
        <v>45203</v>
      </c>
      <c r="L3146" s="1473" t="s">
        <v>2129</v>
      </c>
      <c r="M3146" s="850">
        <v>5.0788E-2</v>
      </c>
      <c r="N3146" s="1473">
        <v>2.0907445608308515</v>
      </c>
      <c r="O3146" s="1473"/>
    </row>
    <row r="3147" spans="11:15">
      <c r="K3147" s="1469">
        <v>45204</v>
      </c>
      <c r="L3147" s="1473" t="s">
        <v>2129</v>
      </c>
      <c r="M3147" s="850">
        <v>5.0788E-2</v>
      </c>
      <c r="N3147" s="1473">
        <v>2.0918064081784062</v>
      </c>
      <c r="O3147" s="1473"/>
    </row>
    <row r="3148" spans="11:15">
      <c r="K3148" s="1469">
        <v>45205</v>
      </c>
      <c r="L3148" s="1473" t="s">
        <v>2129</v>
      </c>
      <c r="M3148" s="850">
        <v>5.0788E-2</v>
      </c>
      <c r="N3148" s="1473">
        <v>2.092868794816992</v>
      </c>
      <c r="O3148" s="1473"/>
    </row>
    <row r="3149" spans="11:15">
      <c r="K3149" s="1469">
        <v>45206</v>
      </c>
      <c r="L3149" s="1473"/>
      <c r="M3149" s="850">
        <v>0</v>
      </c>
      <c r="N3149" s="1473">
        <v>2.092868794816992</v>
      </c>
      <c r="O3149" s="1473"/>
    </row>
    <row r="3150" spans="11:15">
      <c r="K3150" s="1469">
        <v>45207</v>
      </c>
      <c r="L3150" s="1473"/>
      <c r="M3150" s="850">
        <v>0</v>
      </c>
      <c r="N3150" s="1473">
        <v>2.092868794816992</v>
      </c>
      <c r="O3150" s="1473"/>
    </row>
    <row r="3151" spans="11:15">
      <c r="K3151" s="1469">
        <v>45208</v>
      </c>
      <c r="L3151" s="1473" t="s">
        <v>2129</v>
      </c>
      <c r="M3151" s="850">
        <v>5.0788E-2</v>
      </c>
      <c r="N3151" s="1473">
        <v>2.0939317210205037</v>
      </c>
      <c r="O3151" s="1473"/>
    </row>
    <row r="3152" spans="11:15">
      <c r="K3152" s="1469">
        <v>45209</v>
      </c>
      <c r="L3152" s="1473" t="s">
        <v>2129</v>
      </c>
      <c r="M3152" s="850">
        <v>5.0788E-2</v>
      </c>
      <c r="N3152" s="1473">
        <v>2.0949951870629757</v>
      </c>
      <c r="O3152" s="1473"/>
    </row>
    <row r="3153" spans="11:15">
      <c r="K3153" s="1469">
        <v>45210</v>
      </c>
      <c r="L3153" s="1473" t="s">
        <v>2129</v>
      </c>
      <c r="M3153" s="850">
        <v>5.0788E-2</v>
      </c>
      <c r="N3153" s="1473">
        <v>2.0960591932185815</v>
      </c>
      <c r="O3153" s="1473"/>
    </row>
    <row r="3154" spans="11:15">
      <c r="K3154" s="1469">
        <v>45211</v>
      </c>
      <c r="L3154" s="1473"/>
      <c r="M3154" s="850">
        <v>0</v>
      </c>
      <c r="N3154" s="1473">
        <v>2.0960591932185815</v>
      </c>
      <c r="O3154" s="1473"/>
    </row>
    <row r="3155" spans="11:15">
      <c r="K3155" s="1469">
        <v>45212</v>
      </c>
      <c r="L3155" s="1473" t="s">
        <v>2129</v>
      </c>
      <c r="M3155" s="850">
        <v>5.0788E-2</v>
      </c>
      <c r="N3155" s="1473">
        <v>2.0971237397616336</v>
      </c>
      <c r="O3155" s="1473"/>
    </row>
    <row r="3156" spans="11:15">
      <c r="K3156" s="1469">
        <v>45213</v>
      </c>
      <c r="L3156" s="1473"/>
      <c r="M3156" s="850">
        <v>0</v>
      </c>
      <c r="N3156" s="1473">
        <v>2.0971237397616336</v>
      </c>
      <c r="O3156" s="1473"/>
    </row>
    <row r="3157" spans="11:15">
      <c r="K3157" s="1469">
        <v>45214</v>
      </c>
      <c r="L3157" s="1473"/>
      <c r="M3157" s="850">
        <v>0</v>
      </c>
      <c r="N3157" s="1473">
        <v>2.0971237397616336</v>
      </c>
      <c r="O3157" s="1473"/>
    </row>
    <row r="3158" spans="11:15">
      <c r="K3158" s="1469">
        <v>45215</v>
      </c>
      <c r="L3158" s="1473" t="s">
        <v>2129</v>
      </c>
      <c r="M3158" s="850">
        <v>5.0788E-2</v>
      </c>
      <c r="N3158" s="1473">
        <v>2.0981888269665836</v>
      </c>
      <c r="O3158" s="1473"/>
    </row>
    <row r="3159" spans="11:15">
      <c r="K3159" s="1469">
        <v>45216</v>
      </c>
      <c r="L3159" s="1473" t="s">
        <v>2129</v>
      </c>
      <c r="M3159" s="850">
        <v>5.0788E-2</v>
      </c>
      <c r="N3159" s="1473">
        <v>2.0992544551080234</v>
      </c>
      <c r="O3159" s="1473"/>
    </row>
    <row r="3160" spans="11:15">
      <c r="K3160" s="1469">
        <v>45217</v>
      </c>
      <c r="L3160" s="1473" t="s">
        <v>2129</v>
      </c>
      <c r="M3160" s="850">
        <v>5.0788E-2</v>
      </c>
      <c r="N3160" s="1473">
        <v>2.1003206244606836</v>
      </c>
      <c r="O3160" s="1473"/>
    </row>
    <row r="3161" spans="11:15">
      <c r="K3161" s="1469">
        <v>45218</v>
      </c>
      <c r="L3161" s="1473" t="s">
        <v>2129</v>
      </c>
      <c r="M3161" s="850">
        <v>5.0788E-2</v>
      </c>
      <c r="N3161" s="1473">
        <v>2.1013873352994348</v>
      </c>
      <c r="O3161" s="1473"/>
    </row>
    <row r="3162" spans="11:15">
      <c r="K3162" s="1469">
        <v>45219</v>
      </c>
      <c r="L3162" s="1473" t="s">
        <v>2129</v>
      </c>
      <c r="M3162" s="850">
        <v>5.0788E-2</v>
      </c>
      <c r="N3162" s="1473">
        <v>2.1024545878992869</v>
      </c>
      <c r="O3162" s="1473"/>
    </row>
    <row r="3163" spans="11:15">
      <c r="K3163" s="1469">
        <v>45220</v>
      </c>
      <c r="L3163" s="1473"/>
      <c r="M3163" s="850">
        <v>0</v>
      </c>
      <c r="N3163" s="1473">
        <v>2.1024545878992869</v>
      </c>
      <c r="O3163" s="1473"/>
    </row>
    <row r="3164" spans="11:15">
      <c r="K3164" s="1469">
        <v>45221</v>
      </c>
      <c r="L3164" s="1473"/>
      <c r="M3164" s="850">
        <v>0</v>
      </c>
      <c r="N3164" s="1473">
        <v>2.1024545878992869</v>
      </c>
      <c r="O3164" s="1473"/>
    </row>
    <row r="3165" spans="11:15">
      <c r="K3165" s="1469">
        <v>45222</v>
      </c>
      <c r="L3165" s="1473" t="s">
        <v>2129</v>
      </c>
      <c r="M3165" s="850">
        <v>5.0788E-2</v>
      </c>
      <c r="N3165" s="1473">
        <v>2.103522382535389</v>
      </c>
      <c r="O3165" s="1473"/>
    </row>
    <row r="3166" spans="11:15">
      <c r="K3166" s="1469">
        <v>45223</v>
      </c>
      <c r="L3166" s="1473" t="s">
        <v>2129</v>
      </c>
      <c r="M3166" s="850">
        <v>5.0788E-2</v>
      </c>
      <c r="N3166" s="1473">
        <v>2.1045907194830313</v>
      </c>
      <c r="O3166" s="1473"/>
    </row>
    <row r="3167" spans="11:15">
      <c r="K3167" s="1469">
        <v>45224</v>
      </c>
      <c r="L3167" s="1473" t="s">
        <v>2129</v>
      </c>
      <c r="M3167" s="850">
        <v>5.0788E-2</v>
      </c>
      <c r="N3167" s="1473">
        <v>2.1056595990176423</v>
      </c>
      <c r="O3167" s="1473"/>
    </row>
    <row r="3168" spans="11:15">
      <c r="K3168" s="1469">
        <v>45225</v>
      </c>
      <c r="L3168" s="1473" t="s">
        <v>2129</v>
      </c>
      <c r="M3168" s="850">
        <v>5.0788E-2</v>
      </c>
      <c r="N3168" s="1473">
        <v>2.1067290214147913</v>
      </c>
      <c r="O3168" s="1473"/>
    </row>
    <row r="3169" spans="11:15">
      <c r="K3169" s="1469">
        <v>45226</v>
      </c>
      <c r="L3169" s="1473" t="s">
        <v>2129</v>
      </c>
      <c r="M3169" s="850">
        <v>5.0788E-2</v>
      </c>
      <c r="N3169" s="1473">
        <v>2.1077989869501876</v>
      </c>
      <c r="O3169" s="1473"/>
    </row>
    <row r="3170" spans="11:15">
      <c r="K3170" s="1469">
        <v>45227</v>
      </c>
      <c r="L3170" s="1473"/>
      <c r="M3170" s="850">
        <v>0</v>
      </c>
      <c r="N3170" s="1473">
        <v>2.1077989869501876</v>
      </c>
      <c r="O3170" s="1473"/>
    </row>
    <row r="3171" spans="11:15">
      <c r="K3171" s="1469">
        <v>45228</v>
      </c>
      <c r="L3171" s="1473"/>
      <c r="M3171" s="850">
        <v>0</v>
      </c>
      <c r="N3171" s="1473">
        <v>2.1077989869501876</v>
      </c>
      <c r="O3171" s="1473"/>
    </row>
    <row r="3172" spans="11:15">
      <c r="K3172" s="1469">
        <v>45229</v>
      </c>
      <c r="L3172" s="1473" t="s">
        <v>2129</v>
      </c>
      <c r="M3172" s="850">
        <v>5.0788E-2</v>
      </c>
      <c r="N3172" s="1473">
        <v>2.1088694958996799</v>
      </c>
      <c r="O3172" s="1473"/>
    </row>
    <row r="3173" spans="11:15">
      <c r="K3173" s="1469">
        <v>45230</v>
      </c>
      <c r="L3173" s="1473" t="s">
        <v>2129</v>
      </c>
      <c r="M3173" s="850">
        <v>5.0788E-2</v>
      </c>
      <c r="N3173" s="1473">
        <v>2.1099405485392575</v>
      </c>
      <c r="O3173" s="1473"/>
    </row>
    <row r="3174" spans="11:15">
      <c r="K3174" s="1469">
        <v>45231</v>
      </c>
      <c r="L3174" s="1473" t="s">
        <v>2129</v>
      </c>
      <c r="M3174" s="850">
        <v>5.0788E-2</v>
      </c>
      <c r="N3174" s="1473">
        <v>2.1110121451450499</v>
      </c>
      <c r="O3174" s="1473"/>
    </row>
    <row r="3175" spans="11:15">
      <c r="K3175" s="1469">
        <v>45232</v>
      </c>
      <c r="L3175" s="1473"/>
      <c r="M3175" s="850">
        <v>0</v>
      </c>
      <c r="N3175" s="1473">
        <v>2.1110121451450499</v>
      </c>
      <c r="O3175" s="1473"/>
    </row>
    <row r="3176" spans="11:15">
      <c r="K3176" s="1469">
        <v>45233</v>
      </c>
      <c r="L3176" s="1473" t="s">
        <v>2129</v>
      </c>
      <c r="M3176" s="850">
        <v>5.0788E-2</v>
      </c>
      <c r="N3176" s="1473">
        <v>2.1120842859933262</v>
      </c>
      <c r="O3176" s="1473"/>
    </row>
    <row r="3177" spans="11:15">
      <c r="K3177" s="1469">
        <v>45234</v>
      </c>
      <c r="L3177" s="1473"/>
      <c r="M3177" s="850">
        <v>0</v>
      </c>
      <c r="N3177" s="1473">
        <v>2.1120842859933262</v>
      </c>
      <c r="O3177" s="1473"/>
    </row>
    <row r="3178" spans="11:15">
      <c r="K3178" s="1469">
        <v>45235</v>
      </c>
      <c r="L3178" s="1473"/>
      <c r="M3178" s="850">
        <v>0</v>
      </c>
      <c r="N3178" s="1473">
        <v>2.1120842859933262</v>
      </c>
      <c r="O3178" s="1473"/>
    </row>
    <row r="3179" spans="11:15">
      <c r="K3179" s="1469">
        <v>45236</v>
      </c>
      <c r="L3179" s="1473" t="s">
        <v>2129</v>
      </c>
      <c r="M3179" s="850">
        <v>5.0788E-2</v>
      </c>
      <c r="N3179" s="1473">
        <v>2.1131569713604965</v>
      </c>
      <c r="O3179" s="1473"/>
    </row>
    <row r="3180" spans="11:15">
      <c r="K3180" s="1469">
        <v>45237</v>
      </c>
      <c r="L3180" s="1473" t="s">
        <v>2129</v>
      </c>
      <c r="M3180" s="850">
        <v>5.0788E-2</v>
      </c>
      <c r="N3180" s="1473">
        <v>2.1142302015231111</v>
      </c>
      <c r="O3180" s="1473"/>
    </row>
    <row r="3181" spans="11:15">
      <c r="K3181" s="1469">
        <v>45238</v>
      </c>
      <c r="L3181" s="1473" t="s">
        <v>2129</v>
      </c>
      <c r="M3181" s="850">
        <v>5.0788E-2</v>
      </c>
      <c r="N3181" s="1473">
        <v>2.1153039767578607</v>
      </c>
      <c r="O3181" s="1473"/>
    </row>
    <row r="3182" spans="11:15">
      <c r="K3182" s="1469">
        <v>45239</v>
      </c>
      <c r="L3182" s="1473" t="s">
        <v>2129</v>
      </c>
      <c r="M3182" s="850">
        <v>5.0788E-2</v>
      </c>
      <c r="N3182" s="1473">
        <v>2.1163782973415768</v>
      </c>
      <c r="O3182" s="1473"/>
    </row>
    <row r="3183" spans="11:15">
      <c r="K3183" s="1469">
        <v>45240</v>
      </c>
      <c r="L3183" s="1473" t="s">
        <v>2129</v>
      </c>
      <c r="M3183" s="850">
        <v>5.0788E-2</v>
      </c>
      <c r="N3183" s="1473">
        <v>2.1174531635512306</v>
      </c>
      <c r="O3183" s="1473"/>
    </row>
    <row r="3184" spans="11:15">
      <c r="K3184" s="1469">
        <v>45241</v>
      </c>
      <c r="L3184" s="1473"/>
      <c r="M3184" s="850">
        <v>0</v>
      </c>
      <c r="N3184" s="1473">
        <v>2.1174531635512306</v>
      </c>
      <c r="O3184" s="1473"/>
    </row>
    <row r="3185" spans="11:15">
      <c r="K3185" s="1469">
        <v>45242</v>
      </c>
      <c r="L3185" s="1473"/>
      <c r="M3185" s="850">
        <v>0</v>
      </c>
      <c r="N3185" s="1473">
        <v>2.1174531635512306</v>
      </c>
      <c r="O3185" s="1473"/>
    </row>
    <row r="3186" spans="11:15">
      <c r="K3186" s="1469">
        <v>45243</v>
      </c>
      <c r="L3186" s="1473" t="s">
        <v>2129</v>
      </c>
      <c r="M3186" s="850">
        <v>5.0788E-2</v>
      </c>
      <c r="N3186" s="1473">
        <v>2.1185285756639352</v>
      </c>
      <c r="O3186" s="1473"/>
    </row>
    <row r="3187" spans="11:15">
      <c r="K3187" s="1469">
        <v>45244</v>
      </c>
      <c r="L3187" s="1473" t="s">
        <v>2129</v>
      </c>
      <c r="M3187" s="850">
        <v>5.0788E-2</v>
      </c>
      <c r="N3187" s="1473">
        <v>2.1196045339569434</v>
      </c>
      <c r="O3187" s="1473"/>
    </row>
    <row r="3188" spans="11:15">
      <c r="K3188" s="1469">
        <v>45245</v>
      </c>
      <c r="L3188" s="1473"/>
      <c r="M3188" s="850">
        <v>0</v>
      </c>
      <c r="N3188" s="1473">
        <v>2.1196045339569434</v>
      </c>
      <c r="O3188" s="1473"/>
    </row>
    <row r="3189" spans="11:15">
      <c r="K3189" s="1469">
        <v>45246</v>
      </c>
      <c r="L3189" s="1473" t="s">
        <v>2129</v>
      </c>
      <c r="M3189" s="850">
        <v>5.0788E-2</v>
      </c>
      <c r="N3189" s="1473">
        <v>2.1206810387076493</v>
      </c>
      <c r="O3189" s="1473"/>
    </row>
    <row r="3190" spans="11:15">
      <c r="K3190" s="1469">
        <v>45247</v>
      </c>
      <c r="L3190" s="1473" t="s">
        <v>2129</v>
      </c>
      <c r="M3190" s="850">
        <v>5.0788E-2</v>
      </c>
      <c r="N3190" s="1473">
        <v>2.1217580901935884</v>
      </c>
      <c r="O3190" s="1473"/>
    </row>
    <row r="3191" spans="11:15">
      <c r="K3191" s="1469">
        <v>45248</v>
      </c>
      <c r="L3191" s="1473"/>
      <c r="M3191" s="850">
        <v>0</v>
      </c>
      <c r="N3191" s="1473">
        <v>2.1217580901935884</v>
      </c>
      <c r="O3191" s="1473"/>
    </row>
    <row r="3192" spans="11:15">
      <c r="K3192" s="1469">
        <v>45249</v>
      </c>
      <c r="L3192" s="1473"/>
      <c r="M3192" s="850">
        <v>0</v>
      </c>
      <c r="N3192" s="1473">
        <v>2.1217580901935884</v>
      </c>
      <c r="O3192" s="1473"/>
    </row>
    <row r="3193" spans="11:15">
      <c r="K3193" s="1469">
        <v>45250</v>
      </c>
      <c r="L3193" s="1473" t="s">
        <v>2129</v>
      </c>
      <c r="M3193" s="850">
        <v>5.0788E-2</v>
      </c>
      <c r="N3193" s="1473">
        <v>2.1228356886924358</v>
      </c>
      <c r="O3193" s="1473"/>
    </row>
    <row r="3194" spans="11:15">
      <c r="K3194" s="1469">
        <v>45251</v>
      </c>
      <c r="L3194" s="1473" t="s">
        <v>2129</v>
      </c>
      <c r="M3194" s="850">
        <v>5.0788E-2</v>
      </c>
      <c r="N3194" s="1473">
        <v>2.1239138344820088</v>
      </c>
      <c r="O3194" s="1473"/>
    </row>
    <row r="3195" spans="11:15">
      <c r="K3195" s="1469">
        <v>45252</v>
      </c>
      <c r="L3195" s="1473" t="s">
        <v>2129</v>
      </c>
      <c r="M3195" s="850">
        <v>5.0788E-2</v>
      </c>
      <c r="N3195" s="1473">
        <v>2.1249925278402655</v>
      </c>
      <c r="O3195" s="1473"/>
    </row>
    <row r="3196" spans="11:15">
      <c r="K3196" s="1469">
        <v>45253</v>
      </c>
      <c r="L3196" s="1473" t="s">
        <v>2129</v>
      </c>
      <c r="M3196" s="850">
        <v>5.0788E-2</v>
      </c>
      <c r="N3196" s="1473">
        <v>2.1260717690453048</v>
      </c>
      <c r="O3196" s="1473"/>
    </row>
    <row r="3197" spans="11:15">
      <c r="K3197" s="1469">
        <v>45254</v>
      </c>
      <c r="L3197" s="1473" t="s">
        <v>2129</v>
      </c>
      <c r="M3197" s="850">
        <v>5.0788E-2</v>
      </c>
      <c r="N3197" s="1473">
        <v>2.1271515583753677</v>
      </c>
      <c r="O3197" s="1473"/>
    </row>
    <row r="3198" spans="11:15">
      <c r="K3198" s="1469">
        <v>45255</v>
      </c>
      <c r="L3198" s="1473"/>
      <c r="M3198" s="850">
        <v>0</v>
      </c>
      <c r="N3198" s="1473">
        <v>2.1271515583753677</v>
      </c>
      <c r="O3198" s="1473"/>
    </row>
    <row r="3199" spans="11:15">
      <c r="K3199" s="1469">
        <v>45256</v>
      </c>
      <c r="L3199" s="1473"/>
      <c r="M3199" s="850">
        <v>0</v>
      </c>
      <c r="N3199" s="1473">
        <v>2.1271515583753677</v>
      </c>
      <c r="O3199" s="1473"/>
    </row>
    <row r="3200" spans="11:15">
      <c r="K3200" s="1469">
        <v>45257</v>
      </c>
      <c r="L3200" s="1473" t="s">
        <v>2129</v>
      </c>
      <c r="M3200" s="850">
        <v>5.0788E-2</v>
      </c>
      <c r="N3200" s="1473">
        <v>2.1282318961088356</v>
      </c>
      <c r="O3200" s="1473"/>
    </row>
    <row r="3201" spans="11:15">
      <c r="K3201" s="1469">
        <v>45258</v>
      </c>
      <c r="L3201" s="1473" t="s">
        <v>2129</v>
      </c>
      <c r="M3201" s="850">
        <v>5.0788E-2</v>
      </c>
      <c r="N3201" s="1473">
        <v>2.1293127825242313</v>
      </c>
      <c r="O3201" s="1473"/>
    </row>
    <row r="3202" spans="11:15">
      <c r="K3202" s="1469">
        <v>45259</v>
      </c>
      <c r="L3202" s="1473" t="s">
        <v>2129</v>
      </c>
      <c r="M3202" s="850">
        <v>5.0788E-2</v>
      </c>
      <c r="N3202" s="1473">
        <v>2.1303942179002195</v>
      </c>
      <c r="O3202" s="1473"/>
    </row>
    <row r="3203" spans="11:15">
      <c r="K3203" s="1469">
        <v>45260</v>
      </c>
      <c r="L3203" s="1473" t="s">
        <v>2129</v>
      </c>
      <c r="M3203" s="850">
        <v>5.0788E-2</v>
      </c>
      <c r="N3203" s="1473">
        <v>2.1314762025156067</v>
      </c>
      <c r="O3203" s="1473"/>
    </row>
    <row r="3204" spans="11:15">
      <c r="K3204" s="1469">
        <v>45261</v>
      </c>
      <c r="L3204" s="1473" t="s">
        <v>2129</v>
      </c>
      <c r="M3204" s="850">
        <v>5.0788E-2</v>
      </c>
      <c r="N3204" s="1473">
        <v>2.1325587366493401</v>
      </c>
      <c r="O3204" s="1473"/>
    </row>
    <row r="3205" spans="11:15">
      <c r="K3205" s="1469">
        <v>45262</v>
      </c>
      <c r="L3205" s="1473"/>
      <c r="M3205" s="850">
        <v>0</v>
      </c>
      <c r="N3205" s="1473">
        <v>2.1325587366493401</v>
      </c>
      <c r="O3205" s="1473"/>
    </row>
    <row r="3206" spans="11:15">
      <c r="K3206" s="1469">
        <v>45263</v>
      </c>
      <c r="L3206" s="1473"/>
      <c r="M3206" s="850">
        <v>0</v>
      </c>
      <c r="N3206" s="1473">
        <v>2.1325587366493401</v>
      </c>
      <c r="O3206" s="1473"/>
    </row>
    <row r="3207" spans="11:15">
      <c r="K3207" s="1469">
        <v>45264</v>
      </c>
      <c r="L3207" s="1473" t="s">
        <v>2129</v>
      </c>
      <c r="M3207" s="850">
        <v>5.0788E-2</v>
      </c>
      <c r="N3207" s="1473">
        <v>2.1336418205805097</v>
      </c>
      <c r="O3207" s="1473"/>
    </row>
    <row r="3208" spans="11:15">
      <c r="K3208" s="1469">
        <v>45265</v>
      </c>
      <c r="L3208" s="1473" t="s">
        <v>2129</v>
      </c>
      <c r="M3208" s="850">
        <v>5.0788E-2</v>
      </c>
      <c r="N3208" s="1473">
        <v>2.1347254545883461</v>
      </c>
      <c r="O3208" s="1473"/>
    </row>
    <row r="3209" spans="11:15">
      <c r="K3209" s="1469">
        <v>45266</v>
      </c>
      <c r="L3209" s="1473" t="s">
        <v>2129</v>
      </c>
      <c r="M3209" s="850">
        <v>5.0788E-2</v>
      </c>
      <c r="N3209" s="1473">
        <v>2.1358096389522223</v>
      </c>
      <c r="O3209" s="1473"/>
    </row>
    <row r="3210" spans="11:15">
      <c r="K3210" s="1469">
        <v>45267</v>
      </c>
      <c r="L3210" s="1473" t="s">
        <v>2129</v>
      </c>
      <c r="M3210" s="850">
        <v>5.0788E-2</v>
      </c>
      <c r="N3210" s="1473">
        <v>2.1368943739516535</v>
      </c>
      <c r="O3210" s="1473"/>
    </row>
    <row r="3211" spans="11:15">
      <c r="K3211" s="1469">
        <v>45268</v>
      </c>
      <c r="L3211" s="1473" t="s">
        <v>2129</v>
      </c>
      <c r="M3211" s="850">
        <v>5.0788E-2</v>
      </c>
      <c r="N3211" s="1473">
        <v>2.1379796598662959</v>
      </c>
      <c r="O3211" s="1473"/>
    </row>
    <row r="3212" spans="11:15">
      <c r="K3212" s="1469">
        <v>45269</v>
      </c>
      <c r="L3212" s="1473"/>
      <c r="M3212" s="850">
        <v>0</v>
      </c>
      <c r="N3212" s="1473">
        <v>2.1379796598662959</v>
      </c>
      <c r="O3212" s="1473"/>
    </row>
    <row r="3213" spans="11:15">
      <c r="K3213" s="1469">
        <v>45270</v>
      </c>
      <c r="L3213" s="1473"/>
      <c r="M3213" s="850">
        <v>0</v>
      </c>
      <c r="N3213" s="1473">
        <v>2.1379796598662959</v>
      </c>
      <c r="O3213" s="1473"/>
    </row>
    <row r="3214" spans="11:15">
      <c r="K3214" s="1469">
        <v>45271</v>
      </c>
      <c r="L3214" s="1473" t="s">
        <v>2129</v>
      </c>
      <c r="M3214" s="850">
        <v>5.0788E-2</v>
      </c>
      <c r="N3214" s="1473">
        <v>2.1390654969759488</v>
      </c>
      <c r="O3214" s="1473"/>
    </row>
    <row r="3215" spans="11:15">
      <c r="K3215" s="1469">
        <v>45272</v>
      </c>
      <c r="L3215" s="1" t="s">
        <v>2129</v>
      </c>
      <c r="M3215" s="1">
        <v>5.0788E-2</v>
      </c>
      <c r="N3215" s="1">
        <v>2.1401518855605528</v>
      </c>
    </row>
    <row r="3216" spans="11:15">
      <c r="K3216" s="1469">
        <v>45273</v>
      </c>
      <c r="L3216" s="1" t="s">
        <v>2129</v>
      </c>
      <c r="M3216" s="1">
        <v>5.0788E-2</v>
      </c>
      <c r="N3216" s="1">
        <v>2.1412388259001913</v>
      </c>
    </row>
    <row r="3217" spans="11:14">
      <c r="K3217" s="1469">
        <v>45274</v>
      </c>
      <c r="L3217" s="1" t="s">
        <v>2129</v>
      </c>
      <c r="M3217" s="1">
        <v>5.0788E-2</v>
      </c>
      <c r="N3217" s="1">
        <v>2.1423263182750896</v>
      </c>
    </row>
    <row r="3218" spans="11:14">
      <c r="K3218" s="1469">
        <v>45275</v>
      </c>
      <c r="L3218" s="1" t="s">
        <v>2129</v>
      </c>
      <c r="M3218" s="1">
        <v>5.0788E-2</v>
      </c>
      <c r="N3218" s="1">
        <v>2.1434143629656153</v>
      </c>
    </row>
    <row r="3219" spans="11:14">
      <c r="K3219" s="1469">
        <v>45276</v>
      </c>
      <c r="M3219" s="1">
        <v>0</v>
      </c>
      <c r="N3219" s="1">
        <v>2.1434143629656153</v>
      </c>
    </row>
    <row r="3220" spans="11:14">
      <c r="K3220" s="1469">
        <v>45277</v>
      </c>
      <c r="M3220" s="1">
        <v>0</v>
      </c>
      <c r="N3220" s="1">
        <v>2.1434143629656153</v>
      </c>
    </row>
    <row r="3221" spans="11:14">
      <c r="K3221" s="1469">
        <v>45278</v>
      </c>
      <c r="L3221" s="1" t="s">
        <v>2129</v>
      </c>
      <c r="M3221" s="1">
        <v>5.0788E-2</v>
      </c>
      <c r="N3221" s="1">
        <v>2.1445029602522783</v>
      </c>
    </row>
    <row r="3222" spans="11:14">
      <c r="K3222" s="1469">
        <v>45279</v>
      </c>
      <c r="L3222" s="1" t="s">
        <v>2129</v>
      </c>
      <c r="M3222" s="1">
        <v>5.0788E-2</v>
      </c>
      <c r="N3222" s="1">
        <v>2.1455921104157314</v>
      </c>
    </row>
    <row r="3223" spans="11:14">
      <c r="K3223" s="1469">
        <v>45280</v>
      </c>
      <c r="L3223" s="1" t="s">
        <v>2129</v>
      </c>
      <c r="M3223" s="1">
        <v>5.0788E-2</v>
      </c>
      <c r="N3223" s="1">
        <v>2.1466818137367696</v>
      </c>
    </row>
    <row r="3224" spans="11:14">
      <c r="K3224" s="1469">
        <v>45281</v>
      </c>
      <c r="L3224" s="1" t="s">
        <v>2129</v>
      </c>
      <c r="M3224" s="1">
        <v>5.0788E-2</v>
      </c>
      <c r="N3224" s="1">
        <v>2.1477720704963303</v>
      </c>
    </row>
    <row r="3225" spans="11:14">
      <c r="K3225" s="1469">
        <v>45282</v>
      </c>
      <c r="L3225" s="1" t="s">
        <v>2129</v>
      </c>
      <c r="M3225" s="1">
        <v>5.0788E-2</v>
      </c>
      <c r="N3225" s="1">
        <v>2.1488628809754942</v>
      </c>
    </row>
    <row r="3226" spans="11:14">
      <c r="K3226" s="1469">
        <v>45283</v>
      </c>
      <c r="M3226" s="1">
        <v>0</v>
      </c>
      <c r="N3226" s="1">
        <v>2.1488628809754942</v>
      </c>
    </row>
    <row r="3227" spans="11:14">
      <c r="K3227" s="1469">
        <v>45284</v>
      </c>
      <c r="M3227" s="1">
        <v>0</v>
      </c>
      <c r="N3227" s="1">
        <v>2.1488628809754942</v>
      </c>
    </row>
    <row r="3228" spans="11:14">
      <c r="K3228" s="1469">
        <v>45285</v>
      </c>
      <c r="M3228" s="1">
        <v>0</v>
      </c>
      <c r="N3228" s="1">
        <v>2.1488628809754942</v>
      </c>
    </row>
    <row r="3229" spans="11:14">
      <c r="K3229" s="1469">
        <v>45286</v>
      </c>
      <c r="L3229" s="1" t="s">
        <v>2129</v>
      </c>
      <c r="M3229" s="1">
        <v>5.0788E-2</v>
      </c>
      <c r="N3229" s="1">
        <v>2.1499542454554841</v>
      </c>
    </row>
    <row r="3230" spans="11:14">
      <c r="K3230" s="1469">
        <v>45287</v>
      </c>
      <c r="L3230" s="1" t="s">
        <v>2129</v>
      </c>
      <c r="M3230" s="1">
        <v>5.0788E-2</v>
      </c>
      <c r="N3230" s="1">
        <v>2.1510461642176661</v>
      </c>
    </row>
    <row r="3231" spans="11:14">
      <c r="K3231" s="1469">
        <v>45288</v>
      </c>
      <c r="L3231" s="1" t="s">
        <v>2129</v>
      </c>
      <c r="M3231" s="1">
        <v>5.0788E-2</v>
      </c>
      <c r="N3231" s="1">
        <v>2.1521386375435489</v>
      </c>
    </row>
    <row r="3232" spans="11:14">
      <c r="K3232" s="1469">
        <v>45289</v>
      </c>
      <c r="L3232" s="1" t="s">
        <v>2129</v>
      </c>
      <c r="M3232" s="1">
        <v>5.0788E-2</v>
      </c>
      <c r="N3232" s="1">
        <v>2.1532316657147845</v>
      </c>
    </row>
    <row r="3233" spans="11:14">
      <c r="K3233" s="1469">
        <v>45290</v>
      </c>
      <c r="M3233" s="1">
        <v>0</v>
      </c>
      <c r="N3233" s="1">
        <v>2.1532316657147845</v>
      </c>
    </row>
    <row r="3234" spans="11:14">
      <c r="K3234" s="1469">
        <v>45291</v>
      </c>
      <c r="M3234" s="1">
        <v>0</v>
      </c>
      <c r="N3234" s="1">
        <v>2.1532316657147845</v>
      </c>
    </row>
    <row r="3235" spans="11:14">
      <c r="K3235" s="1469">
        <v>45292</v>
      </c>
      <c r="M3235" s="1">
        <v>0</v>
      </c>
      <c r="N3235" s="1">
        <v>2.1532316657147845</v>
      </c>
    </row>
    <row r="3236" spans="11:14">
      <c r="K3236" s="1469">
        <v>45293</v>
      </c>
      <c r="L3236" s="1" t="s">
        <v>2129</v>
      </c>
      <c r="M3236" s="1">
        <v>5.0788E-2</v>
      </c>
      <c r="N3236" s="1">
        <v>2.1543252490131679</v>
      </c>
    </row>
    <row r="3237" spans="11:14">
      <c r="K3237" s="1469">
        <v>45294</v>
      </c>
      <c r="L3237" s="1" t="s">
        <v>2129</v>
      </c>
      <c r="M3237" s="1">
        <v>5.0788E-2</v>
      </c>
      <c r="N3237" s="1">
        <v>2.1554193877206367</v>
      </c>
    </row>
    <row r="3238" spans="11:14">
      <c r="K3238" s="1469">
        <v>45295</v>
      </c>
      <c r="L3238" s="1" t="s">
        <v>2129</v>
      </c>
      <c r="M3238" s="1">
        <v>5.0788E-2</v>
      </c>
      <c r="N3238" s="1">
        <v>2.1565140821192723</v>
      </c>
    </row>
    <row r="3239" spans="11:14">
      <c r="K3239" s="1469">
        <v>45296</v>
      </c>
      <c r="L3239" s="1" t="s">
        <v>2129</v>
      </c>
      <c r="M3239" s="1">
        <v>5.0788E-2</v>
      </c>
      <c r="N3239" s="1">
        <v>2.1576093324912993</v>
      </c>
    </row>
    <row r="3240" spans="11:14">
      <c r="K3240" s="1469">
        <v>45297</v>
      </c>
      <c r="M3240" s="1">
        <v>0</v>
      </c>
      <c r="N3240" s="1">
        <v>2.1576093324912993</v>
      </c>
    </row>
    <row r="3241" spans="11:14">
      <c r="K3241" s="1469">
        <v>45298</v>
      </c>
      <c r="M3241" s="1">
        <v>0</v>
      </c>
      <c r="N3241" s="1">
        <v>2.1576093324912993</v>
      </c>
    </row>
    <row r="3242" spans="11:14">
      <c r="K3242" s="1469">
        <v>45299</v>
      </c>
      <c r="L3242" s="1" t="s">
        <v>2129</v>
      </c>
      <c r="M3242" s="1">
        <v>5.0788E-2</v>
      </c>
      <c r="N3242" s="1">
        <v>2.158705139119085</v>
      </c>
    </row>
    <row r="3243" spans="11:14">
      <c r="K3243" s="1469">
        <v>45300</v>
      </c>
      <c r="L3243" s="1" t="s">
        <v>2129</v>
      </c>
      <c r="M3243" s="1">
        <v>5.0788E-2</v>
      </c>
      <c r="N3243" s="1">
        <v>2.1598015022851409</v>
      </c>
    </row>
    <row r="3244" spans="11:14">
      <c r="K3244" s="1469">
        <v>45301</v>
      </c>
      <c r="L3244" s="1" t="s">
        <v>2129</v>
      </c>
      <c r="M3244" s="1">
        <v>5.0788E-2</v>
      </c>
      <c r="N3244" s="1">
        <v>2.1608984222721217</v>
      </c>
    </row>
    <row r="3245" spans="11:14">
      <c r="K3245" s="1469">
        <v>45302</v>
      </c>
      <c r="L3245" s="1" t="s">
        <v>2129</v>
      </c>
      <c r="M3245" s="1">
        <v>5.0788E-2</v>
      </c>
      <c r="N3245" s="1">
        <v>2.1619958993628252</v>
      </c>
    </row>
    <row r="3246" spans="11:14">
      <c r="K3246" s="1469">
        <v>45303</v>
      </c>
      <c r="L3246" s="1" t="s">
        <v>2129</v>
      </c>
      <c r="M3246" s="1">
        <v>5.0788E-2</v>
      </c>
      <c r="N3246" s="1">
        <v>2.1630939338401936</v>
      </c>
    </row>
    <row r="3247" spans="11:14">
      <c r="K3247" s="1469">
        <v>45304</v>
      </c>
      <c r="M3247" s="1">
        <v>0</v>
      </c>
      <c r="N3247" s="1">
        <v>2.1630939338401936</v>
      </c>
    </row>
    <row r="3248" spans="11:14">
      <c r="K3248" s="1469">
        <v>45305</v>
      </c>
      <c r="M3248" s="1">
        <v>0</v>
      </c>
      <c r="N3248" s="1">
        <v>2.1630939338401936</v>
      </c>
    </row>
    <row r="3249" spans="11:14">
      <c r="K3249" s="1469">
        <v>45306</v>
      </c>
      <c r="L3249" s="1" t="s">
        <v>2129</v>
      </c>
      <c r="M3249" s="1">
        <v>5.0788E-2</v>
      </c>
      <c r="N3249" s="1">
        <v>2.1641925259873123</v>
      </c>
    </row>
    <row r="3250" spans="11:14">
      <c r="K3250" s="1469">
        <v>45307</v>
      </c>
      <c r="L3250" s="1" t="s">
        <v>2129</v>
      </c>
      <c r="M3250" s="1">
        <v>5.0788E-2</v>
      </c>
      <c r="N3250" s="1">
        <v>2.1652916760874108</v>
      </c>
    </row>
    <row r="3251" spans="11:14">
      <c r="K3251" s="1469">
        <v>45308</v>
      </c>
      <c r="L3251" s="1" t="s">
        <v>2129</v>
      </c>
      <c r="M3251" s="1">
        <v>5.0788E-2</v>
      </c>
      <c r="N3251" s="1">
        <v>2.166391384423862</v>
      </c>
    </row>
    <row r="3252" spans="11:14">
      <c r="K3252" s="1469">
        <v>45309</v>
      </c>
      <c r="L3252" s="1" t="s">
        <v>2129</v>
      </c>
      <c r="M3252" s="1">
        <v>5.0788E-2</v>
      </c>
      <c r="N3252" s="1">
        <v>2.1674916512801832</v>
      </c>
    </row>
    <row r="3253" spans="11:14">
      <c r="K3253" s="1469">
        <v>45310</v>
      </c>
      <c r="L3253" s="1" t="s">
        <v>2129</v>
      </c>
      <c r="M3253" s="1">
        <v>5.0788E-2</v>
      </c>
      <c r="N3253" s="1">
        <v>2.1685924769400353</v>
      </c>
    </row>
    <row r="3254" spans="11:14">
      <c r="K3254" s="1469">
        <v>45311</v>
      </c>
      <c r="M3254" s="1">
        <v>0</v>
      </c>
      <c r="N3254" s="1">
        <v>2.1685924769400353</v>
      </c>
    </row>
    <row r="3255" spans="11:14">
      <c r="K3255" s="1469">
        <v>45312</v>
      </c>
      <c r="M3255" s="1">
        <v>0</v>
      </c>
      <c r="N3255" s="1">
        <v>2.1685924769400353</v>
      </c>
    </row>
    <row r="3256" spans="11:14">
      <c r="K3256" s="1469">
        <v>45313</v>
      </c>
      <c r="L3256" s="1" t="s">
        <v>2129</v>
      </c>
      <c r="M3256" s="1">
        <v>5.0788E-2</v>
      </c>
      <c r="N3256" s="1">
        <v>2.1696938616872234</v>
      </c>
    </row>
    <row r="3257" spans="11:14">
      <c r="K3257" s="1469">
        <v>45314</v>
      </c>
      <c r="L3257" s="1" t="s">
        <v>2129</v>
      </c>
      <c r="M3257" s="1">
        <v>5.0788E-2</v>
      </c>
      <c r="N3257" s="1">
        <v>2.1707958058056973</v>
      </c>
    </row>
    <row r="3258" spans="11:14">
      <c r="K3258" s="1469">
        <v>45315</v>
      </c>
      <c r="L3258" s="1" t="s">
        <v>2129</v>
      </c>
      <c r="M3258" s="1">
        <v>5.0788E-2</v>
      </c>
      <c r="N3258" s="1">
        <v>2.1718983095795501</v>
      </c>
    </row>
    <row r="3259" spans="11:14">
      <c r="K3259" s="1469">
        <v>45316</v>
      </c>
      <c r="L3259" s="1" t="s">
        <v>2129</v>
      </c>
      <c r="M3259" s="1">
        <v>5.0788E-2</v>
      </c>
      <c r="N3259" s="1">
        <v>2.1730013732930193</v>
      </c>
    </row>
    <row r="3260" spans="11:14">
      <c r="K3260" s="1469">
        <v>45317</v>
      </c>
      <c r="L3260" s="1" t="s">
        <v>2129</v>
      </c>
      <c r="M3260" s="1">
        <v>5.0788E-2</v>
      </c>
      <c r="N3260" s="1">
        <v>2.1741049972304873</v>
      </c>
    </row>
    <row r="3261" spans="11:14">
      <c r="K3261" s="1469">
        <v>45318</v>
      </c>
      <c r="M3261" s="1">
        <v>0</v>
      </c>
      <c r="N3261" s="1">
        <v>2.1741049972304873</v>
      </c>
    </row>
    <row r="3262" spans="11:14">
      <c r="K3262" s="1469">
        <v>45319</v>
      </c>
      <c r="M3262" s="1">
        <v>0</v>
      </c>
      <c r="N3262" s="1">
        <v>2.1741049972304873</v>
      </c>
    </row>
    <row r="3263" spans="11:14">
      <c r="K3263" s="1469">
        <v>45320</v>
      </c>
      <c r="L3263" s="1" t="s">
        <v>2129</v>
      </c>
      <c r="M3263" s="1">
        <v>5.0788E-2</v>
      </c>
      <c r="N3263" s="1">
        <v>2.1752091816764807</v>
      </c>
    </row>
    <row r="3264" spans="11:14">
      <c r="K3264" s="1469">
        <v>45321</v>
      </c>
      <c r="L3264" s="1" t="s">
        <v>2129</v>
      </c>
      <c r="M3264" s="1">
        <v>5.0788E-2</v>
      </c>
      <c r="N3264" s="1">
        <v>2.1763139269156704</v>
      </c>
    </row>
    <row r="3265" spans="11:14">
      <c r="K3265" s="1469">
        <v>45322</v>
      </c>
      <c r="L3265" s="1" t="s">
        <v>2129</v>
      </c>
      <c r="M3265" s="1">
        <v>5.0788E-2</v>
      </c>
      <c r="N3265" s="1">
        <v>2.1774192332328726</v>
      </c>
    </row>
    <row r="3266" spans="11:14">
      <c r="K3266" s="1469">
        <v>45323</v>
      </c>
      <c r="L3266" s="1" t="s">
        <v>2129</v>
      </c>
      <c r="M3266" s="1">
        <v>5.0788E-2</v>
      </c>
      <c r="N3266" s="1">
        <v>2.1785251009130469</v>
      </c>
    </row>
    <row r="3267" spans="11:14">
      <c r="K3267" s="1469">
        <v>45324</v>
      </c>
      <c r="L3267" s="1" t="s">
        <v>2129</v>
      </c>
      <c r="M3267" s="1">
        <v>5.0788E-2</v>
      </c>
      <c r="N3267" s="1">
        <v>2.1796315302412985</v>
      </c>
    </row>
    <row r="3268" spans="11:14">
      <c r="K3268" s="1469">
        <v>45325</v>
      </c>
      <c r="M3268" s="1">
        <v>0</v>
      </c>
      <c r="N3268" s="1">
        <v>2.1796315302412985</v>
      </c>
    </row>
    <row r="3269" spans="11:14">
      <c r="K3269" s="1469">
        <v>45326</v>
      </c>
      <c r="M3269" s="1">
        <v>0</v>
      </c>
      <c r="N3269" s="1">
        <v>2.1796315302412985</v>
      </c>
    </row>
    <row r="3270" spans="11:14">
      <c r="K3270" s="1469">
        <v>45327</v>
      </c>
      <c r="L3270" s="1" t="s">
        <v>2129</v>
      </c>
      <c r="M3270" s="1">
        <v>5.0788E-2</v>
      </c>
      <c r="N3270" s="1">
        <v>2.1807385215028776</v>
      </c>
    </row>
    <row r="3271" spans="11:14">
      <c r="K3271" s="1469">
        <v>45328</v>
      </c>
      <c r="L3271" s="1" t="s">
        <v>2129</v>
      </c>
      <c r="M3271" s="1">
        <v>5.0788E-2</v>
      </c>
      <c r="N3271" s="1">
        <v>2.1818460749831785</v>
      </c>
    </row>
    <row r="3272" spans="11:14">
      <c r="K3272" s="1469">
        <v>45329</v>
      </c>
      <c r="L3272" s="1" t="s">
        <v>2129</v>
      </c>
      <c r="M3272" s="1">
        <v>5.0788E-2</v>
      </c>
      <c r="N3272" s="1">
        <v>2.1829541909677408</v>
      </c>
    </row>
    <row r="3273" spans="11:14">
      <c r="K3273" s="1469">
        <v>45330</v>
      </c>
      <c r="L3273" s="1" t="s">
        <v>2129</v>
      </c>
      <c r="M3273" s="1">
        <v>5.0788E-2</v>
      </c>
      <c r="N3273" s="1">
        <v>2.1840628697422497</v>
      </c>
    </row>
    <row r="3274" spans="11:14">
      <c r="K3274" s="1469">
        <v>45331</v>
      </c>
      <c r="L3274" s="1" t="s">
        <v>2129</v>
      </c>
      <c r="M3274" s="1">
        <v>5.0788E-2</v>
      </c>
      <c r="N3274" s="1">
        <v>2.1851721115925344</v>
      </c>
    </row>
    <row r="3275" spans="11:14">
      <c r="K3275" s="1469">
        <v>45332</v>
      </c>
      <c r="M3275" s="1">
        <v>0</v>
      </c>
      <c r="N3275" s="1">
        <v>2.1851721115925344</v>
      </c>
    </row>
    <row r="3276" spans="11:14">
      <c r="K3276" s="1469">
        <v>45333</v>
      </c>
      <c r="M3276" s="1">
        <v>0</v>
      </c>
      <c r="N3276" s="1">
        <v>2.1851721115925344</v>
      </c>
    </row>
    <row r="3277" spans="11:14">
      <c r="K3277" s="1469">
        <v>45334</v>
      </c>
      <c r="M3277" s="1">
        <v>0</v>
      </c>
      <c r="N3277" s="1">
        <v>2.1851721115925344</v>
      </c>
    </row>
    <row r="3278" spans="11:14">
      <c r="K3278" s="1469">
        <v>45335</v>
      </c>
      <c r="M3278" s="1">
        <v>0</v>
      </c>
      <c r="N3278" s="1">
        <v>2.1851721115925344</v>
      </c>
    </row>
    <row r="3279" spans="11:14">
      <c r="K3279" s="1469">
        <v>45336</v>
      </c>
      <c r="L3279" s="1" t="s">
        <v>2129</v>
      </c>
      <c r="M3279" s="1">
        <v>5.0788E-2</v>
      </c>
      <c r="N3279" s="1">
        <v>2.1862819168045702</v>
      </c>
    </row>
    <row r="3280" spans="11:14">
      <c r="K3280" s="1469">
        <v>45337</v>
      </c>
      <c r="L3280" s="1" t="s">
        <v>2129</v>
      </c>
      <c r="M3280" s="1">
        <v>5.0788E-2</v>
      </c>
      <c r="N3280" s="1">
        <v>2.187392285664477</v>
      </c>
    </row>
    <row r="3281" spans="11:14">
      <c r="K3281" s="1469">
        <v>45338</v>
      </c>
      <c r="L3281" s="1" t="s">
        <v>2129</v>
      </c>
      <c r="M3281" s="1">
        <v>5.0788E-2</v>
      </c>
      <c r="N3281" s="1">
        <v>2.1885032184585205</v>
      </c>
    </row>
    <row r="3282" spans="11:14">
      <c r="K3282" s="1469">
        <v>45339</v>
      </c>
      <c r="M3282" s="1">
        <v>0</v>
      </c>
      <c r="N3282" s="1">
        <v>2.1885032184585205</v>
      </c>
    </row>
    <row r="3283" spans="11:14">
      <c r="K3283" s="1469">
        <v>45340</v>
      </c>
      <c r="M3283" s="1">
        <v>0</v>
      </c>
      <c r="N3283" s="1">
        <v>2.1885032184585205</v>
      </c>
    </row>
    <row r="3284" spans="11:14">
      <c r="K3284" s="1469">
        <v>45341</v>
      </c>
      <c r="L3284" s="1" t="s">
        <v>2129</v>
      </c>
      <c r="M3284" s="1">
        <v>5.0788E-2</v>
      </c>
      <c r="N3284" s="1">
        <v>2.1896147154731112</v>
      </c>
    </row>
    <row r="3285" spans="11:14">
      <c r="K3285" s="1469">
        <v>45342</v>
      </c>
      <c r="L3285" s="1" t="s">
        <v>2129</v>
      </c>
      <c r="M3285" s="1">
        <v>5.0788E-2</v>
      </c>
      <c r="N3285" s="1">
        <v>2.1907267769948056</v>
      </c>
    </row>
    <row r="3286" spans="11:14">
      <c r="K3286" s="1469">
        <v>45343</v>
      </c>
      <c r="L3286" s="1" t="s">
        <v>2129</v>
      </c>
      <c r="M3286" s="1">
        <v>5.0788E-2</v>
      </c>
      <c r="N3286" s="1">
        <v>2.1918394033103059</v>
      </c>
    </row>
    <row r="3287" spans="11:14">
      <c r="K3287" s="1469">
        <v>45344</v>
      </c>
      <c r="L3287" s="1" t="s">
        <v>2129</v>
      </c>
      <c r="M3287" s="1">
        <v>5.0788E-2</v>
      </c>
      <c r="N3287" s="1">
        <v>2.1929525947064592</v>
      </c>
    </row>
    <row r="3288" spans="11:14">
      <c r="K3288" s="1469">
        <v>45345</v>
      </c>
      <c r="L3288" s="1" t="s">
        <v>2129</v>
      </c>
      <c r="M3288" s="1">
        <v>5.0788E-2</v>
      </c>
      <c r="N3288" s="1">
        <v>2.194066351470259</v>
      </c>
    </row>
    <row r="3289" spans="11:14">
      <c r="K3289" s="1469">
        <v>45346</v>
      </c>
      <c r="M3289" s="1">
        <v>0</v>
      </c>
      <c r="N3289" s="1">
        <v>2.194066351470259</v>
      </c>
    </row>
    <row r="3290" spans="11:14">
      <c r="K3290" s="1469">
        <v>45347</v>
      </c>
      <c r="M3290" s="1">
        <v>0</v>
      </c>
      <c r="N3290" s="1">
        <v>2.194066351470259</v>
      </c>
    </row>
    <row r="3291" spans="11:14">
      <c r="K3291" s="1469">
        <v>45348</v>
      </c>
      <c r="L3291" s="1" t="s">
        <v>2129</v>
      </c>
      <c r="M3291" s="1">
        <v>5.0788E-2</v>
      </c>
      <c r="N3291" s="1">
        <v>2.1951806738888435</v>
      </c>
    </row>
    <row r="3292" spans="11:14">
      <c r="K3292" s="1469">
        <v>45349</v>
      </c>
      <c r="L3292" s="1" t="s">
        <v>2129</v>
      </c>
      <c r="M3292" s="1">
        <v>5.0788E-2</v>
      </c>
      <c r="N3292" s="1">
        <v>2.1962955622494982</v>
      </c>
    </row>
    <row r="3293" spans="11:14">
      <c r="K3293" s="1469">
        <v>45350</v>
      </c>
      <c r="L3293" s="1" t="s">
        <v>2129</v>
      </c>
      <c r="M3293" s="1">
        <v>5.0788E-2</v>
      </c>
      <c r="N3293" s="1">
        <v>2.1974110168396535</v>
      </c>
    </row>
    <row r="3294" spans="11:14">
      <c r="K3294" s="1469">
        <v>45351</v>
      </c>
      <c r="L3294" s="1" t="s">
        <v>2129</v>
      </c>
      <c r="M3294" s="1">
        <v>5.0788E-2</v>
      </c>
      <c r="N3294" s="1">
        <v>2.198527037946886</v>
      </c>
    </row>
    <row r="3295" spans="11:14">
      <c r="K3295" s="1469">
        <v>45352</v>
      </c>
      <c r="L3295" s="1" t="s">
        <v>2129</v>
      </c>
      <c r="M3295" s="1">
        <v>5.0788E-2</v>
      </c>
      <c r="N3295" s="1">
        <v>2.1996436258589185</v>
      </c>
    </row>
    <row r="3296" spans="11:14">
      <c r="K3296" s="1469">
        <v>45353</v>
      </c>
      <c r="M3296" s="1">
        <v>0</v>
      </c>
      <c r="N3296" s="1">
        <v>2.1996436258589185</v>
      </c>
    </row>
    <row r="3297" spans="11:14">
      <c r="K3297" s="1469">
        <v>45354</v>
      </c>
      <c r="M3297" s="1">
        <v>0</v>
      </c>
      <c r="N3297" s="1">
        <v>2.1996436258589185</v>
      </c>
    </row>
    <row r="3298" spans="11:14">
      <c r="K3298" s="1469">
        <v>45355</v>
      </c>
      <c r="L3298" s="1" t="s">
        <v>2129</v>
      </c>
      <c r="M3298" s="1">
        <v>5.0788E-2</v>
      </c>
      <c r="N3298" s="1">
        <v>2.2007607808636198</v>
      </c>
    </row>
    <row r="3299" spans="11:14">
      <c r="K3299" s="1469">
        <v>45356</v>
      </c>
      <c r="L3299" s="1" t="s">
        <v>2129</v>
      </c>
      <c r="M3299" s="1">
        <v>5.0788E-2</v>
      </c>
      <c r="N3299" s="1">
        <v>2.2018785032490049</v>
      </c>
    </row>
    <row r="3300" spans="11:14">
      <c r="K3300" s="1469">
        <v>45357</v>
      </c>
      <c r="L3300" s="1" t="s">
        <v>2129</v>
      </c>
      <c r="M3300" s="1">
        <v>5.0788E-2</v>
      </c>
      <c r="N3300" s="1">
        <v>2.2029967933032348</v>
      </c>
    </row>
    <row r="3301" spans="11:14">
      <c r="K3301" s="1469">
        <v>45358</v>
      </c>
      <c r="L3301" s="1" t="s">
        <v>2129</v>
      </c>
      <c r="M3301" s="1">
        <v>5.0788E-2</v>
      </c>
      <c r="N3301" s="1">
        <v>2.2041156513146176</v>
      </c>
    </row>
    <row r="3302" spans="11:14">
      <c r="K3302" s="1469">
        <v>45359</v>
      </c>
      <c r="L3302" s="1" t="s">
        <v>2129</v>
      </c>
      <c r="M3302" s="1">
        <v>5.0788E-2</v>
      </c>
      <c r="N3302" s="1">
        <v>2.2052350775716074</v>
      </c>
    </row>
    <row r="3303" spans="11:14">
      <c r="K3303" s="1469">
        <v>45360</v>
      </c>
      <c r="M3303" s="1">
        <v>0</v>
      </c>
      <c r="N3303" s="1">
        <v>2.2052350775716074</v>
      </c>
    </row>
    <row r="3304" spans="11:14">
      <c r="K3304" s="1469">
        <v>45361</v>
      </c>
      <c r="M3304" s="1">
        <v>0</v>
      </c>
      <c r="N3304" s="1">
        <v>2.2052350775716074</v>
      </c>
    </row>
    <row r="3305" spans="11:14">
      <c r="K3305" s="1469">
        <v>45362</v>
      </c>
      <c r="L3305" s="1" t="s">
        <v>2129</v>
      </c>
      <c r="M3305" s="1">
        <v>5.0788E-2</v>
      </c>
      <c r="N3305" s="1">
        <v>2.2063550723628045</v>
      </c>
    </row>
    <row r="3306" spans="11:14">
      <c r="K3306" s="1469">
        <v>45363</v>
      </c>
      <c r="L3306" s="1" t="s">
        <v>2129</v>
      </c>
      <c r="M3306" s="1">
        <v>5.0788E-2</v>
      </c>
      <c r="N3306" s="1">
        <v>2.2074756359769561</v>
      </c>
    </row>
    <row r="3307" spans="11:14">
      <c r="K3307" s="1469">
        <v>45364</v>
      </c>
      <c r="L3307" s="1" t="s">
        <v>2129</v>
      </c>
      <c r="M3307" s="1">
        <v>5.0788E-2</v>
      </c>
      <c r="N3307" s="1">
        <v>2.208596768702956</v>
      </c>
    </row>
    <row r="3308" spans="11:14">
      <c r="K3308" s="1469">
        <v>45365</v>
      </c>
      <c r="L3308" s="1" t="s">
        <v>2129</v>
      </c>
      <c r="M3308" s="1">
        <v>5.0788E-2</v>
      </c>
      <c r="N3308" s="1">
        <v>2.209718470829845</v>
      </c>
    </row>
    <row r="3309" spans="11:14">
      <c r="K3309" s="1469">
        <v>45366</v>
      </c>
      <c r="L3309" s="1" t="s">
        <v>2129</v>
      </c>
      <c r="M3309" s="1">
        <v>5.0788E-2</v>
      </c>
      <c r="N3309" s="1">
        <v>2.21084074264681</v>
      </c>
    </row>
    <row r="3310" spans="11:14">
      <c r="K3310" s="1469">
        <v>45367</v>
      </c>
      <c r="M3310" s="1">
        <v>0</v>
      </c>
      <c r="N3310" s="1">
        <v>2.21084074264681</v>
      </c>
    </row>
    <row r="3311" spans="11:14">
      <c r="K3311" s="1469">
        <v>45368</v>
      </c>
      <c r="M3311" s="1">
        <v>0</v>
      </c>
      <c r="N3311" s="1">
        <v>2.21084074264681</v>
      </c>
    </row>
    <row r="3312" spans="11:14">
      <c r="K3312" s="1469">
        <v>45369</v>
      </c>
      <c r="L3312" s="1" t="s">
        <v>2129</v>
      </c>
      <c r="M3312" s="1">
        <v>5.0788E-2</v>
      </c>
      <c r="N3312" s="1">
        <v>2.2119635844431853</v>
      </c>
    </row>
    <row r="3313" spans="11:14">
      <c r="K3313" s="1469">
        <v>45370</v>
      </c>
      <c r="L3313" s="1" t="s">
        <v>2129</v>
      </c>
      <c r="M3313" s="1">
        <v>5.0788E-2</v>
      </c>
      <c r="N3313" s="1">
        <v>2.2130869965084523</v>
      </c>
    </row>
    <row r="3314" spans="11:14">
      <c r="K3314" s="1469">
        <v>45371</v>
      </c>
      <c r="L3314" s="1" t="s">
        <v>2129</v>
      </c>
      <c r="M3314" s="1">
        <v>5.0788E-2</v>
      </c>
      <c r="N3314" s="1">
        <v>2.2142109791322389</v>
      </c>
    </row>
    <row r="3315" spans="11:14">
      <c r="K3315" s="1469">
        <v>45372</v>
      </c>
      <c r="L3315" s="1" t="s">
        <v>2129</v>
      </c>
      <c r="M3315" s="1">
        <v>5.0788E-2</v>
      </c>
      <c r="N3315" s="1">
        <v>2.2153355326043207</v>
      </c>
    </row>
    <row r="3316" spans="11:14">
      <c r="K3316" s="1469">
        <v>45373</v>
      </c>
      <c r="L3316" s="1" t="s">
        <v>2129</v>
      </c>
      <c r="M3316" s="1">
        <v>5.0788E-2</v>
      </c>
      <c r="N3316" s="1">
        <v>2.2164606572146197</v>
      </c>
    </row>
    <row r="3317" spans="11:14">
      <c r="K3317" s="1469"/>
    </row>
    <row r="3318" spans="11:14">
      <c r="K3318" s="1469"/>
    </row>
    <row r="3319" spans="11:14">
      <c r="K3319" s="1469"/>
    </row>
    <row r="3320" spans="11:14">
      <c r="K3320" s="1469"/>
    </row>
    <row r="3321" spans="11:14">
      <c r="K3321" s="1469"/>
    </row>
    <row r="3322" spans="11:14">
      <c r="K3322" s="1469"/>
    </row>
    <row r="3323" spans="11:14">
      <c r="K3323" s="1469"/>
    </row>
    <row r="3324" spans="11:14">
      <c r="K3324" s="1469"/>
    </row>
    <row r="3325" spans="11:14">
      <c r="K3325" s="1469"/>
    </row>
    <row r="3326" spans="11:14">
      <c r="K3326" s="1469"/>
    </row>
    <row r="3327" spans="11:14">
      <c r="K3327" s="1469"/>
    </row>
    <row r="3328" spans="11:14">
      <c r="K3328" s="1469"/>
    </row>
    <row r="3329" spans="11:11">
      <c r="K3329" s="1469"/>
    </row>
    <row r="3330" spans="11:11">
      <c r="K3330" s="1469"/>
    </row>
    <row r="3331" spans="11:11">
      <c r="K3331" s="1469"/>
    </row>
    <row r="3332" spans="11:11">
      <c r="K3332" s="1469"/>
    </row>
    <row r="3333" spans="11:11">
      <c r="K3333" s="1469"/>
    </row>
    <row r="3334" spans="11:11">
      <c r="K3334" s="1469"/>
    </row>
    <row r="3335" spans="11:11">
      <c r="K3335" s="1469"/>
    </row>
    <row r="3336" spans="11:11">
      <c r="K3336" s="1469"/>
    </row>
    <row r="3337" spans="11:11">
      <c r="K3337" s="1469"/>
    </row>
    <row r="3338" spans="11:11">
      <c r="K3338" s="1469"/>
    </row>
    <row r="3339" spans="11:11">
      <c r="K3339" s="1469"/>
    </row>
    <row r="3340" spans="11:11">
      <c r="K3340" s="1469"/>
    </row>
    <row r="3341" spans="11:11">
      <c r="K3341" s="1469"/>
    </row>
    <row r="3342" spans="11:11">
      <c r="K3342" s="1469"/>
    </row>
    <row r="3343" spans="11:11">
      <c r="K3343" s="1469"/>
    </row>
    <row r="3344" spans="11:11">
      <c r="K3344" s="1469"/>
    </row>
    <row r="3345" spans="11:11">
      <c r="K3345" s="1469"/>
    </row>
    <row r="3346" spans="11:11">
      <c r="K3346" s="1469"/>
    </row>
    <row r="3347" spans="11:11">
      <c r="K3347" s="1469"/>
    </row>
    <row r="3348" spans="11:11">
      <c r="K3348" s="1469"/>
    </row>
    <row r="3349" spans="11:11">
      <c r="K3349" s="1469"/>
    </row>
    <row r="3350" spans="11:11">
      <c r="K3350" s="1469"/>
    </row>
    <row r="3351" spans="11:11">
      <c r="K3351" s="1469"/>
    </row>
    <row r="3352" spans="11:11">
      <c r="K3352" s="1469"/>
    </row>
    <row r="3353" spans="11:11">
      <c r="K3353" s="1469"/>
    </row>
    <row r="3354" spans="11:11">
      <c r="K3354" s="1469"/>
    </row>
    <row r="3355" spans="11:11">
      <c r="K3355" s="1469"/>
    </row>
    <row r="3356" spans="11:11">
      <c r="K3356" s="1469"/>
    </row>
    <row r="3357" spans="11:11">
      <c r="K3357" s="1469"/>
    </row>
    <row r="3358" spans="11:11">
      <c r="K3358" s="1469"/>
    </row>
    <row r="3359" spans="11:11">
      <c r="K3359" s="1469"/>
    </row>
    <row r="3360" spans="11:11">
      <c r="K3360" s="1469"/>
    </row>
    <row r="3361" spans="11:11">
      <c r="K3361" s="1469"/>
    </row>
    <row r="3362" spans="11:11">
      <c r="K3362" s="1469"/>
    </row>
    <row r="3363" spans="11:11">
      <c r="K3363" s="1469"/>
    </row>
    <row r="3364" spans="11:11">
      <c r="K3364" s="1469"/>
    </row>
    <row r="3365" spans="11:11">
      <c r="K3365" s="1469"/>
    </row>
    <row r="3366" spans="11:11">
      <c r="K3366" s="1469"/>
    </row>
    <row r="3367" spans="11:11">
      <c r="K3367" s="1469"/>
    </row>
    <row r="3368" spans="11:11">
      <c r="K3368" s="1469"/>
    </row>
    <row r="3369" spans="11:11">
      <c r="K3369" s="1469"/>
    </row>
    <row r="3370" spans="11:11">
      <c r="K3370" s="1469"/>
    </row>
    <row r="3371" spans="11:11">
      <c r="K3371" s="1469"/>
    </row>
    <row r="3372" spans="11:11">
      <c r="K3372" s="1469"/>
    </row>
    <row r="3373" spans="11:11">
      <c r="K3373" s="1469"/>
    </row>
    <row r="3374" spans="11:11">
      <c r="K3374" s="1469"/>
    </row>
    <row r="3375" spans="11:11">
      <c r="K3375" s="1469"/>
    </row>
    <row r="3376" spans="11:11">
      <c r="K3376" s="1469"/>
    </row>
    <row r="3377" spans="11:11">
      <c r="K3377" s="1469"/>
    </row>
    <row r="3378" spans="11:11">
      <c r="K3378" s="1469"/>
    </row>
    <row r="3379" spans="11:11">
      <c r="K3379" s="1469"/>
    </row>
    <row r="3380" spans="11:11">
      <c r="K3380" s="1469"/>
    </row>
    <row r="3381" spans="11:11">
      <c r="K3381" s="1469"/>
    </row>
    <row r="3382" spans="11:11">
      <c r="K3382" s="1469"/>
    </row>
    <row r="3383" spans="11:11">
      <c r="K3383" s="1469"/>
    </row>
    <row r="3384" spans="11:11">
      <c r="K3384" s="1469"/>
    </row>
    <row r="3385" spans="11:11">
      <c r="K3385" s="1469"/>
    </row>
    <row r="3386" spans="11:11">
      <c r="K3386" s="1469"/>
    </row>
    <row r="3387" spans="11:11">
      <c r="K3387" s="1469"/>
    </row>
    <row r="3388" spans="11:11">
      <c r="K3388" s="1469"/>
    </row>
    <row r="3389" spans="11:11">
      <c r="K3389" s="1469"/>
    </row>
    <row r="3390" spans="11:11">
      <c r="K3390" s="1469"/>
    </row>
    <row r="3391" spans="11:11">
      <c r="K3391" s="1469"/>
    </row>
    <row r="3392" spans="11:11">
      <c r="K3392" s="1469"/>
    </row>
    <row r="3393" spans="11:11">
      <c r="K3393" s="1469"/>
    </row>
    <row r="3394" spans="11:11">
      <c r="K3394" s="1469"/>
    </row>
    <row r="3395" spans="11:11">
      <c r="K3395" s="1469"/>
    </row>
    <row r="3396" spans="11:11">
      <c r="K3396" s="1469"/>
    </row>
    <row r="3397" spans="11:11">
      <c r="K3397" s="1469"/>
    </row>
    <row r="3398" spans="11:11">
      <c r="K3398" s="1469"/>
    </row>
    <row r="3399" spans="11:11">
      <c r="K3399" s="1469"/>
    </row>
    <row r="3400" spans="11:11">
      <c r="K3400" s="1469"/>
    </row>
    <row r="3401" spans="11:11">
      <c r="K3401" s="1469"/>
    </row>
    <row r="3402" spans="11:11">
      <c r="K3402" s="1469"/>
    </row>
    <row r="3403" spans="11:11">
      <c r="K3403" s="1469"/>
    </row>
    <row r="3404" spans="11:11">
      <c r="K3404" s="1469"/>
    </row>
    <row r="3405" spans="11:11">
      <c r="K3405" s="1469"/>
    </row>
    <row r="3406" spans="11:11">
      <c r="K3406" s="1469"/>
    </row>
    <row r="3407" spans="11:11">
      <c r="K3407" s="1469"/>
    </row>
    <row r="3408" spans="11:11">
      <c r="K3408" s="1469"/>
    </row>
    <row r="3409" spans="11:11">
      <c r="K3409" s="1469"/>
    </row>
    <row r="3410" spans="11:11">
      <c r="K3410" s="1469"/>
    </row>
    <row r="3411" spans="11:11">
      <c r="K3411" s="1469"/>
    </row>
    <row r="3412" spans="11:11">
      <c r="K3412" s="1469"/>
    </row>
    <row r="3413" spans="11:11">
      <c r="K3413" s="1469"/>
    </row>
    <row r="3414" spans="11:11">
      <c r="K3414" s="1469"/>
    </row>
    <row r="3415" spans="11:11">
      <c r="K3415" s="1469"/>
    </row>
    <row r="3416" spans="11:11">
      <c r="K3416" s="1469"/>
    </row>
    <row r="3417" spans="11:11">
      <c r="K3417" s="1469"/>
    </row>
    <row r="3418" spans="11:11">
      <c r="K3418" s="1469"/>
    </row>
    <row r="3419" spans="11:11">
      <c r="K3419" s="1469"/>
    </row>
    <row r="3420" spans="11:11">
      <c r="K3420" s="1469"/>
    </row>
    <row r="3421" spans="11:11">
      <c r="K3421" s="1469"/>
    </row>
    <row r="3422" spans="11:11">
      <c r="K3422" s="1469"/>
    </row>
    <row r="3423" spans="11:11">
      <c r="K3423" s="1469"/>
    </row>
    <row r="3424" spans="11:11">
      <c r="K3424" s="1469"/>
    </row>
    <row r="3425" spans="11:11">
      <c r="K3425" s="1469"/>
    </row>
    <row r="3426" spans="11:11">
      <c r="K3426" s="1469"/>
    </row>
    <row r="3427" spans="11:11">
      <c r="K3427" s="1469"/>
    </row>
    <row r="3428" spans="11:11">
      <c r="K3428" s="1469"/>
    </row>
    <row r="3429" spans="11:11">
      <c r="K3429" s="1469"/>
    </row>
    <row r="3430" spans="11:11">
      <c r="K3430" s="1469"/>
    </row>
    <row r="3431" spans="11:11">
      <c r="K3431" s="1469"/>
    </row>
    <row r="3432" spans="11:11">
      <c r="K3432" s="1469"/>
    </row>
    <row r="3433" spans="11:11">
      <c r="K3433" s="1469"/>
    </row>
    <row r="3434" spans="11:11">
      <c r="K3434" s="1469"/>
    </row>
    <row r="3435" spans="11:11">
      <c r="K3435" s="1469"/>
    </row>
    <row r="3436" spans="11:11">
      <c r="K3436" s="1469"/>
    </row>
    <row r="3437" spans="11:11">
      <c r="K3437" s="1469"/>
    </row>
    <row r="3438" spans="11:11">
      <c r="K3438" s="1469"/>
    </row>
    <row r="3439" spans="11:11">
      <c r="K3439" s="1469"/>
    </row>
    <row r="3440" spans="11:11">
      <c r="K3440" s="1469"/>
    </row>
    <row r="3441" spans="11:11">
      <c r="K3441" s="1469"/>
    </row>
    <row r="3442" spans="11:11">
      <c r="K3442" s="1469"/>
    </row>
    <row r="3443" spans="11:11">
      <c r="K3443" s="1469"/>
    </row>
    <row r="3444" spans="11:11">
      <c r="K3444" s="1469"/>
    </row>
    <row r="3445" spans="11:11">
      <c r="K3445" s="1469"/>
    </row>
    <row r="3446" spans="11:11">
      <c r="K3446" s="1469"/>
    </row>
    <row r="3447" spans="11:11">
      <c r="K3447" s="1469"/>
    </row>
    <row r="3448" spans="11:11">
      <c r="K3448" s="1469"/>
    </row>
    <row r="3449" spans="11:11">
      <c r="K3449" s="1469"/>
    </row>
    <row r="3450" spans="11:11">
      <c r="K3450" s="1469"/>
    </row>
    <row r="3451" spans="11:11">
      <c r="K3451" s="1469"/>
    </row>
    <row r="3452" spans="11:11">
      <c r="K3452" s="1469"/>
    </row>
    <row r="3453" spans="11:11">
      <c r="K3453" s="1469"/>
    </row>
    <row r="3454" spans="11:11">
      <c r="K3454" s="1469"/>
    </row>
    <row r="3455" spans="11:11">
      <c r="K3455" s="1469"/>
    </row>
    <row r="3456" spans="11:11">
      <c r="K3456" s="1469"/>
    </row>
    <row r="3457" spans="11:11">
      <c r="K3457" s="1469"/>
    </row>
    <row r="3458" spans="11:11">
      <c r="K3458" s="1469"/>
    </row>
    <row r="3459" spans="11:11">
      <c r="K3459" s="1469"/>
    </row>
    <row r="3460" spans="11:11">
      <c r="K3460" s="1469"/>
    </row>
    <row r="3461" spans="11:11">
      <c r="K3461" s="1469"/>
    </row>
    <row r="3462" spans="11:11">
      <c r="K3462" s="1469"/>
    </row>
    <row r="3463" spans="11:11">
      <c r="K3463" s="1469"/>
    </row>
    <row r="3464" spans="11:11">
      <c r="K3464" s="1469"/>
    </row>
    <row r="3465" spans="11:11">
      <c r="K3465" s="1469"/>
    </row>
    <row r="3466" spans="11:11">
      <c r="K3466" s="1469"/>
    </row>
    <row r="3467" spans="11:11">
      <c r="K3467" s="1469"/>
    </row>
    <row r="3468" spans="11:11">
      <c r="K3468" s="1469"/>
    </row>
    <row r="3469" spans="11:11">
      <c r="K3469" s="1469"/>
    </row>
    <row r="3470" spans="11:11">
      <c r="K3470" s="1469"/>
    </row>
    <row r="3471" spans="11:11">
      <c r="K3471" s="1469"/>
    </row>
    <row r="3472" spans="11:11">
      <c r="K3472" s="1469"/>
    </row>
    <row r="3473" spans="11:11">
      <c r="K3473" s="1469"/>
    </row>
    <row r="3474" spans="11:11">
      <c r="K3474" s="1469"/>
    </row>
    <row r="3475" spans="11:11">
      <c r="K3475" s="1469"/>
    </row>
    <row r="3476" spans="11:11">
      <c r="K3476" s="1469"/>
    </row>
    <row r="3477" spans="11:11">
      <c r="K3477" s="1469"/>
    </row>
    <row r="3478" spans="11:11">
      <c r="K3478" s="1469"/>
    </row>
    <row r="3479" spans="11:11">
      <c r="K3479" s="1469"/>
    </row>
    <row r="3480" spans="11:11">
      <c r="K3480" s="1469"/>
    </row>
    <row r="3481" spans="11:11">
      <c r="K3481" s="1469"/>
    </row>
    <row r="3482" spans="11:11">
      <c r="K3482" s="1469"/>
    </row>
    <row r="3483" spans="11:11">
      <c r="K3483" s="1469"/>
    </row>
    <row r="3484" spans="11:11">
      <c r="K3484" s="1469"/>
    </row>
    <row r="3485" spans="11:11">
      <c r="K3485" s="1469"/>
    </row>
    <row r="3486" spans="11:11">
      <c r="K3486" s="1469"/>
    </row>
    <row r="3487" spans="11:11">
      <c r="K3487" s="1469"/>
    </row>
    <row r="3488" spans="11:11">
      <c r="K3488" s="1469"/>
    </row>
    <row r="3489" spans="11:11">
      <c r="K3489" s="1469"/>
    </row>
    <row r="3490" spans="11:11">
      <c r="K3490" s="1469"/>
    </row>
    <row r="3491" spans="11:11">
      <c r="K3491" s="1469"/>
    </row>
    <row r="3492" spans="11:11">
      <c r="K3492" s="1469"/>
    </row>
    <row r="3493" spans="11:11">
      <c r="K3493" s="1469"/>
    </row>
    <row r="3494" spans="11:11">
      <c r="K3494" s="1469"/>
    </row>
    <row r="3495" spans="11:11">
      <c r="K3495" s="1469"/>
    </row>
    <row r="3496" spans="11:11">
      <c r="K3496" s="1469"/>
    </row>
    <row r="3497" spans="11:11">
      <c r="K3497" s="1469"/>
    </row>
    <row r="3498" spans="11:11">
      <c r="K3498" s="1469"/>
    </row>
    <row r="3499" spans="11:11">
      <c r="K3499" s="1469"/>
    </row>
    <row r="3500" spans="11:11">
      <c r="K3500" s="1469"/>
    </row>
    <row r="3501" spans="11:11">
      <c r="K3501" s="1469"/>
    </row>
    <row r="3502" spans="11:11">
      <c r="K3502" s="1469"/>
    </row>
    <row r="3503" spans="11:11">
      <c r="K3503" s="1469"/>
    </row>
    <row r="3504" spans="11:11">
      <c r="K3504" s="1469"/>
    </row>
    <row r="3505" spans="11:11">
      <c r="K3505" s="1469"/>
    </row>
    <row r="3506" spans="11:11">
      <c r="K3506" s="1469"/>
    </row>
    <row r="3507" spans="11:11">
      <c r="K3507" s="1469"/>
    </row>
    <row r="3508" spans="11:11">
      <c r="K3508" s="1469"/>
    </row>
    <row r="3509" spans="11:11">
      <c r="K3509" s="1469"/>
    </row>
    <row r="3510" spans="11:11">
      <c r="K3510" s="1469"/>
    </row>
    <row r="3511" spans="11:11">
      <c r="K3511" s="1469"/>
    </row>
    <row r="3512" spans="11:11">
      <c r="K3512" s="1469"/>
    </row>
    <row r="3513" spans="11:11">
      <c r="K3513" s="1469"/>
    </row>
    <row r="3514" spans="11:11">
      <c r="K3514" s="1469"/>
    </row>
    <row r="3515" spans="11:11">
      <c r="K3515" s="1469"/>
    </row>
    <row r="3516" spans="11:11">
      <c r="K3516" s="1469"/>
    </row>
    <row r="3517" spans="11:11">
      <c r="K3517" s="1469"/>
    </row>
    <row r="3518" spans="11:11">
      <c r="K3518" s="1469"/>
    </row>
    <row r="3519" spans="11:11">
      <c r="K3519" s="1469"/>
    </row>
    <row r="3520" spans="11:11">
      <c r="K3520" s="1469"/>
    </row>
    <row r="3521" spans="11:11">
      <c r="K3521" s="1469"/>
    </row>
    <row r="3522" spans="11:11">
      <c r="K3522" s="1469"/>
    </row>
    <row r="3523" spans="11:11">
      <c r="K3523" s="1469"/>
    </row>
    <row r="3524" spans="11:11">
      <c r="K3524" s="1469"/>
    </row>
    <row r="3525" spans="11:11">
      <c r="K3525" s="1469"/>
    </row>
    <row r="3526" spans="11:11">
      <c r="K3526" s="1469"/>
    </row>
    <row r="3527" spans="11:11">
      <c r="K3527" s="1469"/>
    </row>
    <row r="3528" spans="11:11">
      <c r="K3528" s="1469"/>
    </row>
    <row r="3529" spans="11:11">
      <c r="K3529" s="1469"/>
    </row>
    <row r="3530" spans="11:11">
      <c r="K3530" s="1469"/>
    </row>
    <row r="3531" spans="11:11">
      <c r="K3531" s="1469"/>
    </row>
    <row r="3532" spans="11:11">
      <c r="K3532" s="1469"/>
    </row>
    <row r="3533" spans="11:11">
      <c r="K3533" s="1469"/>
    </row>
    <row r="3534" spans="11:11">
      <c r="K3534" s="1469"/>
    </row>
    <row r="3535" spans="11:11">
      <c r="K3535" s="1469"/>
    </row>
    <row r="3536" spans="11:11">
      <c r="K3536" s="1469"/>
    </row>
    <row r="3537" spans="11:11">
      <c r="K3537" s="1469"/>
    </row>
    <row r="3538" spans="11:11">
      <c r="K3538" s="1469"/>
    </row>
    <row r="3539" spans="11:11">
      <c r="K3539" s="1469"/>
    </row>
    <row r="3540" spans="11:11">
      <c r="K3540" s="1469"/>
    </row>
    <row r="3541" spans="11:11">
      <c r="K3541" s="1469"/>
    </row>
    <row r="3542" spans="11:11">
      <c r="K3542" s="1469"/>
    </row>
    <row r="3543" spans="11:11">
      <c r="K3543" s="1469"/>
    </row>
    <row r="3544" spans="11:11">
      <c r="K3544" s="1469"/>
    </row>
    <row r="3545" spans="11:11">
      <c r="K3545" s="1469"/>
    </row>
    <row r="3546" spans="11:11">
      <c r="K3546" s="1469"/>
    </row>
    <row r="3547" spans="11:11">
      <c r="K3547" s="1469"/>
    </row>
    <row r="3548" spans="11:11">
      <c r="K3548" s="1469"/>
    </row>
    <row r="3549" spans="11:11">
      <c r="K3549" s="1469"/>
    </row>
    <row r="3550" spans="11:11">
      <c r="K3550" s="1469"/>
    </row>
    <row r="3551" spans="11:11">
      <c r="K3551" s="1469"/>
    </row>
    <row r="3552" spans="11:11">
      <c r="K3552" s="1469"/>
    </row>
    <row r="3553" spans="11:11">
      <c r="K3553" s="1469"/>
    </row>
    <row r="3554" spans="11:11">
      <c r="K3554" s="1469"/>
    </row>
    <row r="3555" spans="11:11">
      <c r="K3555" s="1469"/>
    </row>
    <row r="3556" spans="11:11">
      <c r="K3556" s="1469"/>
    </row>
    <row r="3557" spans="11:11">
      <c r="K3557" s="1469"/>
    </row>
    <row r="3558" spans="11:11">
      <c r="K3558" s="1469"/>
    </row>
    <row r="3559" spans="11:11">
      <c r="K3559" s="1469"/>
    </row>
    <row r="3560" spans="11:11">
      <c r="K3560" s="1469"/>
    </row>
    <row r="3561" spans="11:11">
      <c r="K3561" s="1469"/>
    </row>
    <row r="3562" spans="11:11">
      <c r="K3562" s="1469"/>
    </row>
    <row r="3563" spans="11:11">
      <c r="K3563" s="1469"/>
    </row>
    <row r="3564" spans="11:11">
      <c r="K3564" s="1469"/>
    </row>
    <row r="3565" spans="11:11">
      <c r="K3565" s="1469"/>
    </row>
    <row r="3566" spans="11:11">
      <c r="K3566" s="1469"/>
    </row>
    <row r="3567" spans="11:11">
      <c r="K3567" s="1469"/>
    </row>
    <row r="3568" spans="11:11">
      <c r="K3568" s="1469"/>
    </row>
    <row r="3569" spans="11:11">
      <c r="K3569" s="1469"/>
    </row>
    <row r="3570" spans="11:11">
      <c r="K3570" s="1469"/>
    </row>
    <row r="3571" spans="11:11">
      <c r="K3571" s="1469"/>
    </row>
    <row r="3572" spans="11:11">
      <c r="K3572" s="1469"/>
    </row>
    <row r="3573" spans="11:11">
      <c r="K3573" s="1469"/>
    </row>
    <row r="3574" spans="11:11">
      <c r="K3574" s="1469"/>
    </row>
    <row r="3575" spans="11:11">
      <c r="K3575" s="1469"/>
    </row>
    <row r="3576" spans="11:11">
      <c r="K3576" s="1469"/>
    </row>
    <row r="3577" spans="11:11">
      <c r="K3577" s="1469"/>
    </row>
    <row r="3578" spans="11:11">
      <c r="K3578" s="1469"/>
    </row>
    <row r="3579" spans="11:11">
      <c r="K3579" s="1469"/>
    </row>
    <row r="3580" spans="11:11">
      <c r="K3580" s="1469"/>
    </row>
    <row r="3581" spans="11:11">
      <c r="K3581" s="1469"/>
    </row>
    <row r="3582" spans="11:11">
      <c r="K3582" s="1469"/>
    </row>
    <row r="3583" spans="11:11">
      <c r="K3583" s="1469"/>
    </row>
    <row r="3584" spans="11:11">
      <c r="K3584" s="1469"/>
    </row>
    <row r="3585" spans="11:11">
      <c r="K3585" s="1469"/>
    </row>
    <row r="3586" spans="11:11">
      <c r="K3586" s="1469"/>
    </row>
    <row r="3587" spans="11:11">
      <c r="K3587" s="1469"/>
    </row>
    <row r="3588" spans="11:11">
      <c r="K3588" s="1469"/>
    </row>
    <row r="3589" spans="11:11">
      <c r="K3589" s="1469"/>
    </row>
    <row r="3590" spans="11:11">
      <c r="K3590" s="1469"/>
    </row>
    <row r="3591" spans="11:11">
      <c r="K3591" s="1469"/>
    </row>
    <row r="3592" spans="11:11">
      <c r="K3592" s="1469"/>
    </row>
    <row r="3593" spans="11:11">
      <c r="K3593" s="1469"/>
    </row>
    <row r="3594" spans="11:11">
      <c r="K3594" s="1469"/>
    </row>
    <row r="3595" spans="11:11">
      <c r="K3595" s="1469"/>
    </row>
    <row r="3596" spans="11:11">
      <c r="K3596" s="1469"/>
    </row>
    <row r="3597" spans="11:11">
      <c r="K3597" s="1469"/>
    </row>
    <row r="3598" spans="11:11">
      <c r="K3598" s="1469"/>
    </row>
    <row r="3599" spans="11:11">
      <c r="K3599" s="1469"/>
    </row>
    <row r="3600" spans="11:11">
      <c r="K3600" s="1469"/>
    </row>
    <row r="3601" spans="11:11">
      <c r="K3601" s="1469"/>
    </row>
    <row r="3602" spans="11:11">
      <c r="K3602" s="1469"/>
    </row>
    <row r="3603" spans="11:11">
      <c r="K3603" s="1469"/>
    </row>
    <row r="3604" spans="11:11">
      <c r="K3604" s="1469"/>
    </row>
    <row r="3605" spans="11:11">
      <c r="K3605" s="1469"/>
    </row>
    <row r="3606" spans="11:11">
      <c r="K3606" s="1469"/>
    </row>
    <row r="3607" spans="11:11">
      <c r="K3607" s="1469"/>
    </row>
    <row r="3608" spans="11:11">
      <c r="K3608" s="1469"/>
    </row>
    <row r="3609" spans="11:11">
      <c r="K3609" s="1469"/>
    </row>
    <row r="3610" spans="11:11">
      <c r="K3610" s="1469"/>
    </row>
    <row r="3611" spans="11:11">
      <c r="K3611" s="1469"/>
    </row>
    <row r="3612" spans="11:11">
      <c r="K3612" s="1469"/>
    </row>
    <row r="3613" spans="11:11">
      <c r="K3613" s="1469"/>
    </row>
    <row r="3614" spans="11:11">
      <c r="K3614" s="1469"/>
    </row>
    <row r="3615" spans="11:11">
      <c r="K3615" s="1469"/>
    </row>
    <row r="3616" spans="11:11">
      <c r="K3616" s="1469"/>
    </row>
    <row r="3617" spans="11:11">
      <c r="K3617" s="1469"/>
    </row>
    <row r="3618" spans="11:11">
      <c r="K3618" s="1469"/>
    </row>
    <row r="3619" spans="11:11">
      <c r="K3619" s="1469"/>
    </row>
    <row r="3620" spans="11:11">
      <c r="K3620" s="1469"/>
    </row>
    <row r="3621" spans="11:11">
      <c r="K3621" s="1469"/>
    </row>
    <row r="3622" spans="11:11">
      <c r="K3622" s="1469"/>
    </row>
    <row r="3623" spans="11:11">
      <c r="K3623" s="1469"/>
    </row>
    <row r="3624" spans="11:11">
      <c r="K3624" s="1469"/>
    </row>
    <row r="3625" spans="11:11">
      <c r="K3625" s="1469"/>
    </row>
    <row r="3626" spans="11:11">
      <c r="K3626" s="1469"/>
    </row>
    <row r="3627" spans="11:11">
      <c r="K3627" s="1469"/>
    </row>
    <row r="3628" spans="11:11">
      <c r="K3628" s="1469"/>
    </row>
    <row r="3629" spans="11:11">
      <c r="K3629" s="1469"/>
    </row>
    <row r="3630" spans="11:11">
      <c r="K3630" s="1469"/>
    </row>
    <row r="3631" spans="11:11">
      <c r="K3631" s="1469"/>
    </row>
    <row r="3632" spans="11:11">
      <c r="K3632" s="1469"/>
    </row>
    <row r="3633" spans="11:11">
      <c r="K3633" s="1469"/>
    </row>
    <row r="3634" spans="11:11">
      <c r="K3634" s="1469"/>
    </row>
    <row r="3635" spans="11:11">
      <c r="K3635" s="1469"/>
    </row>
    <row r="3636" spans="11:11">
      <c r="K3636" s="1469"/>
    </row>
    <row r="3637" spans="11:11">
      <c r="K3637" s="1469"/>
    </row>
    <row r="3638" spans="11:11">
      <c r="K3638" s="1469"/>
    </row>
    <row r="3639" spans="11:11">
      <c r="K3639" s="1469"/>
    </row>
    <row r="3640" spans="11:11">
      <c r="K3640" s="1469"/>
    </row>
    <row r="3641" spans="11:11">
      <c r="K3641" s="1469"/>
    </row>
    <row r="3642" spans="11:11">
      <c r="K3642" s="1469"/>
    </row>
    <row r="3643" spans="11:11">
      <c r="K3643" s="1469"/>
    </row>
    <row r="3644" spans="11:11">
      <c r="K3644" s="1469"/>
    </row>
    <row r="3645" spans="11:11">
      <c r="K3645" s="1469"/>
    </row>
    <row r="3646" spans="11:11">
      <c r="K3646" s="1469"/>
    </row>
    <row r="3647" spans="11:11">
      <c r="K3647" s="1469"/>
    </row>
    <row r="3648" spans="11:11">
      <c r="K3648" s="1469"/>
    </row>
    <row r="3649" spans="11:11">
      <c r="K3649" s="1469"/>
    </row>
    <row r="3650" spans="11:11">
      <c r="K3650" s="1469"/>
    </row>
    <row r="3651" spans="11:11">
      <c r="K3651" s="1469"/>
    </row>
    <row r="3652" spans="11:11">
      <c r="K3652" s="1469"/>
    </row>
    <row r="3653" spans="11:11">
      <c r="K3653" s="1469"/>
    </row>
    <row r="3654" spans="11:11">
      <c r="K3654" s="1469"/>
    </row>
    <row r="3655" spans="11:11">
      <c r="K3655" s="1469"/>
    </row>
    <row r="3656" spans="11:11">
      <c r="K3656" s="1469"/>
    </row>
    <row r="3657" spans="11:11">
      <c r="K3657" s="1469"/>
    </row>
    <row r="3658" spans="11:11">
      <c r="K3658" s="1469"/>
    </row>
    <row r="3659" spans="11:11">
      <c r="K3659" s="1469"/>
    </row>
    <row r="3660" spans="11:11">
      <c r="K3660" s="1469"/>
    </row>
    <row r="3661" spans="11:11">
      <c r="K3661" s="1469"/>
    </row>
    <row r="3662" spans="11:11">
      <c r="K3662" s="1469"/>
    </row>
    <row r="3663" spans="11:11">
      <c r="K3663" s="1469"/>
    </row>
    <row r="3664" spans="11:11">
      <c r="K3664" s="1469"/>
    </row>
    <row r="3665" spans="11:11">
      <c r="K3665" s="1469"/>
    </row>
    <row r="3666" spans="11:11">
      <c r="K3666" s="1469"/>
    </row>
    <row r="3667" spans="11:11">
      <c r="K3667" s="1469"/>
    </row>
    <row r="3668" spans="11:11">
      <c r="K3668" s="1469"/>
    </row>
    <row r="3669" spans="11:11">
      <c r="K3669" s="1469"/>
    </row>
    <row r="3670" spans="11:11">
      <c r="K3670" s="1469"/>
    </row>
    <row r="3671" spans="11:11">
      <c r="K3671" s="1469"/>
    </row>
    <row r="3672" spans="11:11">
      <c r="K3672" s="1469"/>
    </row>
    <row r="3673" spans="11:11">
      <c r="K3673" s="1469"/>
    </row>
    <row r="3674" spans="11:11">
      <c r="K3674" s="1469"/>
    </row>
    <row r="3675" spans="11:11">
      <c r="K3675" s="1469"/>
    </row>
    <row r="3676" spans="11:11">
      <c r="K3676" s="1469"/>
    </row>
    <row r="3677" spans="11:11">
      <c r="K3677" s="1469"/>
    </row>
    <row r="3678" spans="11:11">
      <c r="K3678" s="1469"/>
    </row>
    <row r="3679" spans="11:11">
      <c r="K3679" s="1469"/>
    </row>
    <row r="3680" spans="11:11">
      <c r="K3680" s="1469"/>
    </row>
    <row r="3681" spans="11:11">
      <c r="K3681" s="1469"/>
    </row>
    <row r="3682" spans="11:11">
      <c r="K3682" s="1469"/>
    </row>
    <row r="3683" spans="11:11">
      <c r="K3683" s="1469"/>
    </row>
    <row r="3684" spans="11:11">
      <c r="K3684" s="1469"/>
    </row>
    <row r="3685" spans="11:11">
      <c r="K3685" s="1469"/>
    </row>
    <row r="3686" spans="11:11">
      <c r="K3686" s="1469"/>
    </row>
    <row r="3687" spans="11:11">
      <c r="K3687" s="1469"/>
    </row>
    <row r="3688" spans="11:11">
      <c r="K3688" s="1469"/>
    </row>
    <row r="3689" spans="11:11">
      <c r="K3689" s="1469"/>
    </row>
    <row r="3690" spans="11:11">
      <c r="K3690" s="1469"/>
    </row>
    <row r="3691" spans="11:11">
      <c r="K3691" s="1469"/>
    </row>
    <row r="3692" spans="11:11">
      <c r="K3692" s="1469"/>
    </row>
  </sheetData>
  <autoFilter ref="B6:F500" xr:uid="{00000000-0009-0000-0000-000011000000}"/>
  <phoneticPr fontId="45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B4031-7DD1-44B3-AD38-C17159380410}">
  <sheetPr codeName="Planilha10">
    <tabColor theme="1"/>
  </sheetPr>
  <dimension ref="A3:K61"/>
  <sheetViews>
    <sheetView showGridLines="0" topLeftCell="A29" workbookViewId="0">
      <selection activeCell="L52" sqref="L52"/>
    </sheetView>
  </sheetViews>
  <sheetFormatPr defaultRowHeight="15.75"/>
  <cols>
    <col min="4" max="4" width="18.42578125" bestFit="1" customWidth="1"/>
    <col min="5" max="7" width="15.7109375" style="232" customWidth="1"/>
  </cols>
  <sheetData>
    <row r="3" spans="1:11" hidden="1"/>
    <row r="4" spans="1:11" hidden="1"/>
    <row r="5" spans="1:11" hidden="1"/>
    <row r="6" spans="1:11" hidden="1"/>
    <row r="7" spans="1:11" hidden="1"/>
    <row r="8" spans="1:11" hidden="1"/>
    <row r="9" spans="1:11">
      <c r="A9" s="1581" t="s">
        <v>2203</v>
      </c>
      <c r="B9" s="1581" t="s">
        <v>2204</v>
      </c>
      <c r="C9" s="1581"/>
      <c r="D9" s="1581" t="s">
        <v>2205</v>
      </c>
      <c r="E9" s="1700" t="s">
        <v>2230</v>
      </c>
      <c r="F9" s="1700" t="s">
        <v>2229</v>
      </c>
      <c r="G9" s="1700" t="s">
        <v>36</v>
      </c>
    </row>
    <row r="10" spans="1:11">
      <c r="A10" s="1866" t="s">
        <v>753</v>
      </c>
      <c r="B10" s="1866" t="s">
        <v>2078</v>
      </c>
      <c r="C10" s="1582">
        <v>12</v>
      </c>
      <c r="D10" s="1582" t="s">
        <v>2036</v>
      </c>
      <c r="E10" s="1701">
        <f>Encargos!I20</f>
        <v>561638.5612703464</v>
      </c>
      <c r="F10" s="1701">
        <f ca="1">(SUMIFS(Financeiros[Valor],Financeiros[iddet1],20,Financeiros[id_Detalhe_Grupo_TARIFA],C10)+
SUMIFS(Financeiros[Valor],Financeiros[iddet1],22,Financeiros[id_Detalhe_Grupo_TARIFA],C10)+
SUMIFS(Financeiros[Valor],Financeiros[iddet1],19,Financeiros[iddet2],64,Financeiros[id_Detalhe_Grupo_TARIFA],C10))</f>
        <v>-3474.370163392417</v>
      </c>
      <c r="G10" s="1701">
        <f>(SUMIFS(Financeiros[Valor],Financeiros[iddet1],19,Financeiros[iddet2],60,Financeiros[id_Detalhe_Grupo_TARIFA],C10))</f>
        <v>0</v>
      </c>
      <c r="K10" s="9"/>
    </row>
    <row r="11" spans="1:11">
      <c r="A11" s="1867"/>
      <c r="B11" s="1866"/>
      <c r="C11" s="1582">
        <v>14</v>
      </c>
      <c r="D11" s="1582" t="s">
        <v>40</v>
      </c>
      <c r="E11" s="1701">
        <f ca="1">Resultado!D17</f>
        <v>32726.000289716503</v>
      </c>
      <c r="F11" s="1701">
        <f ca="1">(SUMIFS(Financeiros[Valor],Financeiros[iddet1],20,Financeiros[id_Detalhe_Grupo_TARIFA],C11)+
SUMIFS(Financeiros[Valor],Financeiros[iddet1],22,Financeiros[id_Detalhe_Grupo_TARIFA],C11)+
SUMIFS(Financeiros[Valor],Financeiros[iddet1],19,Financeiros[iddet2],64,Financeiros[id_Detalhe_Grupo_TARIFA],C11))</f>
        <v>-230.23633007930752</v>
      </c>
      <c r="G11" s="1701">
        <f>(SUMIFS(Financeiros[Valor],Financeiros[iddet1],19,Financeiros[iddet2],60,Financeiros[id_Detalhe_Grupo_TARIFA],C11))</f>
        <v>0</v>
      </c>
    </row>
    <row r="12" spans="1:11">
      <c r="A12" s="1867"/>
      <c r="B12" s="1866"/>
      <c r="C12" s="1582">
        <v>19</v>
      </c>
      <c r="D12" s="1582" t="s">
        <v>48</v>
      </c>
      <c r="E12" s="1701">
        <f ca="1">Resultado!D22-E38</f>
        <v>0</v>
      </c>
      <c r="F12" s="1701">
        <f ca="1">IFERROR((((SUMIFS(Financeiros[Valor],Financeiros[iddet1],20,Financeiros[id_Detalhe_Grupo_TARIFA],C12)+
SUMIFS(Financeiros[Valor],Financeiros[iddet1],22,Financeiros[id_Detalhe_Grupo_TARIFA],C12)+
SUMIFS(Financeiros[Valor],Financeiros[iddet1],19,Financeiros[iddet2],64,Financeiros[id_Detalhe_Grupo_TARIFA],C12))*E12/(E12+E38))),0)</f>
        <v>0</v>
      </c>
      <c r="G12" s="1701">
        <f>(SUMIFS(Financeiros[Valor],Financeiros[iddet1],19,Financeiros[iddet2],60,Financeiros[id_Detalhe_Grupo_TARIFA],C12))</f>
        <v>0</v>
      </c>
    </row>
    <row r="13" spans="1:11">
      <c r="A13" s="1867"/>
      <c r="B13" s="1866"/>
      <c r="C13" s="1582">
        <v>20</v>
      </c>
      <c r="D13" s="1582" t="s">
        <v>49</v>
      </c>
      <c r="E13" s="1701">
        <f>Resultado!D23</f>
        <v>0</v>
      </c>
      <c r="F13" s="1701">
        <f>(SUMIFS(Financeiros[Valor],Financeiros[iddet1],20,Financeiros[id_Detalhe_Grupo_TARIFA],C13)+
SUMIFS(Financeiros[Valor],Financeiros[iddet1],22,Financeiros[id_Detalhe_Grupo_TARIFA],C13)+
SUMIFS(Financeiros[Valor],Financeiros[iddet1],19,Financeiros[iddet2],64,Financeiros[id_Detalhe_Grupo_TARIFA],C13))</f>
        <v>0</v>
      </c>
      <c r="G13" s="1701">
        <f>(SUMIFS(Financeiros[Valor],Financeiros[iddet1],19,Financeiros[iddet2],60,Financeiros[id_Detalhe_Grupo_TARIFA],C13))</f>
        <v>0</v>
      </c>
    </row>
    <row r="14" spans="1:11">
      <c r="A14" s="1867"/>
      <c r="B14" s="1866"/>
      <c r="C14" s="1582">
        <v>13</v>
      </c>
      <c r="D14" s="1582" t="s">
        <v>39</v>
      </c>
      <c r="E14" s="1701">
        <f>Resultado!D16</f>
        <v>0</v>
      </c>
      <c r="F14" s="1701">
        <f>(SUMIFS(Financeiros[Valor],Financeiros[iddet1],20,Financeiros[id_Detalhe_Grupo_TARIFA],C14)+
SUMIFS(Financeiros[Valor],Financeiros[iddet1],22,Financeiros[id_Detalhe_Grupo_TARIFA],C14)+
SUMIFS(Financeiros[Valor],Financeiros[iddet1],19,Financeiros[iddet2],64,Financeiros[id_Detalhe_Grupo_TARIFA],C14))</f>
        <v>0</v>
      </c>
      <c r="G14" s="1701">
        <f>(SUMIFS(Financeiros[Valor],Financeiros[iddet1],19,Financeiros[iddet2],60,Financeiros[id_Detalhe_Grupo_TARIFA],C14))</f>
        <v>0</v>
      </c>
    </row>
    <row r="15" spans="1:11">
      <c r="A15" s="1867"/>
      <c r="B15" s="1866"/>
      <c r="C15" s="1582">
        <v>15</v>
      </c>
      <c r="D15" s="1582" t="s">
        <v>41</v>
      </c>
      <c r="E15" s="1701">
        <f ca="1">Encargos!I19</f>
        <v>1744067.2510800003</v>
      </c>
      <c r="F15" s="1701">
        <f ca="1">(SUMIFS(Financeiros[Valor],Financeiros[iddet1],20,Financeiros[id_Detalhe_Grupo_TARIFA],C15)+
SUMIFS(Financeiros[Valor],Financeiros[iddet1],22,Financeiros[id_Detalhe_Grupo_TARIFA],C15)+
SUMIFS(Financeiros[Valor],Financeiros[iddet1],19,Financeiros[iddet2],64,Financeiros[id_Detalhe_Grupo_TARIFA],C15))</f>
        <v>-7368.2249409820133</v>
      </c>
      <c r="G15" s="1701">
        <f>(SUMIFS(Financeiros[Valor],Financeiros[iddet1],19,Financeiros[iddet2],60,Financeiros[id_Detalhe_Grupo_TARIFA],C15))</f>
        <v>0</v>
      </c>
    </row>
    <row r="16" spans="1:11">
      <c r="A16" s="1867"/>
      <c r="B16" s="1866"/>
      <c r="C16" s="1582">
        <v>18</v>
      </c>
      <c r="D16" s="1582" t="s">
        <v>47</v>
      </c>
      <c r="E16" s="1701">
        <f ca="1">Resultado!D21</f>
        <v>307176.84594000003</v>
      </c>
      <c r="F16" s="1701">
        <f ca="1">(SUMIFS(Financeiros[Valor],Financeiros[iddet1],20,Financeiros[id_Detalhe_Grupo_TARIFA],C16)+
SUMIFS(Financeiros[Valor],Financeiros[iddet1],22,Financeiros[id_Detalhe_Grupo_TARIFA],C16)+
SUMIFS(Financeiros[Valor],Financeiros[iddet1],19,Financeiros[iddet2],64,Financeiros[id_Detalhe_Grupo_TARIFA],C16))</f>
        <v>-1404.9905913531622</v>
      </c>
      <c r="G16" s="1701">
        <f>(SUMIFS(Financeiros[Valor],Financeiros[iddet1],19,Financeiros[iddet2],60,Financeiros[id_Detalhe_Grupo_TARIFA],C16))</f>
        <v>0</v>
      </c>
    </row>
    <row r="17" spans="1:7">
      <c r="A17" s="1867"/>
      <c r="B17" s="1866"/>
      <c r="C17" s="1582"/>
      <c r="D17" s="1582" t="s">
        <v>2206</v>
      </c>
      <c r="E17" s="1701">
        <v>0</v>
      </c>
      <c r="F17" s="1701">
        <f>(SUMIFS(Financeiros[Valor],Financeiros[iddet1],20,Financeiros[id_Detalhe_Grupo_TARIFA],C17)+
SUMIFS(Financeiros[Valor],Financeiros[iddet1],22,Financeiros[id_Detalhe_Grupo_TARIFA],C17)+
SUMIFS(Financeiros[Valor],Financeiros[iddet1],19,Financeiros[iddet2],64,Financeiros[id_Detalhe_Grupo_TARIFA],C17))</f>
        <v>0</v>
      </c>
      <c r="G17" s="1701">
        <v>0</v>
      </c>
    </row>
    <row r="18" spans="1:7">
      <c r="A18" s="1867"/>
      <c r="B18" s="1866"/>
      <c r="C18" s="1582"/>
      <c r="D18" s="1684" t="s">
        <v>2207</v>
      </c>
      <c r="E18" s="1701">
        <f ca="1">SUM(E10:E17)</f>
        <v>2645608.6585800634</v>
      </c>
      <c r="F18" s="1701">
        <f t="shared" ref="F18:G18" ca="1" si="0">SUM(F10:F17)</f>
        <v>-12477.8220258069</v>
      </c>
      <c r="G18" s="1701">
        <f t="shared" si="0"/>
        <v>0</v>
      </c>
    </row>
    <row r="19" spans="1:7">
      <c r="A19" s="1867"/>
      <c r="B19" s="1866" t="s">
        <v>2208</v>
      </c>
      <c r="C19" s="1582">
        <v>1</v>
      </c>
      <c r="D19" s="1582" t="s">
        <v>2209</v>
      </c>
      <c r="E19" s="1701">
        <f>Resultado!D25</f>
        <v>0</v>
      </c>
      <c r="F19" s="1701">
        <f>(SUMIFS(Financeiros[Valor],Financeiros[iddet1],20,Financeiros[id_Detalhe_Grupo_TARIFA],C19)+
SUMIFS(Financeiros[Valor],Financeiros[iddet1],22,Financeiros[id_Detalhe_Grupo_TARIFA],C19)+
SUMIFS(Financeiros[Valor],Financeiros[iddet1],19,Financeiros[iddet2],64,Financeiros[id_Detalhe_Grupo_TARIFA],C19))</f>
        <v>0</v>
      </c>
      <c r="G19" s="1701">
        <f>(IF((+E19+E20+E24+E25+E47)&lt;&gt;0,SUMIFS(Financeiros[Valor],Financeiros[iddet1],19,Financeiros[iddet2],60,Financeiros[id_Detalhe_Grupo_TARIFA],1)*E19/(+E19+E20+E24+E25+E47),0))</f>
        <v>0</v>
      </c>
    </row>
    <row r="20" spans="1:7">
      <c r="A20" s="1867"/>
      <c r="B20" s="1866"/>
      <c r="C20" s="1582">
        <v>2</v>
      </c>
      <c r="D20" s="1582" t="s">
        <v>2210</v>
      </c>
      <c r="E20" s="1701">
        <f>Resultado!D26</f>
        <v>0</v>
      </c>
      <c r="F20" s="1701">
        <f>(SUMIFS(Financeiros[Valor],Financeiros[iddet1],20,Financeiros[id_Detalhe_Grupo_TARIFA],C20)+
SUMIFS(Financeiros[Valor],Financeiros[iddet1],22,Financeiros[id_Detalhe_Grupo_TARIFA],C20)+
SUMIFS(Financeiros[Valor],Financeiros[iddet1],19,Financeiros[iddet2],64,Financeiros[id_Detalhe_Grupo_TARIFA],C20))</f>
        <v>0</v>
      </c>
      <c r="G20" s="1701">
        <f>(IF((+E19+E20+E24+E25+E47)&lt;&gt;0,SUMIFS(Financeiros[Valor],Financeiros[iddet1],19,Financeiros[iddet2],60,Financeiros[id_Detalhe_Grupo_TARIFA],1)*E20/(+E19+E20+E24+E25+E47),0))</f>
        <v>0</v>
      </c>
    </row>
    <row r="21" spans="1:7">
      <c r="A21" s="1867"/>
      <c r="B21" s="1866"/>
      <c r="C21" s="1582">
        <v>3</v>
      </c>
      <c r="D21" s="1582" t="s">
        <v>2211</v>
      </c>
      <c r="E21" s="1701">
        <f>Resultado!D31</f>
        <v>0</v>
      </c>
      <c r="F21" s="1701">
        <f>(SUMIFS(Financeiros[Valor],Financeiros[iddet1],20,Financeiros[id_Detalhe_Grupo_TARIFA],C21)+
SUMIFS(Financeiros[Valor],Financeiros[iddet1],22,Financeiros[id_Detalhe_Grupo_TARIFA],C21)+
SUMIFS(Financeiros[Valor],Financeiros[iddet1],19,Financeiros[iddet2],64,Financeiros[id_Detalhe_Grupo_TARIFA],C21))</f>
        <v>0</v>
      </c>
      <c r="G21" s="1701">
        <f>(SUMIFS(Financeiros[Valor],Financeiros[iddet1],19,Financeiros[iddet2],60,Financeiros[id_Detalhe_Grupo_TARIFA],C21))</f>
        <v>0</v>
      </c>
    </row>
    <row r="22" spans="1:7">
      <c r="A22" s="1867"/>
      <c r="B22" s="1866"/>
      <c r="C22" s="1582">
        <v>4</v>
      </c>
      <c r="D22" s="1582" t="s">
        <v>2212</v>
      </c>
      <c r="E22" s="1701">
        <f>0</f>
        <v>0</v>
      </c>
      <c r="F22" s="1701">
        <f>(SUMIFS(Financeiros[Valor],Financeiros[iddet1],20,Financeiros[id_Detalhe_Grupo_TARIFA],C22)+
SUMIFS(Financeiros[Valor],Financeiros[iddet1],22,Financeiros[id_Detalhe_Grupo_TARIFA],C22)+
SUMIFS(Financeiros[Valor],Financeiros[iddet1],19,Financeiros[iddet2],64,Financeiros[id_Detalhe_Grupo_TARIFA],C22))</f>
        <v>0</v>
      </c>
      <c r="G22" s="1701">
        <f>(SUMIFS(Financeiros[Valor],Financeiros[iddet1],19,Financeiros[iddet2],60,Financeiros[id_Detalhe_Grupo_TARIFA],C22))</f>
        <v>0</v>
      </c>
    </row>
    <row r="23" spans="1:7">
      <c r="A23" s="1867"/>
      <c r="B23" s="1866"/>
      <c r="C23" s="1582">
        <v>7</v>
      </c>
      <c r="D23" s="1582" t="s">
        <v>952</v>
      </c>
      <c r="E23" s="1701">
        <f>Resultado!D32</f>
        <v>2472691.1461900002</v>
      </c>
      <c r="F23" s="1701">
        <f>(SUMIFS(Financeiros[Valor],Financeiros[iddet1],20,Financeiros[id_Detalhe_Grupo_TARIFA],C23)+
SUMIFS(Financeiros[Valor],Financeiros[iddet1],22,Financeiros[id_Detalhe_Grupo_TARIFA],C23)+
SUMIFS(Financeiros[Valor],Financeiros[iddet1],19,Financeiros[iddet2],64,Financeiros[id_Detalhe_Grupo_TARIFA],C23))</f>
        <v>85009.576954378659</v>
      </c>
      <c r="G23" s="1701">
        <f>(SUMIFS(Financeiros[Valor],Financeiros[iddet1],19,Financeiros[iddet2],60,Financeiros[id_Detalhe_Grupo_TARIFA],C23))</f>
        <v>0</v>
      </c>
    </row>
    <row r="24" spans="1:7">
      <c r="A24" s="1867"/>
      <c r="B24" s="1866"/>
      <c r="C24" s="1582">
        <v>6</v>
      </c>
      <c r="D24" s="1582" t="s">
        <v>2213</v>
      </c>
      <c r="E24" s="1701">
        <f>Resultado!D28</f>
        <v>0</v>
      </c>
      <c r="F24" s="1701">
        <f>(SUMIFS(Financeiros[Valor],Financeiros[iddet1],20,Financeiros[id_Detalhe_Grupo_TARIFA],C24)+
SUMIFS(Financeiros[Valor],Financeiros[iddet1],22,Financeiros[id_Detalhe_Grupo_TARIFA],C24)+
SUMIFS(Financeiros[Valor],Financeiros[iddet1],19,Financeiros[iddet2],64,Financeiros[id_Detalhe_Grupo_TARIFA],C24))</f>
        <v>0</v>
      </c>
      <c r="G24" s="1701">
        <f>(IF((+E19+E20+E24+E25+E47)&lt;&gt;0,SUMIFS(Financeiros[Valor],Financeiros[iddet1],19,Financeiros[iddet2],60,Financeiros[id_Detalhe_Grupo_TARIFA],1)*E24/(+E19+E20+E24+E25+E47),0))</f>
        <v>0</v>
      </c>
    </row>
    <row r="25" spans="1:7">
      <c r="A25" s="1867"/>
      <c r="B25" s="1866"/>
      <c r="C25" s="1582">
        <v>5</v>
      </c>
      <c r="D25" s="1582" t="s">
        <v>2214</v>
      </c>
      <c r="E25" s="1701">
        <f>Resultado!D27</f>
        <v>0</v>
      </c>
      <c r="F25" s="1701">
        <f>(SUMIFS(Financeiros[Valor],Financeiros[iddet1],20,Financeiros[id_Detalhe_Grupo_TARIFA],C25)+
SUMIFS(Financeiros[Valor],Financeiros[iddet1],22,Financeiros[id_Detalhe_Grupo_TARIFA],C25)+
SUMIFS(Financeiros[Valor],Financeiros[iddet1],19,Financeiros[iddet2],64,Financeiros[id_Detalhe_Grupo_TARIFA],C25))</f>
        <v>0</v>
      </c>
      <c r="G25" s="1701">
        <f>(IF((+E19+E20+E24+E25+E47)&lt;&gt;0,SUMIFS(Financeiros[Valor],Financeiros[iddet1],19,Financeiros[iddet2],60,Financeiros[id_Detalhe_Grupo_TARIFA],1)*E25/(+E19+E20+E24+E25+E47),0))</f>
        <v>0</v>
      </c>
    </row>
    <row r="26" spans="1:7">
      <c r="A26" s="1867"/>
      <c r="B26" s="1866"/>
      <c r="C26" s="1582"/>
      <c r="D26" s="1684" t="s">
        <v>2207</v>
      </c>
      <c r="E26" s="1701">
        <f>SUM(E19:E25)</f>
        <v>2472691.1461900002</v>
      </c>
      <c r="F26" s="1701">
        <f t="shared" ref="F26:G26" si="1">SUM(F19:F25)</f>
        <v>85009.576954378659</v>
      </c>
      <c r="G26" s="1701">
        <f t="shared" si="1"/>
        <v>0</v>
      </c>
    </row>
    <row r="27" spans="1:7">
      <c r="A27" s="1867"/>
      <c r="B27" s="1866" t="s">
        <v>2215</v>
      </c>
      <c r="C27" s="1582">
        <v>999</v>
      </c>
      <c r="D27" s="1582" t="s">
        <v>953</v>
      </c>
      <c r="E27" s="1701">
        <f>LnkTXTIParcelaBcomSub</f>
        <v>7218569.4400000004</v>
      </c>
      <c r="F27" s="1701">
        <f ca="1">(SUMIFS(Financeiros[Valor],Financeiros[iddet1],20,Financeiros[id_Detalhe_Grupo_TARIFA],C27,Financeiros[id_Grupo_TARIFA],4)+
SUMIFS(Financeiros[Valor],Financeiros[iddet1],22,Financeiros[id_Detalhe_Grupo_TARIFA],C27,Financeiros[id_Grupo_TARIFA],4)+
SUMIFS(Financeiros[Valor],Financeiros[iddet1],19,Financeiros[iddet2],64,Financeiros[id_Detalhe_Grupo_TARIFA],C27,Financeiros[id_Grupo_TARIFA],4))</f>
        <v>-3024752.7960253092</v>
      </c>
      <c r="G27" s="1701">
        <v>0</v>
      </c>
    </row>
    <row r="28" spans="1:7">
      <c r="A28" s="1867"/>
      <c r="B28" s="1866"/>
      <c r="C28" s="1582"/>
      <c r="D28" s="1684" t="s">
        <v>2207</v>
      </c>
      <c r="E28" s="1701">
        <f>SUM(E27)</f>
        <v>7218569.4400000004</v>
      </c>
      <c r="F28" s="1701">
        <f t="shared" ref="F28:G28" ca="1" si="2">SUM(F27)</f>
        <v>-3024752.7960253092</v>
      </c>
      <c r="G28" s="1701">
        <f t="shared" si="2"/>
        <v>0</v>
      </c>
    </row>
    <row r="29" spans="1:7">
      <c r="A29" s="1867"/>
      <c r="B29" s="1866" t="s">
        <v>2216</v>
      </c>
      <c r="C29" s="1582">
        <v>179</v>
      </c>
      <c r="D29" s="1582" t="s">
        <v>2217</v>
      </c>
      <c r="E29" s="1701">
        <v>0</v>
      </c>
      <c r="F29" s="1701">
        <f ca="1">(((SUMIFS(Financeiros[Valor],Financeiros[iddet1],20,Financeiros[iddet3],C50)+
SUMIFS(Financeiros[Valor],Financeiros[iddet1],22,Financeiros[iddet3],C50)+
SUMIFS(Financeiros[Valor],Financeiros[iddet1],19,Financeiros[iddet2],64,Financeiros[iddet3],C50))*(1-E54/E55))+
SUMIFS(Financeiros[Valor],Financeiros[iddet3],196,Financeiros[id_Tipo_Tarifa],1))</f>
        <v>0</v>
      </c>
      <c r="G29" s="1701">
        <v>0</v>
      </c>
    </row>
    <row r="30" spans="1:7">
      <c r="A30" s="1867"/>
      <c r="B30" s="1866"/>
      <c r="C30" s="1582"/>
      <c r="D30" s="1582" t="s">
        <v>949</v>
      </c>
      <c r="E30" s="1701">
        <v>0</v>
      </c>
      <c r="F30" s="1701">
        <f>(SUMIFS(Financeiros[Valor],Financeiros[iddet1],20,Financeiros[id_Detalhe_Grupo_TARIFA],C30)+
SUMIFS(Financeiros[Valor],Financeiros[iddet1],22,Financeiros[id_Detalhe_Grupo_TARIFA],C30)+
SUMIFS(Financeiros[Valor],Financeiros[iddet1],19,Financeiros[iddet2],64,Financeiros[id_Detalhe_Grupo_TARIFA],C30))</f>
        <v>0</v>
      </c>
      <c r="G30" s="1701">
        <v>0</v>
      </c>
    </row>
    <row r="31" spans="1:7">
      <c r="A31" s="1867"/>
      <c r="B31" s="1866"/>
      <c r="C31" s="1582"/>
      <c r="D31" s="1684" t="s">
        <v>2207</v>
      </c>
      <c r="E31" s="1701">
        <f>SUM(E29:E30)</f>
        <v>0</v>
      </c>
      <c r="F31" s="1701">
        <f t="shared" ref="F31:G31" ca="1" si="3">SUM(F29:F30)</f>
        <v>0</v>
      </c>
      <c r="G31" s="1701">
        <f t="shared" si="3"/>
        <v>0</v>
      </c>
    </row>
    <row r="32" spans="1:7">
      <c r="A32" s="1867"/>
      <c r="B32" s="1866" t="s">
        <v>2218</v>
      </c>
      <c r="C32" s="1582">
        <v>8</v>
      </c>
      <c r="D32" s="1582" t="s">
        <v>2219</v>
      </c>
      <c r="E32" s="1701">
        <f ca="1">Energia!D11*Energia!D14</f>
        <v>402350.50226934697</v>
      </c>
      <c r="F32" s="1701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SUMIFS(Financeiros[Valor],Financeiros[iddet1],19,Financeiros[iddet2],64,Financeiros[id_Grupo_TARIFA],2))*E32/(E44+E32+E33+E52+E34))</f>
        <v>-8369.2053270178876</v>
      </c>
      <c r="G32" s="1701">
        <f>(SUMIFS(Financeiros[Valor],Financeiros[iddet1],19,Financeiros[iddet2],60,Financeiros[id_Detalhe_Grupo_TARIFA],C32))</f>
        <v>0</v>
      </c>
    </row>
    <row r="33" spans="1:7">
      <c r="A33" s="1867"/>
      <c r="B33" s="1866"/>
      <c r="C33" s="1582">
        <v>10</v>
      </c>
      <c r="D33" s="1582" t="s">
        <v>2220</v>
      </c>
      <c r="E33" s="1701">
        <f ca="1">Energia!D12*Energia!D14</f>
        <v>0</v>
      </c>
      <c r="F33" s="1701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SUMIFS(Financeiros[Valor],Financeiros[iddet1],19,Financeiros[iddet2],64,Financeiros[id_Grupo_TARIFA],2))*E33/(E44+E32+E33+E52+E34))</f>
        <v>0</v>
      </c>
      <c r="G33" s="1701">
        <f>(SUMIFS(Financeiros[Valor],Financeiros[iddet1],19,Financeiros[iddet2],60,Financeiros[id_Detalhe_Grupo_TARIFA],C33))</f>
        <v>0</v>
      </c>
    </row>
    <row r="34" spans="1:7">
      <c r="A34" s="1867"/>
      <c r="B34" s="1866"/>
      <c r="C34" s="1582">
        <v>9</v>
      </c>
      <c r="D34" s="1582" t="s">
        <v>2221</v>
      </c>
      <c r="E34" s="1701">
        <f ca="1">Energia!D10*Energia!D14</f>
        <v>0</v>
      </c>
      <c r="F34" s="1701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SUMIFS(Financeiros[Valor],Financeiros[iddet1],19,Financeiros[iddet2],64,Financeiros[id_Grupo_TARIFA],2))*E34/(E44+E32+E33+E52+E34))</f>
        <v>0</v>
      </c>
      <c r="G34" s="1701">
        <f>(SUMIFS(Financeiros[Valor],Financeiros[iddet1],19,Financeiros[iddet2],60,Financeiros[id_Detalhe_Grupo_TARIFA],C34))</f>
        <v>0</v>
      </c>
    </row>
    <row r="35" spans="1:7">
      <c r="A35" s="1867"/>
      <c r="B35" s="1866"/>
      <c r="C35" s="1582">
        <v>999</v>
      </c>
      <c r="D35" s="1582" t="s">
        <v>989</v>
      </c>
      <c r="E35" s="1701"/>
      <c r="F35" s="1701">
        <f>(SUMIFS(Financeiros[Valor],Financeiros[iddet1],20,Financeiros[id_Detalhe_Grupo_TARIFA],C35,Financeiros[id_Grupo_TARIFA],5)+
SUMIFS(Financeiros[Valor],Financeiros[iddet1],22,Financeiros[id_Detalhe_Grupo_TARIFA],C35,Financeiros[id_Grupo_TARIFA],5)+
SUMIFS(Financeiros[Valor],Financeiros[iddet1],19,Financeiros[iddet2],64,Financeiros[id_Detalhe_Grupo_TARIFA],C35,Financeiros[id_Grupo_TARIFA],5))</f>
        <v>0</v>
      </c>
      <c r="G35" s="1701">
        <f>(SUMIFS(Financeiros[Valor],Financeiros[iddet1],19,Financeiros[iddet2],60,Financeiros[id_Detalhe_Grupo_TARIFA],C35))</f>
        <v>0</v>
      </c>
    </row>
    <row r="36" spans="1:7">
      <c r="A36" s="1867"/>
      <c r="B36" s="1866"/>
      <c r="C36" s="1582"/>
      <c r="D36" s="1684" t="s">
        <v>2207</v>
      </c>
      <c r="E36" s="1701">
        <f ca="1">SUM(E32:E35)</f>
        <v>402350.50226934697</v>
      </c>
      <c r="F36" s="1701">
        <f t="shared" ref="F36:G36" ca="1" si="4">SUM(F32:F35)</f>
        <v>-8369.2053270178876</v>
      </c>
      <c r="G36" s="1701">
        <f t="shared" si="4"/>
        <v>0</v>
      </c>
    </row>
    <row r="37" spans="1:7">
      <c r="A37" s="1867"/>
      <c r="B37" s="1868" t="s">
        <v>2207</v>
      </c>
      <c r="C37" s="1868"/>
      <c r="D37" s="1868"/>
      <c r="E37" s="1701">
        <f ca="1">SUM(E18,E26,E28,E36,E31)</f>
        <v>12739219.747039411</v>
      </c>
      <c r="F37" s="1701">
        <f ca="1">SUM(F18,F26,F28,F36,F31)</f>
        <v>-2960590.2464237553</v>
      </c>
      <c r="G37" s="1701">
        <f>SUM(G18,G26,G28,G36,G31)</f>
        <v>0</v>
      </c>
    </row>
    <row r="38" spans="1:7">
      <c r="A38" s="1866" t="s">
        <v>971</v>
      </c>
      <c r="B38" s="1866" t="s">
        <v>2078</v>
      </c>
      <c r="C38" s="1582">
        <v>19</v>
      </c>
      <c r="D38" s="1582" t="s">
        <v>48</v>
      </c>
      <c r="E38" s="1701">
        <f ca="1">IFERROR(Encargos!O6*(+E39+E40+E41+E42+E44+E46+E47+E48+E52)+(Encargos!O6^2)*(+E39+E40+E41+E42+E44+E46+E47+E48+E52)/
Resultado!D27*
(+F10+G10+F11+G11+F16+G16+F17+G17+F19+G19+F20+G20+F21+G21+F22+G22+F23+G23+F24+G24+F25+G25+F27+G27+F30+G30+
F32+G32+F33+G33+F34+G34+F35+G35+F39+G39+F40+G40+F41+G41+F42+G42+F44+G44+F46+G46+F47+G47+F48+G48+F52+G52),0)</f>
        <v>0</v>
      </c>
      <c r="F38" s="1701">
        <f ca="1">IFERROR((((SUMIFS(Financeiros[Valor],Financeiros[iddet1],20,Financeiros[id_Detalhe_Grupo_TARIFA],C38)+
SUMIFS(Financeiros[Valor],Financeiros[iddet1],22,Financeiros[id_Detalhe_Grupo_TARIFA],C38)+
SUMIFS(Financeiros[Valor],Financeiros[iddet1],19,Financeiros[iddet2],64,Financeiros[id_Detalhe_Grupo_TARIFA],C38))*E38/(E12+E38))),0)</f>
        <v>0</v>
      </c>
      <c r="G38" s="1701">
        <f>(SUMIFS(Financeiros[Valor],Financeiros[iddet1],19,Financeiros[iddet2],60,Financeiros[id_Detalhe_Grupo_TARIFA],C38))</f>
        <v>0</v>
      </c>
    </row>
    <row r="39" spans="1:7">
      <c r="A39" s="1867"/>
      <c r="B39" s="1866"/>
      <c r="C39" s="1582">
        <v>17</v>
      </c>
      <c r="D39" s="1582" t="s">
        <v>46</v>
      </c>
      <c r="E39" s="1701">
        <f>Encargos!C9</f>
        <v>0</v>
      </c>
      <c r="F39" s="1701">
        <f ca="1">(SUMIFS(Financeiros[Valor],Financeiros[iddet1],20,Financeiros[id_Detalhe_Grupo_TARIFA],C39)+
SUMIFS(Financeiros[Valor],Financeiros[iddet1],22,Financeiros[id_Detalhe_Grupo_TARIFA],C39)+
SUMIFS(Financeiros[Valor],Financeiros[iddet1],19,Financeiros[iddet2],64,Financeiros[id_Detalhe_Grupo_TARIFA],C39))</f>
        <v>0</v>
      </c>
      <c r="G39" s="1701">
        <f>(SUMIFS(Financeiros[Valor],Financeiros[iddet1],19,Financeiros[iddet2],60,Financeiros[id_Detalhe_Grupo_TARIFA],C39))</f>
        <v>0</v>
      </c>
    </row>
    <row r="40" spans="1:7">
      <c r="A40" s="1867"/>
      <c r="B40" s="1866"/>
      <c r="C40" s="1582">
        <v>16</v>
      </c>
      <c r="D40" s="1582" t="s">
        <v>112</v>
      </c>
      <c r="E40" s="1701">
        <f>Encargos!C8</f>
        <v>0</v>
      </c>
      <c r="F40" s="1701">
        <f>(SUMIFS(Financeiros[Valor],Financeiros[iddet1],20,Financeiros[id_Detalhe_Grupo_TARIFA],C40)+
SUMIFS(Financeiros[Valor],Financeiros[iddet1],22,Financeiros[id_Detalhe_Grupo_TARIFA],C40)+
SUMIFS(Financeiros[Valor],Financeiros[iddet1],19,Financeiros[iddet2],64,Financeiros[id_Detalhe_Grupo_TARIFA],C40))</f>
        <v>0</v>
      </c>
      <c r="G40" s="1701">
        <f>(SUMIFS(Financeiros[Valor],Financeiros[iddet1],19,Financeiros[iddet2],60,Financeiros[id_Detalhe_Grupo_TARIFA],C40))</f>
        <v>0</v>
      </c>
    </row>
    <row r="41" spans="1:7">
      <c r="A41" s="1867"/>
      <c r="B41" s="1866"/>
      <c r="C41" s="1582">
        <v>25</v>
      </c>
      <c r="D41" s="1582" t="s">
        <v>2222</v>
      </c>
      <c r="E41" s="1701">
        <v>0</v>
      </c>
      <c r="F41" s="1701">
        <f>(SUMIFS(Financeiros[Valor],Financeiros[iddet1],20,Financeiros[id_Detalhe_Grupo_TARIFA],C41)+
SUMIFS(Financeiros[Valor],Financeiros[iddet1],22,Financeiros[id_Detalhe_Grupo_TARIFA],C41)+
SUMIFS(Financeiros[Valor],Financeiros[iddet1],19,Financeiros[iddet2],64,Financeiros[id_Detalhe_Grupo_TARIFA],C41))</f>
        <v>0</v>
      </c>
      <c r="G41" s="1701">
        <f>(SUMIFS(Financeiros[Valor],Financeiros[iddet1],19,Financeiros[iddet2],60,Financeiros[id_Detalhe_Grupo_TARIFA],C41))</f>
        <v>0</v>
      </c>
    </row>
    <row r="42" spans="1:7">
      <c r="A42" s="1867"/>
      <c r="B42" s="1866"/>
      <c r="C42" s="1582">
        <v>28</v>
      </c>
      <c r="D42" s="1582" t="s">
        <v>2057</v>
      </c>
      <c r="E42" s="1701">
        <f>Encargos!I21</f>
        <v>0</v>
      </c>
      <c r="F42" s="1701">
        <f>(SUMIFS(Financeiros[Valor],Financeiros[iddet1],20,Financeiros[id_Detalhe_Grupo_TARIFA],C42)+
SUMIFS(Financeiros[Valor],Financeiros[iddet1],22,Financeiros[id_Detalhe_Grupo_TARIFA],C42)+
SUMIFS(Financeiros[Valor],Financeiros[iddet1],19,Financeiros[iddet2],64,Financeiros[id_Detalhe_Grupo_TARIFA],C42))</f>
        <v>0</v>
      </c>
      <c r="G42" s="1701">
        <f>(SUMIFS(Financeiros[Valor],Financeiros[iddet1],19,Financeiros[iddet2],60,Financeiros[id_Detalhe_Grupo_TARIFA],C42))</f>
        <v>0</v>
      </c>
    </row>
    <row r="43" spans="1:7">
      <c r="A43" s="1867"/>
      <c r="B43" s="1866"/>
      <c r="C43" s="1582"/>
      <c r="D43" s="1684" t="s">
        <v>2207</v>
      </c>
      <c r="E43" s="1701">
        <f ca="1">SUM(E38:E42)</f>
        <v>0</v>
      </c>
      <c r="F43" s="1701">
        <f ca="1">SUM(F38:F42)</f>
        <v>0</v>
      </c>
      <c r="G43" s="1701">
        <f>SUM(G38:G42)</f>
        <v>0</v>
      </c>
    </row>
    <row r="44" spans="1:7">
      <c r="A44" s="1867"/>
      <c r="B44" s="1866" t="s">
        <v>2079</v>
      </c>
      <c r="C44" s="1582">
        <v>11</v>
      </c>
      <c r="D44" s="1582" t="s">
        <v>2223</v>
      </c>
      <c r="E44" s="1701">
        <f ca="1">Energia!D6*Energia!D14</f>
        <v>2984438.2373716203</v>
      </c>
      <c r="F44" s="1701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SUMIFS(Financeiros[Valor],Financeiros[iddet1],19,Financeiros[iddet2],64,Financeiros[id_Grupo_TARIFA],2))*E44/(E44+E32+E33+E52+E34))</f>
        <v>-62078.650961011466</v>
      </c>
      <c r="G44" s="1701">
        <f>(SUMIFS(Financeiros[Valor],Financeiros[iddet1],19,Financeiros[iddet2],60,Financeiros[id_Detalhe_Grupo_TARIFA],C44))</f>
        <v>0</v>
      </c>
    </row>
    <row r="45" spans="1:7">
      <c r="A45" s="1867"/>
      <c r="B45" s="1866"/>
      <c r="C45" s="1582"/>
      <c r="D45" s="1684" t="s">
        <v>2207</v>
      </c>
      <c r="E45" s="1701">
        <f ca="1">SUM(E44)</f>
        <v>2984438.2373716203</v>
      </c>
      <c r="F45" s="1701">
        <f ca="1">SUM(F44)</f>
        <v>-62078.650961011466</v>
      </c>
      <c r="G45" s="1701">
        <f>SUM(G44)</f>
        <v>0</v>
      </c>
    </row>
    <row r="46" spans="1:7">
      <c r="A46" s="1867"/>
      <c r="B46" s="1866" t="s">
        <v>2208</v>
      </c>
      <c r="C46" s="1582">
        <v>21</v>
      </c>
      <c r="D46" s="1582" t="s">
        <v>975</v>
      </c>
      <c r="E46" s="1701">
        <f>Resultado!D29</f>
        <v>0</v>
      </c>
      <c r="F46" s="1701">
        <f>(SUMIFS(Financeiros[Valor],Financeiros[iddet1],20,Financeiros[id_Detalhe_Grupo_TARIFA],C46)+
SUMIFS(Financeiros[Valor],Financeiros[iddet1],22,Financeiros[id_Detalhe_Grupo_TARIFA],C46)+
SUMIFS(Financeiros[Valor],Financeiros[iddet1],19,Financeiros[iddet2],64,Financeiros[id_Detalhe_Grupo_TARIFA],C46))</f>
        <v>0</v>
      </c>
      <c r="G46" s="1701">
        <f>(SUMIFS(Financeiros[Valor],Financeiros[iddet1],19,Financeiros[iddet2],60,Financeiros[id_Detalhe_Grupo_TARIFA],C46))</f>
        <v>0</v>
      </c>
    </row>
    <row r="47" spans="1:7">
      <c r="A47" s="1867"/>
      <c r="B47" s="1866"/>
      <c r="C47" s="1582">
        <v>23</v>
      </c>
      <c r="D47" s="1582" t="s">
        <v>2224</v>
      </c>
      <c r="E47" s="1701">
        <f>Resultado!D30</f>
        <v>0</v>
      </c>
      <c r="F47" s="1701">
        <f>(SUMIFS(Financeiros[Valor],Financeiros[iddet1],20,Financeiros[id_Detalhe_Grupo_TARIFA],C47)+
SUMIFS(Financeiros[Valor],Financeiros[iddet1],22,Financeiros[id_Detalhe_Grupo_TARIFA],C47)+
SUMIFS(Financeiros[Valor],Financeiros[iddet1],19,Financeiros[iddet2],64,Financeiros[id_Detalhe_Grupo_TARIFA],C47))</f>
        <v>0</v>
      </c>
      <c r="G47" s="1701">
        <f>(IF((+E19+E20+E24+E25+E47)&lt;&gt;0,SUMIFS(Financeiros[Valor],Financeiros[iddet1],19,Financeiros[iddet2],60,Financeiros[id_Detalhe_Grupo_TARIFA],1)*E47/(+E19+E20+E24+E25+E47),0))</f>
        <v>0</v>
      </c>
    </row>
    <row r="48" spans="1:7">
      <c r="A48" s="1867"/>
      <c r="B48" s="1866"/>
      <c r="C48" s="1582">
        <v>22</v>
      </c>
      <c r="D48" s="1582" t="s">
        <v>2225</v>
      </c>
      <c r="E48" s="1701">
        <f>0</f>
        <v>0</v>
      </c>
      <c r="F48" s="1701">
        <f>(SUMIFS(Financeiros[Valor],Financeiros[iddet1],20,Financeiros[id_Detalhe_Grupo_TARIFA],C48)+
SUMIFS(Financeiros[Valor],Financeiros[iddet1],22,Financeiros[id_Detalhe_Grupo_TARIFA],C48)+
SUMIFS(Financeiros[Valor],Financeiros[iddet1],19,Financeiros[iddet2],64,Financeiros[id_Detalhe_Grupo_TARIFA],C48))</f>
        <v>0</v>
      </c>
      <c r="G48" s="1701">
        <f>(SUMIFS(Financeiros[Valor],Financeiros[iddet1],19,Financeiros[iddet2],60,Financeiros[id_Detalhe_Grupo_TARIFA],C48))</f>
        <v>0</v>
      </c>
    </row>
    <row r="49" spans="1:7">
      <c r="A49" s="1867"/>
      <c r="B49" s="1866"/>
      <c r="C49" s="1582"/>
      <c r="D49" s="1684" t="s">
        <v>2207</v>
      </c>
      <c r="E49" s="1701">
        <f>SUM(E46:E48)</f>
        <v>0</v>
      </c>
      <c r="F49" s="1701">
        <f>SUM(F46:F48)</f>
        <v>0</v>
      </c>
      <c r="G49" s="1701">
        <f>SUM(G46:G48)</f>
        <v>0</v>
      </c>
    </row>
    <row r="50" spans="1:7">
      <c r="A50" s="1867"/>
      <c r="B50" s="1866" t="s">
        <v>2216</v>
      </c>
      <c r="C50" s="1582">
        <v>179</v>
      </c>
      <c r="D50" s="1582" t="s">
        <v>2217</v>
      </c>
      <c r="E50" s="1701">
        <v>0</v>
      </c>
      <c r="F50" s="1701">
        <f ca="1">(((SUMIFS(Financeiros[Valor],Financeiros[iddet1],20,Financeiros[iddet3],C50)+
SUMIFS(Financeiros[Valor],Financeiros[iddet1],22,Financeiros[iddet3],C50)+
SUMIFS(Financeiros[Valor],Financeiros[iddet1],19,Financeiros[iddet2],64,Financeiros[iddet3],C50))*(E54/E55))+SUMIFS(Financeiros[Valor],Financeiros[iddet3],196,Financeiros[id_Tipo_Tarifa],2))</f>
        <v>0</v>
      </c>
      <c r="G50" s="1701">
        <f>SUMIFS(Financeiros[Valor],Financeiros[iddet1],19,Financeiros[iddet2],60,Financeiros[id_Detalhe_Grupo_TARIFA],C50)</f>
        <v>0</v>
      </c>
    </row>
    <row r="51" spans="1:7">
      <c r="A51" s="1867"/>
      <c r="B51" s="1866"/>
      <c r="C51" s="1582"/>
      <c r="D51" s="1582" t="s">
        <v>2207</v>
      </c>
      <c r="E51" s="1701">
        <f>SUM(E50)</f>
        <v>0</v>
      </c>
      <c r="F51" s="1701">
        <f ca="1">SUM(F50)</f>
        <v>0</v>
      </c>
      <c r="G51" s="1701">
        <f>SUM(G50)</f>
        <v>0</v>
      </c>
    </row>
    <row r="52" spans="1:7">
      <c r="A52" s="1867"/>
      <c r="B52" s="1866" t="s">
        <v>2218</v>
      </c>
      <c r="C52" s="1582">
        <v>24</v>
      </c>
      <c r="D52" s="1582" t="s">
        <v>2226</v>
      </c>
      <c r="E52" s="1701">
        <f ca="1">Energia!D13*Energia!D14</f>
        <v>0</v>
      </c>
      <c r="F52" s="1701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SUMIFS(Financeiros[Valor],Financeiros[iddet1],19,Financeiros[iddet2],64,Financeiros[id_Grupo_TARIFA],2))*E52/(E44+E32+E33+E52+E34))</f>
        <v>0</v>
      </c>
      <c r="G52" s="1701">
        <f>(SUMIFS(Financeiros[Valor],Financeiros[iddet1],19,Financeiros[iddet2],60,Financeiros[id_Detalhe_Grupo_TARIFA],C52))</f>
        <v>0</v>
      </c>
    </row>
    <row r="53" spans="1:7">
      <c r="A53" s="1867"/>
      <c r="B53" s="1866"/>
      <c r="C53" s="1582"/>
      <c r="D53" s="1684" t="s">
        <v>2207</v>
      </c>
      <c r="E53" s="1701">
        <f ca="1">SUM(E52)</f>
        <v>0</v>
      </c>
      <c r="F53" s="1701">
        <f t="shared" ref="F53:G53" ca="1" si="5">SUM(F52)</f>
        <v>0</v>
      </c>
      <c r="G53" s="1701">
        <f t="shared" si="5"/>
        <v>0</v>
      </c>
    </row>
    <row r="54" spans="1:7">
      <c r="A54" s="1867"/>
      <c r="B54" s="1868" t="s">
        <v>2207</v>
      </c>
      <c r="C54" s="1868"/>
      <c r="D54" s="1868"/>
      <c r="E54" s="1701">
        <f ca="1">SUM(E43,E45,E49,E53,E51)</f>
        <v>2984438.2373716203</v>
      </c>
      <c r="F54" s="1701">
        <f t="shared" ref="F54:G54" ca="1" si="6">SUM(F43,F45,F49,F53,F51)</f>
        <v>-62078.650961011466</v>
      </c>
      <c r="G54" s="1701">
        <f t="shared" si="6"/>
        <v>0</v>
      </c>
    </row>
    <row r="55" spans="1:7">
      <c r="A55" s="1866" t="s">
        <v>760</v>
      </c>
      <c r="B55" s="1866"/>
      <c r="C55" s="1866"/>
      <c r="D55" s="1866"/>
      <c r="E55" s="1701">
        <f ca="1">E37+E54</f>
        <v>15723657.984411031</v>
      </c>
      <c r="F55" s="1701">
        <f t="shared" ref="F55:G55" ca="1" si="7">F37+F54</f>
        <v>-3022668.897384767</v>
      </c>
      <c r="G55" s="1701">
        <f t="shared" si="7"/>
        <v>0</v>
      </c>
    </row>
    <row r="56" spans="1:7">
      <c r="E56" s="1702"/>
      <c r="F56" s="1702"/>
      <c r="G56" s="1702"/>
    </row>
    <row r="57" spans="1:7">
      <c r="D57" s="1684" t="s">
        <v>2282</v>
      </c>
      <c r="E57" s="1701">
        <f ca="1">Resultado!C5</f>
        <v>15723657.984411031</v>
      </c>
      <c r="F57" s="1701">
        <f ca="1">(SUMIFS(Financeiros[Valor],Financeiros[iddet1],20)+SUMIFS(Financeiros[Valor],Financeiros[iddet1],22)+SUMIFS(Financeiros[Valor],Financeiros[iddet1],19,Financeiros[iddet2],64))</f>
        <v>-3022668.897384767</v>
      </c>
      <c r="G57" s="1701">
        <f>(SUMIFS(Financeiros[Valor],Financeiros[iddet1],19,Financeiros[iddet2],60))</f>
        <v>0</v>
      </c>
    </row>
    <row r="58" spans="1:7">
      <c r="D58" s="1684" t="s">
        <v>2227</v>
      </c>
      <c r="E58" s="1701" t="str">
        <f ca="1">IF(ABS(E55-E57)&gt;1,"verificar sparta","ok")</f>
        <v>ok</v>
      </c>
      <c r="F58" s="1701" t="str">
        <f t="shared" ref="F58" ca="1" si="8">IF(ABS(F55-F57)&gt;1,"verificar sparta","ok")</f>
        <v>ok</v>
      </c>
      <c r="G58" s="1701" t="str">
        <f>IF(ABS(G55-G57)&gt;1,"verificar sparta","ok")</f>
        <v>ok</v>
      </c>
    </row>
    <row r="59" spans="1:7">
      <c r="E59" s="1702"/>
      <c r="F59" s="1702"/>
      <c r="G59" s="1702"/>
    </row>
    <row r="60" spans="1:7">
      <c r="D60" s="1684" t="s">
        <v>2228</v>
      </c>
      <c r="E60" s="1701">
        <f ca="1">SUMIFS(TabelaBadNet[valor],TabelaBadNet[id_Natureza_dado],2,TabelaBadNet[id_Detalhe_Natureza],1,TabelaBadNet[id_Unidade],3,TabelaBadNet[idDet1],51)</f>
        <v>15723657.984411033</v>
      </c>
      <c r="F60" s="1701">
        <f ca="1" xml:space="preserve">
(SUMIFS(TabelaBadNet[valor],TabelaBadNet[id_Natureza_dado],2,TabelaBadNet[id_Detalhe_Natureza],2,TabelaBadNet[idDet1],19,TabelaBadNet[idDet2],64,TabelaBadNet[id_Unidade],3)+
SUMIFS(TabelaBadNet[valor],TabelaBadNet[id_Natureza_dado],2,TabelaBadNet[id_Detalhe_Natureza],2,TabelaBadNet[idDet1],20,TabelaBadNet[id_Unidade],3)+
SUMIFS(TabelaBadNet[valor],TabelaBadNet[id_Natureza_dado],2,TabelaBadNet[id_Detalhe_Natureza],2,TabelaBadNet[idDet1],22,TabelaBadNet[id_Unidade],3))</f>
        <v>-3022668.897384767</v>
      </c>
      <c r="G60" s="1701">
        <f xml:space="preserve">
SUMIFS(TabelaBadNet[valor],TabelaBadNet[id_Natureza_dado],2,TabelaBadNet[id_Detalhe_Natureza],2,TabelaBadNet[idDet1],19,TabelaBadNet[idDet2],60,TabelaBadNet[id_Unidade],3)</f>
        <v>0</v>
      </c>
    </row>
    <row r="61" spans="1:7">
      <c r="D61" s="1684" t="s">
        <v>2227</v>
      </c>
      <c r="E61" s="1701" t="str">
        <f ca="1">IF(ABS(E60-E55)&gt;1,"verificar badnet","ok")</f>
        <v>ok</v>
      </c>
      <c r="F61" s="1701" t="str">
        <f t="shared" ref="F61:G61" ca="1" si="9">IF(ABS(F60-F55)&gt;1,"verificar badnet","ok")</f>
        <v>ok</v>
      </c>
      <c r="G61" s="1701" t="str">
        <f t="shared" si="9"/>
        <v>ok</v>
      </c>
    </row>
  </sheetData>
  <mergeCells count="15">
    <mergeCell ref="A55:D55"/>
    <mergeCell ref="A38:A54"/>
    <mergeCell ref="B38:B43"/>
    <mergeCell ref="B44:B45"/>
    <mergeCell ref="B46:B49"/>
    <mergeCell ref="B50:B51"/>
    <mergeCell ref="B52:B53"/>
    <mergeCell ref="B54:D54"/>
    <mergeCell ref="A10:A37"/>
    <mergeCell ref="B10:B18"/>
    <mergeCell ref="B19:B26"/>
    <mergeCell ref="B27:B28"/>
    <mergeCell ref="B29:B31"/>
    <mergeCell ref="B32:B36"/>
    <mergeCell ref="B37:D37"/>
  </mergeCells>
  <pageMargins left="0.511811024" right="0.511811024" top="0.78740157499999996" bottom="0.78740157499999996" header="0.31496062000000002" footer="0.31496062000000002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S2455"/>
  <sheetViews>
    <sheetView showGridLines="0" topLeftCell="D167" zoomScaleNormal="100" workbookViewId="0">
      <selection activeCell="K182" sqref="K182:K186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1389</v>
      </c>
      <c r="B1" t="s">
        <v>1407</v>
      </c>
      <c r="C1" t="s">
        <v>22</v>
      </c>
      <c r="D1" t="s">
        <v>1408</v>
      </c>
      <c r="E1" t="s">
        <v>1409</v>
      </c>
      <c r="F1" t="s">
        <v>1410</v>
      </c>
      <c r="G1" t="s">
        <v>1411</v>
      </c>
      <c r="H1" t="s">
        <v>1412</v>
      </c>
      <c r="I1" t="s">
        <v>1286</v>
      </c>
      <c r="J1" t="s">
        <v>1287</v>
      </c>
      <c r="K1" t="s">
        <v>1288</v>
      </c>
      <c r="L1" t="s">
        <v>1413</v>
      </c>
      <c r="M1" t="s">
        <v>1414</v>
      </c>
      <c r="N1" t="s">
        <v>1415</v>
      </c>
      <c r="O1" t="s">
        <v>1416</v>
      </c>
      <c r="P1" t="s">
        <v>1417</v>
      </c>
      <c r="Q1" t="s">
        <v>1418</v>
      </c>
    </row>
    <row r="2" spans="1:17" s="13" customFormat="1" ht="15.75">
      <c r="A2" t="s">
        <v>696</v>
      </c>
      <c r="B2" t="s">
        <v>1419</v>
      </c>
      <c r="C2" t="s">
        <v>1403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2">
        <f t="shared" ref="P2:P63" si="0">IF(ISNUMBER(Q2),Q2,0)</f>
        <v>8.5874515481677571E-2</v>
      </c>
      <c r="Q2" s="232">
        <f>CAPA!K16</f>
        <v>8.5874515481677571E-2</v>
      </c>
    </row>
    <row r="3" spans="1:17" s="13" customFormat="1" ht="15.75">
      <c r="A3" t="s">
        <v>696</v>
      </c>
      <c r="B3" t="s">
        <v>1419</v>
      </c>
      <c r="C3" t="s">
        <v>772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2">
        <f t="shared" si="0"/>
        <v>8.727291292620043E-2</v>
      </c>
      <c r="Q3" s="232">
        <f>CAPA!K17</f>
        <v>8.727291292620043E-2</v>
      </c>
    </row>
    <row r="4" spans="1:17" s="13" customFormat="1" ht="15.75">
      <c r="A4" t="s">
        <v>696</v>
      </c>
      <c r="B4" t="s">
        <v>1419</v>
      </c>
      <c r="C4" t="s">
        <v>1403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2">
        <f t="shared" si="0"/>
        <v>1185.0039999999999</v>
      </c>
      <c r="Q4" s="232">
        <f>CAPA!K14</f>
        <v>1185.0039999999999</v>
      </c>
    </row>
    <row r="5" spans="1:17" s="13" customFormat="1" ht="15.75">
      <c r="A5" t="s">
        <v>696</v>
      </c>
      <c r="B5" t="s">
        <v>1419</v>
      </c>
      <c r="C5" t="s">
        <v>772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2">
        <f t="shared" si="0"/>
        <v>6388.87</v>
      </c>
      <c r="Q5" s="232">
        <f>CAPA!K15</f>
        <v>6388.87</v>
      </c>
    </row>
    <row r="6" spans="1:17" s="13" customFormat="1" ht="15.75">
      <c r="A6" t="s">
        <v>696</v>
      </c>
      <c r="B6" t="s">
        <v>1419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2">
        <f t="shared" ca="1" si="0"/>
        <v>6.4000000000000001E-2</v>
      </c>
      <c r="Q6" s="232">
        <f ca="1">Resultado!C7</f>
        <v>6.4000000000000001E-2</v>
      </c>
    </row>
    <row r="7" spans="1:17" s="13" customFormat="1" ht="15.75">
      <c r="A7" t="s">
        <v>696</v>
      </c>
      <c r="B7" t="s">
        <v>1419</v>
      </c>
      <c r="C7" t="s">
        <v>1261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2">
        <f t="shared" ca="1" si="0"/>
        <v>-0.20449999999999999</v>
      </c>
      <c r="Q7" s="232">
        <f ca="1">Resultado!C8</f>
        <v>-0.20449999999999999</v>
      </c>
    </row>
    <row r="8" spans="1:17" s="13" customFormat="1" ht="15.75">
      <c r="A8" t="s">
        <v>696</v>
      </c>
      <c r="B8" t="s">
        <v>1419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2">
        <f t="shared" ca="1" si="0"/>
        <v>-0.14050000000000001</v>
      </c>
      <c r="Q8" s="232">
        <f ca="1">Resultado!C9</f>
        <v>-0.14050000000000001</v>
      </c>
    </row>
    <row r="9" spans="1:17" s="13" customFormat="1" ht="15.75">
      <c r="A9" t="s">
        <v>696</v>
      </c>
      <c r="B9" t="s">
        <v>1419</v>
      </c>
      <c r="C9" t="s">
        <v>1420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2">
        <f t="shared" ca="1" si="0"/>
        <v>0.20355729250022073</v>
      </c>
      <c r="Q9" s="232">
        <f ca="1">IF(ISERROR(LnkTXTICMS),0,LnkTXTICMS)</f>
        <v>0.20355729250022073</v>
      </c>
    </row>
    <row r="10" spans="1:17" s="13" customFormat="1" ht="15.75">
      <c r="A10" t="s">
        <v>696</v>
      </c>
      <c r="B10" t="s">
        <v>1419</v>
      </c>
      <c r="C10" t="s">
        <v>1421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2">
        <f t="shared" ca="1" si="0"/>
        <v>1.9018421273020236E-2</v>
      </c>
      <c r="Q10" s="232">
        <f ca="1">IF(ISERROR(LNKTXTPercPISCOFINS),0,LNKTXTPercPISCOFINS)</f>
        <v>1.9018421273020236E-2</v>
      </c>
    </row>
    <row r="11" spans="1:17" ht="15.75">
      <c r="A11" t="s">
        <v>696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2">
        <f t="shared" si="0"/>
        <v>0</v>
      </c>
      <c r="Q11" s="232">
        <f>Resultado!D15</f>
        <v>0</v>
      </c>
    </row>
    <row r="12" spans="1:17" ht="15.75">
      <c r="A12" t="s">
        <v>696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2">
        <f t="shared" si="0"/>
        <v>0</v>
      </c>
      <c r="Q12" s="232">
        <f>Resultado!D16</f>
        <v>0</v>
      </c>
    </row>
    <row r="13" spans="1:17" ht="15.75">
      <c r="A13" t="s">
        <v>696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2">
        <f t="shared" ca="1" si="0"/>
        <v>32726.000289716503</v>
      </c>
      <c r="Q13" s="232">
        <f ca="1">Resultado!D17</f>
        <v>32726.000289716503</v>
      </c>
    </row>
    <row r="14" spans="1:17" ht="15.75">
      <c r="A14" t="s">
        <v>696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2">
        <f t="shared" ca="1" si="0"/>
        <v>1744067.2510800003</v>
      </c>
      <c r="Q14" s="232">
        <f ca="1">Encargos!I19</f>
        <v>1744067.2510800003</v>
      </c>
    </row>
    <row r="15" spans="1:17" ht="15.75">
      <c r="A15" t="s">
        <v>696</v>
      </c>
      <c r="B15" t="s">
        <v>72</v>
      </c>
      <c r="C15" t="s">
        <v>112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2">
        <f t="shared" si="0"/>
        <v>0</v>
      </c>
      <c r="Q15" s="232">
        <f>Resultado!D19</f>
        <v>0</v>
      </c>
    </row>
    <row r="16" spans="1:17" ht="15.75">
      <c r="A16" t="s">
        <v>696</v>
      </c>
      <c r="B16" t="s">
        <v>72</v>
      </c>
      <c r="C16" t="s">
        <v>111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2">
        <f t="shared" si="0"/>
        <v>0</v>
      </c>
      <c r="Q16" s="232">
        <f>Resultado!D20</f>
        <v>0</v>
      </c>
    </row>
    <row r="17" spans="1:17" ht="15.75">
      <c r="A17" t="s">
        <v>696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2">
        <f t="shared" ca="1" si="0"/>
        <v>307176.84594000003</v>
      </c>
      <c r="Q17" s="232">
        <f ca="1">Resultado!D21</f>
        <v>307176.84594000003</v>
      </c>
    </row>
    <row r="18" spans="1:17" ht="15.75">
      <c r="A18" t="s">
        <v>696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2">
        <f t="shared" si="0"/>
        <v>0</v>
      </c>
      <c r="Q18" s="232">
        <f>Resultado!D22</f>
        <v>0</v>
      </c>
    </row>
    <row r="19" spans="1:17" ht="15.75">
      <c r="A19" t="s">
        <v>696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2">
        <f t="shared" si="0"/>
        <v>0</v>
      </c>
      <c r="Q19" s="232">
        <f>Resultado!D23</f>
        <v>0</v>
      </c>
    </row>
    <row r="20" spans="1:17" ht="15.75">
      <c r="A20" t="s">
        <v>696</v>
      </c>
      <c r="B20" t="s">
        <v>717</v>
      </c>
      <c r="C20" t="s">
        <v>1422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2">
        <f t="shared" si="0"/>
        <v>0</v>
      </c>
      <c r="Q20" s="232">
        <f>CUSD!G3</f>
        <v>0</v>
      </c>
    </row>
    <row r="21" spans="1:17" ht="15.75">
      <c r="A21" t="s">
        <v>696</v>
      </c>
      <c r="B21" t="s">
        <v>717</v>
      </c>
      <c r="C21" t="s">
        <v>1423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2">
        <f t="shared" si="0"/>
        <v>2472691.1461900002</v>
      </c>
      <c r="Q21" s="232">
        <f>Q22/(1-Q20)</f>
        <v>2472691.1461900002</v>
      </c>
    </row>
    <row r="22" spans="1:17" ht="15.75">
      <c r="A22" t="s">
        <v>696</v>
      </c>
      <c r="B22" t="s">
        <v>717</v>
      </c>
      <c r="C22" t="s">
        <v>1424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2">
        <f t="shared" si="0"/>
        <v>2472691.1461900002</v>
      </c>
      <c r="Q22" s="232">
        <f>CUSD!C3</f>
        <v>2472691.1461900002</v>
      </c>
    </row>
    <row r="23" spans="1:17" ht="15.75">
      <c r="A23" t="s">
        <v>696</v>
      </c>
      <c r="B23" t="s">
        <v>717</v>
      </c>
      <c r="C23" s="9" t="s">
        <v>1153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2">
        <f t="shared" ref="P23:P29" si="1">IF(ISNUMBER(Q23),Q23,0)</f>
        <v>0</v>
      </c>
      <c r="Q23" s="232">
        <f>Resultado!D25</f>
        <v>0</v>
      </c>
    </row>
    <row r="24" spans="1:17" ht="15.75">
      <c r="A24" t="s">
        <v>696</v>
      </c>
      <c r="B24" t="s">
        <v>717</v>
      </c>
      <c r="C24" t="s">
        <v>1181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2">
        <f t="shared" si="1"/>
        <v>0</v>
      </c>
      <c r="Q24" s="232">
        <f>Resultado!D26</f>
        <v>0</v>
      </c>
    </row>
    <row r="25" spans="1:17" ht="15.75">
      <c r="A25" t="s">
        <v>696</v>
      </c>
      <c r="B25" t="s">
        <v>717</v>
      </c>
      <c r="C25" t="s">
        <v>1425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2">
        <f t="shared" si="1"/>
        <v>0</v>
      </c>
      <c r="Q25" s="232">
        <f>Resultado!D31</f>
        <v>0</v>
      </c>
    </row>
    <row r="26" spans="1:17" ht="15.75">
      <c r="A26" t="s">
        <v>696</v>
      </c>
      <c r="B26" t="s">
        <v>717</v>
      </c>
      <c r="C26" t="s">
        <v>1426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2">
        <f t="shared" si="1"/>
        <v>0</v>
      </c>
      <c r="Q26" s="232">
        <f>Resultado!D27</f>
        <v>0</v>
      </c>
    </row>
    <row r="27" spans="1:17" ht="15.75">
      <c r="A27" t="s">
        <v>696</v>
      </c>
      <c r="B27" t="s">
        <v>717</v>
      </c>
      <c r="C27" t="s">
        <v>1427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2">
        <f t="shared" si="1"/>
        <v>0</v>
      </c>
      <c r="Q27" s="232">
        <f>Resultado!D28</f>
        <v>0</v>
      </c>
    </row>
    <row r="28" spans="1:17" ht="15.75">
      <c r="A28" t="s">
        <v>696</v>
      </c>
      <c r="B28" t="s">
        <v>717</v>
      </c>
      <c r="C28" t="s">
        <v>1428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2">
        <f>IF(ISNUMBER(Q28),Q28,0)</f>
        <v>0</v>
      </c>
      <c r="Q28" s="232">
        <f>Resultado!D30</f>
        <v>0</v>
      </c>
    </row>
    <row r="29" spans="1:17">
      <c r="A29" t="s">
        <v>696</v>
      </c>
      <c r="B29" t="s">
        <v>717</v>
      </c>
      <c r="C29" t="s">
        <v>1429</v>
      </c>
      <c r="D29" s="255">
        <v>2</v>
      </c>
      <c r="E29" s="255">
        <v>1</v>
      </c>
      <c r="F29" s="255">
        <v>51</v>
      </c>
      <c r="G29">
        <v>999999</v>
      </c>
      <c r="H29" s="255">
        <v>999</v>
      </c>
      <c r="I29" s="255">
        <v>1</v>
      </c>
      <c r="J29" s="255">
        <v>23</v>
      </c>
      <c r="K29" s="255">
        <v>2</v>
      </c>
      <c r="L29" s="255">
        <v>99</v>
      </c>
      <c r="M29" s="255">
        <v>9</v>
      </c>
      <c r="N29" s="255">
        <v>3</v>
      </c>
      <c r="O29" s="256">
        <v>99999</v>
      </c>
      <c r="P29" s="232">
        <f t="shared" si="1"/>
        <v>0</v>
      </c>
      <c r="Q29" s="232">
        <f>Resultado!D29</f>
        <v>0</v>
      </c>
    </row>
    <row r="30" spans="1:17" ht="15.75">
      <c r="A30" t="s">
        <v>695</v>
      </c>
      <c r="B30" t="s">
        <v>108</v>
      </c>
      <c r="C30" t="s">
        <v>745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2">
        <f t="shared" si="0"/>
        <v>0</v>
      </c>
      <c r="Q30" s="232"/>
    </row>
    <row r="31" spans="1:17" ht="15.75">
      <c r="A31" t="s">
        <v>696</v>
      </c>
      <c r="B31" t="s">
        <v>108</v>
      </c>
      <c r="C31" t="s">
        <v>745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2">
        <f t="shared" ca="1" si="0"/>
        <v>12598.010667271907</v>
      </c>
      <c r="Q31" s="232">
        <f ca="1">Energia!D5</f>
        <v>12598.010667271907</v>
      </c>
    </row>
    <row r="32" spans="1:17" ht="15.75">
      <c r="A32" t="s">
        <v>696</v>
      </c>
      <c r="B32" t="s">
        <v>108</v>
      </c>
      <c r="C32" t="s">
        <v>1430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2">
        <f t="shared" ca="1" si="0"/>
        <v>1496.6436672719026</v>
      </c>
      <c r="Q32" s="232">
        <f ca="1">Energia!N17</f>
        <v>1496.6436672719026</v>
      </c>
    </row>
    <row r="33" spans="1:17" ht="15.75">
      <c r="A33" t="s">
        <v>696</v>
      </c>
      <c r="B33" t="s">
        <v>108</v>
      </c>
      <c r="C33" t="s">
        <v>1431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2">
        <f t="shared" ca="1" si="0"/>
        <v>0</v>
      </c>
      <c r="Q33" s="232">
        <f ca="1">Energia!N16</f>
        <v>0</v>
      </c>
    </row>
    <row r="34" spans="1:17" ht="15.75">
      <c r="A34" t="s">
        <v>696</v>
      </c>
      <c r="B34" t="s">
        <v>108</v>
      </c>
      <c r="C34" t="s">
        <v>1432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2">
        <f t="shared" ca="1" si="0"/>
        <v>0</v>
      </c>
      <c r="Q34" s="232">
        <f ca="1">Energia!N18</f>
        <v>0</v>
      </c>
    </row>
    <row r="35" spans="1:17" ht="15.75">
      <c r="A35" t="s">
        <v>696</v>
      </c>
      <c r="B35" t="s">
        <v>108</v>
      </c>
      <c r="C35" t="s">
        <v>1433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2">
        <f t="shared" ca="1" si="0"/>
        <v>0</v>
      </c>
      <c r="Q35" s="232">
        <f ca="1">Energia!N19</f>
        <v>0</v>
      </c>
    </row>
    <row r="36" spans="1:17" ht="15.75">
      <c r="A36" t="s">
        <v>696</v>
      </c>
      <c r="B36" t="s">
        <v>108</v>
      </c>
      <c r="C36" t="s">
        <v>1434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2">
        <f t="shared" ca="1" si="0"/>
        <v>0.1188</v>
      </c>
      <c r="Q36" s="232">
        <f ca="1">Energia!N14</f>
        <v>0.1188</v>
      </c>
    </row>
    <row r="37" spans="1:17" s="12" customFormat="1" ht="15.75">
      <c r="A37" t="s">
        <v>696</v>
      </c>
      <c r="B37" t="s">
        <v>108</v>
      </c>
      <c r="C37" t="s">
        <v>1435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2">
        <f t="shared" ca="1" si="0"/>
        <v>0</v>
      </c>
      <c r="Q37" s="232">
        <f ca="1">Energia!N13</f>
        <v>0</v>
      </c>
    </row>
    <row r="38" spans="1:17" s="12" customFormat="1" ht="15.75">
      <c r="A38" t="s">
        <v>696</v>
      </c>
      <c r="B38" t="s">
        <v>108</v>
      </c>
      <c r="C38" t="s">
        <v>1436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2">
        <f t="shared" ca="1" si="0"/>
        <v>0</v>
      </c>
      <c r="Q38" s="232">
        <f ca="1">Energia!N15</f>
        <v>0</v>
      </c>
    </row>
    <row r="39" spans="1:17" s="15" customFormat="1" ht="15.75">
      <c r="A39" t="s">
        <v>696</v>
      </c>
      <c r="B39" t="s">
        <v>108</v>
      </c>
      <c r="C39" t="s">
        <v>1437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2">
        <f t="shared" ca="1" si="0"/>
        <v>3386788.7396409675</v>
      </c>
      <c r="Q39" s="232">
        <f ca="1">Energia!D15</f>
        <v>3386788.7396409675</v>
      </c>
    </row>
    <row r="40" spans="1:17" ht="15.75">
      <c r="A40" t="s">
        <v>695</v>
      </c>
      <c r="B40" t="s">
        <v>108</v>
      </c>
      <c r="C40" t="s">
        <v>1438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2">
        <f t="shared" ca="1" si="0"/>
        <v>268.83520177034228</v>
      </c>
      <c r="Q40" s="232">
        <f ca="1">Energia!D14</f>
        <v>268.83520177034228</v>
      </c>
    </row>
    <row r="41" spans="1:17" ht="15.75">
      <c r="A41" t="s">
        <v>695</v>
      </c>
      <c r="B41" t="s">
        <v>108</v>
      </c>
      <c r="C41" t="s">
        <v>1439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2">
        <f t="shared" si="0"/>
        <v>372.66056208124905</v>
      </c>
      <c r="Q41" s="232">
        <f>Energia!C20</f>
        <v>372.66056208124905</v>
      </c>
    </row>
    <row r="42" spans="1:17" ht="15.75">
      <c r="A42" t="s">
        <v>696</v>
      </c>
      <c r="B42" t="s">
        <v>108</v>
      </c>
      <c r="C42" t="s">
        <v>1440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2">
        <f t="shared" ca="1" si="0"/>
        <v>12225.350105190657</v>
      </c>
      <c r="Q42" s="232">
        <f ca="1">Energia!C23</f>
        <v>12225.350105190657</v>
      </c>
    </row>
    <row r="43" spans="1:17" ht="15.75">
      <c r="A43" t="s">
        <v>696</v>
      </c>
      <c r="B43" t="s">
        <v>108</v>
      </c>
      <c r="C43" s="9" t="s">
        <v>1441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2">
        <f t="shared" ca="1" si="0"/>
        <v>3386788.7396409675</v>
      </c>
      <c r="Q43" s="232">
        <f ca="1">Energia!F23</f>
        <v>3386788.7396409675</v>
      </c>
    </row>
    <row r="44" spans="1:17" s="12" customFormat="1" ht="15.75">
      <c r="A44" t="s">
        <v>696</v>
      </c>
      <c r="B44" t="s">
        <v>108</v>
      </c>
      <c r="C44" t="s">
        <v>1442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2">
        <f t="shared" ca="1" si="0"/>
        <v>0</v>
      </c>
      <c r="Q44" s="232">
        <f ca="1">LnkTXTGPM</f>
        <v>0</v>
      </c>
    </row>
    <row r="45" spans="1:17" s="12" customFormat="1" ht="15.75">
      <c r="A45" t="s">
        <v>696</v>
      </c>
      <c r="B45" t="s">
        <v>108</v>
      </c>
      <c r="C45" t="s">
        <v>1443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2">
        <f t="shared" ca="1" si="0"/>
        <v>0</v>
      </c>
      <c r="Q45" s="232">
        <f ca="1">Energia!F19</f>
        <v>0</v>
      </c>
    </row>
    <row r="46" spans="1:17" s="12" customFormat="1" ht="15.75">
      <c r="A46" t="s">
        <v>696</v>
      </c>
      <c r="B46" t="s">
        <v>108</v>
      </c>
      <c r="C46" t="s">
        <v>1444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2">
        <f t="shared" si="0"/>
        <v>0</v>
      </c>
      <c r="Q46" s="232">
        <f>LnkTXTGPCU</f>
        <v>0</v>
      </c>
    </row>
    <row r="47" spans="1:17" s="12" customFormat="1" ht="15.75">
      <c r="A47" t="s">
        <v>696</v>
      </c>
      <c r="B47" t="s">
        <v>108</v>
      </c>
      <c r="C47" s="9" t="s">
        <v>1445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5</v>
      </c>
      <c r="M47">
        <v>9</v>
      </c>
      <c r="N47">
        <v>4</v>
      </c>
      <c r="O47">
        <f>VALUE(Energia!A28)</f>
        <v>385</v>
      </c>
      <c r="P47" s="232">
        <f t="shared" si="0"/>
        <v>0</v>
      </c>
      <c r="Q47" s="232">
        <f>Energia!F28</f>
        <v>0</v>
      </c>
    </row>
    <row r="48" spans="1:17" s="12" customFormat="1" ht="15.75">
      <c r="A48" t="s">
        <v>696</v>
      </c>
      <c r="B48" t="s">
        <v>108</v>
      </c>
      <c r="C48" s="9" t="s">
        <v>1445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99</v>
      </c>
      <c r="M48">
        <v>9</v>
      </c>
      <c r="N48">
        <v>4</v>
      </c>
      <c r="O48">
        <f>VALUE(Energia!A29)</f>
        <v>0</v>
      </c>
      <c r="P48" s="232">
        <f t="shared" si="0"/>
        <v>0</v>
      </c>
      <c r="Q48" s="232">
        <f>Energia!F29</f>
        <v>0</v>
      </c>
    </row>
    <row r="49" spans="1:17" s="12" customFormat="1" ht="15.75">
      <c r="A49" t="s">
        <v>696</v>
      </c>
      <c r="B49" t="s">
        <v>108</v>
      </c>
      <c r="C49" s="9" t="s">
        <v>1445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>
        <f>VALUE(Energia!A30)</f>
        <v>0</v>
      </c>
      <c r="P49" s="232">
        <f t="shared" si="0"/>
        <v>0</v>
      </c>
      <c r="Q49" s="232">
        <f>Energia!F30</f>
        <v>0</v>
      </c>
    </row>
    <row r="50" spans="1:17" s="12" customFormat="1" ht="15.75">
      <c r="A50" t="s">
        <v>696</v>
      </c>
      <c r="B50" t="s">
        <v>108</v>
      </c>
      <c r="C50" s="9" t="s">
        <v>1445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>
        <f>VALUE(Energia!A31)</f>
        <v>0</v>
      </c>
      <c r="P50" s="232">
        <f t="shared" si="0"/>
        <v>0</v>
      </c>
      <c r="Q50" s="232">
        <f>Energia!F31</f>
        <v>0</v>
      </c>
    </row>
    <row r="51" spans="1:17" s="12" customFormat="1" ht="15.75">
      <c r="A51" t="s">
        <v>696</v>
      </c>
      <c r="B51" t="s">
        <v>108</v>
      </c>
      <c r="C51" s="9" t="s">
        <v>1445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>
        <f>VALUE(Energia!A32)</f>
        <v>0</v>
      </c>
      <c r="P51" s="232">
        <f t="shared" si="0"/>
        <v>0</v>
      </c>
      <c r="Q51" s="232">
        <f>Energia!F32</f>
        <v>0</v>
      </c>
    </row>
    <row r="52" spans="1:17" s="12" customFormat="1" ht="15.75">
      <c r="A52" t="s">
        <v>696</v>
      </c>
      <c r="B52" t="s">
        <v>895</v>
      </c>
      <c r="C52" t="s">
        <v>887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2">
        <f t="shared" ca="1" si="0"/>
        <v>11101.367000000004</v>
      </c>
      <c r="Q52" s="232">
        <f ca="1">FornecimentoE</f>
        <v>11101.367000000004</v>
      </c>
    </row>
    <row r="53" spans="1:17" s="12" customFormat="1" ht="15.75">
      <c r="A53" t="s">
        <v>696</v>
      </c>
      <c r="B53" t="s">
        <v>895</v>
      </c>
      <c r="C53" t="s">
        <v>908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2">
        <f t="shared" ca="1" si="0"/>
        <v>0</v>
      </c>
      <c r="Q53" s="232">
        <f ca="1">SuprimentoE</f>
        <v>0</v>
      </c>
    </row>
    <row r="54" spans="1:17" s="12" customFormat="1" ht="15.75">
      <c r="A54" t="s">
        <v>696</v>
      </c>
      <c r="B54" t="s">
        <v>895</v>
      </c>
      <c r="C54" t="s">
        <v>1446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2">
        <f t="shared" ca="1" si="0"/>
        <v>0</v>
      </c>
      <c r="Q54" s="232">
        <f ca="1">LivreE_A1</f>
        <v>0</v>
      </c>
    </row>
    <row r="55" spans="1:17" s="12" customFormat="1" ht="15.75">
      <c r="A55" t="s">
        <v>696</v>
      </c>
      <c r="B55" t="s">
        <v>895</v>
      </c>
      <c r="C55" t="s">
        <v>1447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2">
        <f t="shared" ca="1" si="0"/>
        <v>10902.100999999999</v>
      </c>
      <c r="Q55" s="232">
        <f ca="1">Calc_Mercado!C22</f>
        <v>10902.100999999999</v>
      </c>
    </row>
    <row r="56" spans="1:17" s="12" customFormat="1" ht="15.75">
      <c r="A56" t="s">
        <v>696</v>
      </c>
      <c r="B56" t="s">
        <v>895</v>
      </c>
      <c r="C56" t="s">
        <v>912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2">
        <f t="shared" ca="1" si="0"/>
        <v>0</v>
      </c>
      <c r="Q56" s="232">
        <f ca="1">Calc_Mercado!C20</f>
        <v>0</v>
      </c>
    </row>
    <row r="57" spans="1:17" s="12" customFormat="1" ht="15.75">
      <c r="A57" t="s">
        <v>696</v>
      </c>
      <c r="B57" t="s">
        <v>895</v>
      </c>
      <c r="C57" t="s">
        <v>1448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2">
        <f t="shared" si="0"/>
        <v>0</v>
      </c>
      <c r="Q57" s="232">
        <f>Calc_Mercado!C21</f>
        <v>0</v>
      </c>
    </row>
    <row r="58" spans="1:17" s="12" customFormat="1" ht="15.75">
      <c r="A58" t="s">
        <v>696</v>
      </c>
      <c r="B58" t="s">
        <v>895</v>
      </c>
      <c r="C58" t="s">
        <v>1449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2">
        <f t="shared" ca="1" si="0"/>
        <v>0</v>
      </c>
      <c r="Q58" s="232">
        <f ca="1">FornecimentoE_A1</f>
        <v>0</v>
      </c>
    </row>
    <row r="59" spans="1:17" s="12" customFormat="1" ht="15.75">
      <c r="A59" t="s">
        <v>696</v>
      </c>
      <c r="B59" t="s">
        <v>895</v>
      </c>
      <c r="C59" t="s">
        <v>1450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2">
        <f t="shared" ca="1" si="0"/>
        <v>0</v>
      </c>
      <c r="Q59" s="232">
        <f ca="1">Calc_Mercado!C10</f>
        <v>0</v>
      </c>
    </row>
    <row r="60" spans="1:17" s="12" customFormat="1" ht="15.75">
      <c r="A60" t="s">
        <v>696</v>
      </c>
      <c r="B60" t="s">
        <v>895</v>
      </c>
      <c r="C60" t="s">
        <v>1451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2">
        <f t="shared" ca="1" si="0"/>
        <v>0</v>
      </c>
      <c r="Q60" s="232">
        <f ca="1">Calc_Mercado!C11</f>
        <v>0</v>
      </c>
    </row>
    <row r="61" spans="1:17" s="12" customFormat="1" ht="15.75">
      <c r="A61" t="s">
        <v>696</v>
      </c>
      <c r="B61" t="s">
        <v>895</v>
      </c>
      <c r="C61" t="s">
        <v>1452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2">
        <f t="shared" ca="1" si="0"/>
        <v>0</v>
      </c>
      <c r="Q61" s="232">
        <f ca="1">Calc_Mercado!C12</f>
        <v>0</v>
      </c>
    </row>
    <row r="62" spans="1:17" s="12" customFormat="1" ht="15.75">
      <c r="A62" t="s">
        <v>696</v>
      </c>
      <c r="B62" t="s">
        <v>895</v>
      </c>
      <c r="C62" t="s">
        <v>1453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2">
        <f t="shared" ca="1" si="0"/>
        <v>2977.7169999999996</v>
      </c>
      <c r="Q62" s="232">
        <f ca="1">Calc_Mercado!C13</f>
        <v>2977.7169999999996</v>
      </c>
    </row>
    <row r="63" spans="1:17" s="12" customFormat="1" ht="15.75">
      <c r="A63" t="s">
        <v>696</v>
      </c>
      <c r="B63" t="s">
        <v>895</v>
      </c>
      <c r="C63" t="s">
        <v>1454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2">
        <f t="shared" ca="1" si="0"/>
        <v>0</v>
      </c>
      <c r="Q63" s="232">
        <f ca="1">Calc_Mercado!C14</f>
        <v>0</v>
      </c>
    </row>
    <row r="64" spans="1:17" s="12" customFormat="1" ht="15.75">
      <c r="A64" t="s">
        <v>696</v>
      </c>
      <c r="B64" t="s">
        <v>895</v>
      </c>
      <c r="C64" t="s">
        <v>1455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2">
        <f t="shared" ref="P64:P81" ca="1" si="2">IF(ISNUMBER(Q64),Q64,0)</f>
        <v>8123.6500000000042</v>
      </c>
      <c r="Q64" s="232">
        <f ca="1">FornecimentoE_BT</f>
        <v>8123.6500000000042</v>
      </c>
    </row>
    <row r="65" spans="1:17" ht="15.75">
      <c r="A65" t="s">
        <v>696</v>
      </c>
      <c r="B65" t="s">
        <v>895</v>
      </c>
      <c r="C65" t="s">
        <v>887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2">
        <f t="shared" ca="1" si="2"/>
        <v>9413497.5780200008</v>
      </c>
      <c r="Q65" s="232">
        <f ca="1">Calc_Mercado!D8</f>
        <v>9413497.5780200008</v>
      </c>
    </row>
    <row r="66" spans="1:17" ht="15.75">
      <c r="A66" t="s">
        <v>696</v>
      </c>
      <c r="B66" t="s">
        <v>895</v>
      </c>
      <c r="C66" t="s">
        <v>908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2">
        <f t="shared" ca="1" si="2"/>
        <v>0</v>
      </c>
      <c r="Q66" s="232">
        <f ca="1">Calc_Mercado!D17</f>
        <v>0</v>
      </c>
    </row>
    <row r="67" spans="1:17" ht="15.75">
      <c r="A67" t="s">
        <v>696</v>
      </c>
      <c r="B67" t="s">
        <v>895</v>
      </c>
      <c r="C67" t="s">
        <v>1446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2">
        <f t="shared" ca="1" si="2"/>
        <v>0</v>
      </c>
      <c r="Q67" s="232">
        <f ca="1">Calc_Mercado!D19</f>
        <v>0</v>
      </c>
    </row>
    <row r="68" spans="1:17" ht="15.75">
      <c r="A68" t="s">
        <v>696</v>
      </c>
      <c r="B68" t="s">
        <v>895</v>
      </c>
      <c r="C68" t="s">
        <v>1447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2">
        <f t="shared" ca="1" si="2"/>
        <v>5364763.3949000007</v>
      </c>
      <c r="Q68" s="232">
        <f ca="1">Calc_Mercado!D22</f>
        <v>5364763.3949000007</v>
      </c>
    </row>
    <row r="69" spans="1:17" ht="15.75">
      <c r="A69" t="s">
        <v>696</v>
      </c>
      <c r="B69" t="s">
        <v>895</v>
      </c>
      <c r="C69" t="s">
        <v>912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2">
        <f t="shared" ca="1" si="2"/>
        <v>0</v>
      </c>
      <c r="Q69" s="232">
        <f ca="1">Calc_Mercado!D20</f>
        <v>0</v>
      </c>
    </row>
    <row r="70" spans="1:17" ht="15.75">
      <c r="A70" t="s">
        <v>696</v>
      </c>
      <c r="B70" t="s">
        <v>895</v>
      </c>
      <c r="C70" t="s">
        <v>1448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2">
        <f t="shared" ca="1" si="2"/>
        <v>0</v>
      </c>
      <c r="Q70" s="232">
        <f ca="1">Calc_Mercado!D21</f>
        <v>0</v>
      </c>
    </row>
    <row r="71" spans="1:17" ht="15.75">
      <c r="A71" t="s">
        <v>696</v>
      </c>
      <c r="B71" t="s">
        <v>895</v>
      </c>
      <c r="C71" t="s">
        <v>1449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2">
        <f t="shared" ca="1" si="2"/>
        <v>0</v>
      </c>
      <c r="Q71" s="232">
        <f ca="1">Calc_Mercado!D9</f>
        <v>0</v>
      </c>
    </row>
    <row r="72" spans="1:17" ht="15.75">
      <c r="A72" t="s">
        <v>696</v>
      </c>
      <c r="B72" t="s">
        <v>895</v>
      </c>
      <c r="C72" t="s">
        <v>1450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2">
        <f t="shared" ca="1" si="2"/>
        <v>0</v>
      </c>
      <c r="Q72" s="232">
        <f ca="1">Calc_Mercado!D10</f>
        <v>0</v>
      </c>
    </row>
    <row r="73" spans="1:17" ht="15.75">
      <c r="A73" t="s">
        <v>696</v>
      </c>
      <c r="B73" t="s">
        <v>895</v>
      </c>
      <c r="C73" t="s">
        <v>1451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2">
        <f t="shared" ca="1" si="2"/>
        <v>0</v>
      </c>
      <c r="Q73" s="232">
        <f ca="1">Calc_Mercado!D11</f>
        <v>0</v>
      </c>
    </row>
    <row r="74" spans="1:17" ht="15.75">
      <c r="A74" t="s">
        <v>696</v>
      </c>
      <c r="B74" t="s">
        <v>895</v>
      </c>
      <c r="C74" t="s">
        <v>1452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2">
        <f t="shared" ca="1" si="2"/>
        <v>0</v>
      </c>
      <c r="Q74" s="232">
        <f ca="1">Calc_Mercado!D12</f>
        <v>0</v>
      </c>
    </row>
    <row r="75" spans="1:17" ht="15.75">
      <c r="A75" t="s">
        <v>696</v>
      </c>
      <c r="B75" t="s">
        <v>895</v>
      </c>
      <c r="C75" t="s">
        <v>1453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2">
        <f t="shared" ca="1" si="2"/>
        <v>2385419.9872299996</v>
      </c>
      <c r="Q75" s="232">
        <f ca="1">Calc_Mercado!D13</f>
        <v>2385419.9872299996</v>
      </c>
    </row>
    <row r="76" spans="1:17" ht="15.75">
      <c r="A76" t="s">
        <v>696</v>
      </c>
      <c r="B76" t="s">
        <v>895</v>
      </c>
      <c r="C76" t="s">
        <v>1454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2">
        <f t="shared" ca="1" si="2"/>
        <v>0</v>
      </c>
      <c r="Q76" s="232">
        <f ca="1">Calc_Mercado!D14</f>
        <v>0</v>
      </c>
    </row>
    <row r="77" spans="1:17" ht="15.75">
      <c r="A77" t="s">
        <v>696</v>
      </c>
      <c r="B77" t="s">
        <v>895</v>
      </c>
      <c r="C77" t="s">
        <v>1455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2">
        <f t="shared" ca="1" si="2"/>
        <v>7028077.5907900007</v>
      </c>
      <c r="Q77" s="232">
        <f ca="1">Calc_Mercado!D15</f>
        <v>7028077.5907900007</v>
      </c>
    </row>
    <row r="78" spans="1:17" ht="15.75">
      <c r="A78" t="s">
        <v>696</v>
      </c>
      <c r="B78" t="s">
        <v>895</v>
      </c>
      <c r="C78" t="s">
        <v>1456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7">
        <f>IF(ISNUMBER(Q78),Q78,0)</f>
        <v>0</v>
      </c>
      <c r="Q78" s="232">
        <v>0</v>
      </c>
    </row>
    <row r="79" spans="1:17" ht="15.75">
      <c r="A79" t="s">
        <v>695</v>
      </c>
      <c r="B79" t="s">
        <v>895</v>
      </c>
      <c r="C79" s="9" t="s">
        <v>1457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7">
        <f>IF(ISNUMBER(Q79),Q79,0)</f>
        <v>0</v>
      </c>
      <c r="Q79" s="232">
        <v>0</v>
      </c>
    </row>
    <row r="80" spans="1:17" ht="15.75">
      <c r="A80" t="s">
        <v>696</v>
      </c>
      <c r="B80" t="s">
        <v>895</v>
      </c>
      <c r="C80" t="s">
        <v>1458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2">
        <f t="shared" ca="1" si="2"/>
        <v>11101.367000000004</v>
      </c>
      <c r="Q80" s="232">
        <f ca="1">LnkTXTEV</f>
        <v>11101.367000000004</v>
      </c>
    </row>
    <row r="81" spans="1:17" ht="15.75">
      <c r="A81" t="s">
        <v>696</v>
      </c>
      <c r="B81" t="s">
        <v>104</v>
      </c>
      <c r="C81" t="s">
        <v>1459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2">
        <f t="shared" si="2"/>
        <v>7218569.4400000004</v>
      </c>
      <c r="Q81" s="232">
        <f>Resultado!D39</f>
        <v>7218569.4400000004</v>
      </c>
    </row>
    <row r="82" spans="1:17" ht="15.75">
      <c r="A82" t="s">
        <v>696</v>
      </c>
      <c r="B82" t="s">
        <v>72</v>
      </c>
      <c r="C82" t="s">
        <v>1460</v>
      </c>
      <c r="D82">
        <v>1</v>
      </c>
      <c r="E82">
        <v>1</v>
      </c>
      <c r="F82">
        <v>11</v>
      </c>
      <c r="G82">
        <v>20</v>
      </c>
      <c r="H82">
        <v>999</v>
      </c>
      <c r="I82">
        <v>3</v>
      </c>
      <c r="J82">
        <v>19</v>
      </c>
      <c r="K82">
        <v>9</v>
      </c>
      <c r="L82">
        <v>99</v>
      </c>
      <c r="M82">
        <v>9</v>
      </c>
      <c r="N82">
        <v>4</v>
      </c>
      <c r="O82">
        <v>99999</v>
      </c>
      <c r="P82" s="232">
        <f t="shared" ref="P82:P104" si="3">IF(ISNUMBER(Q82),Q82,0)</f>
        <v>1E-14</v>
      </c>
      <c r="Q82" s="232">
        <f>Encargos!O6</f>
        <v>1E-14</v>
      </c>
    </row>
    <row r="83" spans="1:17" ht="15.75">
      <c r="A83" t="s">
        <v>1461</v>
      </c>
      <c r="B83" t="s">
        <v>1462</v>
      </c>
      <c r="C83" t="s">
        <v>1463</v>
      </c>
      <c r="D83">
        <v>1</v>
      </c>
      <c r="E83">
        <v>99</v>
      </c>
      <c r="F83">
        <v>999</v>
      </c>
      <c r="G83">
        <v>999999</v>
      </c>
      <c r="H83">
        <v>30</v>
      </c>
      <c r="I83">
        <v>99</v>
      </c>
      <c r="J83">
        <v>999</v>
      </c>
      <c r="K83">
        <v>9</v>
      </c>
      <c r="L83">
        <v>99</v>
      </c>
      <c r="M83">
        <v>9</v>
      </c>
      <c r="N83">
        <v>9</v>
      </c>
      <c r="O83">
        <v>99999</v>
      </c>
      <c r="P83" s="232">
        <f t="shared" si="3"/>
        <v>0</v>
      </c>
      <c r="Q83" s="232">
        <f>IF(CAPA!K9="Atrasado",1,0)</f>
        <v>0</v>
      </c>
    </row>
    <row r="84" spans="1:17" ht="15.75">
      <c r="A84" t="s">
        <v>1461</v>
      </c>
      <c r="B84" t="s">
        <v>1462</v>
      </c>
      <c r="C84" t="s">
        <v>1464</v>
      </c>
      <c r="D84">
        <v>1</v>
      </c>
      <c r="E84">
        <v>99</v>
      </c>
      <c r="F84">
        <v>999</v>
      </c>
      <c r="G84">
        <v>999999</v>
      </c>
      <c r="H84">
        <v>31</v>
      </c>
      <c r="I84">
        <v>99</v>
      </c>
      <c r="J84">
        <v>999</v>
      </c>
      <c r="K84">
        <v>9</v>
      </c>
      <c r="L84">
        <v>99</v>
      </c>
      <c r="M84">
        <v>9</v>
      </c>
      <c r="N84">
        <v>9</v>
      </c>
      <c r="O84">
        <v>99999</v>
      </c>
      <c r="P84" s="232">
        <f t="shared" ca="1" si="3"/>
        <v>0</v>
      </c>
      <c r="Q84" s="232">
        <f ca="1">IF(CAPA!C110="Revisão",1,0)</f>
        <v>0</v>
      </c>
    </row>
    <row r="85" spans="1:17" ht="15.75">
      <c r="A85" t="s">
        <v>1461</v>
      </c>
      <c r="B85" t="s">
        <v>1462</v>
      </c>
      <c r="C85" t="s">
        <v>1465</v>
      </c>
      <c r="D85">
        <v>1</v>
      </c>
      <c r="E85">
        <v>99</v>
      </c>
      <c r="F85">
        <v>999</v>
      </c>
      <c r="G85">
        <v>999999</v>
      </c>
      <c r="H85">
        <v>32</v>
      </c>
      <c r="I85">
        <v>99</v>
      </c>
      <c r="J85">
        <v>999</v>
      </c>
      <c r="K85">
        <v>9</v>
      </c>
      <c r="L85">
        <v>99</v>
      </c>
      <c r="M85">
        <v>9</v>
      </c>
      <c r="N85">
        <v>9</v>
      </c>
      <c r="O85">
        <v>99999</v>
      </c>
      <c r="P85" s="232">
        <f t="shared" si="3"/>
        <v>1</v>
      </c>
      <c r="Q85" s="232">
        <v>1</v>
      </c>
    </row>
    <row r="86" spans="1:17" ht="15.75">
      <c r="A86" t="s">
        <v>696</v>
      </c>
      <c r="B86" t="s">
        <v>895</v>
      </c>
      <c r="C86" t="s">
        <v>1466</v>
      </c>
      <c r="D86">
        <v>1</v>
      </c>
      <c r="E86">
        <v>3</v>
      </c>
      <c r="F86">
        <v>50</v>
      </c>
      <c r="G86">
        <v>1</v>
      </c>
      <c r="H86">
        <v>999</v>
      </c>
      <c r="I86">
        <v>99</v>
      </c>
      <c r="J86">
        <v>999</v>
      </c>
      <c r="K86">
        <v>9</v>
      </c>
      <c r="L86">
        <v>99</v>
      </c>
      <c r="M86">
        <v>9</v>
      </c>
      <c r="N86">
        <v>4</v>
      </c>
      <c r="O86">
        <v>99999</v>
      </c>
      <c r="P86" s="232">
        <f t="shared" si="3"/>
        <v>0</v>
      </c>
      <c r="Q86" s="232">
        <v>0</v>
      </c>
    </row>
    <row r="87" spans="1:17" ht="15.75">
      <c r="A87" s="16" t="s">
        <v>696</v>
      </c>
      <c r="B87" s="16" t="s">
        <v>108</v>
      </c>
      <c r="C87" s="16" t="s">
        <v>745</v>
      </c>
      <c r="D87" s="16">
        <v>4</v>
      </c>
      <c r="E87" s="16">
        <v>1</v>
      </c>
      <c r="F87" s="16">
        <v>51</v>
      </c>
      <c r="G87" s="16">
        <v>55</v>
      </c>
      <c r="H87" s="16">
        <v>999</v>
      </c>
      <c r="I87" s="16">
        <v>99</v>
      </c>
      <c r="J87" s="16">
        <v>999</v>
      </c>
      <c r="K87" s="16">
        <v>9</v>
      </c>
      <c r="L87" s="16">
        <v>99</v>
      </c>
      <c r="M87" s="16">
        <v>9</v>
      </c>
      <c r="N87" s="16">
        <v>2</v>
      </c>
      <c r="O87" s="16">
        <v>99999</v>
      </c>
      <c r="P87" s="232">
        <f t="shared" ca="1" si="3"/>
        <v>12598.010667271907</v>
      </c>
      <c r="Q87" s="232">
        <f ca="1">Energia!D5</f>
        <v>12598.010667271907</v>
      </c>
    </row>
    <row r="88" spans="1:17" ht="15.75">
      <c r="A88" s="16" t="s">
        <v>696</v>
      </c>
      <c r="B88" s="16" t="s">
        <v>108</v>
      </c>
      <c r="C88" s="16" t="s">
        <v>745</v>
      </c>
      <c r="D88" s="16">
        <v>4</v>
      </c>
      <c r="E88" s="16">
        <v>1</v>
      </c>
      <c r="F88" s="16">
        <v>51</v>
      </c>
      <c r="G88" s="16">
        <v>55</v>
      </c>
      <c r="H88" s="16">
        <v>999</v>
      </c>
      <c r="I88" s="16">
        <v>99</v>
      </c>
      <c r="J88" s="16">
        <v>999</v>
      </c>
      <c r="K88" s="16">
        <v>9</v>
      </c>
      <c r="L88" s="16">
        <v>99</v>
      </c>
      <c r="M88" s="16">
        <v>9</v>
      </c>
      <c r="N88" s="16">
        <v>3</v>
      </c>
      <c r="O88" s="16">
        <v>99999</v>
      </c>
      <c r="P88" s="232">
        <f t="shared" ca="1" si="3"/>
        <v>3386788.7396409675</v>
      </c>
      <c r="Q88" s="232">
        <f ca="1">Energia!D15</f>
        <v>3386788.7396409675</v>
      </c>
    </row>
    <row r="89" spans="1:17" ht="15.75">
      <c r="A89" s="16" t="s">
        <v>696</v>
      </c>
      <c r="B89" s="16" t="s">
        <v>1467</v>
      </c>
      <c r="C89" s="16" t="s">
        <v>1468</v>
      </c>
      <c r="D89" s="16">
        <v>4</v>
      </c>
      <c r="E89" s="16">
        <v>1</v>
      </c>
      <c r="F89" s="16">
        <v>51</v>
      </c>
      <c r="G89" s="16">
        <v>100</v>
      </c>
      <c r="H89" s="16">
        <v>999</v>
      </c>
      <c r="I89" s="16">
        <v>99</v>
      </c>
      <c r="J89" s="16">
        <v>999</v>
      </c>
      <c r="K89" s="16">
        <v>9</v>
      </c>
      <c r="L89" s="16">
        <v>99</v>
      </c>
      <c r="M89" s="16">
        <v>9</v>
      </c>
      <c r="N89" s="16">
        <v>3</v>
      </c>
      <c r="O89" s="16">
        <v>99999</v>
      </c>
      <c r="P89" s="232">
        <f t="shared" ca="1" si="3"/>
        <v>8505088.5444110297</v>
      </c>
      <c r="Q89" s="232">
        <f ca="1">Resultado!D34</f>
        <v>8505088.5444110297</v>
      </c>
    </row>
    <row r="90" spans="1:17" ht="15.75">
      <c r="A90" s="16" t="s">
        <v>696</v>
      </c>
      <c r="B90" s="16" t="s">
        <v>104</v>
      </c>
      <c r="C90" s="16" t="s">
        <v>760</v>
      </c>
      <c r="D90" s="16">
        <v>4</v>
      </c>
      <c r="E90" s="16">
        <v>1</v>
      </c>
      <c r="F90" s="16">
        <v>51</v>
      </c>
      <c r="G90" s="16">
        <v>101</v>
      </c>
      <c r="H90" s="16">
        <v>999</v>
      </c>
      <c r="I90" s="16">
        <v>99</v>
      </c>
      <c r="J90" s="16">
        <v>999</v>
      </c>
      <c r="K90" s="16">
        <v>9</v>
      </c>
      <c r="L90" s="16">
        <v>99</v>
      </c>
      <c r="M90" s="16">
        <v>9</v>
      </c>
      <c r="N90" s="16">
        <v>3</v>
      </c>
      <c r="O90" s="16">
        <v>99999</v>
      </c>
      <c r="P90" s="232">
        <f t="shared" si="3"/>
        <v>7218569.4400000004</v>
      </c>
      <c r="Q90" s="232">
        <f>Resultado!D39</f>
        <v>7218569.4400000004</v>
      </c>
    </row>
    <row r="91" spans="1:17" ht="15.75">
      <c r="A91" s="16" t="s">
        <v>696</v>
      </c>
      <c r="B91" s="16" t="s">
        <v>72</v>
      </c>
      <c r="C91" s="16" t="s">
        <v>760</v>
      </c>
      <c r="D91" s="16">
        <v>4</v>
      </c>
      <c r="E91" s="16">
        <v>1</v>
      </c>
      <c r="F91" s="16">
        <v>51</v>
      </c>
      <c r="G91" s="16">
        <v>104</v>
      </c>
      <c r="H91" s="16">
        <v>999</v>
      </c>
      <c r="I91" s="16">
        <v>3</v>
      </c>
      <c r="J91" s="16">
        <v>999</v>
      </c>
      <c r="K91" s="16">
        <v>9</v>
      </c>
      <c r="L91" s="16">
        <v>99</v>
      </c>
      <c r="M91" s="16">
        <v>9</v>
      </c>
      <c r="N91" s="16">
        <v>3</v>
      </c>
      <c r="O91" s="16">
        <v>99999</v>
      </c>
      <c r="P91" s="232">
        <f t="shared" ca="1" si="3"/>
        <v>2645608.6585800629</v>
      </c>
      <c r="Q91" s="232">
        <f ca="1">Resultado!D14</f>
        <v>2645608.6585800629</v>
      </c>
    </row>
    <row r="92" spans="1:17" ht="15.75">
      <c r="A92" s="16" t="s">
        <v>696</v>
      </c>
      <c r="B92" s="16" t="s">
        <v>717</v>
      </c>
      <c r="C92" s="16" t="s">
        <v>760</v>
      </c>
      <c r="D92" s="16">
        <v>4</v>
      </c>
      <c r="E92" s="16">
        <v>1</v>
      </c>
      <c r="F92" s="16">
        <v>51</v>
      </c>
      <c r="G92" s="16">
        <v>105</v>
      </c>
      <c r="H92" s="16">
        <v>999</v>
      </c>
      <c r="I92" s="16">
        <v>1</v>
      </c>
      <c r="J92" s="16">
        <v>999</v>
      </c>
      <c r="K92" s="16">
        <v>9</v>
      </c>
      <c r="L92" s="16">
        <v>99</v>
      </c>
      <c r="M92" s="16">
        <v>9</v>
      </c>
      <c r="N92" s="16">
        <v>3</v>
      </c>
      <c r="O92" s="16">
        <v>99999</v>
      </c>
      <c r="P92" s="232">
        <f t="shared" si="3"/>
        <v>2472691.1461900002</v>
      </c>
      <c r="Q92" s="232">
        <f>Resultado!D24</f>
        <v>2472691.1461900002</v>
      </c>
    </row>
    <row r="93" spans="1:17" ht="15.75">
      <c r="A93" s="16" t="s">
        <v>696</v>
      </c>
      <c r="B93" s="16" t="s">
        <v>1467</v>
      </c>
      <c r="C93" s="16" t="s">
        <v>1469</v>
      </c>
      <c r="D93" s="16">
        <v>4</v>
      </c>
      <c r="E93" s="16">
        <v>1</v>
      </c>
      <c r="F93" s="16">
        <v>51</v>
      </c>
      <c r="G93" s="16">
        <v>106</v>
      </c>
      <c r="H93" s="16">
        <v>999</v>
      </c>
      <c r="I93" s="16">
        <v>99</v>
      </c>
      <c r="J93" s="16">
        <v>999</v>
      </c>
      <c r="K93" s="16">
        <v>9</v>
      </c>
      <c r="L93" s="16">
        <v>99</v>
      </c>
      <c r="M93" s="16">
        <v>9</v>
      </c>
      <c r="N93" s="16">
        <v>3</v>
      </c>
      <c r="O93" s="16">
        <v>99999</v>
      </c>
      <c r="P93" s="232">
        <f t="shared" ca="1" si="3"/>
        <v>15723657.984411031</v>
      </c>
      <c r="Q93" s="232">
        <f ca="1">Resultado!C5</f>
        <v>15723657.984411031</v>
      </c>
    </row>
    <row r="94" spans="1:17" ht="15.75">
      <c r="A94" s="16" t="s">
        <v>696</v>
      </c>
      <c r="B94" s="16" t="s">
        <v>108</v>
      </c>
      <c r="C94" s="16" t="s">
        <v>1470</v>
      </c>
      <c r="D94" s="16">
        <v>4</v>
      </c>
      <c r="E94" s="16">
        <v>1</v>
      </c>
      <c r="F94" s="16">
        <v>51</v>
      </c>
      <c r="G94" s="16">
        <v>108</v>
      </c>
      <c r="H94" s="16">
        <v>999</v>
      </c>
      <c r="I94" s="16">
        <v>99</v>
      </c>
      <c r="J94" s="16">
        <v>999</v>
      </c>
      <c r="K94" s="16">
        <v>9</v>
      </c>
      <c r="L94" s="16">
        <v>99</v>
      </c>
      <c r="M94" s="16">
        <v>9</v>
      </c>
      <c r="N94" s="16">
        <v>4</v>
      </c>
      <c r="O94" s="16">
        <v>99999</v>
      </c>
      <c r="P94" s="232">
        <f t="shared" ca="1" si="3"/>
        <v>0</v>
      </c>
      <c r="Q94" s="232">
        <f ca="1">Energia!N15</f>
        <v>0</v>
      </c>
    </row>
    <row r="95" spans="1:17" ht="15.75">
      <c r="A95" s="16" t="s">
        <v>696</v>
      </c>
      <c r="B95" s="16" t="s">
        <v>108</v>
      </c>
      <c r="C95" s="16" t="s">
        <v>1471</v>
      </c>
      <c r="D95" s="16">
        <v>4</v>
      </c>
      <c r="E95" s="16">
        <v>1</v>
      </c>
      <c r="F95" s="16">
        <v>51</v>
      </c>
      <c r="G95" s="16">
        <v>108</v>
      </c>
      <c r="H95" s="16">
        <v>999</v>
      </c>
      <c r="I95" s="16">
        <v>99</v>
      </c>
      <c r="J95" s="16">
        <v>999</v>
      </c>
      <c r="K95" s="16">
        <v>9</v>
      </c>
      <c r="L95" s="16">
        <v>99</v>
      </c>
      <c r="M95" s="16">
        <v>9</v>
      </c>
      <c r="N95" s="16">
        <v>2</v>
      </c>
      <c r="O95" s="16">
        <v>99999</v>
      </c>
      <c r="P95" s="232">
        <f t="shared" ca="1" si="3"/>
        <v>0</v>
      </c>
      <c r="Q95" s="232">
        <f ca="1">Energia!N18+Energia!N19</f>
        <v>0</v>
      </c>
    </row>
    <row r="96" spans="1:17" ht="15.75">
      <c r="A96" s="16" t="s">
        <v>695</v>
      </c>
      <c r="B96" s="16" t="s">
        <v>108</v>
      </c>
      <c r="C96" s="16" t="s">
        <v>760</v>
      </c>
      <c r="D96" s="16">
        <v>4</v>
      </c>
      <c r="E96" s="16">
        <v>1</v>
      </c>
      <c r="F96" s="16">
        <v>52</v>
      </c>
      <c r="G96" s="16">
        <v>55</v>
      </c>
      <c r="H96" s="16">
        <v>999</v>
      </c>
      <c r="I96" s="16">
        <v>99</v>
      </c>
      <c r="J96" s="16">
        <v>999</v>
      </c>
      <c r="K96" s="16">
        <v>9</v>
      </c>
      <c r="L96" s="16">
        <v>99</v>
      </c>
      <c r="M96" s="16">
        <v>9</v>
      </c>
      <c r="N96" s="16">
        <v>3</v>
      </c>
      <c r="O96" s="16">
        <v>99999</v>
      </c>
      <c r="P96" s="232">
        <f t="shared" ca="1" si="3"/>
        <v>3536904.5995487506</v>
      </c>
      <c r="Q96" s="232">
        <f ca="1">Resultado!C33</f>
        <v>3536904.5995487506</v>
      </c>
    </row>
    <row r="97" spans="1:17" ht="15.75">
      <c r="A97" s="16" t="s">
        <v>695</v>
      </c>
      <c r="B97" s="16" t="s">
        <v>1467</v>
      </c>
      <c r="C97" s="16" t="s">
        <v>1472</v>
      </c>
      <c r="D97" s="16">
        <v>4</v>
      </c>
      <c r="E97" s="16">
        <v>1</v>
      </c>
      <c r="F97" s="16">
        <v>52</v>
      </c>
      <c r="G97" s="16">
        <v>106</v>
      </c>
      <c r="H97" s="16">
        <v>999</v>
      </c>
      <c r="I97" s="16">
        <v>99</v>
      </c>
      <c r="J97" s="16">
        <v>999</v>
      </c>
      <c r="K97" s="16">
        <v>9</v>
      </c>
      <c r="L97" s="16">
        <v>99</v>
      </c>
      <c r="M97" s="16">
        <v>9</v>
      </c>
      <c r="N97" s="16">
        <v>3</v>
      </c>
      <c r="O97" s="16">
        <v>99999</v>
      </c>
      <c r="P97" s="232">
        <f t="shared" ca="1" si="3"/>
        <v>14778260.972920001</v>
      </c>
      <c r="Q97" s="232">
        <f ca="1">Mercado_RA0_Reais</f>
        <v>14778260.972920001</v>
      </c>
    </row>
    <row r="98" spans="1:17" ht="15.75">
      <c r="A98" s="16" t="s">
        <v>696</v>
      </c>
      <c r="B98" s="16" t="s">
        <v>1290</v>
      </c>
      <c r="C98" s="16" t="s">
        <v>760</v>
      </c>
      <c r="D98" s="16">
        <v>4</v>
      </c>
      <c r="E98" s="16">
        <v>2</v>
      </c>
      <c r="F98" s="16">
        <v>51</v>
      </c>
      <c r="G98" s="16">
        <v>102</v>
      </c>
      <c r="H98" s="16">
        <v>999</v>
      </c>
      <c r="I98" s="16">
        <v>99</v>
      </c>
      <c r="J98" s="16">
        <v>999</v>
      </c>
      <c r="K98" s="16">
        <v>9</v>
      </c>
      <c r="L98" s="16">
        <v>99</v>
      </c>
      <c r="M98" s="16">
        <v>9</v>
      </c>
      <c r="N98" s="16">
        <v>3</v>
      </c>
      <c r="O98" s="16">
        <v>99999</v>
      </c>
      <c r="P98" s="232">
        <f t="shared" ca="1" si="3"/>
        <v>-3022668.8973847665</v>
      </c>
      <c r="Q98" s="232">
        <f ca="1">Financeiros!D7</f>
        <v>-3022668.8973847665</v>
      </c>
    </row>
    <row r="99" spans="1:17" ht="15.75">
      <c r="A99" s="16" t="s">
        <v>696</v>
      </c>
      <c r="B99" s="16" t="s">
        <v>1290</v>
      </c>
      <c r="C99" s="16" t="s">
        <v>760</v>
      </c>
      <c r="D99" s="16">
        <v>4</v>
      </c>
      <c r="E99" s="16">
        <v>2</v>
      </c>
      <c r="F99" s="16">
        <v>51</v>
      </c>
      <c r="G99" s="16">
        <v>102</v>
      </c>
      <c r="H99" s="16">
        <v>999</v>
      </c>
      <c r="I99" s="16">
        <v>99</v>
      </c>
      <c r="J99" s="16">
        <v>999</v>
      </c>
      <c r="K99" s="16">
        <v>9</v>
      </c>
      <c r="L99" s="16">
        <v>99</v>
      </c>
      <c r="M99" s="16">
        <v>9</v>
      </c>
      <c r="N99" s="16">
        <v>4</v>
      </c>
      <c r="O99" s="16">
        <v>99999</v>
      </c>
      <c r="P99" s="232">
        <f t="shared" ca="1" si="3"/>
        <v>-0.20453481657439732</v>
      </c>
      <c r="Q99" s="232">
        <f ca="1">Financeiros!E7</f>
        <v>-0.20453481657439732</v>
      </c>
    </row>
    <row r="100" spans="1:17" ht="15.75">
      <c r="A100" s="16" t="s">
        <v>696</v>
      </c>
      <c r="B100" s="16" t="s">
        <v>1473</v>
      </c>
      <c r="C100" s="16" t="s">
        <v>1474</v>
      </c>
      <c r="D100" s="16">
        <v>4</v>
      </c>
      <c r="E100" s="16">
        <v>99</v>
      </c>
      <c r="F100" s="16">
        <v>51</v>
      </c>
      <c r="G100" s="16">
        <v>109</v>
      </c>
      <c r="H100" s="16">
        <v>999</v>
      </c>
      <c r="I100" s="16">
        <v>99</v>
      </c>
      <c r="J100" s="16">
        <v>999</v>
      </c>
      <c r="K100" s="16">
        <v>9</v>
      </c>
      <c r="L100" s="16">
        <v>99</v>
      </c>
      <c r="M100" s="16">
        <v>9</v>
      </c>
      <c r="N100" s="16">
        <v>3</v>
      </c>
      <c r="O100" s="16">
        <v>99999</v>
      </c>
      <c r="P100" s="232">
        <f t="shared" ca="1" si="3"/>
        <v>12700989.087026265</v>
      </c>
      <c r="Q100" s="232">
        <f ca="1">Resultado!C5+Financeiros!D7/(1+IF(Q86&gt;0,Q86,0))</f>
        <v>12700989.087026265</v>
      </c>
    </row>
    <row r="101" spans="1:17" ht="15.75">
      <c r="A101" t="s">
        <v>696</v>
      </c>
      <c r="B101" t="s">
        <v>72</v>
      </c>
      <c r="C101" t="s">
        <v>1460</v>
      </c>
      <c r="D101">
        <v>1</v>
      </c>
      <c r="E101">
        <v>1</v>
      </c>
      <c r="F101">
        <v>11</v>
      </c>
      <c r="G101">
        <v>20</v>
      </c>
      <c r="H101">
        <v>999</v>
      </c>
      <c r="I101">
        <v>3</v>
      </c>
      <c r="J101">
        <v>19</v>
      </c>
      <c r="K101">
        <v>9</v>
      </c>
      <c r="L101">
        <v>99</v>
      </c>
      <c r="M101">
        <v>9</v>
      </c>
      <c r="N101">
        <v>4</v>
      </c>
      <c r="O101">
        <v>99999</v>
      </c>
      <c r="P101" s="232">
        <f t="shared" si="3"/>
        <v>1E-14</v>
      </c>
      <c r="Q101" s="232">
        <f>Encargos!O6</f>
        <v>1E-14</v>
      </c>
    </row>
    <row r="102" spans="1:17" ht="15.75">
      <c r="A102" t="s">
        <v>696</v>
      </c>
      <c r="B102" t="s">
        <v>108</v>
      </c>
      <c r="C102" t="s">
        <v>745</v>
      </c>
      <c r="D102">
        <v>4</v>
      </c>
      <c r="E102">
        <v>1</v>
      </c>
      <c r="F102">
        <v>51</v>
      </c>
      <c r="G102">
        <v>55</v>
      </c>
      <c r="H102">
        <v>999</v>
      </c>
      <c r="I102">
        <v>99</v>
      </c>
      <c r="J102">
        <v>999</v>
      </c>
      <c r="K102">
        <v>9</v>
      </c>
      <c r="L102">
        <v>99</v>
      </c>
      <c r="M102">
        <v>9</v>
      </c>
      <c r="N102">
        <v>2</v>
      </c>
      <c r="O102">
        <v>99999</v>
      </c>
      <c r="P102" s="232">
        <f t="shared" ca="1" si="3"/>
        <v>12598.010667271907</v>
      </c>
      <c r="Q102" s="232">
        <f ca="1">Energia!D5</f>
        <v>12598.010667271907</v>
      </c>
    </row>
    <row r="103" spans="1:17" ht="15.75">
      <c r="A103" s="16" t="s">
        <v>696</v>
      </c>
      <c r="B103" s="16" t="s">
        <v>108</v>
      </c>
      <c r="C103" s="16" t="s">
        <v>745</v>
      </c>
      <c r="D103" s="16">
        <v>4</v>
      </c>
      <c r="E103" s="16">
        <v>1</v>
      </c>
      <c r="F103" s="16">
        <v>51</v>
      </c>
      <c r="G103" s="16">
        <v>55</v>
      </c>
      <c r="H103" s="16">
        <v>999</v>
      </c>
      <c r="I103" s="16">
        <v>99</v>
      </c>
      <c r="J103" s="16">
        <v>999</v>
      </c>
      <c r="K103" s="16">
        <v>9</v>
      </c>
      <c r="L103" s="16">
        <v>99</v>
      </c>
      <c r="M103" s="16">
        <v>9</v>
      </c>
      <c r="N103" s="16">
        <v>3</v>
      </c>
      <c r="O103" s="16">
        <v>99999</v>
      </c>
      <c r="P103" s="232">
        <f t="shared" ca="1" si="3"/>
        <v>3386788.7396409675</v>
      </c>
      <c r="Q103" s="232">
        <f ca="1">Energia!D15</f>
        <v>3386788.7396409675</v>
      </c>
    </row>
    <row r="104" spans="1:17" ht="15.75">
      <c r="A104" t="s">
        <v>696</v>
      </c>
      <c r="B104" t="s">
        <v>108</v>
      </c>
      <c r="C104" t="s">
        <v>1476</v>
      </c>
      <c r="D104">
        <v>4</v>
      </c>
      <c r="E104">
        <v>1</v>
      </c>
      <c r="F104">
        <v>51</v>
      </c>
      <c r="G104">
        <v>107</v>
      </c>
      <c r="H104">
        <v>999</v>
      </c>
      <c r="I104">
        <v>99</v>
      </c>
      <c r="J104">
        <v>999</v>
      </c>
      <c r="K104">
        <v>9</v>
      </c>
      <c r="L104">
        <v>99</v>
      </c>
      <c r="M104">
        <v>9</v>
      </c>
      <c r="N104">
        <v>2</v>
      </c>
      <c r="O104">
        <v>99999</v>
      </c>
      <c r="P104" s="232">
        <f t="shared" ca="1" si="3"/>
        <v>1496.6436672719026</v>
      </c>
      <c r="Q104" s="232">
        <f ca="1">SUM(LnkTXTPerdas)</f>
        <v>1496.6436672719026</v>
      </c>
    </row>
    <row r="105" spans="1:17" ht="15.75">
      <c r="A105" s="16" t="s">
        <v>696</v>
      </c>
      <c r="B105" s="16" t="s">
        <v>1473</v>
      </c>
      <c r="C105" s="16" t="s">
        <v>1477</v>
      </c>
      <c r="D105" s="16">
        <v>4</v>
      </c>
      <c r="E105" s="16">
        <v>3</v>
      </c>
      <c r="F105" s="16">
        <v>50</v>
      </c>
      <c r="G105" s="16">
        <v>114</v>
      </c>
      <c r="H105" s="16">
        <v>999</v>
      </c>
      <c r="I105" s="16">
        <v>99</v>
      </c>
      <c r="J105" s="16">
        <v>999</v>
      </c>
      <c r="K105" s="16">
        <v>9</v>
      </c>
      <c r="L105" s="16">
        <v>99</v>
      </c>
      <c r="M105" s="16">
        <v>9</v>
      </c>
      <c r="N105" s="16">
        <v>1</v>
      </c>
      <c r="O105" s="16">
        <v>99999</v>
      </c>
      <c r="P105" s="232">
        <f t="shared" ref="P105:P139" ca="1" si="4">IF(ISNUMBER(Q105),Q105,0)</f>
        <v>35589</v>
      </c>
      <c r="Q105" s="232">
        <f ca="1">SUM(INDIRECT("dados_MercadoBase[D]"))</f>
        <v>35589</v>
      </c>
    </row>
    <row r="106" spans="1:17" ht="15.75">
      <c r="A106" t="s">
        <v>696</v>
      </c>
      <c r="B106" t="s">
        <v>1473</v>
      </c>
      <c r="C106" t="s">
        <v>1478</v>
      </c>
      <c r="D106">
        <v>4</v>
      </c>
      <c r="E106">
        <v>3</v>
      </c>
      <c r="F106">
        <v>50</v>
      </c>
      <c r="G106">
        <v>116</v>
      </c>
      <c r="H106">
        <v>999</v>
      </c>
      <c r="I106">
        <v>99</v>
      </c>
      <c r="J106">
        <v>999</v>
      </c>
      <c r="K106">
        <v>9</v>
      </c>
      <c r="L106">
        <v>99</v>
      </c>
      <c r="M106">
        <v>9</v>
      </c>
      <c r="N106">
        <v>2</v>
      </c>
      <c r="O106">
        <v>99999</v>
      </c>
      <c r="P106" s="232">
        <f t="shared" ca="1" si="4"/>
        <v>22003.468000000008</v>
      </c>
      <c r="Q106" s="232">
        <f ca="1">SUM(INDIRECT("dados_MercadoBase[TUSD_E]"))</f>
        <v>22003.468000000008</v>
      </c>
    </row>
    <row r="107" spans="1:17" ht="15.75">
      <c r="A107" s="16" t="s">
        <v>695</v>
      </c>
      <c r="B107" s="16" t="s">
        <v>717</v>
      </c>
      <c r="C107" s="16" t="s">
        <v>1479</v>
      </c>
      <c r="D107" s="16">
        <v>2</v>
      </c>
      <c r="E107" s="16">
        <v>1</v>
      </c>
      <c r="F107" s="16">
        <v>52</v>
      </c>
      <c r="G107" s="16">
        <v>999999</v>
      </c>
      <c r="H107" s="16">
        <v>999</v>
      </c>
      <c r="I107" s="16">
        <v>1</v>
      </c>
      <c r="J107" s="16">
        <v>1</v>
      </c>
      <c r="K107" s="16">
        <v>1</v>
      </c>
      <c r="L107" s="16">
        <v>99</v>
      </c>
      <c r="M107" s="16">
        <v>9</v>
      </c>
      <c r="N107" s="16">
        <v>3</v>
      </c>
      <c r="O107" s="16">
        <v>99999</v>
      </c>
      <c r="P107" s="232">
        <f t="shared" ca="1" si="4"/>
        <v>0</v>
      </c>
      <c r="Q107" s="232">
        <f ca="1">Resultado!C25</f>
        <v>0</v>
      </c>
    </row>
    <row r="108" spans="1:17" ht="15.75">
      <c r="A108" t="s">
        <v>695</v>
      </c>
      <c r="B108" t="s">
        <v>717</v>
      </c>
      <c r="C108" t="s">
        <v>1181</v>
      </c>
      <c r="D108">
        <v>2</v>
      </c>
      <c r="E108">
        <v>1</v>
      </c>
      <c r="F108">
        <v>52</v>
      </c>
      <c r="G108">
        <v>999999</v>
      </c>
      <c r="H108">
        <v>999</v>
      </c>
      <c r="I108">
        <v>1</v>
      </c>
      <c r="J108">
        <v>2</v>
      </c>
      <c r="K108">
        <v>1</v>
      </c>
      <c r="L108">
        <v>99</v>
      </c>
      <c r="M108">
        <v>9</v>
      </c>
      <c r="N108">
        <v>3</v>
      </c>
      <c r="O108">
        <v>99999</v>
      </c>
      <c r="P108" s="232">
        <f t="shared" ca="1" si="4"/>
        <v>0</v>
      </c>
      <c r="Q108" s="232">
        <f ca="1">Resultado!C26</f>
        <v>0</v>
      </c>
    </row>
    <row r="109" spans="1:17" ht="15.75">
      <c r="A109" s="16" t="s">
        <v>695</v>
      </c>
      <c r="B109" s="16" t="s">
        <v>717</v>
      </c>
      <c r="C109" s="16" t="s">
        <v>1425</v>
      </c>
      <c r="D109" s="16">
        <v>2</v>
      </c>
      <c r="E109" s="16">
        <v>1</v>
      </c>
      <c r="F109" s="16">
        <v>52</v>
      </c>
      <c r="G109" s="16">
        <v>999999</v>
      </c>
      <c r="H109" s="16">
        <v>999</v>
      </c>
      <c r="I109" s="16">
        <v>1</v>
      </c>
      <c r="J109" s="16">
        <v>3</v>
      </c>
      <c r="K109" s="16">
        <v>1</v>
      </c>
      <c r="L109" s="16">
        <v>99</v>
      </c>
      <c r="M109" s="16">
        <v>9</v>
      </c>
      <c r="N109" s="16">
        <v>3</v>
      </c>
      <c r="O109" s="16">
        <v>99999</v>
      </c>
      <c r="P109" s="232">
        <f t="shared" ca="1" si="4"/>
        <v>0</v>
      </c>
      <c r="Q109" s="232">
        <f ca="1">Resultado!C31</f>
        <v>0</v>
      </c>
    </row>
    <row r="110" spans="1:17" ht="15.75">
      <c r="A110" t="s">
        <v>695</v>
      </c>
      <c r="B110" t="s">
        <v>717</v>
      </c>
      <c r="C110" t="s">
        <v>1426</v>
      </c>
      <c r="D110">
        <v>2</v>
      </c>
      <c r="E110">
        <v>1</v>
      </c>
      <c r="F110">
        <v>52</v>
      </c>
      <c r="G110">
        <v>999999</v>
      </c>
      <c r="H110">
        <v>999</v>
      </c>
      <c r="I110">
        <v>1</v>
      </c>
      <c r="J110">
        <v>5</v>
      </c>
      <c r="K110">
        <v>1</v>
      </c>
      <c r="L110">
        <v>99</v>
      </c>
      <c r="M110">
        <v>9</v>
      </c>
      <c r="N110">
        <v>3</v>
      </c>
      <c r="O110">
        <v>99999</v>
      </c>
      <c r="P110" s="232">
        <f t="shared" si="4"/>
        <v>0</v>
      </c>
      <c r="Q110" s="232">
        <f>Resultado!C27</f>
        <v>0</v>
      </c>
    </row>
    <row r="111" spans="1:17" ht="15.75">
      <c r="A111" s="16" t="s">
        <v>695</v>
      </c>
      <c r="B111" s="16" t="s">
        <v>717</v>
      </c>
      <c r="C111" s="16" t="s">
        <v>1427</v>
      </c>
      <c r="D111" s="16">
        <v>2</v>
      </c>
      <c r="E111" s="16">
        <v>1</v>
      </c>
      <c r="F111" s="16">
        <v>52</v>
      </c>
      <c r="G111" s="16">
        <v>999999</v>
      </c>
      <c r="H111" s="16">
        <v>999</v>
      </c>
      <c r="I111" s="16">
        <v>1</v>
      </c>
      <c r="J111" s="16">
        <v>6</v>
      </c>
      <c r="K111" s="16">
        <v>1</v>
      </c>
      <c r="L111" s="16">
        <v>99</v>
      </c>
      <c r="M111" s="16">
        <v>9</v>
      </c>
      <c r="N111" s="16">
        <v>3</v>
      </c>
      <c r="O111" s="16">
        <v>99999</v>
      </c>
      <c r="P111" s="232">
        <f t="shared" si="4"/>
        <v>0</v>
      </c>
      <c r="Q111" s="232">
        <f>Resultado!C28</f>
        <v>0</v>
      </c>
    </row>
    <row r="112" spans="1:17" ht="15.75">
      <c r="A112" t="s">
        <v>696</v>
      </c>
      <c r="B112" t="s">
        <v>717</v>
      </c>
      <c r="C112" t="s">
        <v>1480</v>
      </c>
      <c r="D112">
        <v>1</v>
      </c>
      <c r="E112">
        <v>1</v>
      </c>
      <c r="F112">
        <v>51</v>
      </c>
      <c r="G112">
        <v>999999</v>
      </c>
      <c r="H112">
        <v>999</v>
      </c>
      <c r="I112">
        <v>1</v>
      </c>
      <c r="J112">
        <v>3</v>
      </c>
      <c r="K112">
        <v>9</v>
      </c>
      <c r="L112">
        <v>99</v>
      </c>
      <c r="M112">
        <v>9</v>
      </c>
      <c r="N112">
        <v>3</v>
      </c>
      <c r="O112">
        <v>99999</v>
      </c>
      <c r="P112" s="232">
        <f t="shared" si="4"/>
        <v>0</v>
      </c>
      <c r="Q112" s="232">
        <f>Resultado!D31</f>
        <v>0</v>
      </c>
    </row>
    <row r="113" spans="1:19" ht="15.75">
      <c r="A113" s="16" t="s">
        <v>696</v>
      </c>
      <c r="B113" s="16" t="s">
        <v>1473</v>
      </c>
      <c r="C113" s="16" t="s">
        <v>1481</v>
      </c>
      <c r="D113" s="16">
        <v>4</v>
      </c>
      <c r="E113" s="16">
        <v>3</v>
      </c>
      <c r="F113" s="16">
        <v>50</v>
      </c>
      <c r="G113" s="16">
        <v>117</v>
      </c>
      <c r="H113" s="16">
        <v>999</v>
      </c>
      <c r="I113" s="16">
        <v>99</v>
      </c>
      <c r="J113" s="16">
        <v>999</v>
      </c>
      <c r="K113" s="16">
        <v>9</v>
      </c>
      <c r="L113" s="16">
        <v>99</v>
      </c>
      <c r="M113" s="16">
        <v>9</v>
      </c>
      <c r="N113" s="16">
        <v>2</v>
      </c>
      <c r="O113" s="16">
        <v>99999</v>
      </c>
      <c r="P113" s="232">
        <f t="shared" ca="1" si="4"/>
        <v>11101.367</v>
      </c>
      <c r="Q113" s="232">
        <f ca="1">SUM(INDIRECT("dados_MercadoBase[TE_E]"))</f>
        <v>11101.367</v>
      </c>
    </row>
    <row r="114" spans="1:19" ht="15.75">
      <c r="A114" t="s">
        <v>696</v>
      </c>
      <c r="B114" t="s">
        <v>1482</v>
      </c>
      <c r="C114" t="s">
        <v>1483</v>
      </c>
      <c r="D114">
        <v>1</v>
      </c>
      <c r="E114">
        <v>1</v>
      </c>
      <c r="F114">
        <v>15</v>
      </c>
      <c r="G114">
        <v>175</v>
      </c>
      <c r="H114">
        <v>999</v>
      </c>
      <c r="I114">
        <v>4</v>
      </c>
      <c r="J114">
        <v>999</v>
      </c>
      <c r="K114">
        <v>9</v>
      </c>
      <c r="L114">
        <v>99</v>
      </c>
      <c r="M114">
        <v>9</v>
      </c>
      <c r="N114">
        <v>4</v>
      </c>
      <c r="O114">
        <v>99999</v>
      </c>
      <c r="P114" s="232">
        <f>IF(ISNUMBER(Q114),Q114,0)</f>
        <v>8.1942000000000001E-2</v>
      </c>
      <c r="Q114" s="247">
        <f>VLOOKUP(LnkTXTSigla,Informacoes[],10,FALSE)</f>
        <v>8.1942000000000001E-2</v>
      </c>
    </row>
    <row r="115" spans="1:19" ht="15.75">
      <c r="A115" s="16" t="s">
        <v>696</v>
      </c>
      <c r="B115" s="16" t="s">
        <v>1482</v>
      </c>
      <c r="C115" s="16" t="s">
        <v>1484</v>
      </c>
      <c r="D115" s="16">
        <v>1</v>
      </c>
      <c r="E115" s="16">
        <v>1</v>
      </c>
      <c r="F115" s="16">
        <v>15</v>
      </c>
      <c r="G115" s="16">
        <v>174</v>
      </c>
      <c r="H115" s="16">
        <v>999</v>
      </c>
      <c r="I115" s="16">
        <v>4</v>
      </c>
      <c r="J115" s="16">
        <v>999</v>
      </c>
      <c r="K115" s="16">
        <v>9</v>
      </c>
      <c r="L115" s="16">
        <v>99</v>
      </c>
      <c r="M115" s="16">
        <v>9</v>
      </c>
      <c r="N115" s="16">
        <v>4</v>
      </c>
      <c r="O115" s="16">
        <v>99999</v>
      </c>
      <c r="P115" s="232">
        <f>IF(ISNUMBER(Q115),Q115,0)</f>
        <v>0.04</v>
      </c>
      <c r="Q115" s="247">
        <v>0.04</v>
      </c>
    </row>
    <row r="116" spans="1:19" ht="15.75">
      <c r="A116" t="s">
        <v>696</v>
      </c>
      <c r="B116" t="s">
        <v>1482</v>
      </c>
      <c r="C116" t="s">
        <v>1485</v>
      </c>
      <c r="D116">
        <v>1</v>
      </c>
      <c r="E116">
        <v>1</v>
      </c>
      <c r="F116">
        <v>196</v>
      </c>
      <c r="G116">
        <v>250</v>
      </c>
      <c r="H116">
        <v>999</v>
      </c>
      <c r="I116">
        <v>4</v>
      </c>
      <c r="J116">
        <v>999</v>
      </c>
      <c r="K116">
        <v>9</v>
      </c>
      <c r="L116">
        <v>99</v>
      </c>
      <c r="M116">
        <v>9</v>
      </c>
      <c r="N116">
        <v>3</v>
      </c>
      <c r="O116">
        <v>99999</v>
      </c>
      <c r="P116" s="232">
        <f>IF(ISNUMBER(Q116),Q116,0)</f>
        <v>4185461.2</v>
      </c>
      <c r="Q116" s="232">
        <f>CAPA!D32</f>
        <v>4185461.2</v>
      </c>
      <c r="S116" s="9"/>
    </row>
    <row r="117" spans="1:19" ht="15.75">
      <c r="A117" s="16" t="s">
        <v>696</v>
      </c>
      <c r="B117" s="16" t="s">
        <v>1482</v>
      </c>
      <c r="C117" s="16" t="s">
        <v>1486</v>
      </c>
      <c r="D117" s="16">
        <v>1</v>
      </c>
      <c r="E117" s="16">
        <v>1</v>
      </c>
      <c r="F117" s="16">
        <v>14</v>
      </c>
      <c r="G117" s="16">
        <v>31</v>
      </c>
      <c r="H117" s="16">
        <v>999</v>
      </c>
      <c r="I117" s="16">
        <v>4</v>
      </c>
      <c r="J117" s="16">
        <v>999</v>
      </c>
      <c r="K117" s="16">
        <v>9</v>
      </c>
      <c r="L117" s="16">
        <v>99</v>
      </c>
      <c r="M117" s="16">
        <v>9</v>
      </c>
      <c r="N117" s="16">
        <v>4</v>
      </c>
      <c r="O117" s="16">
        <v>99999</v>
      </c>
      <c r="P117" s="232">
        <v>0</v>
      </c>
      <c r="Q117" s="232">
        <v>0</v>
      </c>
    </row>
    <row r="118" spans="1:19" ht="15.75">
      <c r="A118" t="s">
        <v>696</v>
      </c>
      <c r="B118" t="s">
        <v>1482</v>
      </c>
      <c r="C118" t="s">
        <v>1487</v>
      </c>
      <c r="D118">
        <v>1</v>
      </c>
      <c r="E118">
        <v>1</v>
      </c>
      <c r="F118">
        <v>15</v>
      </c>
      <c r="G118">
        <v>176</v>
      </c>
      <c r="H118">
        <v>999</v>
      </c>
      <c r="I118">
        <v>4</v>
      </c>
      <c r="J118">
        <v>999</v>
      </c>
      <c r="K118">
        <v>9</v>
      </c>
      <c r="L118">
        <v>99</v>
      </c>
      <c r="M118">
        <v>9</v>
      </c>
      <c r="N118">
        <v>3</v>
      </c>
      <c r="O118">
        <v>99999</v>
      </c>
      <c r="P118" s="232">
        <f t="shared" si="4"/>
        <v>3033108.24</v>
      </c>
      <c r="Q118" s="232">
        <f>CAPA!D33</f>
        <v>3033108.24</v>
      </c>
    </row>
    <row r="119" spans="1:19" ht="15.75">
      <c r="A119" s="16" t="s">
        <v>696</v>
      </c>
      <c r="B119" s="16" t="s">
        <v>1482</v>
      </c>
      <c r="C119" s="16" t="s">
        <v>1488</v>
      </c>
      <c r="D119" s="16">
        <v>1</v>
      </c>
      <c r="E119" s="16">
        <v>1</v>
      </c>
      <c r="F119" s="16">
        <v>203</v>
      </c>
      <c r="G119" s="16">
        <v>247</v>
      </c>
      <c r="H119" s="16">
        <v>999</v>
      </c>
      <c r="I119" s="16">
        <v>4</v>
      </c>
      <c r="J119" s="16">
        <v>999</v>
      </c>
      <c r="K119" s="16">
        <v>9</v>
      </c>
      <c r="L119" s="16">
        <v>99</v>
      </c>
      <c r="M119" s="16">
        <v>9</v>
      </c>
      <c r="N119" s="16">
        <v>3</v>
      </c>
      <c r="O119" s="16">
        <v>99999</v>
      </c>
      <c r="P119" s="232">
        <f t="shared" si="4"/>
        <v>7218569.4400000004</v>
      </c>
      <c r="Q119" s="232">
        <f>Resultado!D39</f>
        <v>7218569.4400000004</v>
      </c>
    </row>
    <row r="120" spans="1:19" ht="15.75">
      <c r="A120" t="s">
        <v>696</v>
      </c>
      <c r="B120" t="s">
        <v>1482</v>
      </c>
      <c r="C120" t="s">
        <v>209</v>
      </c>
      <c r="D120">
        <v>1</v>
      </c>
      <c r="E120">
        <v>1</v>
      </c>
      <c r="F120">
        <v>15</v>
      </c>
      <c r="G120">
        <v>194</v>
      </c>
      <c r="H120">
        <v>999</v>
      </c>
      <c r="I120">
        <v>4</v>
      </c>
      <c r="J120">
        <v>999</v>
      </c>
      <c r="K120">
        <v>9</v>
      </c>
      <c r="L120">
        <v>99</v>
      </c>
      <c r="M120">
        <v>9</v>
      </c>
      <c r="N120">
        <v>4</v>
      </c>
      <c r="O120">
        <v>99999</v>
      </c>
      <c r="P120" s="232">
        <f t="shared" si="4"/>
        <v>0</v>
      </c>
      <c r="Q120" s="232">
        <f>VLOOKUP(LnkTXTSigla,Informacoes[],16,FALSE)</f>
        <v>0</v>
      </c>
    </row>
    <row r="121" spans="1:19" ht="15.75">
      <c r="A121" t="s">
        <v>1473</v>
      </c>
      <c r="B121" t="s">
        <v>1489</v>
      </c>
      <c r="C121" t="s">
        <v>1490</v>
      </c>
      <c r="D121">
        <v>3</v>
      </c>
      <c r="E121">
        <v>99</v>
      </c>
      <c r="F121">
        <v>24</v>
      </c>
      <c r="G121">
        <v>63</v>
      </c>
      <c r="H121">
        <v>110</v>
      </c>
      <c r="I121">
        <v>99</v>
      </c>
      <c r="J121">
        <v>999</v>
      </c>
      <c r="K121">
        <v>9</v>
      </c>
      <c r="L121">
        <v>99</v>
      </c>
      <c r="M121">
        <v>9</v>
      </c>
      <c r="N121">
        <v>3</v>
      </c>
      <c r="O121">
        <v>99999</v>
      </c>
      <c r="P121" s="232">
        <f t="shared" si="4"/>
        <v>34692.890407873027</v>
      </c>
      <c r="Q121" s="232">
        <f>'Tabelas e Gráficos'!BP311</f>
        <v>34692.890407873027</v>
      </c>
    </row>
    <row r="122" spans="1:19" ht="15.75">
      <c r="A122" t="s">
        <v>1473</v>
      </c>
      <c r="B122" t="s">
        <v>1489</v>
      </c>
      <c r="C122" t="s">
        <v>1491</v>
      </c>
      <c r="D122">
        <v>3</v>
      </c>
      <c r="E122">
        <v>99</v>
      </c>
      <c r="F122">
        <v>24</v>
      </c>
      <c r="G122">
        <v>63</v>
      </c>
      <c r="H122">
        <v>111</v>
      </c>
      <c r="I122">
        <v>99</v>
      </c>
      <c r="J122">
        <v>999</v>
      </c>
      <c r="K122">
        <v>9</v>
      </c>
      <c r="L122">
        <v>99</v>
      </c>
      <c r="M122">
        <v>9</v>
      </c>
      <c r="N122">
        <v>3</v>
      </c>
      <c r="O122">
        <v>99999</v>
      </c>
      <c r="P122" s="232">
        <f t="shared" si="4"/>
        <v>0</v>
      </c>
      <c r="Q122" s="232">
        <f>'Tabelas e Gráficos'!BP312</f>
        <v>0</v>
      </c>
    </row>
    <row r="123" spans="1:19" ht="15.75">
      <c r="A123" t="s">
        <v>1473</v>
      </c>
      <c r="B123" t="s">
        <v>1489</v>
      </c>
      <c r="C123" t="s">
        <v>1492</v>
      </c>
      <c r="D123">
        <v>3</v>
      </c>
      <c r="E123">
        <v>99</v>
      </c>
      <c r="F123">
        <v>24</v>
      </c>
      <c r="G123">
        <v>63</v>
      </c>
      <c r="H123">
        <v>182</v>
      </c>
      <c r="I123">
        <v>99</v>
      </c>
      <c r="J123">
        <v>999</v>
      </c>
      <c r="K123">
        <v>9</v>
      </c>
      <c r="L123">
        <v>99</v>
      </c>
      <c r="M123">
        <v>9</v>
      </c>
      <c r="N123">
        <v>3</v>
      </c>
      <c r="O123">
        <v>99999</v>
      </c>
      <c r="P123" s="232">
        <f t="shared" si="4"/>
        <v>0</v>
      </c>
      <c r="Q123" s="232">
        <f>'Tabelas e Gráficos'!BP313</f>
        <v>0</v>
      </c>
    </row>
    <row r="124" spans="1:19" ht="15.75">
      <c r="A124" t="s">
        <v>1473</v>
      </c>
      <c r="B124" t="s">
        <v>1489</v>
      </c>
      <c r="C124" t="s">
        <v>1493</v>
      </c>
      <c r="D124">
        <v>3</v>
      </c>
      <c r="E124">
        <v>99</v>
      </c>
      <c r="F124">
        <v>24</v>
      </c>
      <c r="G124">
        <v>63</v>
      </c>
      <c r="H124">
        <v>183</v>
      </c>
      <c r="I124">
        <v>99</v>
      </c>
      <c r="J124">
        <v>999</v>
      </c>
      <c r="K124">
        <v>9</v>
      </c>
      <c r="L124">
        <v>99</v>
      </c>
      <c r="M124">
        <v>9</v>
      </c>
      <c r="N124">
        <v>3</v>
      </c>
      <c r="O124">
        <v>99999</v>
      </c>
      <c r="P124" s="232">
        <f t="shared" si="4"/>
        <v>-866.69076167700769</v>
      </c>
      <c r="Q124" s="232">
        <f>'Tabelas e Gráficos'!BP314</f>
        <v>-866.69076167700769</v>
      </c>
    </row>
    <row r="125" spans="1:19" ht="15.75">
      <c r="A125" t="s">
        <v>1473</v>
      </c>
      <c r="B125" t="s">
        <v>1489</v>
      </c>
      <c r="C125" t="s">
        <v>1494</v>
      </c>
      <c r="D125">
        <v>3</v>
      </c>
      <c r="E125">
        <v>99</v>
      </c>
      <c r="F125">
        <v>24</v>
      </c>
      <c r="G125">
        <v>63</v>
      </c>
      <c r="H125">
        <v>184</v>
      </c>
      <c r="I125">
        <v>99</v>
      </c>
      <c r="J125">
        <v>999</v>
      </c>
      <c r="K125">
        <v>9</v>
      </c>
      <c r="L125">
        <v>99</v>
      </c>
      <c r="M125">
        <v>9</v>
      </c>
      <c r="N125">
        <v>3</v>
      </c>
      <c r="O125">
        <v>99999</v>
      </c>
      <c r="P125" s="232">
        <f t="shared" si="4"/>
        <v>-48.368243641169101</v>
      </c>
      <c r="Q125" s="232">
        <f>'Tabelas e Gráficos'!BP315</f>
        <v>-48.368243641169101</v>
      </c>
    </row>
    <row r="126" spans="1:19" ht="15.75">
      <c r="A126" t="s">
        <v>1473</v>
      </c>
      <c r="B126" t="s">
        <v>1489</v>
      </c>
      <c r="C126" t="s">
        <v>1495</v>
      </c>
      <c r="D126">
        <v>3</v>
      </c>
      <c r="E126">
        <v>99</v>
      </c>
      <c r="F126">
        <v>24</v>
      </c>
      <c r="G126">
        <v>63</v>
      </c>
      <c r="H126">
        <v>112</v>
      </c>
      <c r="I126">
        <v>99</v>
      </c>
      <c r="J126">
        <v>999</v>
      </c>
      <c r="K126">
        <v>9</v>
      </c>
      <c r="L126">
        <v>99</v>
      </c>
      <c r="M126">
        <v>9</v>
      </c>
      <c r="N126">
        <v>3</v>
      </c>
      <c r="O126">
        <v>99999</v>
      </c>
      <c r="P126" s="232">
        <f t="shared" si="4"/>
        <v>0</v>
      </c>
      <c r="Q126" s="232">
        <f>'Tabelas e Gráficos'!BP316</f>
        <v>0</v>
      </c>
    </row>
    <row r="127" spans="1:19" ht="15.75">
      <c r="A127" t="s">
        <v>1473</v>
      </c>
      <c r="B127" t="s">
        <v>1489</v>
      </c>
      <c r="C127" t="s">
        <v>1496</v>
      </c>
      <c r="D127">
        <v>3</v>
      </c>
      <c r="E127">
        <v>99</v>
      </c>
      <c r="F127">
        <v>24</v>
      </c>
      <c r="G127">
        <v>61</v>
      </c>
      <c r="H127">
        <v>110</v>
      </c>
      <c r="I127">
        <v>99</v>
      </c>
      <c r="J127">
        <v>999</v>
      </c>
      <c r="K127">
        <v>9</v>
      </c>
      <c r="L127">
        <v>99</v>
      </c>
      <c r="M127">
        <v>9</v>
      </c>
      <c r="N127">
        <v>3</v>
      </c>
      <c r="O127">
        <v>99999</v>
      </c>
      <c r="P127" s="232">
        <f t="shared" si="4"/>
        <v>81799.084486143911</v>
      </c>
      <c r="Q127" s="232">
        <f>'Tabelas e Gráficos'!BQ311</f>
        <v>81799.084486143911</v>
      </c>
    </row>
    <row r="128" spans="1:19" ht="15.75">
      <c r="A128" t="s">
        <v>1473</v>
      </c>
      <c r="B128" t="s">
        <v>1489</v>
      </c>
      <c r="C128" t="s">
        <v>1497</v>
      </c>
      <c r="D128">
        <v>3</v>
      </c>
      <c r="E128">
        <v>99</v>
      </c>
      <c r="F128">
        <v>24</v>
      </c>
      <c r="G128">
        <v>61</v>
      </c>
      <c r="H128">
        <v>111</v>
      </c>
      <c r="I128">
        <v>99</v>
      </c>
      <c r="J128">
        <v>999</v>
      </c>
      <c r="K128">
        <v>9</v>
      </c>
      <c r="L128">
        <v>99</v>
      </c>
      <c r="M128">
        <v>9</v>
      </c>
      <c r="N128">
        <v>3</v>
      </c>
      <c r="O128">
        <v>99999</v>
      </c>
      <c r="P128" s="232">
        <f t="shared" si="4"/>
        <v>0</v>
      </c>
      <c r="Q128" s="232">
        <f>'Tabelas e Gráficos'!BQ312</f>
        <v>0</v>
      </c>
    </row>
    <row r="129" spans="1:17" ht="15.75">
      <c r="A129" t="s">
        <v>1473</v>
      </c>
      <c r="B129" t="s">
        <v>1489</v>
      </c>
      <c r="C129" t="s">
        <v>1498</v>
      </c>
      <c r="D129">
        <v>3</v>
      </c>
      <c r="E129">
        <v>99</v>
      </c>
      <c r="F129">
        <v>24</v>
      </c>
      <c r="G129">
        <v>61</v>
      </c>
      <c r="H129">
        <v>182</v>
      </c>
      <c r="I129">
        <v>99</v>
      </c>
      <c r="J129">
        <v>999</v>
      </c>
      <c r="K129">
        <v>9</v>
      </c>
      <c r="L129">
        <v>99</v>
      </c>
      <c r="M129">
        <v>9</v>
      </c>
      <c r="N129">
        <v>3</v>
      </c>
      <c r="O129">
        <v>99999</v>
      </c>
      <c r="P129" s="232">
        <f t="shared" si="4"/>
        <v>0</v>
      </c>
      <c r="Q129" s="232">
        <f>'Tabelas e Gráficos'!BQ313</f>
        <v>0</v>
      </c>
    </row>
    <row r="130" spans="1:17" ht="15.75">
      <c r="A130" t="s">
        <v>1473</v>
      </c>
      <c r="B130" t="s">
        <v>1489</v>
      </c>
      <c r="C130" t="s">
        <v>1499</v>
      </c>
      <c r="D130">
        <v>3</v>
      </c>
      <c r="E130">
        <v>99</v>
      </c>
      <c r="F130">
        <v>24</v>
      </c>
      <c r="G130">
        <v>61</v>
      </c>
      <c r="H130">
        <v>183</v>
      </c>
      <c r="I130">
        <v>99</v>
      </c>
      <c r="J130">
        <v>999</v>
      </c>
      <c r="K130">
        <v>9</v>
      </c>
      <c r="L130">
        <v>99</v>
      </c>
      <c r="M130">
        <v>9</v>
      </c>
      <c r="N130">
        <v>3</v>
      </c>
      <c r="O130">
        <v>99999</v>
      </c>
      <c r="P130" s="232">
        <f t="shared" si="4"/>
        <v>5488.406044475928</v>
      </c>
      <c r="Q130" s="232">
        <f>'Tabelas e Gráficos'!BQ314</f>
        <v>5488.406044475928</v>
      </c>
    </row>
    <row r="131" spans="1:17" ht="15.75">
      <c r="A131" t="s">
        <v>1473</v>
      </c>
      <c r="B131" t="s">
        <v>1489</v>
      </c>
      <c r="C131" t="s">
        <v>1500</v>
      </c>
      <c r="D131">
        <v>3</v>
      </c>
      <c r="E131">
        <v>99</v>
      </c>
      <c r="F131">
        <v>24</v>
      </c>
      <c r="G131">
        <v>61</v>
      </c>
      <c r="H131">
        <v>184</v>
      </c>
      <c r="I131">
        <v>99</v>
      </c>
      <c r="J131">
        <v>999</v>
      </c>
      <c r="K131">
        <v>9</v>
      </c>
      <c r="L131">
        <v>99</v>
      </c>
      <c r="M131">
        <v>9</v>
      </c>
      <c r="N131">
        <v>3</v>
      </c>
      <c r="O131">
        <v>99999</v>
      </c>
      <c r="P131" s="232">
        <f t="shared" si="4"/>
        <v>5221.0269105296893</v>
      </c>
      <c r="Q131" s="232">
        <f>'Tabelas e Gráficos'!BQ315</f>
        <v>5221.0269105296893</v>
      </c>
    </row>
    <row r="132" spans="1:17" ht="15.75">
      <c r="A132" t="s">
        <v>1473</v>
      </c>
      <c r="B132" t="s">
        <v>1489</v>
      </c>
      <c r="C132" t="s">
        <v>1501</v>
      </c>
      <c r="D132">
        <v>3</v>
      </c>
      <c r="E132">
        <v>99</v>
      </c>
      <c r="F132">
        <v>24</v>
      </c>
      <c r="G132">
        <v>61</v>
      </c>
      <c r="H132">
        <v>112</v>
      </c>
      <c r="I132">
        <v>99</v>
      </c>
      <c r="J132">
        <v>999</v>
      </c>
      <c r="K132">
        <v>9</v>
      </c>
      <c r="L132">
        <v>99</v>
      </c>
      <c r="M132">
        <v>9</v>
      </c>
      <c r="N132">
        <v>3</v>
      </c>
      <c r="O132">
        <v>99999</v>
      </c>
      <c r="P132" s="232">
        <f t="shared" si="4"/>
        <v>0</v>
      </c>
      <c r="Q132" s="232">
        <f>'Tabelas e Gráficos'!BQ316</f>
        <v>0</v>
      </c>
    </row>
    <row r="133" spans="1:17" ht="15.75">
      <c r="A133" t="s">
        <v>1473</v>
      </c>
      <c r="B133" t="s">
        <v>1489</v>
      </c>
      <c r="C133" t="s">
        <v>1502</v>
      </c>
      <c r="D133">
        <v>3</v>
      </c>
      <c r="E133">
        <v>99</v>
      </c>
      <c r="F133">
        <v>24</v>
      </c>
      <c r="G133">
        <v>79</v>
      </c>
      <c r="H133">
        <v>110</v>
      </c>
      <c r="I133">
        <v>99</v>
      </c>
      <c r="J133">
        <v>999</v>
      </c>
      <c r="K133">
        <v>9</v>
      </c>
      <c r="L133">
        <v>99</v>
      </c>
      <c r="M133">
        <v>9</v>
      </c>
      <c r="N133">
        <v>3</v>
      </c>
      <c r="O133">
        <v>99999</v>
      </c>
      <c r="P133" s="232">
        <f t="shared" si="4"/>
        <v>116491.97489401694</v>
      </c>
      <c r="Q133" s="232">
        <f>'Tabelas e Gráficos'!BR311</f>
        <v>116491.97489401694</v>
      </c>
    </row>
    <row r="134" spans="1:17" ht="15.75">
      <c r="A134" t="s">
        <v>1473</v>
      </c>
      <c r="B134" t="s">
        <v>1489</v>
      </c>
      <c r="C134" t="s">
        <v>1503</v>
      </c>
      <c r="D134">
        <v>3</v>
      </c>
      <c r="E134">
        <v>99</v>
      </c>
      <c r="F134">
        <v>24</v>
      </c>
      <c r="G134">
        <v>79</v>
      </c>
      <c r="H134">
        <v>111</v>
      </c>
      <c r="I134">
        <v>99</v>
      </c>
      <c r="J134">
        <v>999</v>
      </c>
      <c r="K134">
        <v>9</v>
      </c>
      <c r="L134">
        <v>99</v>
      </c>
      <c r="M134">
        <v>9</v>
      </c>
      <c r="N134">
        <v>3</v>
      </c>
      <c r="O134">
        <v>99999</v>
      </c>
      <c r="P134" s="232">
        <f t="shared" si="4"/>
        <v>0</v>
      </c>
      <c r="Q134" s="232">
        <f>'Tabelas e Gráficos'!BR312</f>
        <v>0</v>
      </c>
    </row>
    <row r="135" spans="1:17" ht="15.75">
      <c r="A135" t="s">
        <v>1473</v>
      </c>
      <c r="B135" t="s">
        <v>1489</v>
      </c>
      <c r="C135" t="s">
        <v>1504</v>
      </c>
      <c r="D135">
        <v>3</v>
      </c>
      <c r="E135">
        <v>99</v>
      </c>
      <c r="F135">
        <v>24</v>
      </c>
      <c r="G135">
        <v>79</v>
      </c>
      <c r="H135">
        <v>182</v>
      </c>
      <c r="I135">
        <v>99</v>
      </c>
      <c r="J135">
        <v>999</v>
      </c>
      <c r="K135">
        <v>9</v>
      </c>
      <c r="L135">
        <v>99</v>
      </c>
      <c r="M135">
        <v>9</v>
      </c>
      <c r="N135">
        <v>3</v>
      </c>
      <c r="O135">
        <v>99999</v>
      </c>
      <c r="P135" s="232">
        <f t="shared" si="4"/>
        <v>0</v>
      </c>
      <c r="Q135" s="232">
        <f>'Tabelas e Gráficos'!BR313</f>
        <v>0</v>
      </c>
    </row>
    <row r="136" spans="1:17" ht="15.75">
      <c r="A136" t="s">
        <v>1473</v>
      </c>
      <c r="B136" t="s">
        <v>1489</v>
      </c>
      <c r="C136" t="s">
        <v>1505</v>
      </c>
      <c r="D136">
        <v>3</v>
      </c>
      <c r="E136">
        <v>99</v>
      </c>
      <c r="F136">
        <v>24</v>
      </c>
      <c r="G136">
        <v>79</v>
      </c>
      <c r="H136">
        <v>183</v>
      </c>
      <c r="I136">
        <v>99</v>
      </c>
      <c r="J136">
        <v>999</v>
      </c>
      <c r="K136">
        <v>9</v>
      </c>
      <c r="L136">
        <v>99</v>
      </c>
      <c r="M136">
        <v>9</v>
      </c>
      <c r="N136">
        <v>3</v>
      </c>
      <c r="O136">
        <v>99999</v>
      </c>
      <c r="P136" s="232">
        <f t="shared" si="4"/>
        <v>4621.7152827989203</v>
      </c>
      <c r="Q136" s="232">
        <f>'Tabelas e Gráficos'!BR314</f>
        <v>4621.7152827989203</v>
      </c>
    </row>
    <row r="137" spans="1:17" ht="15.75">
      <c r="A137" t="s">
        <v>1473</v>
      </c>
      <c r="B137" t="s">
        <v>1489</v>
      </c>
      <c r="C137" t="s">
        <v>1506</v>
      </c>
      <c r="D137">
        <v>3</v>
      </c>
      <c r="E137">
        <v>99</v>
      </c>
      <c r="F137">
        <v>24</v>
      </c>
      <c r="G137">
        <v>79</v>
      </c>
      <c r="H137">
        <v>184</v>
      </c>
      <c r="I137">
        <v>99</v>
      </c>
      <c r="J137">
        <v>999</v>
      </c>
      <c r="K137">
        <v>9</v>
      </c>
      <c r="L137">
        <v>99</v>
      </c>
      <c r="M137">
        <v>9</v>
      </c>
      <c r="N137">
        <v>3</v>
      </c>
      <c r="O137">
        <v>99999</v>
      </c>
      <c r="P137" s="232">
        <f t="shared" si="4"/>
        <v>5172.6586668885202</v>
      </c>
      <c r="Q137" s="232">
        <f>'Tabelas e Gráficos'!BR315</f>
        <v>5172.6586668885202</v>
      </c>
    </row>
    <row r="138" spans="1:17" ht="15.75">
      <c r="A138" t="s">
        <v>1473</v>
      </c>
      <c r="B138" t="s">
        <v>1489</v>
      </c>
      <c r="C138" t="s">
        <v>1507</v>
      </c>
      <c r="D138">
        <v>3</v>
      </c>
      <c r="E138">
        <v>99</v>
      </c>
      <c r="F138">
        <v>24</v>
      </c>
      <c r="G138">
        <v>79</v>
      </c>
      <c r="H138">
        <v>112</v>
      </c>
      <c r="I138">
        <v>99</v>
      </c>
      <c r="J138">
        <v>999</v>
      </c>
      <c r="K138">
        <v>9</v>
      </c>
      <c r="L138">
        <v>99</v>
      </c>
      <c r="M138">
        <v>9</v>
      </c>
      <c r="N138">
        <v>3</v>
      </c>
      <c r="O138">
        <v>99999</v>
      </c>
      <c r="P138" s="232">
        <f t="shared" si="4"/>
        <v>0</v>
      </c>
      <c r="Q138" s="232">
        <f>'Tabelas e Gráficos'!BR316</f>
        <v>0</v>
      </c>
    </row>
    <row r="139" spans="1:17" ht="15.75">
      <c r="A139" s="845" t="s">
        <v>696</v>
      </c>
      <c r="B139" s="845" t="s">
        <v>72</v>
      </c>
      <c r="C139" s="845" t="s">
        <v>1508</v>
      </c>
      <c r="D139" s="845">
        <v>2</v>
      </c>
      <c r="E139" s="845">
        <v>1</v>
      </c>
      <c r="F139" s="845">
        <v>51</v>
      </c>
      <c r="G139" s="845">
        <v>73</v>
      </c>
      <c r="H139" s="845">
        <v>999</v>
      </c>
      <c r="I139" s="845">
        <v>3</v>
      </c>
      <c r="J139" s="845">
        <v>15</v>
      </c>
      <c r="K139" s="845">
        <v>1</v>
      </c>
      <c r="L139" s="845">
        <v>99</v>
      </c>
      <c r="M139" s="845">
        <v>9</v>
      </c>
      <c r="N139" s="845">
        <v>3</v>
      </c>
      <c r="O139" s="845">
        <v>99999</v>
      </c>
      <c r="P139" s="232">
        <f t="shared" si="4"/>
        <v>561638.5612703464</v>
      </c>
      <c r="Q139" s="232">
        <f>Encargos!I20</f>
        <v>561638.5612703464</v>
      </c>
    </row>
    <row r="140" spans="1:17" ht="15.75">
      <c r="A140" s="845" t="s">
        <v>696</v>
      </c>
      <c r="B140" s="845" t="s">
        <v>108</v>
      </c>
      <c r="C140" s="845" t="str">
        <f>Energia!$B$21</f>
        <v>Angra</v>
      </c>
      <c r="D140" s="845">
        <v>1</v>
      </c>
      <c r="E140" s="845">
        <v>1</v>
      </c>
      <c r="F140" s="845">
        <v>8</v>
      </c>
      <c r="G140" s="845">
        <v>999999</v>
      </c>
      <c r="H140" s="845">
        <v>999</v>
      </c>
      <c r="I140" s="845">
        <v>2</v>
      </c>
      <c r="J140" s="845">
        <v>999</v>
      </c>
      <c r="K140" s="845">
        <v>9</v>
      </c>
      <c r="L140" s="845">
        <v>99</v>
      </c>
      <c r="M140" s="845">
        <v>9</v>
      </c>
      <c r="N140" s="845">
        <v>2</v>
      </c>
      <c r="O140" s="845">
        <v>99999</v>
      </c>
      <c r="P140" s="907">
        <f t="shared" ref="P140:P147" ca="1" si="5">IF(ISNUMBER(Q140),Q140,0)</f>
        <v>0</v>
      </c>
      <c r="Q140" s="232">
        <f ca="1">Energia!$C$21</f>
        <v>0</v>
      </c>
    </row>
    <row r="141" spans="1:17" ht="15.75">
      <c r="A141" s="845" t="s">
        <v>696</v>
      </c>
      <c r="B141" s="845" t="s">
        <v>108</v>
      </c>
      <c r="C141" s="845" t="str">
        <f>Energia!B21</f>
        <v>Angra</v>
      </c>
      <c r="D141" s="845">
        <v>1</v>
      </c>
      <c r="E141" s="845">
        <v>1</v>
      </c>
      <c r="F141" s="845">
        <v>8</v>
      </c>
      <c r="G141" s="845">
        <v>999999</v>
      </c>
      <c r="H141" s="845">
        <v>999</v>
      </c>
      <c r="I141" s="845">
        <v>2</v>
      </c>
      <c r="J141" s="845">
        <v>999</v>
      </c>
      <c r="K141" s="845">
        <v>9</v>
      </c>
      <c r="L141" s="845">
        <v>99</v>
      </c>
      <c r="M141" s="845">
        <v>9</v>
      </c>
      <c r="N141" s="845">
        <v>3</v>
      </c>
      <c r="O141" s="845">
        <v>99999</v>
      </c>
      <c r="P141" s="907">
        <f t="shared" ca="1" si="5"/>
        <v>0</v>
      </c>
      <c r="Q141" s="232">
        <f ca="1">Energia!$F$21</f>
        <v>0</v>
      </c>
    </row>
    <row r="142" spans="1:17" ht="15.75">
      <c r="A142" s="845" t="s">
        <v>696</v>
      </c>
      <c r="B142" s="845" t="s">
        <v>108</v>
      </c>
      <c r="C142" s="845" t="str">
        <f>Energia!$B$22</f>
        <v>CCGF</v>
      </c>
      <c r="D142" s="845">
        <v>1</v>
      </c>
      <c r="E142" s="845">
        <v>1</v>
      </c>
      <c r="F142" s="845">
        <v>17</v>
      </c>
      <c r="G142" s="845">
        <v>999999</v>
      </c>
      <c r="H142" s="845">
        <v>999</v>
      </c>
      <c r="I142" s="845">
        <v>2</v>
      </c>
      <c r="J142" s="845">
        <v>999</v>
      </c>
      <c r="K142" s="845">
        <v>9</v>
      </c>
      <c r="L142" s="845">
        <v>99</v>
      </c>
      <c r="M142" s="845">
        <v>9</v>
      </c>
      <c r="N142" s="845">
        <v>2</v>
      </c>
      <c r="O142" s="845">
        <v>0</v>
      </c>
      <c r="P142" s="907">
        <f t="shared" ca="1" si="5"/>
        <v>0</v>
      </c>
      <c r="Q142" s="232">
        <f ca="1">Energia!$C$22</f>
        <v>0</v>
      </c>
    </row>
    <row r="143" spans="1:17" ht="15.75">
      <c r="A143" s="845" t="s">
        <v>696</v>
      </c>
      <c r="B143" s="845" t="s">
        <v>108</v>
      </c>
      <c r="C143" s="845" t="str">
        <f>Energia!$B$22</f>
        <v>CCGF</v>
      </c>
      <c r="D143" s="845">
        <v>1</v>
      </c>
      <c r="E143" s="845">
        <v>1</v>
      </c>
      <c r="F143" s="845">
        <v>17</v>
      </c>
      <c r="G143" s="845">
        <v>999999</v>
      </c>
      <c r="H143" s="845">
        <v>999</v>
      </c>
      <c r="I143" s="845">
        <v>2</v>
      </c>
      <c r="J143" s="845">
        <v>999</v>
      </c>
      <c r="K143" s="845">
        <v>9</v>
      </c>
      <c r="L143" s="845">
        <v>99</v>
      </c>
      <c r="M143" s="845">
        <v>9</v>
      </c>
      <c r="N143" s="845">
        <v>3</v>
      </c>
      <c r="O143" s="845">
        <v>0</v>
      </c>
      <c r="P143" s="907">
        <f t="shared" ca="1" si="5"/>
        <v>0</v>
      </c>
      <c r="Q143" s="232">
        <f ca="1">Energia!$F$22</f>
        <v>0</v>
      </c>
    </row>
    <row r="144" spans="1:17" ht="15.75">
      <c r="A144" s="845" t="s">
        <v>696</v>
      </c>
      <c r="B144" s="845" t="s">
        <v>72</v>
      </c>
      <c r="C144" s="845" t="s">
        <v>2055</v>
      </c>
      <c r="D144" s="845">
        <v>1</v>
      </c>
      <c r="E144" s="845">
        <v>1</v>
      </c>
      <c r="F144" s="845">
        <v>999</v>
      </c>
      <c r="G144" s="845">
        <v>999999</v>
      </c>
      <c r="H144" s="845">
        <v>999</v>
      </c>
      <c r="I144" s="845">
        <v>3</v>
      </c>
      <c r="J144" s="845">
        <v>35</v>
      </c>
      <c r="K144" s="845">
        <v>9</v>
      </c>
      <c r="L144" s="845">
        <v>99</v>
      </c>
      <c r="M144" s="845">
        <v>9</v>
      </c>
      <c r="N144" s="845">
        <v>3</v>
      </c>
      <c r="O144" s="845">
        <v>99999</v>
      </c>
      <c r="P144" s="907">
        <f>IF(ISNUMBER(Q144),Q144,0)</f>
        <v>0</v>
      </c>
      <c r="Q144" s="232">
        <f>Encargos!L17</f>
        <v>0</v>
      </c>
    </row>
    <row r="145" spans="1:17" ht="15.75">
      <c r="A145" s="845" t="s">
        <v>696</v>
      </c>
      <c r="B145" s="845" t="s">
        <v>72</v>
      </c>
      <c r="C145" s="845" t="s">
        <v>2057</v>
      </c>
      <c r="D145" s="845">
        <v>2</v>
      </c>
      <c r="E145" s="845">
        <v>1</v>
      </c>
      <c r="F145" s="845">
        <v>51</v>
      </c>
      <c r="G145" s="845">
        <v>999999</v>
      </c>
      <c r="H145" s="845">
        <v>999</v>
      </c>
      <c r="I145" s="845">
        <v>3</v>
      </c>
      <c r="J145" s="845">
        <v>28</v>
      </c>
      <c r="K145" s="845">
        <v>2</v>
      </c>
      <c r="L145" s="845">
        <v>99</v>
      </c>
      <c r="M145" s="845">
        <v>9</v>
      </c>
      <c r="N145" s="845">
        <v>3</v>
      </c>
      <c r="O145" s="845">
        <v>99999</v>
      </c>
      <c r="P145" s="907">
        <f>IF(ISNUMBER(Q145),Q145,0)</f>
        <v>0</v>
      </c>
      <c r="Q145" s="232">
        <f>Encargos!I21</f>
        <v>0</v>
      </c>
    </row>
    <row r="146" spans="1:17" ht="15.75">
      <c r="A146" s="845" t="s">
        <v>1461</v>
      </c>
      <c r="B146" s="845" t="s">
        <v>108</v>
      </c>
      <c r="C146" s="845" t="s">
        <v>2164</v>
      </c>
      <c r="D146" s="845">
        <v>3</v>
      </c>
      <c r="E146" s="845">
        <v>1</v>
      </c>
      <c r="F146" s="845">
        <v>37</v>
      </c>
      <c r="G146" s="845">
        <v>999999</v>
      </c>
      <c r="H146" s="845">
        <v>999</v>
      </c>
      <c r="I146" s="845">
        <v>99</v>
      </c>
      <c r="J146" s="845">
        <v>999</v>
      </c>
      <c r="K146" s="845">
        <v>9</v>
      </c>
      <c r="L146" s="845">
        <v>99</v>
      </c>
      <c r="M146" s="845">
        <v>9</v>
      </c>
      <c r="N146" s="845">
        <v>8</v>
      </c>
      <c r="O146" s="845">
        <v>99999</v>
      </c>
      <c r="P146" s="907">
        <f ca="1">IF(ISNUMBER(Q146),Q146,0)</f>
        <v>0.13481615978211531</v>
      </c>
      <c r="Q146" s="232">
        <f ca="1">Energia!L35</f>
        <v>0.13481615978211531</v>
      </c>
    </row>
    <row r="147" spans="1:17" ht="15.75">
      <c r="A147" s="845" t="s">
        <v>696</v>
      </c>
      <c r="B147" s="845" t="s">
        <v>1290</v>
      </c>
      <c r="C147" s="845" t="str">
        <f>Financeiros!C9</f>
        <v>Repasse de PIS COFINS CUSD</v>
      </c>
      <c r="D147" s="845">
        <v>2</v>
      </c>
      <c r="E147" s="845">
        <v>2</v>
      </c>
      <c r="F147" s="845">
        <f>Financeiros!H9</f>
        <v>22</v>
      </c>
      <c r="G147" s="845">
        <f>Financeiros!I9</f>
        <v>60</v>
      </c>
      <c r="H147" s="845">
        <f>Financeiros!J9</f>
        <v>999</v>
      </c>
      <c r="I147" s="845">
        <f>Financeiros!K9</f>
        <v>1</v>
      </c>
      <c r="J147" s="845">
        <f>Financeiros!L9</f>
        <v>7</v>
      </c>
      <c r="K147" s="845">
        <f>Financeiros!M9</f>
        <v>9</v>
      </c>
      <c r="L147" s="845">
        <v>99</v>
      </c>
      <c r="M147" s="845">
        <v>9</v>
      </c>
      <c r="N147" s="845">
        <v>3</v>
      </c>
      <c r="O147" s="845">
        <v>99999</v>
      </c>
      <c r="P147" s="907">
        <f t="shared" si="5"/>
        <v>94802.370931986879</v>
      </c>
      <c r="Q147" s="232">
        <f>Financeiros!D9</f>
        <v>94802.370931986879</v>
      </c>
    </row>
    <row r="148" spans="1:17" ht="15.75">
      <c r="A148" s="845" t="s">
        <v>696</v>
      </c>
      <c r="B148" s="845" t="s">
        <v>1290</v>
      </c>
      <c r="C148" s="845" t="str">
        <f>Financeiros!C10</f>
        <v>Repasse de PIS COFINS TE - Energia - Energia de Revenda</v>
      </c>
      <c r="D148" s="845">
        <v>2</v>
      </c>
      <c r="E148" s="845">
        <v>2</v>
      </c>
      <c r="F148" s="845">
        <f>Financeiros!H10</f>
        <v>22</v>
      </c>
      <c r="G148" s="845">
        <f>Financeiros!I10</f>
        <v>60</v>
      </c>
      <c r="H148" s="845">
        <f>Financeiros!J10</f>
        <v>999</v>
      </c>
      <c r="I148" s="845">
        <f>Financeiros!K10</f>
        <v>2</v>
      </c>
      <c r="J148" s="845">
        <f>Financeiros!L10</f>
        <v>11</v>
      </c>
      <c r="K148" s="845">
        <f>Financeiros!M10</f>
        <v>9</v>
      </c>
      <c r="L148" s="845">
        <v>99</v>
      </c>
      <c r="M148" s="845">
        <v>9</v>
      </c>
      <c r="N148" s="845">
        <v>3</v>
      </c>
      <c r="O148" s="845">
        <v>99999</v>
      </c>
      <c r="P148" s="907">
        <f t="shared" ref="P148:P211" ca="1" si="6">IF(ISNUMBER(Q148),Q148,0)</f>
        <v>159006.34906334808</v>
      </c>
      <c r="Q148" s="232">
        <f ca="1">Financeiros!D10</f>
        <v>159006.34906334808</v>
      </c>
    </row>
    <row r="149" spans="1:17" ht="15.75">
      <c r="A149" s="845" t="s">
        <v>696</v>
      </c>
      <c r="B149" s="845" t="s">
        <v>1290</v>
      </c>
      <c r="C149" s="845" t="str">
        <f>Financeiros!C11</f>
        <v>Repasse de PIS COFINS TE - Energia - Perda Não Técnica</v>
      </c>
      <c r="D149" s="845">
        <v>2</v>
      </c>
      <c r="E149" s="845">
        <v>2</v>
      </c>
      <c r="F149" s="845">
        <f>Financeiros!H11</f>
        <v>22</v>
      </c>
      <c r="G149" s="845">
        <f>Financeiros!I11</f>
        <v>60</v>
      </c>
      <c r="H149" s="845">
        <f>Financeiros!J11</f>
        <v>999</v>
      </c>
      <c r="I149" s="845">
        <f>Financeiros!K11</f>
        <v>2</v>
      </c>
      <c r="J149" s="845">
        <f>Financeiros!L11</f>
        <v>9</v>
      </c>
      <c r="K149" s="845">
        <f>Financeiros!M11</f>
        <v>9</v>
      </c>
      <c r="L149" s="845">
        <v>99</v>
      </c>
      <c r="M149" s="845">
        <v>9</v>
      </c>
      <c r="N149" s="845">
        <v>3</v>
      </c>
      <c r="O149" s="845">
        <v>99999</v>
      </c>
      <c r="P149" s="907">
        <f t="shared" ca="1" si="6"/>
        <v>0</v>
      </c>
      <c r="Q149" s="232">
        <f ca="1">Financeiros!D11</f>
        <v>0</v>
      </c>
    </row>
    <row r="150" spans="1:17" ht="15.75">
      <c r="A150" s="845" t="s">
        <v>696</v>
      </c>
      <c r="B150" s="845" t="s">
        <v>1290</v>
      </c>
      <c r="C150" s="845" t="str">
        <f>Financeiros!C12</f>
        <v>Repasse de PIS COFINS TE - Energia - Perda Técnica</v>
      </c>
      <c r="D150" s="845">
        <v>2</v>
      </c>
      <c r="E150" s="845">
        <v>2</v>
      </c>
      <c r="F150" s="845">
        <f>Financeiros!H12</f>
        <v>22</v>
      </c>
      <c r="G150" s="845">
        <f>Financeiros!I12</f>
        <v>60</v>
      </c>
      <c r="H150" s="845">
        <f>Financeiros!J12</f>
        <v>999</v>
      </c>
      <c r="I150" s="845">
        <f>Financeiros!K12</f>
        <v>2</v>
      </c>
      <c r="J150" s="845">
        <f>Financeiros!L12</f>
        <v>8</v>
      </c>
      <c r="K150" s="845">
        <f>Financeiros!M12</f>
        <v>9</v>
      </c>
      <c r="L150" s="845">
        <v>99</v>
      </c>
      <c r="M150" s="845">
        <v>9</v>
      </c>
      <c r="N150" s="845">
        <v>3</v>
      </c>
      <c r="O150" s="845">
        <v>99999</v>
      </c>
      <c r="P150" s="907">
        <f t="shared" ca="1" si="6"/>
        <v>21436.625361695133</v>
      </c>
      <c r="Q150" s="232">
        <f ca="1">Financeiros!D12</f>
        <v>21436.625361695133</v>
      </c>
    </row>
    <row r="151" spans="1:17" ht="15.75">
      <c r="A151" s="845" t="s">
        <v>696</v>
      </c>
      <c r="B151" s="845" t="s">
        <v>1290</v>
      </c>
      <c r="C151" s="845" t="str">
        <f>Financeiros!C13</f>
        <v>Repasse de PIS COFINS TE - Energia - Perda Rede Básica sobre Dist.</v>
      </c>
      <c r="D151" s="845">
        <v>2</v>
      </c>
      <c r="E151" s="845">
        <v>2</v>
      </c>
      <c r="F151" s="845">
        <f>Financeiros!H13</f>
        <v>22</v>
      </c>
      <c r="G151" s="845">
        <f>Financeiros!I13</f>
        <v>60</v>
      </c>
      <c r="H151" s="845">
        <f>Financeiros!J13</f>
        <v>999</v>
      </c>
      <c r="I151" s="845">
        <f>Financeiros!K13</f>
        <v>2</v>
      </c>
      <c r="J151" s="845">
        <f>Financeiros!L13</f>
        <v>10</v>
      </c>
      <c r="K151" s="845">
        <f>Financeiros!M13</f>
        <v>9</v>
      </c>
      <c r="L151" s="845">
        <v>99</v>
      </c>
      <c r="M151" s="845">
        <v>9</v>
      </c>
      <c r="N151" s="845">
        <v>3</v>
      </c>
      <c r="O151" s="845">
        <v>99999</v>
      </c>
      <c r="P151" s="907">
        <f t="shared" ca="1" si="6"/>
        <v>0</v>
      </c>
      <c r="Q151" s="232">
        <f ca="1">Financeiros!D13</f>
        <v>0</v>
      </c>
    </row>
    <row r="152" spans="1:17" ht="15.75">
      <c r="A152" s="845" t="s">
        <v>696</v>
      </c>
      <c r="B152" s="845" t="s">
        <v>1290</v>
      </c>
      <c r="C152" s="845" t="str">
        <f>Financeiros!C14</f>
        <v>Repasse de PIS COFINS TE - Energia - Perda Rede Básica sobre mercado Cat.</v>
      </c>
      <c r="D152" s="845">
        <v>2</v>
      </c>
      <c r="E152" s="845">
        <v>2</v>
      </c>
      <c r="F152" s="845">
        <f>Financeiros!H14</f>
        <v>22</v>
      </c>
      <c r="G152" s="845">
        <f>Financeiros!I14</f>
        <v>60</v>
      </c>
      <c r="H152" s="845">
        <f>Financeiros!J14</f>
        <v>999</v>
      </c>
      <c r="I152" s="845">
        <f>Financeiros!K14</f>
        <v>2</v>
      </c>
      <c r="J152" s="845">
        <f>Financeiros!L14</f>
        <v>24</v>
      </c>
      <c r="K152" s="845">
        <f>Financeiros!M14</f>
        <v>9</v>
      </c>
      <c r="L152" s="845">
        <v>99</v>
      </c>
      <c r="M152" s="845">
        <v>9</v>
      </c>
      <c r="N152" s="845">
        <v>3</v>
      </c>
      <c r="O152" s="845">
        <v>99999</v>
      </c>
      <c r="P152" s="907">
        <f t="shared" ca="1" si="6"/>
        <v>0</v>
      </c>
      <c r="Q152" s="232">
        <f ca="1">Financeiros!D14</f>
        <v>0</v>
      </c>
    </row>
    <row r="153" spans="1:17" ht="15.75">
      <c r="A153" s="845" t="s">
        <v>696</v>
      </c>
      <c r="B153" s="845" t="s">
        <v>1290</v>
      </c>
      <c r="C153" s="845" t="str">
        <f>Financeiros!C15</f>
        <v>(Neutralidade) TFSEE</v>
      </c>
      <c r="D153" s="845">
        <v>2</v>
      </c>
      <c r="E153" s="845">
        <v>2</v>
      </c>
      <c r="F153" s="845">
        <f>Financeiros!H15</f>
        <v>20</v>
      </c>
      <c r="G153" s="845">
        <f>Financeiros!I15</f>
        <v>60</v>
      </c>
      <c r="H153" s="845">
        <f>Financeiros!J15</f>
        <v>999</v>
      </c>
      <c r="I153" s="845">
        <f>Financeiros!K15</f>
        <v>3</v>
      </c>
      <c r="J153" s="845">
        <f>Financeiros!L15</f>
        <v>14</v>
      </c>
      <c r="K153" s="845">
        <f>Financeiros!M15</f>
        <v>9</v>
      </c>
      <c r="L153" s="845">
        <v>99</v>
      </c>
      <c r="M153" s="845">
        <v>9</v>
      </c>
      <c r="N153" s="845">
        <v>3</v>
      </c>
      <c r="O153" s="845">
        <v>99999</v>
      </c>
      <c r="P153" s="907">
        <f t="shared" ca="1" si="6"/>
        <v>-230.23633007930752</v>
      </c>
      <c r="Q153" s="232">
        <f ca="1">Financeiros!D15</f>
        <v>-230.23633007930752</v>
      </c>
    </row>
    <row r="154" spans="1:17" ht="15.75">
      <c r="A154" s="845" t="s">
        <v>696</v>
      </c>
      <c r="B154" s="845" t="s">
        <v>1290</v>
      </c>
      <c r="C154" s="845" t="str">
        <f>Financeiros!C16</f>
        <v>(Neutralidade) CDE</v>
      </c>
      <c r="D154" s="845">
        <v>2</v>
      </c>
      <c r="E154" s="845">
        <v>2</v>
      </c>
      <c r="F154" s="845">
        <f>Financeiros!H16</f>
        <v>20</v>
      </c>
      <c r="G154" s="845">
        <f>Financeiros!I16</f>
        <v>60</v>
      </c>
      <c r="H154" s="845">
        <f>Financeiros!J16</f>
        <v>999</v>
      </c>
      <c r="I154" s="845">
        <f>Financeiros!K16</f>
        <v>3</v>
      </c>
      <c r="J154" s="845">
        <f>Financeiros!L16</f>
        <v>15</v>
      </c>
      <c r="K154" s="845">
        <f>Financeiros!M16</f>
        <v>9</v>
      </c>
      <c r="L154" s="845">
        <v>99</v>
      </c>
      <c r="M154" s="845">
        <v>9</v>
      </c>
      <c r="N154" s="845">
        <v>3</v>
      </c>
      <c r="O154" s="845">
        <v>99999</v>
      </c>
      <c r="P154" s="907">
        <f t="shared" ca="1" si="6"/>
        <v>-7368.2249409820133</v>
      </c>
      <c r="Q154" s="232">
        <f ca="1">Financeiros!D16</f>
        <v>-7368.2249409820133</v>
      </c>
    </row>
    <row r="155" spans="1:17" ht="15.75">
      <c r="A155" s="845" t="s">
        <v>696</v>
      </c>
      <c r="B155" s="845" t="s">
        <v>1290</v>
      </c>
      <c r="C155" s="845" t="str">
        <f>Financeiros!C17</f>
        <v>(Neutralidade) CFURH</v>
      </c>
      <c r="D155" s="845">
        <v>2</v>
      </c>
      <c r="E155" s="845">
        <v>2</v>
      </c>
      <c r="F155" s="845">
        <f>Financeiros!H17</f>
        <v>20</v>
      </c>
      <c r="G155" s="845">
        <f>Financeiros!I17</f>
        <v>60</v>
      </c>
      <c r="H155" s="845">
        <f>Financeiros!J17</f>
        <v>999</v>
      </c>
      <c r="I155" s="845">
        <f>Financeiros!K17</f>
        <v>3</v>
      </c>
      <c r="J155" s="845">
        <f>Financeiros!L17</f>
        <v>16</v>
      </c>
      <c r="K155" s="845">
        <f>Financeiros!M17</f>
        <v>9</v>
      </c>
      <c r="L155" s="845">
        <v>99</v>
      </c>
      <c r="M155" s="845">
        <v>9</v>
      </c>
      <c r="N155" s="845">
        <v>3</v>
      </c>
      <c r="O155" s="845">
        <v>99999</v>
      </c>
      <c r="P155" s="907">
        <f t="shared" si="6"/>
        <v>0</v>
      </c>
      <c r="Q155" s="232">
        <f>Financeiros!D17</f>
        <v>0</v>
      </c>
    </row>
    <row r="156" spans="1:17" ht="15.75">
      <c r="A156" s="845" t="s">
        <v>696</v>
      </c>
      <c r="B156" s="845" t="s">
        <v>1290</v>
      </c>
      <c r="C156" s="845" t="str">
        <f>Financeiros!C18</f>
        <v>(Neutralidade) ESS/ERR</v>
      </c>
      <c r="D156" s="845">
        <v>2</v>
      </c>
      <c r="E156" s="845">
        <v>2</v>
      </c>
      <c r="F156" s="845">
        <f>Financeiros!H18</f>
        <v>20</v>
      </c>
      <c r="G156" s="845">
        <f>Financeiros!I18</f>
        <v>60</v>
      </c>
      <c r="H156" s="845">
        <f>Financeiros!J18</f>
        <v>999</v>
      </c>
      <c r="I156" s="845">
        <f>Financeiros!K18</f>
        <v>3</v>
      </c>
      <c r="J156" s="845">
        <f>Financeiros!L18</f>
        <v>17</v>
      </c>
      <c r="K156" s="845">
        <f>Financeiros!M18</f>
        <v>9</v>
      </c>
      <c r="L156" s="845">
        <v>99</v>
      </c>
      <c r="M156" s="845">
        <v>9</v>
      </c>
      <c r="N156" s="845">
        <v>3</v>
      </c>
      <c r="O156" s="845">
        <v>99999</v>
      </c>
      <c r="P156" s="907">
        <f t="shared" ca="1" si="6"/>
        <v>0</v>
      </c>
      <c r="Q156" s="232">
        <f ca="1">Financeiros!D18</f>
        <v>0</v>
      </c>
    </row>
    <row r="157" spans="1:17" ht="15.75">
      <c r="A157" s="845" t="s">
        <v>696</v>
      </c>
      <c r="B157" s="845" t="s">
        <v>1290</v>
      </c>
      <c r="C157" s="845" t="str">
        <f>Financeiros!C19</f>
        <v>(Neutralidade) PROINFA</v>
      </c>
      <c r="D157" s="845">
        <v>2</v>
      </c>
      <c r="E157" s="845">
        <v>2</v>
      </c>
      <c r="F157" s="845">
        <f>Financeiros!H19</f>
        <v>20</v>
      </c>
      <c r="G157" s="845">
        <f>Financeiros!I19</f>
        <v>60</v>
      </c>
      <c r="H157" s="845">
        <f>Financeiros!J19</f>
        <v>999</v>
      </c>
      <c r="I157" s="845">
        <f>Financeiros!K19</f>
        <v>3</v>
      </c>
      <c r="J157" s="845">
        <f>Financeiros!L19</f>
        <v>18</v>
      </c>
      <c r="K157" s="845">
        <f>Financeiros!M19</f>
        <v>9</v>
      </c>
      <c r="L157" s="845">
        <v>99</v>
      </c>
      <c r="M157" s="845">
        <v>9</v>
      </c>
      <c r="N157" s="845">
        <v>3</v>
      </c>
      <c r="O157" s="845">
        <v>99999</v>
      </c>
      <c r="P157" s="907">
        <f t="shared" ca="1" si="6"/>
        <v>-1404.9905913531622</v>
      </c>
      <c r="Q157" s="232">
        <f ca="1">Financeiros!D19</f>
        <v>-1404.9905913531622</v>
      </c>
    </row>
    <row r="158" spans="1:17" ht="15.75">
      <c r="A158" s="845" t="s">
        <v>696</v>
      </c>
      <c r="B158" s="845" t="s">
        <v>1290</v>
      </c>
      <c r="C158" s="845" t="str">
        <f>Financeiros!C20</f>
        <v>(Neutralidade) CDE COVID</v>
      </c>
      <c r="D158" s="845">
        <v>2</v>
      </c>
      <c r="E158" s="845">
        <v>2</v>
      </c>
      <c r="F158" s="845">
        <f>Financeiros!H20</f>
        <v>20</v>
      </c>
      <c r="G158" s="845">
        <f>Financeiros!I20</f>
        <v>60</v>
      </c>
      <c r="H158" s="845">
        <f>Financeiros!J20</f>
        <v>999</v>
      </c>
      <c r="I158" s="845">
        <f>Financeiros!K20</f>
        <v>3</v>
      </c>
      <c r="J158" s="845">
        <f>Financeiros!L20</f>
        <v>12</v>
      </c>
      <c r="K158" s="845">
        <f>Financeiros!M20</f>
        <v>9</v>
      </c>
      <c r="L158" s="845">
        <v>99</v>
      </c>
      <c r="M158" s="845">
        <v>9</v>
      </c>
      <c r="N158" s="845">
        <v>3</v>
      </c>
      <c r="O158" s="845">
        <v>99999</v>
      </c>
      <c r="P158" s="907">
        <f t="shared" ca="1" si="6"/>
        <v>-3474.370163392417</v>
      </c>
      <c r="Q158" s="232">
        <f ca="1">Financeiros!D20</f>
        <v>-3474.370163392417</v>
      </c>
    </row>
    <row r="159" spans="1:17" ht="15.75">
      <c r="A159" s="845" t="s">
        <v>696</v>
      </c>
      <c r="B159" s="845" t="s">
        <v>1290</v>
      </c>
      <c r="C159" s="845" t="str">
        <f>Financeiros!C21</f>
        <v>(Neutralidade) P&amp;D</v>
      </c>
      <c r="D159" s="845">
        <v>2</v>
      </c>
      <c r="E159" s="845">
        <v>2</v>
      </c>
      <c r="F159" s="845">
        <f>Financeiros!H21</f>
        <v>20</v>
      </c>
      <c r="G159" s="845">
        <f>Financeiros!I21</f>
        <v>60</v>
      </c>
      <c r="H159" s="845">
        <f>Financeiros!J21</f>
        <v>999</v>
      </c>
      <c r="I159" s="845">
        <f>Financeiros!K21</f>
        <v>3</v>
      </c>
      <c r="J159" s="845">
        <f>Financeiros!L21</f>
        <v>19</v>
      </c>
      <c r="K159" s="845">
        <f>Financeiros!M21</f>
        <v>9</v>
      </c>
      <c r="L159" s="845">
        <v>99</v>
      </c>
      <c r="M159" s="845">
        <v>9</v>
      </c>
      <c r="N159" s="845">
        <v>3</v>
      </c>
      <c r="O159" s="845">
        <v>99999</v>
      </c>
      <c r="P159" s="907">
        <f t="shared" ca="1" si="6"/>
        <v>0</v>
      </c>
      <c r="Q159" s="232">
        <f ca="1">Financeiros!D21</f>
        <v>0</v>
      </c>
    </row>
    <row r="160" spans="1:17" ht="15.75">
      <c r="A160" s="845" t="s">
        <v>696</v>
      </c>
      <c r="B160" s="845" t="s">
        <v>1290</v>
      </c>
      <c r="C160" s="845" t="str">
        <f>Financeiros!C22</f>
        <v>(Neutralidade)Financeiro Covid</v>
      </c>
      <c r="D160" s="845">
        <v>2</v>
      </c>
      <c r="E160" s="845">
        <v>2</v>
      </c>
      <c r="F160" s="845">
        <f>Financeiros!H22</f>
        <v>20</v>
      </c>
      <c r="G160" s="845">
        <f>Financeiros!I22</f>
        <v>60</v>
      </c>
      <c r="H160" s="845">
        <f>Financeiros!J22</f>
        <v>999</v>
      </c>
      <c r="I160" s="845">
        <f>Financeiros!K22</f>
        <v>4</v>
      </c>
      <c r="J160" s="845">
        <f>Financeiros!L22</f>
        <v>999</v>
      </c>
      <c r="K160" s="845">
        <f>Financeiros!M22</f>
        <v>9</v>
      </c>
      <c r="L160" s="845">
        <v>99</v>
      </c>
      <c r="M160" s="845">
        <v>9</v>
      </c>
      <c r="N160" s="845">
        <v>3</v>
      </c>
      <c r="O160" s="845">
        <v>99999</v>
      </c>
      <c r="P160" s="907">
        <f t="shared" ca="1" si="6"/>
        <v>0</v>
      </c>
      <c r="Q160" s="232">
        <f ca="1">Financeiros!D22</f>
        <v>0</v>
      </c>
    </row>
    <row r="161" spans="1:17" ht="15.75">
      <c r="A161" s="845" t="s">
        <v>696</v>
      </c>
      <c r="B161" s="845" t="s">
        <v>1290</v>
      </c>
      <c r="C161" s="845" t="str">
        <f>Financeiros!C23</f>
        <v>(Neutralidade)Crédito Pis Cofins</v>
      </c>
      <c r="D161" s="845">
        <v>2</v>
      </c>
      <c r="E161" s="845">
        <v>2</v>
      </c>
      <c r="F161" s="845">
        <f>Financeiros!H23</f>
        <v>20</v>
      </c>
      <c r="G161" s="845">
        <f>Financeiros!I23</f>
        <v>60</v>
      </c>
      <c r="H161" s="845">
        <f>Financeiros!J23</f>
        <v>179</v>
      </c>
      <c r="I161" s="845">
        <f>Financeiros!K23</f>
        <v>99</v>
      </c>
      <c r="J161" s="845">
        <f>Financeiros!L23</f>
        <v>999</v>
      </c>
      <c r="K161" s="845">
        <f>Financeiros!M23</f>
        <v>3</v>
      </c>
      <c r="L161" s="845">
        <v>99</v>
      </c>
      <c r="M161" s="845">
        <v>9</v>
      </c>
      <c r="N161" s="845">
        <v>3</v>
      </c>
      <c r="O161" s="845">
        <v>99999</v>
      </c>
      <c r="P161" s="907">
        <f t="shared" ca="1" si="6"/>
        <v>0</v>
      </c>
      <c r="Q161" s="232">
        <f ca="1">Financeiros!D23</f>
        <v>0</v>
      </c>
    </row>
    <row r="162" spans="1:17" ht="15.75">
      <c r="A162" s="845" t="s">
        <v>696</v>
      </c>
      <c r="B162" s="845" t="s">
        <v>1290</v>
      </c>
      <c r="C162" s="845" t="str">
        <f>Financeiros!C24</f>
        <v>Ajuste CUST RB + PIS Cofins RB</v>
      </c>
      <c r="D162" s="845">
        <v>2</v>
      </c>
      <c r="E162" s="845">
        <v>2</v>
      </c>
      <c r="F162" s="845">
        <f>Financeiros!H24</f>
        <v>22</v>
      </c>
      <c r="G162" s="845">
        <f>Financeiros!I24</f>
        <v>60</v>
      </c>
      <c r="H162" s="845">
        <f>Financeiros!J24</f>
        <v>999</v>
      </c>
      <c r="I162" s="845">
        <f>Financeiros!K24</f>
        <v>1</v>
      </c>
      <c r="J162" s="845">
        <f>Financeiros!L24</f>
        <v>1</v>
      </c>
      <c r="K162" s="845">
        <f>Financeiros!M24</f>
        <v>9</v>
      </c>
      <c r="L162" s="845">
        <v>99</v>
      </c>
      <c r="M162" s="845">
        <v>9</v>
      </c>
      <c r="N162" s="845">
        <v>3</v>
      </c>
      <c r="O162" s="845">
        <v>99999</v>
      </c>
      <c r="P162" s="907">
        <f t="shared" si="6"/>
        <v>0</v>
      </c>
      <c r="Q162" s="232">
        <f>Financeiros!D24</f>
        <v>0</v>
      </c>
    </row>
    <row r="163" spans="1:17" ht="15.75">
      <c r="A163" s="845" t="s">
        <v>696</v>
      </c>
      <c r="B163" s="845" t="s">
        <v>1290</v>
      </c>
      <c r="C163" s="845" t="str">
        <f>Financeiros!C25</f>
        <v>Ajuste CUST RB Fronteira + PIS Cofins RB Fronteira</v>
      </c>
      <c r="D163" s="845">
        <v>2</v>
      </c>
      <c r="E163" s="845">
        <v>2</v>
      </c>
      <c r="F163" s="845">
        <f>Financeiros!H25</f>
        <v>22</v>
      </c>
      <c r="G163" s="845">
        <f>Financeiros!I25</f>
        <v>60</v>
      </c>
      <c r="H163" s="845">
        <f>Financeiros!J25</f>
        <v>999</v>
      </c>
      <c r="I163" s="845">
        <f>Financeiros!K25</f>
        <v>1</v>
      </c>
      <c r="J163" s="845">
        <f>Financeiros!L25</f>
        <v>2</v>
      </c>
      <c r="K163" s="845">
        <f>Financeiros!M25</f>
        <v>9</v>
      </c>
      <c r="L163" s="845">
        <v>99</v>
      </c>
      <c r="M163" s="845">
        <v>9</v>
      </c>
      <c r="N163" s="845">
        <v>3</v>
      </c>
      <c r="O163" s="845">
        <v>99999</v>
      </c>
      <c r="P163" s="907">
        <f t="shared" si="6"/>
        <v>0</v>
      </c>
      <c r="Q163" s="232">
        <f>Financeiros!D25</f>
        <v>0</v>
      </c>
    </row>
    <row r="164" spans="1:17" ht="15.75">
      <c r="A164" s="845" t="s">
        <v>696</v>
      </c>
      <c r="B164" s="845" t="s">
        <v>1290</v>
      </c>
      <c r="C164" s="845" t="str">
        <f>Financeiros!C26</f>
        <v>Manual de Contabilidade do Setor Elétrico</v>
      </c>
      <c r="D164" s="845">
        <v>2</v>
      </c>
      <c r="E164" s="845">
        <v>2</v>
      </c>
      <c r="F164" s="845">
        <f>Financeiros!H26</f>
        <v>22</v>
      </c>
      <c r="G164" s="845">
        <f>Financeiros!I26</f>
        <v>60</v>
      </c>
      <c r="H164" s="845">
        <f>Financeiros!J26</f>
        <v>167</v>
      </c>
      <c r="I164" s="845">
        <f>Financeiros!K26</f>
        <v>4</v>
      </c>
      <c r="J164" s="845">
        <f>Financeiros!L26</f>
        <v>999</v>
      </c>
      <c r="K164" s="845">
        <f>Financeiros!M26</f>
        <v>9</v>
      </c>
      <c r="L164" s="845">
        <v>99</v>
      </c>
      <c r="M164" s="845">
        <v>9</v>
      </c>
      <c r="N164" s="845">
        <v>3</v>
      </c>
      <c r="O164" s="845">
        <v>99999</v>
      </c>
      <c r="P164" s="907">
        <f t="shared" si="6"/>
        <v>0</v>
      </c>
      <c r="Q164" s="232">
        <f>Financeiros!D26</f>
        <v>0</v>
      </c>
    </row>
    <row r="165" spans="1:17" ht="15.75">
      <c r="A165" s="845" t="s">
        <v>696</v>
      </c>
      <c r="B165" s="845" t="s">
        <v>1290</v>
      </c>
      <c r="C165" s="845" t="str">
        <f>Financeiros!C27</f>
        <v>Financeiro CDE Eletrobras</v>
      </c>
      <c r="D165" s="845">
        <v>2</v>
      </c>
      <c r="E165" s="845">
        <v>2</v>
      </c>
      <c r="F165" s="845">
        <f>Financeiros!H27</f>
        <v>22</v>
      </c>
      <c r="G165" s="845">
        <f>Financeiros!I27</f>
        <v>60</v>
      </c>
      <c r="H165" s="845">
        <f>Financeiros!J27</f>
        <v>999</v>
      </c>
      <c r="I165" s="845">
        <f>Financeiros!K27</f>
        <v>3</v>
      </c>
      <c r="J165" s="845">
        <f>Financeiros!L27</f>
        <v>28</v>
      </c>
      <c r="K165" s="845">
        <f>Financeiros!M27</f>
        <v>9</v>
      </c>
      <c r="L165" s="845">
        <v>99</v>
      </c>
      <c r="M165" s="845">
        <v>9</v>
      </c>
      <c r="N165" s="845">
        <v>3</v>
      </c>
      <c r="O165" s="845">
        <v>99999</v>
      </c>
      <c r="P165" s="907">
        <f t="shared" si="6"/>
        <v>0</v>
      </c>
      <c r="Q165" s="232">
        <f>Financeiros!D27</f>
        <v>0</v>
      </c>
    </row>
    <row r="166" spans="1:17" ht="15.75">
      <c r="A166" s="845" t="s">
        <v>696</v>
      </c>
      <c r="B166" s="845" t="s">
        <v>1290</v>
      </c>
      <c r="C166" s="845" t="str">
        <f>Financeiros!C28</f>
        <v>Ajustes Processos anteriores</v>
      </c>
      <c r="D166" s="845">
        <v>2</v>
      </c>
      <c r="E166" s="845">
        <v>2</v>
      </c>
      <c r="F166" s="845">
        <f>Financeiros!H28</f>
        <v>22</v>
      </c>
      <c r="G166" s="845">
        <f>Financeiros!I28</f>
        <v>60</v>
      </c>
      <c r="H166" s="845">
        <f>Financeiros!J28</f>
        <v>999</v>
      </c>
      <c r="I166" s="845">
        <f>Financeiros!K28</f>
        <v>2</v>
      </c>
      <c r="J166" s="845">
        <f>Financeiros!L28</f>
        <v>30</v>
      </c>
      <c r="K166" s="845">
        <f>Financeiros!M28</f>
        <v>9</v>
      </c>
      <c r="L166" s="845">
        <v>99</v>
      </c>
      <c r="M166" s="845">
        <v>9</v>
      </c>
      <c r="N166" s="845">
        <v>3</v>
      </c>
      <c r="O166" s="845">
        <v>99999</v>
      </c>
      <c r="P166" s="907">
        <f t="shared" si="6"/>
        <v>0</v>
      </c>
      <c r="Q166" s="232">
        <f>Financeiros!D28</f>
        <v>0</v>
      </c>
    </row>
    <row r="167" spans="1:17" ht="15.75">
      <c r="A167" s="845" t="s">
        <v>696</v>
      </c>
      <c r="B167" s="845" t="s">
        <v>1290</v>
      </c>
      <c r="C167" s="845" t="str">
        <f>Financeiros!C29</f>
        <v>Compensação DIC FIC</v>
      </c>
      <c r="D167" s="845">
        <v>2</v>
      </c>
      <c r="E167" s="845">
        <v>2</v>
      </c>
      <c r="F167" s="845">
        <f>Financeiros!H29</f>
        <v>22</v>
      </c>
      <c r="G167" s="845">
        <f>Financeiros!I29</f>
        <v>60</v>
      </c>
      <c r="H167" s="845">
        <f>Financeiros!J29</f>
        <v>178</v>
      </c>
      <c r="I167" s="845">
        <f>Financeiros!K29</f>
        <v>1</v>
      </c>
      <c r="J167" s="845">
        <f>Financeiros!L29</f>
        <v>7</v>
      </c>
      <c r="K167" s="845">
        <f>Financeiros!M29</f>
        <v>9</v>
      </c>
      <c r="L167" s="845">
        <v>99</v>
      </c>
      <c r="M167" s="845">
        <v>9</v>
      </c>
      <c r="N167" s="845">
        <v>3</v>
      </c>
      <c r="O167" s="845">
        <v>99999</v>
      </c>
      <c r="P167" s="907">
        <f t="shared" si="6"/>
        <v>-9792.7939776082167</v>
      </c>
      <c r="Q167" s="232">
        <f>Financeiros!D29</f>
        <v>-9792.7939776082167</v>
      </c>
    </row>
    <row r="168" spans="1:17" ht="15.75">
      <c r="A168" s="845" t="s">
        <v>696</v>
      </c>
      <c r="B168" s="845" t="s">
        <v>1290</v>
      </c>
      <c r="C168" s="845" t="str">
        <f>Financeiros!C30</f>
        <v>Subvenção CDE</v>
      </c>
      <c r="D168" s="845">
        <v>2</v>
      </c>
      <c r="E168" s="845">
        <v>2</v>
      </c>
      <c r="F168" s="845">
        <f>Financeiros!H30</f>
        <v>22</v>
      </c>
      <c r="G168" s="845">
        <f>Financeiros!I30</f>
        <v>60</v>
      </c>
      <c r="H168" s="845">
        <f>Financeiros!J30</f>
        <v>242</v>
      </c>
      <c r="I168" s="845">
        <f>Financeiros!K30</f>
        <v>4</v>
      </c>
      <c r="J168" s="845">
        <f>Financeiros!L30</f>
        <v>999</v>
      </c>
      <c r="K168" s="845">
        <f>Financeiros!M30</f>
        <v>9</v>
      </c>
      <c r="L168" s="845">
        <v>99</v>
      </c>
      <c r="M168" s="845">
        <v>9</v>
      </c>
      <c r="N168" s="845">
        <v>3</v>
      </c>
      <c r="O168" s="845">
        <v>99999</v>
      </c>
      <c r="P168" s="907">
        <f t="shared" ca="1" si="6"/>
        <v>-2975069.7960253092</v>
      </c>
      <c r="Q168" s="232">
        <f ca="1">Financeiros!D30</f>
        <v>-2975069.7960253092</v>
      </c>
    </row>
    <row r="169" spans="1:17" ht="15.75">
      <c r="A169" s="845" t="s">
        <v>696</v>
      </c>
      <c r="B169" s="845" t="s">
        <v>1290</v>
      </c>
      <c r="C169" s="845" t="str">
        <f>Financeiros!C31</f>
        <v>Retenção de Adicionais de Bandeiras Tarifárias</v>
      </c>
      <c r="D169" s="845">
        <v>2</v>
      </c>
      <c r="E169" s="845">
        <v>2</v>
      </c>
      <c r="F169" s="845">
        <f>Financeiros!H31</f>
        <v>22</v>
      </c>
      <c r="G169" s="845">
        <f>Financeiros!I31</f>
        <v>60</v>
      </c>
      <c r="H169" s="845">
        <f>Financeiros!J31</f>
        <v>999</v>
      </c>
      <c r="I169" s="845">
        <f>Financeiros!K31</f>
        <v>2</v>
      </c>
      <c r="J169" s="845">
        <f>Financeiros!L31</f>
        <v>30</v>
      </c>
      <c r="K169" s="845">
        <f>Financeiros!M31</f>
        <v>9</v>
      </c>
      <c r="L169" s="845">
        <v>99</v>
      </c>
      <c r="M169" s="845">
        <v>9</v>
      </c>
      <c r="N169" s="845">
        <v>3</v>
      </c>
      <c r="O169" s="845">
        <v>99999</v>
      </c>
      <c r="P169" s="907">
        <f t="shared" si="6"/>
        <v>-88163.743639273118</v>
      </c>
      <c r="Q169" s="232">
        <f>Financeiros!D31</f>
        <v>-88163.743639273118</v>
      </c>
    </row>
    <row r="170" spans="1:17" ht="15.75">
      <c r="A170" s="845" t="s">
        <v>696</v>
      </c>
      <c r="B170" s="845" t="s">
        <v>1290</v>
      </c>
      <c r="C170" s="845" t="str">
        <f>Financeiros!C32</f>
        <v>Multa LPT</v>
      </c>
      <c r="D170" s="845">
        <v>2</v>
      </c>
      <c r="E170" s="845">
        <v>2</v>
      </c>
      <c r="F170" s="845">
        <f>Financeiros!H32</f>
        <v>22</v>
      </c>
      <c r="G170" s="845">
        <f>Financeiros!I32</f>
        <v>60</v>
      </c>
      <c r="H170" s="845">
        <f>Financeiros!J32</f>
        <v>120</v>
      </c>
      <c r="I170" s="845">
        <f>Financeiros!K32</f>
        <v>4</v>
      </c>
      <c r="J170" s="845">
        <f>Financeiros!L32</f>
        <v>999</v>
      </c>
      <c r="K170" s="845">
        <f>Financeiros!M32</f>
        <v>9</v>
      </c>
      <c r="L170" s="845">
        <v>99</v>
      </c>
      <c r="M170" s="845">
        <v>9</v>
      </c>
      <c r="N170" s="845">
        <v>3</v>
      </c>
      <c r="O170" s="845">
        <v>99999</v>
      </c>
      <c r="P170" s="907">
        <f t="shared" si="6"/>
        <v>0</v>
      </c>
      <c r="Q170" s="232">
        <f>Financeiros!D32</f>
        <v>0</v>
      </c>
    </row>
    <row r="171" spans="1:17" ht="15.75">
      <c r="A171" s="845" t="s">
        <v>696</v>
      </c>
      <c r="B171" s="845" t="s">
        <v>1290</v>
      </c>
      <c r="C171" s="845" t="str">
        <f>Financeiros!C33</f>
        <v>Repasse de ICMS CUSD</v>
      </c>
      <c r="D171" s="845">
        <v>2</v>
      </c>
      <c r="E171" s="845">
        <v>2</v>
      </c>
      <c r="F171" s="845">
        <f>Financeiros!H33</f>
        <v>22</v>
      </c>
      <c r="G171" s="845">
        <f>Financeiros!I33</f>
        <v>60</v>
      </c>
      <c r="H171" s="845">
        <f>Financeiros!J33</f>
        <v>999</v>
      </c>
      <c r="I171" s="845">
        <f>Financeiros!K33</f>
        <v>1</v>
      </c>
      <c r="J171" s="845">
        <f>Financeiros!L33</f>
        <v>7</v>
      </c>
      <c r="K171" s="845">
        <f>Financeiros!M33</f>
        <v>9</v>
      </c>
      <c r="L171" s="845">
        <v>99</v>
      </c>
      <c r="M171" s="845">
        <v>9</v>
      </c>
      <c r="N171" s="845">
        <v>3</v>
      </c>
      <c r="O171" s="845">
        <v>99999</v>
      </c>
      <c r="P171" s="907">
        <f t="shared" si="6"/>
        <v>0</v>
      </c>
      <c r="Q171" s="232">
        <f>Financeiros!D33</f>
        <v>0</v>
      </c>
    </row>
    <row r="172" spans="1:17" ht="15.75">
      <c r="A172" s="845" t="s">
        <v>696</v>
      </c>
      <c r="B172" s="845" t="s">
        <v>1290</v>
      </c>
      <c r="C172" s="845" t="str">
        <f>Financeiros!C34</f>
        <v>Repasse de ICMS TE</v>
      </c>
      <c r="D172" s="845">
        <v>2</v>
      </c>
      <c r="E172" s="845">
        <v>2</v>
      </c>
      <c r="F172" s="845">
        <f>Financeiros!H34</f>
        <v>22</v>
      </c>
      <c r="G172" s="845">
        <f>Financeiros!I34</f>
        <v>60</v>
      </c>
      <c r="H172" s="845">
        <f>Financeiros!J34</f>
        <v>999</v>
      </c>
      <c r="I172" s="845">
        <f>Financeiros!K34</f>
        <v>2</v>
      </c>
      <c r="J172" s="845">
        <f>Financeiros!L34</f>
        <v>30</v>
      </c>
      <c r="K172" s="845">
        <f>Financeiros!M34</f>
        <v>9</v>
      </c>
      <c r="L172" s="845">
        <v>99</v>
      </c>
      <c r="M172" s="845">
        <v>9</v>
      </c>
      <c r="N172" s="845">
        <v>3</v>
      </c>
      <c r="O172" s="845">
        <v>99999</v>
      </c>
      <c r="P172" s="907">
        <f t="shared" si="6"/>
        <v>0</v>
      </c>
      <c r="Q172" s="232">
        <f>Financeiros!D34</f>
        <v>0</v>
      </c>
    </row>
    <row r="173" spans="1:17" ht="15.75">
      <c r="A173" s="845" t="s">
        <v>696</v>
      </c>
      <c r="B173" s="845" t="s">
        <v>1290</v>
      </c>
      <c r="C173" s="845" t="str">
        <f>Financeiros!C35</f>
        <v>Ressarcimento P&amp;D</v>
      </c>
      <c r="D173" s="845">
        <v>2</v>
      </c>
      <c r="E173" s="845">
        <v>2</v>
      </c>
      <c r="F173" s="845">
        <f>Financeiros!H35</f>
        <v>22</v>
      </c>
      <c r="G173" s="845">
        <f>Financeiros!I35</f>
        <v>60</v>
      </c>
      <c r="H173" s="845">
        <f>Financeiros!J35</f>
        <v>999</v>
      </c>
      <c r="I173" s="845">
        <f>Financeiros!K35</f>
        <v>3</v>
      </c>
      <c r="J173" s="845">
        <f>Financeiros!L35</f>
        <v>19</v>
      </c>
      <c r="K173" s="845">
        <f>Financeiros!M35</f>
        <v>9</v>
      </c>
      <c r="L173" s="845">
        <v>99</v>
      </c>
      <c r="M173" s="845">
        <v>9</v>
      </c>
      <c r="N173" s="845">
        <v>3</v>
      </c>
      <c r="O173" s="845">
        <v>99999</v>
      </c>
      <c r="P173" s="907">
        <f t="shared" si="6"/>
        <v>0</v>
      </c>
      <c r="Q173" s="232">
        <f>Financeiros!D35</f>
        <v>0</v>
      </c>
    </row>
    <row r="174" spans="1:17" ht="15.75">
      <c r="A174" s="845" t="s">
        <v>696</v>
      </c>
      <c r="B174" s="845" t="s">
        <v>1290</v>
      </c>
      <c r="C174" s="845" t="str">
        <f>Financeiros!C36</f>
        <v>Efeito Conta COVID</v>
      </c>
      <c r="D174" s="845">
        <v>2</v>
      </c>
      <c r="E174" s="845">
        <v>2</v>
      </c>
      <c r="F174" s="845">
        <f>Financeiros!H36</f>
        <v>22</v>
      </c>
      <c r="G174" s="845">
        <f>Financeiros!I36</f>
        <v>60</v>
      </c>
      <c r="H174" s="845">
        <f>Financeiros!J36</f>
        <v>999</v>
      </c>
      <c r="I174" s="845">
        <f>Financeiros!K36</f>
        <v>4</v>
      </c>
      <c r="J174" s="845">
        <f>Financeiros!L36</f>
        <v>999</v>
      </c>
      <c r="K174" s="845">
        <f>Financeiros!M36</f>
        <v>9</v>
      </c>
      <c r="L174" s="845">
        <v>99</v>
      </c>
      <c r="M174" s="845">
        <v>9</v>
      </c>
      <c r="N174" s="845">
        <v>3</v>
      </c>
      <c r="O174" s="845">
        <v>99999</v>
      </c>
      <c r="P174" s="907">
        <f t="shared" si="6"/>
        <v>0</v>
      </c>
      <c r="Q174" s="232">
        <f>Financeiros!D36</f>
        <v>0</v>
      </c>
    </row>
    <row r="175" spans="1:17" ht="15.75">
      <c r="A175" s="845" t="s">
        <v>696</v>
      </c>
      <c r="B175" s="845" t="s">
        <v>1290</v>
      </c>
      <c r="C175" s="845" t="str">
        <f>Financeiros!C37</f>
        <v>Diferimento de Parcela B</v>
      </c>
      <c r="D175" s="845">
        <v>2</v>
      </c>
      <c r="E175" s="845">
        <v>2</v>
      </c>
      <c r="F175" s="845">
        <v>999</v>
      </c>
      <c r="G175" s="845">
        <v>999999</v>
      </c>
      <c r="H175" s="845">
        <v>999</v>
      </c>
      <c r="I175" s="845">
        <v>99</v>
      </c>
      <c r="J175" s="845">
        <v>999</v>
      </c>
      <c r="K175" s="845">
        <v>9</v>
      </c>
      <c r="L175" s="845">
        <v>99</v>
      </c>
      <c r="M175" s="845">
        <v>9</v>
      </c>
      <c r="N175" s="845">
        <v>3</v>
      </c>
      <c r="O175" s="845">
        <v>99999</v>
      </c>
      <c r="P175" s="907">
        <f t="shared" si="6"/>
        <v>0</v>
      </c>
      <c r="Q175" s="232">
        <f>Financeiros!D37</f>
        <v>0</v>
      </c>
    </row>
    <row r="176" spans="1:17" ht="15.75">
      <c r="A176" s="845" t="s">
        <v>696</v>
      </c>
      <c r="B176" s="845" t="s">
        <v>1290</v>
      </c>
      <c r="C176" s="845" t="str">
        <f>Financeiros!C38</f>
        <v>Efeito COVID da Supridora</v>
      </c>
      <c r="D176" s="845">
        <v>2</v>
      </c>
      <c r="E176" s="845">
        <v>2</v>
      </c>
      <c r="F176" s="845">
        <f>Financeiros!H38</f>
        <v>22</v>
      </c>
      <c r="G176" s="845">
        <f>Financeiros!I38</f>
        <v>60</v>
      </c>
      <c r="H176" s="845">
        <f>Financeiros!J38</f>
        <v>999</v>
      </c>
      <c r="I176" s="845">
        <f>Financeiros!K38</f>
        <v>2</v>
      </c>
      <c r="J176" s="845">
        <f>Financeiros!L38</f>
        <v>30</v>
      </c>
      <c r="K176" s="845">
        <f>Financeiros!M38</f>
        <v>9</v>
      </c>
      <c r="L176" s="845">
        <v>99</v>
      </c>
      <c r="M176" s="845">
        <v>9</v>
      </c>
      <c r="N176" s="845">
        <v>3</v>
      </c>
      <c r="O176" s="845">
        <v>99999</v>
      </c>
      <c r="P176" s="907">
        <f t="shared" si="6"/>
        <v>0</v>
      </c>
      <c r="Q176" s="232">
        <f>Financeiros!D38</f>
        <v>0</v>
      </c>
    </row>
    <row r="177" spans="1:17" ht="15.75">
      <c r="A177" s="845" t="s">
        <v>696</v>
      </c>
      <c r="B177" s="845" t="s">
        <v>1290</v>
      </c>
      <c r="C177" s="845" t="str">
        <f>Financeiros!C39</f>
        <v>Crédito de Pis Cofins sobre ICMS</v>
      </c>
      <c r="D177" s="845">
        <v>2</v>
      </c>
      <c r="E177" s="845">
        <v>2</v>
      </c>
      <c r="F177" s="845">
        <f>Financeiros!H39</f>
        <v>22</v>
      </c>
      <c r="G177" s="845">
        <f>Financeiros!I39</f>
        <v>60</v>
      </c>
      <c r="H177" s="845">
        <f>Financeiros!J39</f>
        <v>179</v>
      </c>
      <c r="I177" s="845">
        <f>Financeiros!K39</f>
        <v>99</v>
      </c>
      <c r="J177" s="845">
        <f>Financeiros!L39</f>
        <v>999</v>
      </c>
      <c r="K177" s="845">
        <f>Financeiros!M39</f>
        <v>3</v>
      </c>
      <c r="L177" s="845">
        <v>99</v>
      </c>
      <c r="M177" s="845">
        <v>9</v>
      </c>
      <c r="N177" s="845">
        <v>3</v>
      </c>
      <c r="O177" s="845">
        <v>99999</v>
      </c>
      <c r="P177" s="907">
        <f t="shared" si="6"/>
        <v>0</v>
      </c>
      <c r="Q177" s="232">
        <f>Financeiros!D39</f>
        <v>0</v>
      </c>
    </row>
    <row r="178" spans="1:17" ht="15.75">
      <c r="A178" s="845" t="s">
        <v>696</v>
      </c>
      <c r="B178" s="845" t="s">
        <v>1290</v>
      </c>
      <c r="C178" s="845" t="str">
        <f>Financeiros!C40</f>
        <v>Diferimento Pis Cofins TUSD</v>
      </c>
      <c r="D178" s="845">
        <v>2</v>
      </c>
      <c r="E178" s="845">
        <v>2</v>
      </c>
      <c r="F178" s="845">
        <f>Financeiros!H40</f>
        <v>22</v>
      </c>
      <c r="G178" s="845">
        <f>Financeiros!I40</f>
        <v>60</v>
      </c>
      <c r="H178" s="845">
        <f>Financeiros!J40</f>
        <v>999</v>
      </c>
      <c r="I178" s="845">
        <f>Financeiros!K40</f>
        <v>1</v>
      </c>
      <c r="J178" s="845">
        <f>Financeiros!L40</f>
        <v>7</v>
      </c>
      <c r="K178" s="845">
        <f>Financeiros!M40</f>
        <v>9</v>
      </c>
      <c r="L178" s="845">
        <v>99</v>
      </c>
      <c r="M178" s="845">
        <v>9</v>
      </c>
      <c r="N178" s="845">
        <v>3</v>
      </c>
      <c r="O178" s="845">
        <v>99999</v>
      </c>
      <c r="P178" s="907">
        <f t="shared" si="6"/>
        <v>0</v>
      </c>
      <c r="Q178" s="232">
        <f>Financeiros!D40</f>
        <v>0</v>
      </c>
    </row>
    <row r="179" spans="1:17" ht="15.75">
      <c r="A179" s="845" t="s">
        <v>696</v>
      </c>
      <c r="B179" s="845" t="s">
        <v>1290</v>
      </c>
      <c r="C179" s="845" t="str">
        <f>Financeiros!C41</f>
        <v>Diferimento Pis Cofins TE</v>
      </c>
      <c r="D179" s="845">
        <v>2</v>
      </c>
      <c r="E179" s="845">
        <v>2</v>
      </c>
      <c r="F179" s="845">
        <f>Financeiros!H41</f>
        <v>22</v>
      </c>
      <c r="G179" s="845">
        <f>Financeiros!I41</f>
        <v>60</v>
      </c>
      <c r="H179" s="845">
        <f>Financeiros!J41</f>
        <v>999</v>
      </c>
      <c r="I179" s="845">
        <f>Financeiros!K41</f>
        <v>2</v>
      </c>
      <c r="J179" s="845">
        <f>Financeiros!L41</f>
        <v>30</v>
      </c>
      <c r="K179" s="845">
        <f>Financeiros!M41</f>
        <v>9</v>
      </c>
      <c r="L179" s="845">
        <v>99</v>
      </c>
      <c r="M179" s="845">
        <v>9</v>
      </c>
      <c r="N179" s="845">
        <v>3</v>
      </c>
      <c r="O179" s="845">
        <v>99999</v>
      </c>
      <c r="P179" s="907">
        <f t="shared" si="6"/>
        <v>0</v>
      </c>
      <c r="Q179" s="232">
        <f>Financeiros!D41</f>
        <v>0</v>
      </c>
    </row>
    <row r="180" spans="1:17" ht="15.75">
      <c r="A180" s="845" t="s">
        <v>696</v>
      </c>
      <c r="B180" s="845" t="s">
        <v>1290</v>
      </c>
      <c r="C180" s="845" t="str">
        <f>Financeiros!C42</f>
        <v>Financeiros associados ao §7º do Art. 88 da Ren 414/2021</v>
      </c>
      <c r="D180" s="845">
        <v>2</v>
      </c>
      <c r="E180" s="845">
        <v>2</v>
      </c>
      <c r="F180" s="845">
        <f>Financeiros!H42</f>
        <v>22</v>
      </c>
      <c r="G180" s="845">
        <f>Financeiros!I42</f>
        <v>60</v>
      </c>
      <c r="H180" s="845">
        <f>Financeiros!J42</f>
        <v>999</v>
      </c>
      <c r="I180" s="845">
        <f>Financeiros!K42</f>
        <v>4</v>
      </c>
      <c r="J180" s="845">
        <f>Financeiros!L42</f>
        <v>999</v>
      </c>
      <c r="K180" s="845">
        <f>Financeiros!M42</f>
        <v>9</v>
      </c>
      <c r="L180" s="845">
        <v>99</v>
      </c>
      <c r="M180" s="845">
        <v>9</v>
      </c>
      <c r="N180" s="845">
        <v>3</v>
      </c>
      <c r="O180" s="845">
        <v>99999</v>
      </c>
      <c r="P180" s="907">
        <f t="shared" si="6"/>
        <v>0</v>
      </c>
      <c r="Q180" s="232">
        <f>Financeiros!D42</f>
        <v>0</v>
      </c>
    </row>
    <row r="181" spans="1:17" ht="15.75">
      <c r="A181" s="845" t="s">
        <v>696</v>
      </c>
      <c r="B181" s="845" t="s">
        <v>1290</v>
      </c>
      <c r="C181" s="845" t="str">
        <f>Financeiros!C43</f>
        <v>Spread Conta Covid</v>
      </c>
      <c r="D181" s="845">
        <v>2</v>
      </c>
      <c r="E181" s="845">
        <v>2</v>
      </c>
      <c r="F181" s="845">
        <f>Financeiros!H43</f>
        <v>22</v>
      </c>
      <c r="G181" s="845">
        <f>Financeiros!I43</f>
        <v>60</v>
      </c>
      <c r="H181" s="845">
        <f>Financeiros!J43</f>
        <v>235</v>
      </c>
      <c r="I181" s="845">
        <f>Financeiros!K43</f>
        <v>4</v>
      </c>
      <c r="J181" s="845">
        <f>Financeiros!L43</f>
        <v>999</v>
      </c>
      <c r="K181" s="845">
        <f>Financeiros!M43</f>
        <v>9</v>
      </c>
      <c r="L181" s="845">
        <v>99</v>
      </c>
      <c r="M181" s="845">
        <v>9</v>
      </c>
      <c r="N181" s="845">
        <v>3</v>
      </c>
      <c r="O181" s="845">
        <v>99999</v>
      </c>
      <c r="P181" s="907">
        <f t="shared" si="6"/>
        <v>-49683</v>
      </c>
      <c r="Q181" s="232">
        <f>Financeiros!D43</f>
        <v>-49683</v>
      </c>
    </row>
    <row r="182" spans="1:17" ht="15.75">
      <c r="A182" s="845" t="s">
        <v>696</v>
      </c>
      <c r="B182" s="845" t="s">
        <v>1290</v>
      </c>
      <c r="C182" s="845" t="str">
        <f>Financeiros!C44</f>
        <v>Diferimento Compra de Energia</v>
      </c>
      <c r="D182" s="845">
        <v>2</v>
      </c>
      <c r="E182" s="845">
        <v>2</v>
      </c>
      <c r="F182" s="845">
        <f>Financeiros!H44</f>
        <v>22</v>
      </c>
      <c r="G182" s="845">
        <f>Financeiros!I44</f>
        <v>60</v>
      </c>
      <c r="H182" s="845">
        <f>Financeiros!J44</f>
        <v>999</v>
      </c>
      <c r="I182" s="845">
        <f>Financeiros!K44</f>
        <v>2</v>
      </c>
      <c r="J182" s="845">
        <f>Financeiros!L44</f>
        <v>30</v>
      </c>
      <c r="K182" s="845">
        <f>Financeiros!M44</f>
        <v>9</v>
      </c>
      <c r="L182" s="845">
        <v>99</v>
      </c>
      <c r="M182" s="845">
        <v>9</v>
      </c>
      <c r="N182" s="845">
        <v>3</v>
      </c>
      <c r="O182" s="845">
        <v>99999</v>
      </c>
      <c r="P182" s="907">
        <f t="shared" si="6"/>
        <v>-1250000</v>
      </c>
      <c r="Q182" s="232">
        <f>Financeiros!D44</f>
        <v>-1250000</v>
      </c>
    </row>
    <row r="183" spans="1:17" ht="15.75">
      <c r="A183" s="845" t="s">
        <v>696</v>
      </c>
      <c r="B183" s="845" t="s">
        <v>1290</v>
      </c>
      <c r="C183" s="845" t="str">
        <f>Financeiros!C45</f>
        <v xml:space="preserve">Reversão do Diferimento de Compra de Energia </v>
      </c>
      <c r="D183" s="845">
        <v>2</v>
      </c>
      <c r="E183" s="845">
        <v>2</v>
      </c>
      <c r="F183" s="845">
        <f>Financeiros!H45</f>
        <v>22</v>
      </c>
      <c r="G183" s="845">
        <f>Financeiros!I45</f>
        <v>60</v>
      </c>
      <c r="H183" s="845">
        <f>Financeiros!J45</f>
        <v>999</v>
      </c>
      <c r="I183" s="845">
        <f>Financeiros!K45</f>
        <v>2</v>
      </c>
      <c r="J183" s="845">
        <f>Financeiros!L45</f>
        <v>30</v>
      </c>
      <c r="K183" s="845">
        <f>Financeiros!M45</f>
        <v>9</v>
      </c>
      <c r="L183" s="845">
        <v>99</v>
      </c>
      <c r="M183" s="845">
        <v>9</v>
      </c>
      <c r="N183" s="845">
        <v>3</v>
      </c>
      <c r="O183" s="845">
        <v>99999</v>
      </c>
      <c r="P183" s="907">
        <f t="shared" si="6"/>
        <v>1087272.9129262005</v>
      </c>
      <c r="Q183" s="232">
        <f>Financeiros!D45</f>
        <v>1087272.9129262005</v>
      </c>
    </row>
    <row r="184" spans="1:17" ht="15.75">
      <c r="A184" s="845" t="s">
        <v>696</v>
      </c>
      <c r="B184" s="845" t="s">
        <v>1290</v>
      </c>
      <c r="C184" s="845" t="str">
        <f>Financeiros!C46</f>
        <v>Reversão do Diferimento de Parcela B</v>
      </c>
      <c r="D184" s="845">
        <v>2</v>
      </c>
      <c r="E184" s="845">
        <v>2</v>
      </c>
      <c r="F184" s="845">
        <v>999</v>
      </c>
      <c r="G184" s="845">
        <v>999999</v>
      </c>
      <c r="H184" s="845">
        <v>999</v>
      </c>
      <c r="I184" s="845">
        <v>99</v>
      </c>
      <c r="J184" s="845">
        <v>999</v>
      </c>
      <c r="K184" s="845">
        <v>9</v>
      </c>
      <c r="L184" s="845">
        <v>99</v>
      </c>
      <c r="M184" s="845">
        <v>9</v>
      </c>
      <c r="N184" s="845">
        <v>3</v>
      </c>
      <c r="O184" s="845">
        <v>99999</v>
      </c>
      <c r="P184" s="907">
        <f t="shared" si="6"/>
        <v>0</v>
      </c>
      <c r="Q184" s="232">
        <f>Financeiros!D46</f>
        <v>0</v>
      </c>
    </row>
    <row r="185" spans="1:17" ht="15.75">
      <c r="A185" s="845" t="s">
        <v>696</v>
      </c>
      <c r="B185" s="845" t="s">
        <v>1290</v>
      </c>
      <c r="C185" s="845" t="str">
        <f>Financeiros!C47</f>
        <v>Reversão do Diferimento de Pis Cofins TUSD</v>
      </c>
      <c r="D185" s="845">
        <v>2</v>
      </c>
      <c r="E185" s="845">
        <v>2</v>
      </c>
      <c r="F185" s="845">
        <v>999</v>
      </c>
      <c r="G185" s="845">
        <v>999999</v>
      </c>
      <c r="H185" s="845">
        <v>999</v>
      </c>
      <c r="I185" s="845">
        <v>99</v>
      </c>
      <c r="J185" s="845">
        <v>999</v>
      </c>
      <c r="K185" s="845">
        <v>9</v>
      </c>
      <c r="L185" s="845">
        <v>99</v>
      </c>
      <c r="M185" s="845">
        <v>9</v>
      </c>
      <c r="N185" s="845">
        <v>3</v>
      </c>
      <c r="O185" s="845">
        <v>99999</v>
      </c>
      <c r="P185" s="907">
        <f t="shared" si="6"/>
        <v>0</v>
      </c>
      <c r="Q185" s="232">
        <f>Financeiros!D47</f>
        <v>0</v>
      </c>
    </row>
    <row r="186" spans="1:17" ht="15.75">
      <c r="A186" s="845" t="s">
        <v>696</v>
      </c>
      <c r="B186" s="845" t="s">
        <v>1290</v>
      </c>
      <c r="C186" s="845" t="str">
        <f>Financeiros!C48</f>
        <v>Reversão do Diferimento de Pis Cofins TE</v>
      </c>
      <c r="D186" s="845">
        <v>2</v>
      </c>
      <c r="E186" s="845">
        <v>2</v>
      </c>
      <c r="F186" s="845">
        <v>999</v>
      </c>
      <c r="G186" s="845">
        <v>999999</v>
      </c>
      <c r="H186" s="845">
        <v>999</v>
      </c>
      <c r="I186" s="845">
        <v>99</v>
      </c>
      <c r="J186" s="845">
        <v>999</v>
      </c>
      <c r="K186" s="845">
        <v>9</v>
      </c>
      <c r="L186" s="845">
        <v>99</v>
      </c>
      <c r="M186" s="845">
        <v>9</v>
      </c>
      <c r="N186" s="845">
        <v>3</v>
      </c>
      <c r="O186" s="845">
        <v>99999</v>
      </c>
      <c r="P186" s="907">
        <f t="shared" si="6"/>
        <v>0</v>
      </c>
      <c r="Q186" s="232">
        <f>Financeiros!D48</f>
        <v>0</v>
      </c>
    </row>
    <row r="187" spans="1:17" ht="15.75">
      <c r="A187" s="845" t="s">
        <v>696</v>
      </c>
      <c r="B187" s="845" t="s">
        <v>1290</v>
      </c>
      <c r="C187" s="845" t="str">
        <f>Financeiros!C49</f>
        <v>CVE ccc</v>
      </c>
      <c r="D187" s="845">
        <v>2</v>
      </c>
      <c r="E187" s="845">
        <v>2</v>
      </c>
      <c r="F187" s="845">
        <f>Financeiros!H49</f>
        <v>22</v>
      </c>
      <c r="G187" s="845">
        <f>Financeiros!I49</f>
        <v>60</v>
      </c>
      <c r="H187" s="845">
        <f>Financeiros!J49</f>
        <v>241</v>
      </c>
      <c r="I187" s="845">
        <f>Financeiros!K49</f>
        <v>3</v>
      </c>
      <c r="J187" s="845">
        <f>Financeiros!L49</f>
        <v>13</v>
      </c>
      <c r="K187" s="845">
        <f>Financeiros!M49</f>
        <v>9</v>
      </c>
      <c r="L187" s="845">
        <v>99</v>
      </c>
      <c r="M187" s="845">
        <v>9</v>
      </c>
      <c r="N187" s="845">
        <v>3</v>
      </c>
      <c r="O187" s="845">
        <v>99999</v>
      </c>
      <c r="P187" s="907">
        <f t="shared" si="6"/>
        <v>0</v>
      </c>
      <c r="Q187" s="232">
        <f>Financeiros!D49</f>
        <v>0</v>
      </c>
    </row>
    <row r="188" spans="1:17" ht="15.75">
      <c r="A188" s="845" t="s">
        <v>696</v>
      </c>
      <c r="B188" s="845" t="s">
        <v>1290</v>
      </c>
      <c r="C188" s="845" t="str">
        <f>Financeiros!C50</f>
        <v>CVE cde</v>
      </c>
      <c r="D188" s="845">
        <v>2</v>
      </c>
      <c r="E188" s="845">
        <v>2</v>
      </c>
      <c r="F188" s="845">
        <f>Financeiros!H50</f>
        <v>22</v>
      </c>
      <c r="G188" s="845">
        <f>Financeiros!I50</f>
        <v>60</v>
      </c>
      <c r="H188" s="845">
        <f>Financeiros!J50</f>
        <v>241</v>
      </c>
      <c r="I188" s="845">
        <f>Financeiros!K50</f>
        <v>3</v>
      </c>
      <c r="J188" s="845">
        <f>Financeiros!L50</f>
        <v>15</v>
      </c>
      <c r="K188" s="845">
        <f>Financeiros!M50</f>
        <v>9</v>
      </c>
      <c r="L188" s="845">
        <v>99</v>
      </c>
      <c r="M188" s="845">
        <v>9</v>
      </c>
      <c r="N188" s="845">
        <v>3</v>
      </c>
      <c r="O188" s="845">
        <v>99999</v>
      </c>
      <c r="P188" s="907">
        <f t="shared" si="6"/>
        <v>0</v>
      </c>
      <c r="Q188" s="232">
        <f>Financeiros!D50</f>
        <v>0</v>
      </c>
    </row>
    <row r="189" spans="1:17" ht="15.75">
      <c r="A189" s="845" t="s">
        <v>696</v>
      </c>
      <c r="B189" s="845" t="s">
        <v>1290</v>
      </c>
      <c r="C189" s="845" t="str">
        <f>Financeiros!C51</f>
        <v>CVE cde energia</v>
      </c>
      <c r="D189" s="845">
        <v>2</v>
      </c>
      <c r="E189" s="845">
        <v>2</v>
      </c>
      <c r="F189" s="845">
        <f>Financeiros!H51</f>
        <v>22</v>
      </c>
      <c r="G189" s="845">
        <f>Financeiros!I51</f>
        <v>60</v>
      </c>
      <c r="H189" s="845">
        <f>Financeiros!J51</f>
        <v>241</v>
      </c>
      <c r="I189" s="845">
        <f>Financeiros!K51</f>
        <v>3</v>
      </c>
      <c r="J189" s="845">
        <f>Financeiros!L51</f>
        <v>25</v>
      </c>
      <c r="K189" s="845">
        <f>Financeiros!M51</f>
        <v>9</v>
      </c>
      <c r="L189" s="845">
        <v>99</v>
      </c>
      <c r="M189" s="845">
        <v>9</v>
      </c>
      <c r="N189" s="845">
        <v>3</v>
      </c>
      <c r="O189" s="845">
        <v>99999</v>
      </c>
      <c r="P189" s="907">
        <f t="shared" si="6"/>
        <v>0</v>
      </c>
      <c r="Q189" s="232">
        <f>Financeiros!D51</f>
        <v>0</v>
      </c>
    </row>
    <row r="190" spans="1:17" ht="15.75">
      <c r="A190" s="845" t="s">
        <v>696</v>
      </c>
      <c r="B190" s="845" t="s">
        <v>1290</v>
      </c>
      <c r="C190" s="845" t="str">
        <f>Financeiros!C52</f>
        <v>CVE RB - Nodal</v>
      </c>
      <c r="D190" s="845">
        <v>2</v>
      </c>
      <c r="E190" s="845">
        <v>2</v>
      </c>
      <c r="F190" s="845">
        <f>Financeiros!H52</f>
        <v>22</v>
      </c>
      <c r="G190" s="845">
        <f>Financeiros!I52</f>
        <v>60</v>
      </c>
      <c r="H190" s="845">
        <f>Financeiros!J52</f>
        <v>241</v>
      </c>
      <c r="I190" s="845">
        <f>Financeiros!K52</f>
        <v>1</v>
      </c>
      <c r="J190" s="845">
        <f>Financeiros!L52</f>
        <v>1</v>
      </c>
      <c r="K190" s="845">
        <f>Financeiros!M52</f>
        <v>9</v>
      </c>
      <c r="L190" s="845">
        <v>99</v>
      </c>
      <c r="M190" s="845">
        <v>9</v>
      </c>
      <c r="N190" s="845">
        <v>3</v>
      </c>
      <c r="O190" s="845">
        <v>99999</v>
      </c>
      <c r="P190" s="907">
        <f t="shared" si="6"/>
        <v>0</v>
      </c>
      <c r="Q190" s="232">
        <f>Financeiros!D52</f>
        <v>0</v>
      </c>
    </row>
    <row r="191" spans="1:17" ht="15.75">
      <c r="A191" s="845" t="s">
        <v>696</v>
      </c>
      <c r="B191" s="845" t="s">
        <v>1290</v>
      </c>
      <c r="C191" s="845" t="str">
        <f>Financeiros!C53</f>
        <v>CVE RB - Fronteira</v>
      </c>
      <c r="D191" s="845">
        <v>2</v>
      </c>
      <c r="E191" s="845">
        <v>2</v>
      </c>
      <c r="F191" s="845">
        <f>Financeiros!H53</f>
        <v>22</v>
      </c>
      <c r="G191" s="845">
        <f>Financeiros!I53</f>
        <v>60</v>
      </c>
      <c r="H191" s="845">
        <f>Financeiros!J53</f>
        <v>241</v>
      </c>
      <c r="I191" s="845">
        <f>Financeiros!K53</f>
        <v>1</v>
      </c>
      <c r="J191" s="845">
        <f>Financeiros!L53</f>
        <v>1</v>
      </c>
      <c r="K191" s="845">
        <f>Financeiros!M53</f>
        <v>9</v>
      </c>
      <c r="L191" s="845">
        <v>99</v>
      </c>
      <c r="M191" s="845">
        <v>9</v>
      </c>
      <c r="N191" s="845">
        <v>3</v>
      </c>
      <c r="O191" s="845">
        <v>99999</v>
      </c>
      <c r="P191" s="907">
        <f t="shared" si="6"/>
        <v>0</v>
      </c>
      <c r="Q191" s="232">
        <f>Financeiros!D53</f>
        <v>0</v>
      </c>
    </row>
    <row r="192" spans="1:17" ht="15.75">
      <c r="A192" s="845" t="s">
        <v>696</v>
      </c>
      <c r="B192" s="845" t="s">
        <v>1290</v>
      </c>
      <c r="C192" s="845" t="str">
        <f>Financeiros!C54</f>
        <v>CVE RB - TUSDg EXP</v>
      </c>
      <c r="D192" s="845">
        <v>2</v>
      </c>
      <c r="E192" s="845">
        <v>2</v>
      </c>
      <c r="F192" s="845">
        <f>Financeiros!H54</f>
        <v>22</v>
      </c>
      <c r="G192" s="845">
        <f>Financeiros!I54</f>
        <v>60</v>
      </c>
      <c r="H192" s="845">
        <f>Financeiros!J54</f>
        <v>241</v>
      </c>
      <c r="I192" s="845">
        <f>Financeiros!K54</f>
        <v>1</v>
      </c>
      <c r="J192" s="845">
        <f>Financeiros!L54</f>
        <v>1</v>
      </c>
      <c r="K192" s="845">
        <f>Financeiros!M54</f>
        <v>9</v>
      </c>
      <c r="L192" s="845">
        <v>99</v>
      </c>
      <c r="M192" s="845">
        <v>9</v>
      </c>
      <c r="N192" s="845">
        <v>3</v>
      </c>
      <c r="O192" s="845">
        <v>99999</v>
      </c>
      <c r="P192" s="907">
        <f t="shared" si="6"/>
        <v>0</v>
      </c>
      <c r="Q192" s="232">
        <f>Financeiros!D54</f>
        <v>0</v>
      </c>
    </row>
    <row r="193" spans="1:17" ht="15.75">
      <c r="A193" s="845" t="s">
        <v>696</v>
      </c>
      <c r="B193" s="845" t="s">
        <v>1290</v>
      </c>
      <c r="C193" s="845" t="str">
        <f>Financeiros!C55</f>
        <v>CVE RB - TUSDg ONS</v>
      </c>
      <c r="D193" s="845">
        <v>2</v>
      </c>
      <c r="E193" s="845">
        <v>2</v>
      </c>
      <c r="F193" s="845">
        <f>Financeiros!H55</f>
        <v>22</v>
      </c>
      <c r="G193" s="845">
        <f>Financeiros!I55</f>
        <v>60</v>
      </c>
      <c r="H193" s="845">
        <f>Financeiros!J55</f>
        <v>241</v>
      </c>
      <c r="I193" s="845">
        <f>Financeiros!K55</f>
        <v>1</v>
      </c>
      <c r="J193" s="845">
        <f>Financeiros!L55</f>
        <v>1</v>
      </c>
      <c r="K193" s="845">
        <f>Financeiros!M55</f>
        <v>9</v>
      </c>
      <c r="L193" s="845">
        <v>99</v>
      </c>
      <c r="M193" s="845">
        <v>9</v>
      </c>
      <c r="N193" s="845">
        <v>3</v>
      </c>
      <c r="O193" s="845">
        <v>99999</v>
      </c>
      <c r="P193" s="907">
        <f t="shared" si="6"/>
        <v>0</v>
      </c>
      <c r="Q193" s="232">
        <f>Financeiros!D55</f>
        <v>0</v>
      </c>
    </row>
    <row r="194" spans="1:17" ht="15.75">
      <c r="A194" s="845" t="s">
        <v>696</v>
      </c>
      <c r="B194" s="845" t="s">
        <v>1290</v>
      </c>
      <c r="C194" s="845" t="str">
        <f>Financeiros!C56</f>
        <v>CVE RB - EUST Itaipu</v>
      </c>
      <c r="D194" s="845">
        <v>2</v>
      </c>
      <c r="E194" s="845">
        <v>2</v>
      </c>
      <c r="F194" s="845">
        <f>Financeiros!H56</f>
        <v>22</v>
      </c>
      <c r="G194" s="845">
        <f>Financeiros!I56</f>
        <v>60</v>
      </c>
      <c r="H194" s="845">
        <f>Financeiros!J56</f>
        <v>241</v>
      </c>
      <c r="I194" s="845">
        <f>Financeiros!K56</f>
        <v>1</v>
      </c>
      <c r="J194" s="845">
        <f>Financeiros!L56</f>
        <v>1</v>
      </c>
      <c r="K194" s="845">
        <f>Financeiros!M56</f>
        <v>9</v>
      </c>
      <c r="L194" s="845">
        <v>99</v>
      </c>
      <c r="M194" s="845">
        <v>9</v>
      </c>
      <c r="N194" s="845">
        <v>3</v>
      </c>
      <c r="O194" s="845">
        <v>99999</v>
      </c>
      <c r="P194" s="907">
        <f t="shared" si="6"/>
        <v>0</v>
      </c>
      <c r="Q194" s="232">
        <f>Financeiros!D56</f>
        <v>0</v>
      </c>
    </row>
    <row r="195" spans="1:17" ht="15.75">
      <c r="A195" s="845" t="s">
        <v>696</v>
      </c>
      <c r="B195" s="845" t="s">
        <v>1290</v>
      </c>
      <c r="C195" s="845" t="str">
        <f>Financeiros!C57</f>
        <v>CVE- Transporte Itaipu</v>
      </c>
      <c r="D195" s="845">
        <v>2</v>
      </c>
      <c r="E195" s="845">
        <v>2</v>
      </c>
      <c r="F195" s="845">
        <f>Financeiros!H57</f>
        <v>22</v>
      </c>
      <c r="G195" s="845">
        <f>Financeiros!I57</f>
        <v>60</v>
      </c>
      <c r="H195" s="845">
        <f>Financeiros!J57</f>
        <v>241</v>
      </c>
      <c r="I195" s="845">
        <f>Financeiros!K57</f>
        <v>1</v>
      </c>
      <c r="J195" s="845">
        <f>Financeiros!L57</f>
        <v>21</v>
      </c>
      <c r="K195" s="845">
        <f>Financeiros!M57</f>
        <v>9</v>
      </c>
      <c r="L195" s="845">
        <v>99</v>
      </c>
      <c r="M195" s="845">
        <v>9</v>
      </c>
      <c r="N195" s="845">
        <v>3</v>
      </c>
      <c r="O195" s="845">
        <v>99999</v>
      </c>
      <c r="P195" s="907">
        <f t="shared" si="6"/>
        <v>0</v>
      </c>
      <c r="Q195" s="232">
        <f>Financeiros!D57</f>
        <v>0</v>
      </c>
    </row>
    <row r="196" spans="1:17" ht="15.75">
      <c r="A196" s="845" t="s">
        <v>696</v>
      </c>
      <c r="B196" s="845" t="s">
        <v>1290</v>
      </c>
      <c r="C196" s="845" t="str">
        <f>Financeiros!C58</f>
        <v>CVE - Energia - Energia de Revenda</v>
      </c>
      <c r="D196" s="845">
        <v>2</v>
      </c>
      <c r="E196" s="845">
        <v>2</v>
      </c>
      <c r="F196" s="845">
        <f>Financeiros!H58</f>
        <v>22</v>
      </c>
      <c r="G196" s="845">
        <f>Financeiros!I58</f>
        <v>60</v>
      </c>
      <c r="H196" s="845">
        <f>Financeiros!J58</f>
        <v>241</v>
      </c>
      <c r="I196" s="845">
        <f>Financeiros!K58</f>
        <v>2</v>
      </c>
      <c r="J196" s="845">
        <f>Financeiros!L58</f>
        <v>11</v>
      </c>
      <c r="K196" s="845">
        <f>Financeiros!M58</f>
        <v>9</v>
      </c>
      <c r="L196" s="845">
        <v>99</v>
      </c>
      <c r="M196" s="845">
        <v>9</v>
      </c>
      <c r="N196" s="845">
        <v>3</v>
      </c>
      <c r="O196" s="845">
        <v>99999</v>
      </c>
      <c r="P196" s="907">
        <f t="shared" ca="1" si="6"/>
        <v>0</v>
      </c>
      <c r="Q196" s="232">
        <f ca="1">Financeiros!D58</f>
        <v>0</v>
      </c>
    </row>
    <row r="197" spans="1:17" ht="15.75">
      <c r="A197" s="845" t="s">
        <v>696</v>
      </c>
      <c r="B197" s="845" t="s">
        <v>1290</v>
      </c>
      <c r="C197" s="845" t="str">
        <f>Financeiros!C59</f>
        <v>CVE - Energia - Perda Não Técnica</v>
      </c>
      <c r="D197" s="845">
        <v>2</v>
      </c>
      <c r="E197" s="845">
        <v>2</v>
      </c>
      <c r="F197" s="845">
        <f>Financeiros!H59</f>
        <v>22</v>
      </c>
      <c r="G197" s="845">
        <f>Financeiros!I59</f>
        <v>60</v>
      </c>
      <c r="H197" s="845">
        <f>Financeiros!J59</f>
        <v>241</v>
      </c>
      <c r="I197" s="845">
        <f>Financeiros!K59</f>
        <v>2</v>
      </c>
      <c r="J197" s="845">
        <f>Financeiros!L59</f>
        <v>9</v>
      </c>
      <c r="K197" s="845">
        <f>Financeiros!M59</f>
        <v>9</v>
      </c>
      <c r="L197" s="845">
        <v>99</v>
      </c>
      <c r="M197" s="845">
        <v>9</v>
      </c>
      <c r="N197" s="845">
        <v>3</v>
      </c>
      <c r="O197" s="845">
        <v>99999</v>
      </c>
      <c r="P197" s="907">
        <f t="shared" ca="1" si="6"/>
        <v>0</v>
      </c>
      <c r="Q197" s="232">
        <f ca="1">Financeiros!D59</f>
        <v>0</v>
      </c>
    </row>
    <row r="198" spans="1:17" ht="15.75">
      <c r="A198" s="845" t="s">
        <v>696</v>
      </c>
      <c r="B198" s="845" t="s">
        <v>1290</v>
      </c>
      <c r="C198" s="845" t="str">
        <f>Financeiros!C60</f>
        <v>CVE - Energia - Perda Técnica</v>
      </c>
      <c r="D198" s="845">
        <v>2</v>
      </c>
      <c r="E198" s="845">
        <v>2</v>
      </c>
      <c r="F198" s="845">
        <f>Financeiros!H60</f>
        <v>22</v>
      </c>
      <c r="G198" s="845">
        <f>Financeiros!I60</f>
        <v>60</v>
      </c>
      <c r="H198" s="845">
        <f>Financeiros!J60</f>
        <v>241</v>
      </c>
      <c r="I198" s="845">
        <f>Financeiros!K60</f>
        <v>2</v>
      </c>
      <c r="J198" s="845">
        <f>Financeiros!L60</f>
        <v>8</v>
      </c>
      <c r="K198" s="845">
        <f>Financeiros!M60</f>
        <v>9</v>
      </c>
      <c r="L198" s="845">
        <v>99</v>
      </c>
      <c r="M198" s="845">
        <v>9</v>
      </c>
      <c r="N198" s="845">
        <v>3</v>
      </c>
      <c r="O198" s="845">
        <v>99999</v>
      </c>
      <c r="P198" s="907">
        <f t="shared" ca="1" si="6"/>
        <v>0</v>
      </c>
      <c r="Q198" s="232">
        <f ca="1">Financeiros!D60</f>
        <v>0</v>
      </c>
    </row>
    <row r="199" spans="1:17" ht="15.75">
      <c r="A199" s="845" t="s">
        <v>696</v>
      </c>
      <c r="B199" s="845" t="s">
        <v>1290</v>
      </c>
      <c r="C199" s="845" t="str">
        <f>Financeiros!C61</f>
        <v>CVE - Energia -  Perda de RB sobre a distribuição</v>
      </c>
      <c r="D199" s="845">
        <v>2</v>
      </c>
      <c r="E199" s="845">
        <v>2</v>
      </c>
      <c r="F199" s="845">
        <f>Financeiros!H61</f>
        <v>22</v>
      </c>
      <c r="G199" s="845">
        <f>Financeiros!I61</f>
        <v>60</v>
      </c>
      <c r="H199" s="845">
        <f>Financeiros!J61</f>
        <v>241</v>
      </c>
      <c r="I199" s="845">
        <f>Financeiros!K61</f>
        <v>2</v>
      </c>
      <c r="J199" s="845">
        <f>Financeiros!L61</f>
        <v>10</v>
      </c>
      <c r="K199" s="845">
        <f>Financeiros!M61</f>
        <v>9</v>
      </c>
      <c r="L199" s="845">
        <v>99</v>
      </c>
      <c r="M199" s="845">
        <v>9</v>
      </c>
      <c r="N199" s="845">
        <v>3</v>
      </c>
      <c r="O199" s="845">
        <v>99999</v>
      </c>
      <c r="P199" s="907">
        <f t="shared" ca="1" si="6"/>
        <v>0</v>
      </c>
      <c r="Q199" s="232">
        <f ca="1">Financeiros!D61</f>
        <v>0</v>
      </c>
    </row>
    <row r="200" spans="1:17" ht="15.75">
      <c r="A200" s="845" t="s">
        <v>696</v>
      </c>
      <c r="B200" s="845" t="s">
        <v>1290</v>
      </c>
      <c r="C200" s="845" t="str">
        <f>Financeiros!C62</f>
        <v>CVE - Energia -  Perda de RB sobre o mercado cativo</v>
      </c>
      <c r="D200" s="845">
        <v>2</v>
      </c>
      <c r="E200" s="845">
        <v>2</v>
      </c>
      <c r="F200" s="845">
        <f>Financeiros!H62</f>
        <v>22</v>
      </c>
      <c r="G200" s="845">
        <f>Financeiros!I62</f>
        <v>60</v>
      </c>
      <c r="H200" s="845">
        <f>Financeiros!J62</f>
        <v>241</v>
      </c>
      <c r="I200" s="845">
        <f>Financeiros!K62</f>
        <v>2</v>
      </c>
      <c r="J200" s="845">
        <f>Financeiros!L62</f>
        <v>24</v>
      </c>
      <c r="K200" s="845">
        <f>Financeiros!M62</f>
        <v>9</v>
      </c>
      <c r="L200" s="845">
        <v>99</v>
      </c>
      <c r="M200" s="845">
        <v>9</v>
      </c>
      <c r="N200" s="845">
        <v>3</v>
      </c>
      <c r="O200" s="845">
        <v>99999</v>
      </c>
      <c r="P200" s="907">
        <f t="shared" ca="1" si="6"/>
        <v>0</v>
      </c>
      <c r="Q200" s="232">
        <f ca="1">Financeiros!D62</f>
        <v>0</v>
      </c>
    </row>
    <row r="201" spans="1:17" ht="15.75">
      <c r="A201" s="845" t="s">
        <v>696</v>
      </c>
      <c r="B201" s="845" t="s">
        <v>1290</v>
      </c>
      <c r="C201" s="845" t="str">
        <f>Financeiros!C63</f>
        <v>CVE - Encargos - PROINFA</v>
      </c>
      <c r="D201" s="845">
        <v>2</v>
      </c>
      <c r="E201" s="845">
        <v>2</v>
      </c>
      <c r="F201" s="845">
        <f>Financeiros!H63</f>
        <v>22</v>
      </c>
      <c r="G201" s="845">
        <f>Financeiros!I63</f>
        <v>60</v>
      </c>
      <c r="H201" s="845">
        <f>Financeiros!J63</f>
        <v>241</v>
      </c>
      <c r="I201" s="845">
        <f>Financeiros!K63</f>
        <v>3</v>
      </c>
      <c r="J201" s="845">
        <f>Financeiros!L63</f>
        <v>18</v>
      </c>
      <c r="K201" s="845">
        <f>Financeiros!M63</f>
        <v>9</v>
      </c>
      <c r="L201" s="845">
        <v>99</v>
      </c>
      <c r="M201" s="845">
        <v>9</v>
      </c>
      <c r="N201" s="845">
        <v>3</v>
      </c>
      <c r="O201" s="845">
        <v>99999</v>
      </c>
      <c r="P201" s="907">
        <f t="shared" si="6"/>
        <v>0</v>
      </c>
      <c r="Q201" s="232">
        <f>Financeiros!D63</f>
        <v>0</v>
      </c>
    </row>
    <row r="202" spans="1:17" ht="15.75">
      <c r="A202" s="845" t="s">
        <v>696</v>
      </c>
      <c r="B202" s="845" t="s">
        <v>1290</v>
      </c>
      <c r="C202" s="845" t="str">
        <f>Financeiros!C64</f>
        <v>CVE - Encargos - CFURH</v>
      </c>
      <c r="D202" s="845">
        <v>2</v>
      </c>
      <c r="E202" s="845">
        <v>2</v>
      </c>
      <c r="F202" s="845">
        <f>Financeiros!H64</f>
        <v>22</v>
      </c>
      <c r="G202" s="845">
        <f>Financeiros!I64</f>
        <v>60</v>
      </c>
      <c r="H202" s="845">
        <f>Financeiros!J64</f>
        <v>241</v>
      </c>
      <c r="I202" s="845">
        <f>Financeiros!K64</f>
        <v>3</v>
      </c>
      <c r="J202" s="845">
        <f>Financeiros!L64</f>
        <v>16</v>
      </c>
      <c r="K202" s="845">
        <f>Financeiros!M64</f>
        <v>9</v>
      </c>
      <c r="L202" s="845">
        <v>99</v>
      </c>
      <c r="M202" s="845">
        <v>9</v>
      </c>
      <c r="N202" s="845">
        <v>3</v>
      </c>
      <c r="O202" s="845">
        <v>99999</v>
      </c>
      <c r="P202" s="907">
        <f t="shared" si="6"/>
        <v>0</v>
      </c>
      <c r="Q202" s="232">
        <f>Financeiros!D64</f>
        <v>0</v>
      </c>
    </row>
    <row r="203" spans="1:17" ht="15.75">
      <c r="A203" s="845" t="s">
        <v>696</v>
      </c>
      <c r="B203" s="845" t="s">
        <v>1290</v>
      </c>
      <c r="C203" s="845" t="str">
        <f>Financeiros!C65</f>
        <v>CVE - Encargos - ESS/EER</v>
      </c>
      <c r="D203" s="845">
        <v>2</v>
      </c>
      <c r="E203" s="845">
        <v>2</v>
      </c>
      <c r="F203" s="845">
        <f>Financeiros!H65</f>
        <v>22</v>
      </c>
      <c r="G203" s="845">
        <f>Financeiros!I65</f>
        <v>60</v>
      </c>
      <c r="H203" s="845">
        <f>Financeiros!J65</f>
        <v>241</v>
      </c>
      <c r="I203" s="845">
        <f>Financeiros!K65</f>
        <v>3</v>
      </c>
      <c r="J203" s="845">
        <f>Financeiros!L65</f>
        <v>17</v>
      </c>
      <c r="K203" s="845">
        <f>Financeiros!M65</f>
        <v>9</v>
      </c>
      <c r="L203" s="845">
        <v>99</v>
      </c>
      <c r="M203" s="845">
        <v>9</v>
      </c>
      <c r="N203" s="845">
        <v>3</v>
      </c>
      <c r="O203" s="845">
        <v>99999</v>
      </c>
      <c r="P203" s="907">
        <f t="shared" si="6"/>
        <v>0</v>
      </c>
      <c r="Q203" s="232">
        <f>Financeiros!D65</f>
        <v>0</v>
      </c>
    </row>
    <row r="204" spans="1:17" ht="15.75">
      <c r="A204" s="845" t="s">
        <v>696</v>
      </c>
      <c r="B204" s="845" t="s">
        <v>1290</v>
      </c>
      <c r="C204" s="845" t="str">
        <f>Financeiros!C66</f>
        <v>Conta Escassez H. - Importação julho- agosto/2021 - RTA 2022 - Energia de Revenda</v>
      </c>
      <c r="D204" s="845">
        <v>2</v>
      </c>
      <c r="E204" s="845">
        <v>2</v>
      </c>
      <c r="F204" s="845">
        <f>Financeiros!H66</f>
        <v>22</v>
      </c>
      <c r="G204" s="845">
        <f>Financeiros!I66</f>
        <v>60</v>
      </c>
      <c r="H204" s="845">
        <f>Financeiros!J66</f>
        <v>240</v>
      </c>
      <c r="I204" s="845">
        <f>Financeiros!K66</f>
        <v>2</v>
      </c>
      <c r="J204" s="845">
        <f>Financeiros!L66</f>
        <v>11</v>
      </c>
      <c r="K204" s="845">
        <f>Financeiros!M66</f>
        <v>9</v>
      </c>
      <c r="L204" s="845">
        <v>99</v>
      </c>
      <c r="M204" s="845">
        <v>9</v>
      </c>
      <c r="N204" s="845">
        <v>3</v>
      </c>
      <c r="O204" s="845">
        <v>99999</v>
      </c>
      <c r="P204" s="907">
        <f t="shared" ca="1" si="6"/>
        <v>0</v>
      </c>
      <c r="Q204" s="232">
        <f ca="1">Financeiros!D66</f>
        <v>0</v>
      </c>
    </row>
    <row r="205" spans="1:17" ht="15.75">
      <c r="A205" s="845" t="s">
        <v>696</v>
      </c>
      <c r="B205" s="845" t="s">
        <v>1290</v>
      </c>
      <c r="C205" s="845" t="str">
        <f>Financeiros!C67</f>
        <v>Conta Escassez H. - Importação julho- agosto/2021 - RTA 2022 - Perda Não Técnica</v>
      </c>
      <c r="D205" s="845">
        <v>2</v>
      </c>
      <c r="E205" s="845">
        <v>2</v>
      </c>
      <c r="F205" s="845">
        <f>Financeiros!H67</f>
        <v>22</v>
      </c>
      <c r="G205" s="845">
        <f>Financeiros!I67</f>
        <v>60</v>
      </c>
      <c r="H205" s="845">
        <f>Financeiros!J67</f>
        <v>240</v>
      </c>
      <c r="I205" s="845">
        <f>Financeiros!K67</f>
        <v>2</v>
      </c>
      <c r="J205" s="845">
        <f>Financeiros!L67</f>
        <v>9</v>
      </c>
      <c r="K205" s="845">
        <f>Financeiros!M67</f>
        <v>9</v>
      </c>
      <c r="L205" s="845">
        <v>99</v>
      </c>
      <c r="M205" s="845">
        <v>9</v>
      </c>
      <c r="N205" s="845">
        <v>3</v>
      </c>
      <c r="O205" s="845">
        <v>99999</v>
      </c>
      <c r="P205" s="907">
        <f t="shared" ca="1" si="6"/>
        <v>0</v>
      </c>
      <c r="Q205" s="232">
        <f ca="1">Financeiros!D67</f>
        <v>0</v>
      </c>
    </row>
    <row r="206" spans="1:17" ht="15.75">
      <c r="A206" s="845" t="s">
        <v>696</v>
      </c>
      <c r="B206" s="845" t="s">
        <v>1290</v>
      </c>
      <c r="C206" s="845" t="str">
        <f>Financeiros!C68</f>
        <v>Conta Escassez H. - Importação julho- agosto/2021 - RTA 2022 - Perda Técnica</v>
      </c>
      <c r="D206" s="845">
        <v>2</v>
      </c>
      <c r="E206" s="845">
        <v>2</v>
      </c>
      <c r="F206" s="845">
        <f>Financeiros!H68</f>
        <v>22</v>
      </c>
      <c r="G206" s="845">
        <f>Financeiros!I68</f>
        <v>60</v>
      </c>
      <c r="H206" s="845">
        <f>Financeiros!J68</f>
        <v>240</v>
      </c>
      <c r="I206" s="845">
        <f>Financeiros!K68</f>
        <v>2</v>
      </c>
      <c r="J206" s="845">
        <f>Financeiros!L68</f>
        <v>8</v>
      </c>
      <c r="K206" s="845">
        <f>Financeiros!M68</f>
        <v>9</v>
      </c>
      <c r="L206" s="845">
        <v>99</v>
      </c>
      <c r="M206" s="845">
        <v>9</v>
      </c>
      <c r="N206" s="845">
        <v>3</v>
      </c>
      <c r="O206" s="845">
        <v>99999</v>
      </c>
      <c r="P206" s="907">
        <f t="shared" ca="1" si="6"/>
        <v>0</v>
      </c>
      <c r="Q206" s="232">
        <f ca="1">Financeiros!D68</f>
        <v>0</v>
      </c>
    </row>
    <row r="207" spans="1:17" ht="15.75">
      <c r="A207" s="845" t="s">
        <v>696</v>
      </c>
      <c r="B207" s="845" t="s">
        <v>1290</v>
      </c>
      <c r="C207" s="845" t="str">
        <f>Financeiros!C69</f>
        <v>Conta Escassez H. - Importação julho- agosto/2021 - RTA 2022 - Perda RB Perda RB sobre Dist.</v>
      </c>
      <c r="D207" s="845">
        <v>2</v>
      </c>
      <c r="E207" s="845">
        <v>2</v>
      </c>
      <c r="F207" s="845">
        <f>Financeiros!H69</f>
        <v>22</v>
      </c>
      <c r="G207" s="845">
        <f>Financeiros!I69</f>
        <v>60</v>
      </c>
      <c r="H207" s="845">
        <f>Financeiros!J69</f>
        <v>240</v>
      </c>
      <c r="I207" s="845">
        <f>Financeiros!K69</f>
        <v>2</v>
      </c>
      <c r="J207" s="845">
        <f>Financeiros!L69</f>
        <v>10</v>
      </c>
      <c r="K207" s="845">
        <f>Financeiros!M69</f>
        <v>9</v>
      </c>
      <c r="L207" s="845">
        <v>99</v>
      </c>
      <c r="M207" s="845">
        <v>9</v>
      </c>
      <c r="N207" s="845">
        <v>3</v>
      </c>
      <c r="O207" s="845">
        <v>99999</v>
      </c>
      <c r="P207" s="907">
        <f t="shared" ca="1" si="6"/>
        <v>0</v>
      </c>
      <c r="Q207" s="232">
        <f ca="1">Financeiros!D69</f>
        <v>0</v>
      </c>
    </row>
    <row r="208" spans="1:17" ht="15.75">
      <c r="A208" s="845" t="s">
        <v>696</v>
      </c>
      <c r="B208" s="845" t="s">
        <v>1290</v>
      </c>
      <c r="C208" s="845" t="str">
        <f>Financeiros!C70</f>
        <v>Conta Escassez H. - Importação julho- agosto/2021 - RTA 2022 - Perda RB sobre Merc. Cat.</v>
      </c>
      <c r="D208" s="845">
        <v>2</v>
      </c>
      <c r="E208" s="845">
        <v>2</v>
      </c>
      <c r="F208" s="845">
        <f>Financeiros!H70</f>
        <v>22</v>
      </c>
      <c r="G208" s="845">
        <f>Financeiros!I70</f>
        <v>60</v>
      </c>
      <c r="H208" s="845">
        <f>Financeiros!J70</f>
        <v>240</v>
      </c>
      <c r="I208" s="845">
        <f>Financeiros!K70</f>
        <v>2</v>
      </c>
      <c r="J208" s="845">
        <f>Financeiros!L70</f>
        <v>24</v>
      </c>
      <c r="K208" s="845">
        <f>Financeiros!M70</f>
        <v>9</v>
      </c>
      <c r="L208" s="845">
        <v>99</v>
      </c>
      <c r="M208" s="845">
        <v>9</v>
      </c>
      <c r="N208" s="845">
        <v>3</v>
      </c>
      <c r="O208" s="845">
        <v>99999</v>
      </c>
      <c r="P208" s="907">
        <f t="shared" ca="1" si="6"/>
        <v>0</v>
      </c>
      <c r="Q208" s="232">
        <f ca="1">Financeiros!D70</f>
        <v>0</v>
      </c>
    </row>
    <row r="209" spans="1:17" ht="15.75">
      <c r="A209" s="845" t="s">
        <v>696</v>
      </c>
      <c r="B209" s="845" t="s">
        <v>1290</v>
      </c>
      <c r="C209" s="845" t="str">
        <f>Financeiros!C71</f>
        <v>Conta Escassez H. - Bônus Redução Voluntária</v>
      </c>
      <c r="D209" s="845">
        <v>2</v>
      </c>
      <c r="E209" s="845">
        <v>2</v>
      </c>
      <c r="F209" s="845">
        <f>Financeiros!H71</f>
        <v>22</v>
      </c>
      <c r="G209" s="845">
        <f>Financeiros!I71</f>
        <v>60</v>
      </c>
      <c r="H209" s="845">
        <f>Financeiros!J71</f>
        <v>240</v>
      </c>
      <c r="I209" s="845">
        <f>Financeiros!K71</f>
        <v>3</v>
      </c>
      <c r="J209" s="845">
        <f>Financeiros!L71</f>
        <v>17</v>
      </c>
      <c r="K209" s="845">
        <f>Financeiros!M71</f>
        <v>9</v>
      </c>
      <c r="L209" s="845">
        <v>99</v>
      </c>
      <c r="M209" s="845">
        <v>9</v>
      </c>
      <c r="N209" s="845">
        <v>3</v>
      </c>
      <c r="O209" s="845">
        <v>99999</v>
      </c>
      <c r="P209" s="907">
        <f t="shared" si="6"/>
        <v>0</v>
      </c>
      <c r="Q209" s="232">
        <f>Financeiros!D71</f>
        <v>0</v>
      </c>
    </row>
    <row r="210" spans="1:17" ht="15.75">
      <c r="A210" s="845" t="s">
        <v>696</v>
      </c>
      <c r="B210" s="845" t="s">
        <v>1290</v>
      </c>
      <c r="C210" s="845" t="str">
        <f>Financeiros!C72</f>
        <v>Conta Escassez H. - Diferimento de energia - RTA 2022 - Energia de Revenda</v>
      </c>
      <c r="D210" s="845">
        <v>2</v>
      </c>
      <c r="E210" s="845">
        <v>2</v>
      </c>
      <c r="F210" s="845">
        <f>Financeiros!H72</f>
        <v>22</v>
      </c>
      <c r="G210" s="845">
        <f>Financeiros!I72</f>
        <v>60</v>
      </c>
      <c r="H210" s="845">
        <f>Financeiros!J72</f>
        <v>240</v>
      </c>
      <c r="I210" s="845">
        <f>Financeiros!K72</f>
        <v>2</v>
      </c>
      <c r="J210" s="845">
        <f>Financeiros!L72</f>
        <v>11</v>
      </c>
      <c r="K210" s="845">
        <f>Financeiros!M72</f>
        <v>9</v>
      </c>
      <c r="L210" s="845">
        <v>99</v>
      </c>
      <c r="M210" s="845">
        <v>9</v>
      </c>
      <c r="N210" s="845">
        <v>3</v>
      </c>
      <c r="O210" s="845">
        <v>99999</v>
      </c>
      <c r="P210" s="907">
        <f t="shared" ca="1" si="6"/>
        <v>0</v>
      </c>
      <c r="Q210" s="232">
        <f ca="1">Financeiros!D72</f>
        <v>0</v>
      </c>
    </row>
    <row r="211" spans="1:17" ht="15.75">
      <c r="A211" s="845" t="s">
        <v>696</v>
      </c>
      <c r="B211" s="845" t="s">
        <v>1290</v>
      </c>
      <c r="C211" s="845" t="str">
        <f>Financeiros!C73</f>
        <v>Conta Escassez H. - Diferimento de energia - RTA 2022 - Perda Não Técnica</v>
      </c>
      <c r="D211" s="845">
        <v>2</v>
      </c>
      <c r="E211" s="845">
        <v>2</v>
      </c>
      <c r="F211" s="845">
        <f>Financeiros!H73</f>
        <v>22</v>
      </c>
      <c r="G211" s="845">
        <f>Financeiros!I73</f>
        <v>60</v>
      </c>
      <c r="H211" s="845">
        <f>Financeiros!J73</f>
        <v>240</v>
      </c>
      <c r="I211" s="845">
        <f>Financeiros!K73</f>
        <v>2</v>
      </c>
      <c r="J211" s="845">
        <f>Financeiros!L73</f>
        <v>9</v>
      </c>
      <c r="K211" s="845">
        <f>Financeiros!M73</f>
        <v>9</v>
      </c>
      <c r="L211" s="845">
        <v>99</v>
      </c>
      <c r="M211" s="845">
        <v>9</v>
      </c>
      <c r="N211" s="845">
        <v>3</v>
      </c>
      <c r="O211" s="845">
        <v>99999</v>
      </c>
      <c r="P211" s="907">
        <f t="shared" ca="1" si="6"/>
        <v>0</v>
      </c>
      <c r="Q211" s="232">
        <f ca="1">Financeiros!D73</f>
        <v>0</v>
      </c>
    </row>
    <row r="212" spans="1:17" ht="15.75">
      <c r="A212" s="845" t="s">
        <v>696</v>
      </c>
      <c r="B212" s="845" t="s">
        <v>1290</v>
      </c>
      <c r="C212" s="845" t="str">
        <f>Financeiros!C74</f>
        <v>Conta Escassez H. - Diferimento de energia - RTA 2022 - Perda Técnica</v>
      </c>
      <c r="D212" s="845">
        <v>2</v>
      </c>
      <c r="E212" s="845">
        <v>2</v>
      </c>
      <c r="F212" s="845">
        <f>Financeiros!H74</f>
        <v>22</v>
      </c>
      <c r="G212" s="845">
        <f>Financeiros!I74</f>
        <v>60</v>
      </c>
      <c r="H212" s="845">
        <f>Financeiros!J74</f>
        <v>240</v>
      </c>
      <c r="I212" s="845">
        <f>Financeiros!K74</f>
        <v>2</v>
      </c>
      <c r="J212" s="845">
        <f>Financeiros!L74</f>
        <v>8</v>
      </c>
      <c r="K212" s="845">
        <f>Financeiros!M74</f>
        <v>9</v>
      </c>
      <c r="L212" s="845">
        <v>99</v>
      </c>
      <c r="M212" s="845">
        <v>9</v>
      </c>
      <c r="N212" s="845">
        <v>3</v>
      </c>
      <c r="O212" s="845">
        <v>99999</v>
      </c>
      <c r="P212" s="907">
        <f t="shared" ref="P212:P237" ca="1" si="7">IF(ISNUMBER(Q212),Q212,0)</f>
        <v>0</v>
      </c>
      <c r="Q212" s="232">
        <f ca="1">Financeiros!D74</f>
        <v>0</v>
      </c>
    </row>
    <row r="213" spans="1:17" ht="15.75">
      <c r="A213" s="845" t="s">
        <v>696</v>
      </c>
      <c r="B213" s="845" t="s">
        <v>1290</v>
      </c>
      <c r="C213" s="845" t="str">
        <f>Financeiros!C75</f>
        <v>Conta Escassez H. - Diferimento de energia - RTA 2022 - Perda RB Perda RB sobre Dist.</v>
      </c>
      <c r="D213" s="845">
        <v>2</v>
      </c>
      <c r="E213" s="845">
        <v>2</v>
      </c>
      <c r="F213" s="845">
        <f>Financeiros!H75</f>
        <v>22</v>
      </c>
      <c r="G213" s="845">
        <f>Financeiros!I75</f>
        <v>60</v>
      </c>
      <c r="H213" s="845">
        <f>Financeiros!J75</f>
        <v>240</v>
      </c>
      <c r="I213" s="845">
        <f>Financeiros!K75</f>
        <v>2</v>
      </c>
      <c r="J213" s="845">
        <f>Financeiros!L75</f>
        <v>10</v>
      </c>
      <c r="K213" s="845">
        <f>Financeiros!M75</f>
        <v>9</v>
      </c>
      <c r="L213" s="845">
        <v>99</v>
      </c>
      <c r="M213" s="845">
        <v>9</v>
      </c>
      <c r="N213" s="845">
        <v>3</v>
      </c>
      <c r="O213" s="845">
        <v>99999</v>
      </c>
      <c r="P213" s="907">
        <f t="shared" ca="1" si="7"/>
        <v>0</v>
      </c>
      <c r="Q213" s="232">
        <f ca="1">Financeiros!D75</f>
        <v>0</v>
      </c>
    </row>
    <row r="214" spans="1:17" ht="15.75">
      <c r="A214" s="845" t="s">
        <v>696</v>
      </c>
      <c r="B214" s="845" t="s">
        <v>1290</v>
      </c>
      <c r="C214" s="845" t="str">
        <f>Financeiros!C76</f>
        <v>Conta Escassez H. - Diferimento de energia - RTA 2022 - Perda RB sobre Merc. Cat.</v>
      </c>
      <c r="D214" s="845">
        <v>2</v>
      </c>
      <c r="E214" s="845">
        <v>2</v>
      </c>
      <c r="F214" s="845">
        <f>Financeiros!H76</f>
        <v>22</v>
      </c>
      <c r="G214" s="845">
        <f>Financeiros!I76</f>
        <v>60</v>
      </c>
      <c r="H214" s="845">
        <f>Financeiros!J76</f>
        <v>240</v>
      </c>
      <c r="I214" s="845">
        <f>Financeiros!K76</f>
        <v>2</v>
      </c>
      <c r="J214" s="845">
        <f>Financeiros!L76</f>
        <v>24</v>
      </c>
      <c r="K214" s="845">
        <f>Financeiros!M76</f>
        <v>9</v>
      </c>
      <c r="L214" s="845">
        <v>99</v>
      </c>
      <c r="M214" s="845">
        <v>9</v>
      </c>
      <c r="N214" s="845">
        <v>3</v>
      </c>
      <c r="O214" s="845">
        <v>99999</v>
      </c>
      <c r="P214" s="907">
        <f t="shared" ca="1" si="7"/>
        <v>0</v>
      </c>
      <c r="Q214" s="232">
        <f ca="1">Financeiros!D76</f>
        <v>0</v>
      </c>
    </row>
    <row r="215" spans="1:17" ht="15.75">
      <c r="A215" s="845" t="s">
        <v>696</v>
      </c>
      <c r="B215" s="845" t="s">
        <v>1290</v>
      </c>
      <c r="C215" s="845" t="str">
        <f>Financeiros!C77</f>
        <v>Sobrecontratação/Exposição de Energia - Energia de Revenda</v>
      </c>
      <c r="D215" s="845">
        <v>2</v>
      </c>
      <c r="E215" s="845">
        <v>2</v>
      </c>
      <c r="F215" s="845">
        <f>Financeiros!H77</f>
        <v>22</v>
      </c>
      <c r="G215" s="845">
        <f>Financeiros!I77</f>
        <v>60</v>
      </c>
      <c r="H215" s="845">
        <f>Financeiros!J77</f>
        <v>106</v>
      </c>
      <c r="I215" s="845">
        <f>Financeiros!K77</f>
        <v>2</v>
      </c>
      <c r="J215" s="845">
        <f>Financeiros!L77</f>
        <v>11</v>
      </c>
      <c r="K215" s="845">
        <f>Financeiros!M77</f>
        <v>9</v>
      </c>
      <c r="L215" s="845">
        <v>99</v>
      </c>
      <c r="M215" s="845">
        <v>9</v>
      </c>
      <c r="N215" s="845">
        <v>3</v>
      </c>
      <c r="O215" s="845">
        <v>99999</v>
      </c>
      <c r="P215" s="907">
        <f t="shared" ca="1" si="7"/>
        <v>0</v>
      </c>
      <c r="Q215" s="232">
        <f ca="1">Financeiros!D77</f>
        <v>0</v>
      </c>
    </row>
    <row r="216" spans="1:17" ht="15.75">
      <c r="A216" s="845" t="s">
        <v>696</v>
      </c>
      <c r="B216" s="845" t="s">
        <v>1290</v>
      </c>
      <c r="C216" s="845" t="str">
        <f>Financeiros!C78</f>
        <v>Sobrecontratação/Exposição de Energia - Perda Não Técnica</v>
      </c>
      <c r="D216" s="845">
        <v>2</v>
      </c>
      <c r="E216" s="845">
        <v>2</v>
      </c>
      <c r="F216" s="845">
        <f>Financeiros!H78</f>
        <v>22</v>
      </c>
      <c r="G216" s="845">
        <f>Financeiros!I78</f>
        <v>60</v>
      </c>
      <c r="H216" s="845">
        <f>Financeiros!J78</f>
        <v>106</v>
      </c>
      <c r="I216" s="845">
        <f>Financeiros!K78</f>
        <v>2</v>
      </c>
      <c r="J216" s="845">
        <f>Financeiros!L78</f>
        <v>9</v>
      </c>
      <c r="K216" s="845">
        <f>Financeiros!M78</f>
        <v>9</v>
      </c>
      <c r="L216" s="845">
        <v>99</v>
      </c>
      <c r="M216" s="845">
        <v>9</v>
      </c>
      <c r="N216" s="845">
        <v>3</v>
      </c>
      <c r="O216" s="845">
        <v>99999</v>
      </c>
      <c r="P216" s="907">
        <f t="shared" ca="1" si="7"/>
        <v>0</v>
      </c>
      <c r="Q216" s="232">
        <f ca="1">Financeiros!D78</f>
        <v>0</v>
      </c>
    </row>
    <row r="217" spans="1:17" ht="15.75">
      <c r="A217" s="845" t="s">
        <v>696</v>
      </c>
      <c r="B217" s="845" t="s">
        <v>1290</v>
      </c>
      <c r="C217" s="845" t="str">
        <f>Financeiros!C79</f>
        <v>Sobrecontratação/Exposição de Energia - Perda Técnica</v>
      </c>
      <c r="D217" s="845">
        <v>2</v>
      </c>
      <c r="E217" s="845">
        <v>2</v>
      </c>
      <c r="F217" s="845">
        <f>Financeiros!H79</f>
        <v>22</v>
      </c>
      <c r="G217" s="845">
        <f>Financeiros!I79</f>
        <v>60</v>
      </c>
      <c r="H217" s="845">
        <f>Financeiros!J79</f>
        <v>106</v>
      </c>
      <c r="I217" s="845">
        <f>Financeiros!K79</f>
        <v>2</v>
      </c>
      <c r="J217" s="845">
        <f>Financeiros!L79</f>
        <v>8</v>
      </c>
      <c r="K217" s="845">
        <f>Financeiros!M79</f>
        <v>9</v>
      </c>
      <c r="L217" s="845">
        <v>99</v>
      </c>
      <c r="M217" s="845">
        <v>9</v>
      </c>
      <c r="N217" s="845">
        <v>3</v>
      </c>
      <c r="O217" s="845">
        <v>99999</v>
      </c>
      <c r="P217" s="907">
        <f t="shared" ca="1" si="7"/>
        <v>0</v>
      </c>
      <c r="Q217" s="232">
        <f ca="1">Financeiros!D79</f>
        <v>0</v>
      </c>
    </row>
    <row r="218" spans="1:17" ht="15.75">
      <c r="A218" s="845" t="s">
        <v>696</v>
      </c>
      <c r="B218" s="845" t="s">
        <v>1290</v>
      </c>
      <c r="C218" s="845" t="str">
        <f>Financeiros!C80</f>
        <v>Sobrecontratação/Exposição de Energia - Perda Rede Básica sobre Dist.</v>
      </c>
      <c r="D218" s="845">
        <v>2</v>
      </c>
      <c r="E218" s="845">
        <v>2</v>
      </c>
      <c r="F218" s="845">
        <f>Financeiros!H80</f>
        <v>22</v>
      </c>
      <c r="G218" s="845">
        <f>Financeiros!I80</f>
        <v>60</v>
      </c>
      <c r="H218" s="845">
        <f>Financeiros!J80</f>
        <v>106</v>
      </c>
      <c r="I218" s="845">
        <f>Financeiros!K80</f>
        <v>2</v>
      </c>
      <c r="J218" s="845">
        <f>Financeiros!L80</f>
        <v>10</v>
      </c>
      <c r="K218" s="845">
        <f>Financeiros!M80</f>
        <v>9</v>
      </c>
      <c r="L218" s="845">
        <v>99</v>
      </c>
      <c r="M218" s="845">
        <v>9</v>
      </c>
      <c r="N218" s="845">
        <v>3</v>
      </c>
      <c r="O218" s="845">
        <v>99999</v>
      </c>
      <c r="P218" s="907">
        <f t="shared" ca="1" si="7"/>
        <v>0</v>
      </c>
      <c r="Q218" s="232">
        <f ca="1">Financeiros!D80</f>
        <v>0</v>
      </c>
    </row>
    <row r="219" spans="1:17" ht="15.75">
      <c r="A219" s="845" t="s">
        <v>696</v>
      </c>
      <c r="B219" s="845" t="s">
        <v>1290</v>
      </c>
      <c r="C219" s="845" t="str">
        <f>Financeiros!C81</f>
        <v>Sobrecontratação/Exposição de Energia - Perda Rede Básica sobre mercado Cat.</v>
      </c>
      <c r="D219" s="845">
        <v>2</v>
      </c>
      <c r="E219" s="845">
        <v>2</v>
      </c>
      <c r="F219" s="845">
        <f>Financeiros!H81</f>
        <v>22</v>
      </c>
      <c r="G219" s="845">
        <f>Financeiros!I81</f>
        <v>60</v>
      </c>
      <c r="H219" s="845">
        <f>Financeiros!J81</f>
        <v>106</v>
      </c>
      <c r="I219" s="845">
        <f>Financeiros!K81</f>
        <v>2</v>
      </c>
      <c r="J219" s="845">
        <f>Financeiros!L81</f>
        <v>24</v>
      </c>
      <c r="K219" s="845">
        <f>Financeiros!M81</f>
        <v>9</v>
      </c>
      <c r="L219" s="845">
        <v>99</v>
      </c>
      <c r="M219" s="845">
        <v>9</v>
      </c>
      <c r="N219" s="845">
        <v>3</v>
      </c>
      <c r="O219" s="845">
        <v>99999</v>
      </c>
      <c r="P219" s="907">
        <f t="shared" ca="1" si="7"/>
        <v>0</v>
      </c>
      <c r="Q219" s="232">
        <f ca="1">Financeiros!D81</f>
        <v>0</v>
      </c>
    </row>
    <row r="220" spans="1:17" ht="15.75">
      <c r="A220" s="845" t="s">
        <v>696</v>
      </c>
      <c r="B220" s="845" t="s">
        <v>1290</v>
      </c>
      <c r="C220" s="845" t="str">
        <f>Financeiros!C82</f>
        <v>Reversão de Risco Hidrológico - Energia de Revenda</v>
      </c>
      <c r="D220" s="845">
        <v>2</v>
      </c>
      <c r="E220" s="845">
        <v>2</v>
      </c>
      <c r="F220" s="845">
        <f>Financeiros!H82</f>
        <v>22</v>
      </c>
      <c r="G220" s="845">
        <f>Financeiros!I82</f>
        <v>62</v>
      </c>
      <c r="H220" s="845">
        <f>Financeiros!J82</f>
        <v>220</v>
      </c>
      <c r="I220" s="845">
        <f>Financeiros!K82</f>
        <v>2</v>
      </c>
      <c r="J220" s="845">
        <f>Financeiros!L82</f>
        <v>11</v>
      </c>
      <c r="K220" s="845">
        <f>Financeiros!M82</f>
        <v>9</v>
      </c>
      <c r="L220" s="845">
        <v>99</v>
      </c>
      <c r="M220" s="845">
        <v>9</v>
      </c>
      <c r="N220" s="845">
        <v>3</v>
      </c>
      <c r="O220" s="845">
        <v>99999</v>
      </c>
      <c r="P220" s="907">
        <f t="shared" ca="1" si="7"/>
        <v>0</v>
      </c>
      <c r="Q220" s="232">
        <f ca="1">Financeiros!D82</f>
        <v>0</v>
      </c>
    </row>
    <row r="221" spans="1:17" ht="15.75">
      <c r="A221" s="845" t="s">
        <v>696</v>
      </c>
      <c r="B221" s="845" t="s">
        <v>1290</v>
      </c>
      <c r="C221" s="845" t="str">
        <f>Financeiros!C83</f>
        <v>Reversão de Risco Hidrológico - Perda Não Técnica</v>
      </c>
      <c r="D221" s="845">
        <v>2</v>
      </c>
      <c r="E221" s="845">
        <v>2</v>
      </c>
      <c r="F221" s="845">
        <f>Financeiros!H83</f>
        <v>22</v>
      </c>
      <c r="G221" s="845">
        <f>Financeiros!I83</f>
        <v>62</v>
      </c>
      <c r="H221" s="845">
        <f>Financeiros!J83</f>
        <v>220</v>
      </c>
      <c r="I221" s="845">
        <f>Financeiros!K83</f>
        <v>2</v>
      </c>
      <c r="J221" s="845">
        <f>Financeiros!L83</f>
        <v>9</v>
      </c>
      <c r="K221" s="845">
        <f>Financeiros!M83</f>
        <v>9</v>
      </c>
      <c r="L221" s="845">
        <v>99</v>
      </c>
      <c r="M221" s="845">
        <v>9</v>
      </c>
      <c r="N221" s="845">
        <v>3</v>
      </c>
      <c r="O221" s="845">
        <v>99999</v>
      </c>
      <c r="P221" s="907">
        <f t="shared" ca="1" si="7"/>
        <v>0</v>
      </c>
      <c r="Q221" s="232">
        <f ca="1">Financeiros!D83</f>
        <v>0</v>
      </c>
    </row>
    <row r="222" spans="1:17" ht="15.75">
      <c r="A222" s="845" t="s">
        <v>696</v>
      </c>
      <c r="B222" s="845" t="s">
        <v>1290</v>
      </c>
      <c r="C222" s="845" t="str">
        <f>Financeiros!C84</f>
        <v>Reversão de Risco Hidrológico - Perda Técnica</v>
      </c>
      <c r="D222" s="845">
        <v>2</v>
      </c>
      <c r="E222" s="845">
        <v>2</v>
      </c>
      <c r="F222" s="845">
        <f>Financeiros!H84</f>
        <v>22</v>
      </c>
      <c r="G222" s="845">
        <f>Financeiros!I84</f>
        <v>62</v>
      </c>
      <c r="H222" s="845">
        <f>Financeiros!J84</f>
        <v>220</v>
      </c>
      <c r="I222" s="845">
        <f>Financeiros!K84</f>
        <v>2</v>
      </c>
      <c r="J222" s="845">
        <f>Financeiros!L84</f>
        <v>8</v>
      </c>
      <c r="K222" s="845">
        <f>Financeiros!M84</f>
        <v>9</v>
      </c>
      <c r="L222" s="845">
        <v>99</v>
      </c>
      <c r="M222" s="845">
        <v>9</v>
      </c>
      <c r="N222" s="845">
        <v>3</v>
      </c>
      <c r="O222" s="845">
        <v>99999</v>
      </c>
      <c r="P222" s="907">
        <f t="shared" ca="1" si="7"/>
        <v>0</v>
      </c>
      <c r="Q222" s="232">
        <f ca="1">Financeiros!D84</f>
        <v>0</v>
      </c>
    </row>
    <row r="223" spans="1:17" ht="15.75">
      <c r="A223" s="845" t="s">
        <v>696</v>
      </c>
      <c r="B223" s="845" t="s">
        <v>1290</v>
      </c>
      <c r="C223" s="845" t="str">
        <f>Financeiros!C85</f>
        <v>Reversão de Risco Hidrológico - Perda Rede Básica sobre Dist.</v>
      </c>
      <c r="D223" s="845">
        <v>2</v>
      </c>
      <c r="E223" s="845">
        <v>2</v>
      </c>
      <c r="F223" s="845">
        <f>Financeiros!H85</f>
        <v>22</v>
      </c>
      <c r="G223" s="845">
        <f>Financeiros!I85</f>
        <v>62</v>
      </c>
      <c r="H223" s="845">
        <f>Financeiros!J85</f>
        <v>220</v>
      </c>
      <c r="I223" s="845">
        <f>Financeiros!K85</f>
        <v>2</v>
      </c>
      <c r="J223" s="845">
        <f>Financeiros!L85</f>
        <v>10</v>
      </c>
      <c r="K223" s="845">
        <f>Financeiros!M85</f>
        <v>9</v>
      </c>
      <c r="L223" s="845">
        <v>99</v>
      </c>
      <c r="M223" s="845">
        <v>9</v>
      </c>
      <c r="N223" s="845">
        <v>3</v>
      </c>
      <c r="O223" s="845">
        <v>99999</v>
      </c>
      <c r="P223" s="907">
        <f t="shared" ca="1" si="7"/>
        <v>0</v>
      </c>
      <c r="Q223" s="232">
        <f ca="1">Financeiros!D85</f>
        <v>0</v>
      </c>
    </row>
    <row r="224" spans="1:17" ht="15.75">
      <c r="A224" s="845" t="s">
        <v>696</v>
      </c>
      <c r="B224" s="845" t="s">
        <v>1290</v>
      </c>
      <c r="C224" s="845" t="str">
        <f>Financeiros!C86</f>
        <v>Reversão de Risco Hidrológico - Perda Rede Básica sobre mercado Cat.</v>
      </c>
      <c r="D224" s="845">
        <v>2</v>
      </c>
      <c r="E224" s="845">
        <v>2</v>
      </c>
      <c r="F224" s="845">
        <f>Financeiros!H86</f>
        <v>22</v>
      </c>
      <c r="G224" s="845">
        <f>Financeiros!I86</f>
        <v>62</v>
      </c>
      <c r="H224" s="845">
        <f>Financeiros!J86</f>
        <v>220</v>
      </c>
      <c r="I224" s="845">
        <f>Financeiros!K86</f>
        <v>2</v>
      </c>
      <c r="J224" s="845">
        <f>Financeiros!L86</f>
        <v>24</v>
      </c>
      <c r="K224" s="845">
        <f>Financeiros!M86</f>
        <v>9</v>
      </c>
      <c r="L224" s="845">
        <v>99</v>
      </c>
      <c r="M224" s="845">
        <v>9</v>
      </c>
      <c r="N224" s="845">
        <v>3</v>
      </c>
      <c r="O224" s="845">
        <v>99999</v>
      </c>
      <c r="P224" s="907">
        <f t="shared" ca="1" si="7"/>
        <v>0</v>
      </c>
      <c r="Q224" s="232">
        <f ca="1">Financeiros!D86</f>
        <v>0</v>
      </c>
    </row>
    <row r="225" spans="1:17" ht="15.75">
      <c r="A225" s="845" t="s">
        <v>696</v>
      </c>
      <c r="B225" s="845" t="s">
        <v>1290</v>
      </c>
      <c r="C225" s="845" t="str">
        <f>Financeiros!C87</f>
        <v>Previsão de Risco Hidrologico - Energia de Revenda</v>
      </c>
      <c r="D225" s="845">
        <v>2</v>
      </c>
      <c r="E225" s="845">
        <v>2</v>
      </c>
      <c r="F225" s="845">
        <f>Financeiros!H87</f>
        <v>22</v>
      </c>
      <c r="G225" s="845">
        <f>Financeiros!I87</f>
        <v>60</v>
      </c>
      <c r="H225" s="845">
        <f>Financeiros!J87</f>
        <v>220</v>
      </c>
      <c r="I225" s="845">
        <f>Financeiros!K87</f>
        <v>2</v>
      </c>
      <c r="J225" s="845">
        <f>Financeiros!L87</f>
        <v>11</v>
      </c>
      <c r="K225" s="845">
        <f>Financeiros!M87</f>
        <v>9</v>
      </c>
      <c r="L225" s="845">
        <v>99</v>
      </c>
      <c r="M225" s="845">
        <v>9</v>
      </c>
      <c r="N225" s="845">
        <v>3</v>
      </c>
      <c r="O225" s="845">
        <v>99999</v>
      </c>
      <c r="P225" s="907">
        <f t="shared" ca="1" si="7"/>
        <v>0</v>
      </c>
      <c r="Q225" s="232">
        <f ca="1">Financeiros!D87</f>
        <v>0</v>
      </c>
    </row>
    <row r="226" spans="1:17" ht="15.75">
      <c r="A226" s="845" t="s">
        <v>696</v>
      </c>
      <c r="B226" s="845" t="s">
        <v>1290</v>
      </c>
      <c r="C226" s="845" t="str">
        <f>Financeiros!C88</f>
        <v>Previsão de Risco Hidrologico - Perda Não Técnica</v>
      </c>
      <c r="D226" s="845">
        <v>2</v>
      </c>
      <c r="E226" s="845">
        <v>2</v>
      </c>
      <c r="F226" s="845">
        <f>Financeiros!H88</f>
        <v>22</v>
      </c>
      <c r="G226" s="845">
        <f>Financeiros!I88</f>
        <v>60</v>
      </c>
      <c r="H226" s="845">
        <f>Financeiros!J88</f>
        <v>220</v>
      </c>
      <c r="I226" s="845">
        <f>Financeiros!K88</f>
        <v>2</v>
      </c>
      <c r="J226" s="845">
        <f>Financeiros!L88</f>
        <v>9</v>
      </c>
      <c r="K226" s="845">
        <f>Financeiros!M88</f>
        <v>9</v>
      </c>
      <c r="L226" s="845">
        <v>99</v>
      </c>
      <c r="M226" s="845">
        <v>9</v>
      </c>
      <c r="N226" s="845">
        <v>3</v>
      </c>
      <c r="O226" s="845">
        <v>99999</v>
      </c>
      <c r="P226" s="907">
        <f t="shared" ca="1" si="7"/>
        <v>0</v>
      </c>
      <c r="Q226" s="232">
        <f ca="1">Financeiros!D88</f>
        <v>0</v>
      </c>
    </row>
    <row r="227" spans="1:17" ht="15.75">
      <c r="A227" s="845" t="s">
        <v>696</v>
      </c>
      <c r="B227" s="845" t="s">
        <v>1290</v>
      </c>
      <c r="C227" s="845" t="str">
        <f>Financeiros!C89</f>
        <v>Previsão de Risco Hidrologico - Perda Técnica</v>
      </c>
      <c r="D227" s="845">
        <v>2</v>
      </c>
      <c r="E227" s="845">
        <v>2</v>
      </c>
      <c r="F227" s="845">
        <f>Financeiros!H89</f>
        <v>22</v>
      </c>
      <c r="G227" s="845">
        <f>Financeiros!I89</f>
        <v>60</v>
      </c>
      <c r="H227" s="845">
        <f>Financeiros!J89</f>
        <v>220</v>
      </c>
      <c r="I227" s="845">
        <f>Financeiros!K89</f>
        <v>2</v>
      </c>
      <c r="J227" s="845">
        <f>Financeiros!L89</f>
        <v>8</v>
      </c>
      <c r="K227" s="845">
        <f>Financeiros!M89</f>
        <v>9</v>
      </c>
      <c r="L227" s="845">
        <v>99</v>
      </c>
      <c r="M227" s="845">
        <v>9</v>
      </c>
      <c r="N227" s="845">
        <v>3</v>
      </c>
      <c r="O227" s="845">
        <v>99999</v>
      </c>
      <c r="P227" s="907">
        <f t="shared" ca="1" si="7"/>
        <v>0</v>
      </c>
      <c r="Q227" s="232">
        <f ca="1">Financeiros!D89</f>
        <v>0</v>
      </c>
    </row>
    <row r="228" spans="1:17" ht="15.75">
      <c r="A228" s="845" t="s">
        <v>696</v>
      </c>
      <c r="B228" s="845" t="s">
        <v>1290</v>
      </c>
      <c r="C228" s="845" t="str">
        <f>Financeiros!C90</f>
        <v>Previsão de Risco Hidrologico - Perda Rede Básica sobre Dist.</v>
      </c>
      <c r="D228" s="845">
        <v>2</v>
      </c>
      <c r="E228" s="845">
        <v>2</v>
      </c>
      <c r="F228" s="845">
        <f>Financeiros!H90</f>
        <v>22</v>
      </c>
      <c r="G228" s="845">
        <f>Financeiros!I90</f>
        <v>60</v>
      </c>
      <c r="H228" s="845">
        <f>Financeiros!J90</f>
        <v>220</v>
      </c>
      <c r="I228" s="845">
        <f>Financeiros!K90</f>
        <v>2</v>
      </c>
      <c r="J228" s="845">
        <f>Financeiros!L90</f>
        <v>10</v>
      </c>
      <c r="K228" s="845">
        <f>Financeiros!M90</f>
        <v>9</v>
      </c>
      <c r="L228" s="845">
        <v>99</v>
      </c>
      <c r="M228" s="845">
        <v>9</v>
      </c>
      <c r="N228" s="845">
        <v>3</v>
      </c>
      <c r="O228" s="845">
        <v>99999</v>
      </c>
      <c r="P228" s="907">
        <f t="shared" ca="1" si="7"/>
        <v>0</v>
      </c>
      <c r="Q228" s="232">
        <f ca="1">Financeiros!D90</f>
        <v>0</v>
      </c>
    </row>
    <row r="229" spans="1:17" ht="15.75">
      <c r="A229" s="845" t="s">
        <v>696</v>
      </c>
      <c r="B229" s="845" t="s">
        <v>1290</v>
      </c>
      <c r="C229" s="845" t="str">
        <f>Financeiros!C91</f>
        <v>Previsão de Risco Hidrologico - Perda Rede Básica sobre mercado Cat.</v>
      </c>
      <c r="D229" s="845">
        <v>2</v>
      </c>
      <c r="E229" s="845">
        <v>2</v>
      </c>
      <c r="F229" s="845">
        <f>Financeiros!H91</f>
        <v>22</v>
      </c>
      <c r="G229" s="845">
        <f>Financeiros!I91</f>
        <v>60</v>
      </c>
      <c r="H229" s="845">
        <f>Financeiros!J91</f>
        <v>220</v>
      </c>
      <c r="I229" s="845">
        <f>Financeiros!K91</f>
        <v>2</v>
      </c>
      <c r="J229" s="845">
        <f>Financeiros!L91</f>
        <v>24</v>
      </c>
      <c r="K229" s="845">
        <f>Financeiros!M91</f>
        <v>9</v>
      </c>
      <c r="L229" s="845">
        <v>99</v>
      </c>
      <c r="M229" s="845">
        <v>9</v>
      </c>
      <c r="N229" s="845">
        <v>3</v>
      </c>
      <c r="O229" s="845">
        <v>99999</v>
      </c>
      <c r="P229" s="907">
        <f t="shared" ca="1" si="7"/>
        <v>0</v>
      </c>
      <c r="Q229" s="232">
        <f ca="1">Financeiros!D91</f>
        <v>0</v>
      </c>
    </row>
    <row r="230" spans="1:17" ht="15.75">
      <c r="A230" s="845" t="s">
        <v>696</v>
      </c>
      <c r="B230" s="845" t="s">
        <v>1290</v>
      </c>
      <c r="C230" s="845" t="str">
        <f>Financeiros!C92</f>
        <v>Previsão de Risco Hidrologico - Energia de Revenda</v>
      </c>
      <c r="D230" s="845">
        <v>2</v>
      </c>
      <c r="E230" s="845">
        <v>2</v>
      </c>
      <c r="F230" s="845">
        <v>999</v>
      </c>
      <c r="G230" s="845">
        <v>999999</v>
      </c>
      <c r="H230" s="845">
        <v>999</v>
      </c>
      <c r="I230" s="845">
        <v>99</v>
      </c>
      <c r="J230" s="845">
        <v>999</v>
      </c>
      <c r="K230" s="845">
        <v>9</v>
      </c>
      <c r="L230" s="845">
        <v>99</v>
      </c>
      <c r="M230" s="845">
        <v>9</v>
      </c>
      <c r="N230" s="845">
        <v>3</v>
      </c>
      <c r="O230" s="845">
        <v>99999</v>
      </c>
      <c r="P230" s="907">
        <f t="shared" si="7"/>
        <v>0</v>
      </c>
      <c r="Q230" s="232">
        <f>Financeiros!D92</f>
        <v>0</v>
      </c>
    </row>
    <row r="231" spans="1:17" ht="15.75">
      <c r="A231" s="845" t="s">
        <v>696</v>
      </c>
      <c r="B231" s="845" t="s">
        <v>1290</v>
      </c>
      <c r="C231" s="845" t="str">
        <f>Financeiros!C93</f>
        <v>Previsão de Risco Hidrologico - Perda Não Técnica</v>
      </c>
      <c r="D231" s="845">
        <v>2</v>
      </c>
      <c r="E231" s="845">
        <v>2</v>
      </c>
      <c r="F231" s="845">
        <v>999</v>
      </c>
      <c r="G231" s="845">
        <v>999999</v>
      </c>
      <c r="H231" s="845">
        <v>999</v>
      </c>
      <c r="I231" s="845">
        <v>99</v>
      </c>
      <c r="J231" s="845">
        <v>999</v>
      </c>
      <c r="K231" s="845">
        <v>9</v>
      </c>
      <c r="L231" s="845">
        <v>99</v>
      </c>
      <c r="M231" s="845">
        <v>9</v>
      </c>
      <c r="N231" s="845">
        <v>3</v>
      </c>
      <c r="O231" s="845">
        <v>99999</v>
      </c>
      <c r="P231" s="907">
        <f t="shared" si="7"/>
        <v>0</v>
      </c>
      <c r="Q231" s="232">
        <f>Financeiros!D93</f>
        <v>0</v>
      </c>
    </row>
    <row r="232" spans="1:17" ht="15.75">
      <c r="A232" s="845" t="s">
        <v>696</v>
      </c>
      <c r="B232" s="845" t="s">
        <v>1290</v>
      </c>
      <c r="C232" s="845" t="str">
        <f>Financeiros!C94</f>
        <v>Previsão de Risco Hidrologico - Perda Técnica</v>
      </c>
      <c r="D232" s="845">
        <v>2</v>
      </c>
      <c r="E232" s="845">
        <v>2</v>
      </c>
      <c r="F232" s="845">
        <v>999</v>
      </c>
      <c r="G232" s="845">
        <v>999999</v>
      </c>
      <c r="H232" s="845">
        <v>999</v>
      </c>
      <c r="I232" s="845">
        <v>99</v>
      </c>
      <c r="J232" s="845">
        <v>999</v>
      </c>
      <c r="K232" s="845">
        <v>9</v>
      </c>
      <c r="L232" s="845">
        <v>99</v>
      </c>
      <c r="M232" s="845">
        <v>9</v>
      </c>
      <c r="N232" s="845">
        <v>3</v>
      </c>
      <c r="O232" s="845">
        <v>99999</v>
      </c>
      <c r="P232" s="907">
        <f t="shared" si="7"/>
        <v>0</v>
      </c>
      <c r="Q232" s="232">
        <f>Financeiros!D94</f>
        <v>0</v>
      </c>
    </row>
    <row r="233" spans="1:17" ht="15.75">
      <c r="A233" s="845" t="s">
        <v>696</v>
      </c>
      <c r="B233" s="845" t="s">
        <v>1290</v>
      </c>
      <c r="C233" s="845" t="str">
        <f>Financeiros!C95</f>
        <v>Previsão de Risco Hidrologico - Perda Rede Básica sobre Dist.</v>
      </c>
      <c r="D233" s="845">
        <v>2</v>
      </c>
      <c r="E233" s="845">
        <v>2</v>
      </c>
      <c r="F233" s="845">
        <v>999</v>
      </c>
      <c r="G233" s="845">
        <v>999999</v>
      </c>
      <c r="H233" s="845">
        <v>999</v>
      </c>
      <c r="I233" s="845">
        <v>99</v>
      </c>
      <c r="J233" s="845">
        <v>999</v>
      </c>
      <c r="K233" s="845">
        <v>9</v>
      </c>
      <c r="L233" s="845">
        <v>99</v>
      </c>
      <c r="M233" s="845">
        <v>9</v>
      </c>
      <c r="N233" s="845">
        <v>3</v>
      </c>
      <c r="O233" s="845">
        <v>99999</v>
      </c>
      <c r="P233" s="907">
        <f t="shared" si="7"/>
        <v>0</v>
      </c>
      <c r="Q233" s="232">
        <f>Financeiros!D95</f>
        <v>0</v>
      </c>
    </row>
    <row r="234" spans="1:17" ht="15.75">
      <c r="A234" s="845" t="s">
        <v>696</v>
      </c>
      <c r="B234" s="845" t="s">
        <v>1290</v>
      </c>
      <c r="C234" s="845" t="str">
        <f>Financeiros!C96</f>
        <v>Previsão de Risco Hidrologico - Perda Rede Básica sobre mercado Cat.</v>
      </c>
      <c r="D234" s="845">
        <v>2</v>
      </c>
      <c r="E234" s="845">
        <v>2</v>
      </c>
      <c r="F234" s="845">
        <v>999</v>
      </c>
      <c r="G234" s="845">
        <v>999999</v>
      </c>
      <c r="H234" s="845">
        <v>999</v>
      </c>
      <c r="I234" s="845">
        <v>99</v>
      </c>
      <c r="J234" s="845">
        <v>999</v>
      </c>
      <c r="K234" s="845">
        <v>9</v>
      </c>
      <c r="L234" s="845">
        <v>99</v>
      </c>
      <c r="M234" s="845">
        <v>9</v>
      </c>
      <c r="N234" s="845">
        <v>3</v>
      </c>
      <c r="O234" s="845">
        <v>99999</v>
      </c>
      <c r="P234" s="907">
        <f t="shared" si="7"/>
        <v>0</v>
      </c>
      <c r="Q234" s="232">
        <f>Financeiros!D96</f>
        <v>0</v>
      </c>
    </row>
    <row r="235" spans="1:17" ht="15.75">
      <c r="A235" s="845" t="s">
        <v>696</v>
      </c>
      <c r="B235" s="845" t="s">
        <v>1290</v>
      </c>
      <c r="C235" s="845" t="str">
        <f>Financeiros!C97</f>
        <v>Diferimento CUSD</v>
      </c>
      <c r="D235" s="845">
        <v>2</v>
      </c>
      <c r="E235" s="845">
        <v>2</v>
      </c>
      <c r="F235" s="845">
        <v>999</v>
      </c>
      <c r="G235" s="845">
        <v>999999</v>
      </c>
      <c r="H235" s="845">
        <v>999</v>
      </c>
      <c r="I235" s="845">
        <v>99</v>
      </c>
      <c r="J235" s="845">
        <v>999</v>
      </c>
      <c r="K235" s="845">
        <v>9</v>
      </c>
      <c r="L235" s="845">
        <v>99</v>
      </c>
      <c r="M235" s="845">
        <v>9</v>
      </c>
      <c r="N235" s="845">
        <v>3</v>
      </c>
      <c r="O235" s="845">
        <v>99999</v>
      </c>
      <c r="P235" s="907">
        <f t="shared" si="7"/>
        <v>0</v>
      </c>
      <c r="Q235" s="232">
        <f>Financeiros!D97</f>
        <v>0</v>
      </c>
    </row>
    <row r="236" spans="1:17" ht="15.75">
      <c r="A236" s="845" t="s">
        <v>696</v>
      </c>
      <c r="B236" s="845" t="s">
        <v>1290</v>
      </c>
      <c r="C236" s="845">
        <f>Financeiros!C98</f>
        <v>0</v>
      </c>
      <c r="D236" s="845">
        <v>2</v>
      </c>
      <c r="E236" s="845">
        <v>2</v>
      </c>
      <c r="F236" s="845">
        <v>999</v>
      </c>
      <c r="G236" s="845">
        <v>999999</v>
      </c>
      <c r="H236" s="845">
        <v>999</v>
      </c>
      <c r="I236" s="845">
        <v>99</v>
      </c>
      <c r="J236" s="845">
        <v>999</v>
      </c>
      <c r="K236" s="845">
        <v>9</v>
      </c>
      <c r="L236" s="845">
        <v>99</v>
      </c>
      <c r="M236" s="845">
        <v>9</v>
      </c>
      <c r="N236" s="845">
        <v>3</v>
      </c>
      <c r="O236" s="845">
        <v>99999</v>
      </c>
      <c r="P236" s="907">
        <f t="shared" si="7"/>
        <v>0</v>
      </c>
      <c r="Q236" s="232">
        <f>Financeiros!D98</f>
        <v>0</v>
      </c>
    </row>
    <row r="237" spans="1:17" ht="15.75">
      <c r="A237" s="845" t="s">
        <v>696</v>
      </c>
      <c r="B237" s="845" t="s">
        <v>1290</v>
      </c>
      <c r="C237" s="845">
        <f>Financeiros!C99</f>
        <v>0</v>
      </c>
      <c r="D237" s="845">
        <v>2</v>
      </c>
      <c r="E237" s="845">
        <v>2</v>
      </c>
      <c r="F237" s="845">
        <v>999</v>
      </c>
      <c r="G237" s="845">
        <v>999999</v>
      </c>
      <c r="H237" s="845">
        <v>999</v>
      </c>
      <c r="I237" s="845">
        <v>99</v>
      </c>
      <c r="J237" s="845">
        <v>999</v>
      </c>
      <c r="K237" s="845">
        <v>9</v>
      </c>
      <c r="L237" s="845">
        <v>99</v>
      </c>
      <c r="M237" s="845">
        <v>9</v>
      </c>
      <c r="N237" s="845">
        <v>3</v>
      </c>
      <c r="O237" s="845">
        <v>99999</v>
      </c>
      <c r="P237" s="907">
        <f t="shared" si="7"/>
        <v>0</v>
      </c>
      <c r="Q237" s="232">
        <f>Financeiros!D99</f>
        <v>0</v>
      </c>
    </row>
    <row r="238" spans="1:17" ht="15.75">
      <c r="A238" s="845" t="s">
        <v>696</v>
      </c>
      <c r="B238" s="845" t="s">
        <v>1290</v>
      </c>
      <c r="C238" s="845">
        <f>Financeiros!C100</f>
        <v>0</v>
      </c>
      <c r="D238" s="845">
        <v>2</v>
      </c>
      <c r="E238" s="845">
        <v>2</v>
      </c>
      <c r="F238" s="845">
        <v>999</v>
      </c>
      <c r="G238" s="845">
        <v>999999</v>
      </c>
      <c r="H238" s="845">
        <v>999</v>
      </c>
      <c r="I238" s="845">
        <v>99</v>
      </c>
      <c r="J238" s="845">
        <v>999</v>
      </c>
      <c r="K238" s="845">
        <v>9</v>
      </c>
      <c r="L238" s="845">
        <v>99</v>
      </c>
      <c r="M238" s="845">
        <v>9</v>
      </c>
      <c r="N238" s="845">
        <v>3</v>
      </c>
      <c r="O238" s="845">
        <v>99999</v>
      </c>
      <c r="P238" s="907">
        <f t="shared" ref="P238" si="8">IF(ISNUMBER(Q238),Q238,0)</f>
        <v>0</v>
      </c>
      <c r="Q238" s="232">
        <f>Financeiros!D100</f>
        <v>0</v>
      </c>
    </row>
    <row r="239" spans="1:17" ht="15.75">
      <c r="A239" s="1680" t="s">
        <v>1475</v>
      </c>
      <c r="B239" s="1681" t="s">
        <v>1475</v>
      </c>
      <c r="C239" s="1681" t="s">
        <v>1475</v>
      </c>
      <c r="D239" s="1681">
        <v>99</v>
      </c>
      <c r="E239" s="1681">
        <v>99</v>
      </c>
      <c r="F239" s="1681">
        <v>999</v>
      </c>
      <c r="G239" s="1681">
        <v>999999</v>
      </c>
      <c r="H239" s="1681">
        <v>999</v>
      </c>
      <c r="I239" s="1681">
        <v>99</v>
      </c>
      <c r="J239" s="1681">
        <v>999</v>
      </c>
      <c r="K239" s="1681">
        <v>9</v>
      </c>
      <c r="L239" s="1681">
        <v>99</v>
      </c>
      <c r="M239" s="1681">
        <v>9</v>
      </c>
      <c r="N239" s="1681">
        <v>99</v>
      </c>
      <c r="O239" s="1676">
        <v>99999</v>
      </c>
      <c r="P239" s="1682">
        <f>IF(ISNUMBER(Q239),Q239,0)</f>
        <v>0</v>
      </c>
      <c r="Q239" s="1683">
        <v>0</v>
      </c>
    </row>
    <row r="240" spans="1:17" ht="15.75">
      <c r="A240" s="1680" t="s">
        <v>1475</v>
      </c>
      <c r="B240" s="1681" t="s">
        <v>1475</v>
      </c>
      <c r="C240" s="1681" t="s">
        <v>1475</v>
      </c>
      <c r="D240" s="1681">
        <v>99</v>
      </c>
      <c r="E240" s="1681">
        <v>99</v>
      </c>
      <c r="F240" s="1681">
        <v>999</v>
      </c>
      <c r="G240" s="1681">
        <v>999999</v>
      </c>
      <c r="H240" s="1681">
        <v>999</v>
      </c>
      <c r="I240" s="1681">
        <v>99</v>
      </c>
      <c r="J240" s="1681">
        <v>999</v>
      </c>
      <c r="K240" s="1681">
        <v>9</v>
      </c>
      <c r="L240" s="1681">
        <v>99</v>
      </c>
      <c r="M240" s="1681">
        <v>9</v>
      </c>
      <c r="N240" s="1681">
        <v>99</v>
      </c>
      <c r="O240" s="1676">
        <v>99999</v>
      </c>
      <c r="P240" s="1682">
        <f>IF(ISNUMBER(Q240),Q240,0)</f>
        <v>0</v>
      </c>
      <c r="Q240" s="1683">
        <v>0</v>
      </c>
    </row>
    <row r="241" spans="4:17" ht="15.75">
      <c r="D241"/>
      <c r="E241"/>
      <c r="F241"/>
      <c r="G241"/>
      <c r="H241"/>
      <c r="I241"/>
      <c r="J241"/>
      <c r="K241"/>
      <c r="L241"/>
      <c r="M241"/>
      <c r="N241"/>
      <c r="O241"/>
      <c r="P241" s="232">
        <f t="shared" ref="P241:P283" si="9">IF(ISNUMBER(Q241),Q241,0)</f>
        <v>0</v>
      </c>
      <c r="Q241" s="232"/>
    </row>
    <row r="242" spans="4:17" ht="15.75">
      <c r="D242"/>
      <c r="E242"/>
      <c r="F242"/>
      <c r="G242"/>
      <c r="H242"/>
      <c r="I242"/>
      <c r="J242"/>
      <c r="K242"/>
      <c r="L242"/>
      <c r="M242"/>
      <c r="N242"/>
      <c r="O242"/>
      <c r="P242" s="232">
        <f t="shared" si="9"/>
        <v>0</v>
      </c>
      <c r="Q242" s="232"/>
    </row>
    <row r="243" spans="4:17" ht="15.75">
      <c r="D243"/>
      <c r="E243"/>
      <c r="F243"/>
      <c r="G243"/>
      <c r="H243"/>
      <c r="I243"/>
      <c r="J243"/>
      <c r="K243"/>
      <c r="L243"/>
      <c r="M243"/>
      <c r="N243"/>
      <c r="O243"/>
      <c r="P243" s="232">
        <f t="shared" si="9"/>
        <v>0</v>
      </c>
      <c r="Q243" s="232"/>
    </row>
    <row r="244" spans="4:17" ht="15.75">
      <c r="D244"/>
      <c r="E244"/>
      <c r="F244"/>
      <c r="G244"/>
      <c r="H244"/>
      <c r="I244"/>
      <c r="J244"/>
      <c r="K244"/>
      <c r="L244"/>
      <c r="M244"/>
      <c r="N244"/>
      <c r="O244"/>
      <c r="P244" s="232">
        <f t="shared" si="9"/>
        <v>0</v>
      </c>
      <c r="Q244" s="232"/>
    </row>
    <row r="245" spans="4:17" ht="15.75">
      <c r="D245"/>
      <c r="E245"/>
      <c r="F245"/>
      <c r="G245"/>
      <c r="H245"/>
      <c r="I245"/>
      <c r="J245"/>
      <c r="K245"/>
      <c r="L245"/>
      <c r="M245"/>
      <c r="N245"/>
      <c r="O245"/>
      <c r="P245" s="232">
        <f t="shared" si="9"/>
        <v>0</v>
      </c>
      <c r="Q245" s="232"/>
    </row>
    <row r="246" spans="4:17" ht="15.75">
      <c r="D246"/>
      <c r="E246"/>
      <c r="F246"/>
      <c r="G246"/>
      <c r="H246"/>
      <c r="I246"/>
      <c r="J246"/>
      <c r="K246"/>
      <c r="L246"/>
      <c r="M246"/>
      <c r="N246"/>
      <c r="O246"/>
      <c r="P246" s="232">
        <f t="shared" si="9"/>
        <v>0</v>
      </c>
      <c r="Q246" s="232"/>
    </row>
    <row r="247" spans="4:17" ht="15.75">
      <c r="D247"/>
      <c r="E247"/>
      <c r="F247"/>
      <c r="G247"/>
      <c r="H247"/>
      <c r="I247"/>
      <c r="J247"/>
      <c r="K247"/>
      <c r="L247"/>
      <c r="M247"/>
      <c r="N247"/>
      <c r="O247"/>
      <c r="P247" s="232">
        <f t="shared" si="9"/>
        <v>0</v>
      </c>
      <c r="Q247" s="232"/>
    </row>
    <row r="248" spans="4:17" ht="15.75">
      <c r="D248"/>
      <c r="E248"/>
      <c r="F248"/>
      <c r="G248"/>
      <c r="H248"/>
      <c r="I248"/>
      <c r="J248"/>
      <c r="K248"/>
      <c r="L248"/>
      <c r="M248"/>
      <c r="N248"/>
      <c r="O248"/>
      <c r="P248" s="232">
        <f t="shared" si="9"/>
        <v>0</v>
      </c>
      <c r="Q248" s="232"/>
    </row>
    <row r="249" spans="4:17" ht="15.75">
      <c r="D249"/>
      <c r="E249"/>
      <c r="F249"/>
      <c r="G249"/>
      <c r="H249"/>
      <c r="I249"/>
      <c r="J249"/>
      <c r="K249"/>
      <c r="L249"/>
      <c r="M249"/>
      <c r="N249"/>
      <c r="O249"/>
      <c r="P249" s="232">
        <f t="shared" si="9"/>
        <v>0</v>
      </c>
      <c r="Q249" s="232"/>
    </row>
    <row r="250" spans="4:17" ht="15.75">
      <c r="D250"/>
      <c r="E250"/>
      <c r="F250"/>
      <c r="G250"/>
      <c r="H250"/>
      <c r="I250"/>
      <c r="J250"/>
      <c r="K250"/>
      <c r="L250"/>
      <c r="M250"/>
      <c r="N250"/>
      <c r="O250"/>
      <c r="P250" s="232">
        <f t="shared" si="9"/>
        <v>0</v>
      </c>
      <c r="Q250" s="232"/>
    </row>
    <row r="251" spans="4:17" ht="15.75">
      <c r="D251"/>
      <c r="E251"/>
      <c r="F251"/>
      <c r="G251"/>
      <c r="H251"/>
      <c r="I251"/>
      <c r="J251"/>
      <c r="K251"/>
      <c r="L251"/>
      <c r="M251"/>
      <c r="N251"/>
      <c r="O251"/>
      <c r="P251" s="232">
        <f t="shared" si="9"/>
        <v>0</v>
      </c>
      <c r="Q251" s="232"/>
    </row>
    <row r="252" spans="4:17" ht="15.75">
      <c r="D252"/>
      <c r="E252"/>
      <c r="F252"/>
      <c r="G252"/>
      <c r="H252"/>
      <c r="I252"/>
      <c r="J252"/>
      <c r="K252"/>
      <c r="L252"/>
      <c r="M252"/>
      <c r="N252"/>
      <c r="O252"/>
      <c r="P252" s="232">
        <f t="shared" si="9"/>
        <v>0</v>
      </c>
      <c r="Q252" s="232"/>
    </row>
    <row r="253" spans="4:17" ht="15.75">
      <c r="D253"/>
      <c r="E253"/>
      <c r="F253"/>
      <c r="G253"/>
      <c r="H253"/>
      <c r="I253"/>
      <c r="J253"/>
      <c r="K253"/>
      <c r="L253"/>
      <c r="M253"/>
      <c r="N253"/>
      <c r="O253"/>
      <c r="P253" s="232">
        <f t="shared" si="9"/>
        <v>0</v>
      </c>
      <c r="Q253" s="232"/>
    </row>
    <row r="254" spans="4:17" ht="15.75">
      <c r="D254"/>
      <c r="E254"/>
      <c r="F254"/>
      <c r="G254"/>
      <c r="H254"/>
      <c r="I254"/>
      <c r="J254"/>
      <c r="K254"/>
      <c r="L254"/>
      <c r="M254"/>
      <c r="N254"/>
      <c r="O254"/>
      <c r="P254" s="232">
        <f t="shared" si="9"/>
        <v>0</v>
      </c>
      <c r="Q254" s="232"/>
    </row>
    <row r="255" spans="4:17" ht="15.75">
      <c r="D255"/>
      <c r="E255"/>
      <c r="F255"/>
      <c r="G255"/>
      <c r="H255"/>
      <c r="I255"/>
      <c r="J255"/>
      <c r="K255"/>
      <c r="L255"/>
      <c r="M255"/>
      <c r="N255"/>
      <c r="O255"/>
      <c r="P255" s="232">
        <f t="shared" si="9"/>
        <v>0</v>
      </c>
      <c r="Q255" s="232"/>
    </row>
    <row r="256" spans="4:17" ht="15.75">
      <c r="D256"/>
      <c r="E256"/>
      <c r="F256"/>
      <c r="G256"/>
      <c r="H256"/>
      <c r="I256"/>
      <c r="J256"/>
      <c r="K256"/>
      <c r="L256"/>
      <c r="M256"/>
      <c r="N256"/>
      <c r="O256"/>
      <c r="P256" s="232">
        <f t="shared" si="9"/>
        <v>0</v>
      </c>
      <c r="Q256" s="232"/>
    </row>
    <row r="257" spans="4:17" ht="15.75">
      <c r="D257"/>
      <c r="E257"/>
      <c r="F257"/>
      <c r="G257"/>
      <c r="H257"/>
      <c r="I257"/>
      <c r="J257"/>
      <c r="K257"/>
      <c r="L257"/>
      <c r="M257"/>
      <c r="N257"/>
      <c r="O257"/>
      <c r="P257" s="232">
        <f t="shared" si="9"/>
        <v>0</v>
      </c>
      <c r="Q257" s="232"/>
    </row>
    <row r="258" spans="4:17" ht="15.75">
      <c r="D258"/>
      <c r="E258"/>
      <c r="F258"/>
      <c r="G258"/>
      <c r="H258"/>
      <c r="I258"/>
      <c r="J258"/>
      <c r="K258"/>
      <c r="L258"/>
      <c r="M258"/>
      <c r="N258"/>
      <c r="O258"/>
      <c r="P258" s="232">
        <f t="shared" si="9"/>
        <v>0</v>
      </c>
      <c r="Q258" s="232"/>
    </row>
    <row r="259" spans="4:17" ht="15.75">
      <c r="D259"/>
      <c r="E259"/>
      <c r="F259"/>
      <c r="G259"/>
      <c r="H259"/>
      <c r="I259"/>
      <c r="J259"/>
      <c r="K259"/>
      <c r="L259"/>
      <c r="M259"/>
      <c r="N259"/>
      <c r="O259"/>
      <c r="P259" s="232">
        <f t="shared" si="9"/>
        <v>0</v>
      </c>
      <c r="Q259" s="232"/>
    </row>
    <row r="260" spans="4:17" ht="15.75">
      <c r="D260"/>
      <c r="E260"/>
      <c r="F260"/>
      <c r="G260"/>
      <c r="H260"/>
      <c r="I260"/>
      <c r="J260"/>
      <c r="K260"/>
      <c r="L260"/>
      <c r="M260"/>
      <c r="N260"/>
      <c r="O260"/>
      <c r="P260" s="232">
        <f t="shared" si="9"/>
        <v>0</v>
      </c>
      <c r="Q260" s="232"/>
    </row>
    <row r="261" spans="4:17" ht="15.75">
      <c r="D261"/>
      <c r="E261"/>
      <c r="F261"/>
      <c r="G261"/>
      <c r="H261"/>
      <c r="I261"/>
      <c r="J261"/>
      <c r="K261"/>
      <c r="L261"/>
      <c r="M261"/>
      <c r="N261"/>
      <c r="O261"/>
      <c r="P261" s="232">
        <f t="shared" si="9"/>
        <v>0</v>
      </c>
      <c r="Q261" s="232"/>
    </row>
    <row r="262" spans="4:17" ht="15.75">
      <c r="D262"/>
      <c r="E262"/>
      <c r="F262"/>
      <c r="G262"/>
      <c r="H262"/>
      <c r="I262"/>
      <c r="J262"/>
      <c r="K262"/>
      <c r="L262"/>
      <c r="M262"/>
      <c r="N262"/>
      <c r="O262"/>
      <c r="P262" s="232">
        <f t="shared" si="9"/>
        <v>0</v>
      </c>
      <c r="Q262" s="232"/>
    </row>
    <row r="263" spans="4:17" ht="15.75">
      <c r="D263"/>
      <c r="E263"/>
      <c r="F263"/>
      <c r="G263"/>
      <c r="H263"/>
      <c r="I263"/>
      <c r="J263"/>
      <c r="K263"/>
      <c r="L263"/>
      <c r="M263"/>
      <c r="N263"/>
      <c r="O263"/>
      <c r="P263" s="232">
        <f t="shared" si="9"/>
        <v>0</v>
      </c>
      <c r="Q263" s="232"/>
    </row>
    <row r="264" spans="4:17" ht="15.75">
      <c r="D264"/>
      <c r="E264"/>
      <c r="F264"/>
      <c r="G264"/>
      <c r="H264"/>
      <c r="I264"/>
      <c r="J264"/>
      <c r="K264"/>
      <c r="L264"/>
      <c r="M264"/>
      <c r="N264"/>
      <c r="O264"/>
      <c r="P264" s="232">
        <f t="shared" si="9"/>
        <v>0</v>
      </c>
      <c r="Q264" s="232"/>
    </row>
    <row r="265" spans="4:17" ht="15.75">
      <c r="D265"/>
      <c r="E265"/>
      <c r="F265"/>
      <c r="G265"/>
      <c r="H265"/>
      <c r="I265"/>
      <c r="J265"/>
      <c r="K265"/>
      <c r="L265"/>
      <c r="M265"/>
      <c r="N265"/>
      <c r="O265"/>
      <c r="P265" s="232">
        <f t="shared" si="9"/>
        <v>0</v>
      </c>
      <c r="Q265" s="232"/>
    </row>
    <row r="266" spans="4:17" ht="15.75">
      <c r="D266"/>
      <c r="E266"/>
      <c r="F266"/>
      <c r="G266"/>
      <c r="H266"/>
      <c r="I266"/>
      <c r="J266"/>
      <c r="K266"/>
      <c r="L266"/>
      <c r="M266"/>
      <c r="N266"/>
      <c r="O266"/>
      <c r="P266" s="232">
        <f t="shared" si="9"/>
        <v>0</v>
      </c>
      <c r="Q266" s="232"/>
    </row>
    <row r="267" spans="4:17" ht="15.75">
      <c r="D267"/>
      <c r="E267"/>
      <c r="F267"/>
      <c r="G267"/>
      <c r="H267"/>
      <c r="I267"/>
      <c r="J267"/>
      <c r="K267"/>
      <c r="L267"/>
      <c r="M267"/>
      <c r="N267"/>
      <c r="O267"/>
      <c r="P267" s="232">
        <f t="shared" si="9"/>
        <v>0</v>
      </c>
      <c r="Q267" s="232"/>
    </row>
    <row r="268" spans="4:17" ht="15.75">
      <c r="D268"/>
      <c r="E268"/>
      <c r="F268"/>
      <c r="G268"/>
      <c r="H268"/>
      <c r="I268"/>
      <c r="J268"/>
      <c r="K268"/>
      <c r="L268"/>
      <c r="M268"/>
      <c r="N268"/>
      <c r="O268"/>
      <c r="P268" s="232">
        <f t="shared" si="9"/>
        <v>0</v>
      </c>
      <c r="Q268" s="232"/>
    </row>
    <row r="269" spans="4:17" ht="15.75">
      <c r="D269"/>
      <c r="E269"/>
      <c r="F269"/>
      <c r="G269"/>
      <c r="H269"/>
      <c r="I269"/>
      <c r="J269"/>
      <c r="K269"/>
      <c r="L269"/>
      <c r="M269"/>
      <c r="N269"/>
      <c r="O269"/>
      <c r="P269" s="232">
        <f t="shared" si="9"/>
        <v>0</v>
      </c>
      <c r="Q269" s="232"/>
    </row>
    <row r="270" spans="4:17" ht="15.75">
      <c r="D270"/>
      <c r="E270"/>
      <c r="F270"/>
      <c r="G270"/>
      <c r="H270"/>
      <c r="I270"/>
      <c r="J270"/>
      <c r="K270"/>
      <c r="L270"/>
      <c r="M270"/>
      <c r="N270"/>
      <c r="O270"/>
      <c r="P270" s="232">
        <f t="shared" si="9"/>
        <v>0</v>
      </c>
      <c r="Q270" s="232"/>
    </row>
    <row r="271" spans="4:17" ht="15.75">
      <c r="D271"/>
      <c r="E271"/>
      <c r="F271"/>
      <c r="G271"/>
      <c r="H271"/>
      <c r="I271"/>
      <c r="J271"/>
      <c r="K271"/>
      <c r="L271"/>
      <c r="M271"/>
      <c r="N271"/>
      <c r="O271"/>
      <c r="P271" s="232">
        <f t="shared" si="9"/>
        <v>0</v>
      </c>
      <c r="Q271" s="232"/>
    </row>
    <row r="272" spans="4:17" ht="15.75">
      <c r="D272"/>
      <c r="E272"/>
      <c r="F272"/>
      <c r="G272"/>
      <c r="H272"/>
      <c r="I272"/>
      <c r="J272"/>
      <c r="K272"/>
      <c r="L272"/>
      <c r="M272"/>
      <c r="N272"/>
      <c r="O272"/>
      <c r="P272" s="232">
        <f t="shared" si="9"/>
        <v>0</v>
      </c>
      <c r="Q272" s="232"/>
    </row>
    <row r="273" spans="4:17" ht="15.75">
      <c r="D273"/>
      <c r="E273"/>
      <c r="F273"/>
      <c r="G273"/>
      <c r="H273"/>
      <c r="I273"/>
      <c r="J273"/>
      <c r="K273"/>
      <c r="L273"/>
      <c r="M273"/>
      <c r="N273"/>
      <c r="O273"/>
      <c r="P273" s="232">
        <f t="shared" si="9"/>
        <v>0</v>
      </c>
      <c r="Q273" s="232"/>
    </row>
    <row r="274" spans="4:17" ht="15.75">
      <c r="D274"/>
      <c r="E274"/>
      <c r="F274"/>
      <c r="G274"/>
      <c r="H274"/>
      <c r="I274"/>
      <c r="J274"/>
      <c r="K274"/>
      <c r="L274"/>
      <c r="M274"/>
      <c r="N274"/>
      <c r="O274"/>
      <c r="P274" s="232">
        <f t="shared" si="9"/>
        <v>0</v>
      </c>
      <c r="Q274" s="232"/>
    </row>
    <row r="275" spans="4:17" ht="15.75">
      <c r="D275"/>
      <c r="E275"/>
      <c r="F275"/>
      <c r="G275"/>
      <c r="H275"/>
      <c r="I275"/>
      <c r="J275"/>
      <c r="K275"/>
      <c r="L275"/>
      <c r="M275"/>
      <c r="N275"/>
      <c r="O275"/>
      <c r="P275" s="232">
        <f t="shared" si="9"/>
        <v>0</v>
      </c>
      <c r="Q275" s="232"/>
    </row>
    <row r="276" spans="4:17" ht="15.75">
      <c r="D276"/>
      <c r="E276"/>
      <c r="F276"/>
      <c r="G276"/>
      <c r="H276"/>
      <c r="I276"/>
      <c r="J276"/>
      <c r="K276"/>
      <c r="L276"/>
      <c r="M276"/>
      <c r="N276"/>
      <c r="O276"/>
      <c r="P276" s="232">
        <f t="shared" si="9"/>
        <v>0</v>
      </c>
      <c r="Q276" s="232"/>
    </row>
    <row r="277" spans="4:17" ht="15.75">
      <c r="D277"/>
      <c r="E277"/>
      <c r="F277"/>
      <c r="G277"/>
      <c r="H277"/>
      <c r="I277"/>
      <c r="J277"/>
      <c r="K277"/>
      <c r="L277"/>
      <c r="M277"/>
      <c r="N277"/>
      <c r="O277"/>
      <c r="P277" s="232">
        <f t="shared" si="9"/>
        <v>0</v>
      </c>
      <c r="Q277" s="232"/>
    </row>
    <row r="278" spans="4:17" ht="15.75">
      <c r="D278"/>
      <c r="E278"/>
      <c r="F278"/>
      <c r="G278"/>
      <c r="H278"/>
      <c r="I278"/>
      <c r="J278"/>
      <c r="K278"/>
      <c r="L278"/>
      <c r="M278"/>
      <c r="N278"/>
      <c r="O278"/>
      <c r="P278" s="232">
        <f t="shared" si="9"/>
        <v>0</v>
      </c>
      <c r="Q278" s="232"/>
    </row>
    <row r="279" spans="4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2">
        <f t="shared" si="9"/>
        <v>0</v>
      </c>
      <c r="Q279" s="232"/>
    </row>
    <row r="280" spans="4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2">
        <f t="shared" si="9"/>
        <v>0</v>
      </c>
      <c r="Q280" s="232"/>
    </row>
    <row r="281" spans="4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2">
        <f t="shared" si="9"/>
        <v>0</v>
      </c>
      <c r="Q281" s="232"/>
    </row>
    <row r="282" spans="4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2">
        <f t="shared" si="9"/>
        <v>0</v>
      </c>
      <c r="Q282" s="232"/>
    </row>
    <row r="283" spans="4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2">
        <f t="shared" si="9"/>
        <v>0</v>
      </c>
      <c r="Q283" s="232"/>
    </row>
    <row r="284" spans="4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2">
        <f t="shared" ref="P284:P347" si="10">IF(ISNUMBER(Q284),Q284,0)</f>
        <v>0</v>
      </c>
      <c r="Q284" s="232"/>
    </row>
    <row r="285" spans="4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2">
        <f t="shared" si="10"/>
        <v>0</v>
      </c>
      <c r="Q285" s="232"/>
    </row>
    <row r="286" spans="4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2">
        <f t="shared" si="10"/>
        <v>0</v>
      </c>
      <c r="Q286" s="232"/>
    </row>
    <row r="287" spans="4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2">
        <f t="shared" si="10"/>
        <v>0</v>
      </c>
      <c r="Q287" s="232"/>
    </row>
    <row r="288" spans="4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2">
        <f t="shared" si="10"/>
        <v>0</v>
      </c>
      <c r="Q288" s="232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2">
        <f t="shared" si="10"/>
        <v>0</v>
      </c>
      <c r="Q289" s="232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2">
        <f t="shared" si="10"/>
        <v>0</v>
      </c>
      <c r="Q290" s="232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2">
        <f t="shared" si="10"/>
        <v>0</v>
      </c>
      <c r="Q291" s="232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2">
        <f t="shared" si="10"/>
        <v>0</v>
      </c>
      <c r="Q292" s="232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2">
        <f t="shared" si="10"/>
        <v>0</v>
      </c>
      <c r="Q293" s="232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2">
        <f t="shared" si="10"/>
        <v>0</v>
      </c>
      <c r="Q294" s="232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2">
        <f t="shared" si="10"/>
        <v>0</v>
      </c>
      <c r="Q295" s="232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2">
        <f t="shared" si="10"/>
        <v>0</v>
      </c>
      <c r="Q296" s="232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2">
        <f t="shared" si="10"/>
        <v>0</v>
      </c>
      <c r="Q297" s="232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2">
        <f t="shared" si="10"/>
        <v>0</v>
      </c>
      <c r="Q298" s="232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2">
        <f t="shared" si="10"/>
        <v>0</v>
      </c>
      <c r="Q299" s="232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2">
        <f t="shared" si="10"/>
        <v>0</v>
      </c>
      <c r="Q300" s="232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2">
        <f t="shared" si="10"/>
        <v>0</v>
      </c>
      <c r="Q301" s="232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2">
        <f t="shared" si="10"/>
        <v>0</v>
      </c>
      <c r="Q302" s="232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2">
        <f t="shared" si="10"/>
        <v>0</v>
      </c>
      <c r="Q303" s="232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2">
        <f t="shared" si="10"/>
        <v>0</v>
      </c>
      <c r="Q304" s="232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2">
        <f t="shared" si="10"/>
        <v>0</v>
      </c>
      <c r="Q305" s="232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2">
        <f t="shared" si="10"/>
        <v>0</v>
      </c>
      <c r="Q306" s="232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2">
        <f t="shared" si="10"/>
        <v>0</v>
      </c>
      <c r="Q307" s="232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2">
        <f t="shared" si="10"/>
        <v>0</v>
      </c>
      <c r="Q308" s="232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2">
        <f t="shared" si="10"/>
        <v>0</v>
      </c>
      <c r="Q309" s="232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2">
        <f t="shared" si="10"/>
        <v>0</v>
      </c>
      <c r="Q310" s="232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2">
        <f t="shared" si="10"/>
        <v>0</v>
      </c>
      <c r="Q311" s="232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2">
        <f t="shared" si="10"/>
        <v>0</v>
      </c>
      <c r="Q312" s="232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2">
        <f t="shared" si="10"/>
        <v>0</v>
      </c>
      <c r="Q313" s="232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2">
        <f t="shared" si="10"/>
        <v>0</v>
      </c>
      <c r="Q314" s="232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2">
        <f t="shared" si="10"/>
        <v>0</v>
      </c>
      <c r="Q315" s="232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2">
        <f t="shared" si="10"/>
        <v>0</v>
      </c>
      <c r="Q316" s="232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2">
        <f t="shared" si="10"/>
        <v>0</v>
      </c>
      <c r="Q317" s="232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2">
        <f t="shared" si="10"/>
        <v>0</v>
      </c>
      <c r="Q318" s="232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2">
        <f t="shared" si="10"/>
        <v>0</v>
      </c>
      <c r="Q319" s="232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2">
        <f t="shared" si="10"/>
        <v>0</v>
      </c>
      <c r="Q320" s="232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2">
        <f t="shared" si="10"/>
        <v>0</v>
      </c>
      <c r="Q321" s="232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2">
        <f t="shared" si="10"/>
        <v>0</v>
      </c>
      <c r="Q322" s="232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2">
        <f t="shared" si="10"/>
        <v>0</v>
      </c>
      <c r="Q323" s="232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2">
        <f t="shared" si="10"/>
        <v>0</v>
      </c>
      <c r="Q324" s="232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2">
        <f t="shared" si="10"/>
        <v>0</v>
      </c>
      <c r="Q325" s="232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2">
        <f t="shared" si="10"/>
        <v>0</v>
      </c>
      <c r="Q326" s="232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2">
        <f t="shared" si="10"/>
        <v>0</v>
      </c>
      <c r="Q327" s="232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2">
        <f t="shared" si="10"/>
        <v>0</v>
      </c>
      <c r="Q328" s="232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2">
        <f t="shared" si="10"/>
        <v>0</v>
      </c>
      <c r="Q329" s="232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2">
        <f t="shared" si="10"/>
        <v>0</v>
      </c>
      <c r="Q330" s="232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2">
        <f t="shared" si="10"/>
        <v>0</v>
      </c>
      <c r="Q331" s="232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2">
        <f t="shared" si="10"/>
        <v>0</v>
      </c>
      <c r="Q332" s="232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2">
        <f t="shared" si="10"/>
        <v>0</v>
      </c>
      <c r="Q333" s="232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2">
        <f t="shared" si="10"/>
        <v>0</v>
      </c>
      <c r="Q334" s="232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2">
        <f t="shared" si="10"/>
        <v>0</v>
      </c>
      <c r="Q335" s="232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2">
        <f t="shared" si="10"/>
        <v>0</v>
      </c>
      <c r="Q336" s="232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2">
        <f t="shared" si="10"/>
        <v>0</v>
      </c>
      <c r="Q337" s="232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2">
        <f t="shared" si="10"/>
        <v>0</v>
      </c>
      <c r="Q338" s="232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2">
        <f t="shared" si="10"/>
        <v>0</v>
      </c>
      <c r="Q339" s="232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2">
        <f t="shared" si="10"/>
        <v>0</v>
      </c>
      <c r="Q340" s="232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2">
        <f t="shared" si="10"/>
        <v>0</v>
      </c>
      <c r="Q341" s="232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2">
        <f t="shared" si="10"/>
        <v>0</v>
      </c>
      <c r="Q342" s="232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2">
        <f t="shared" si="10"/>
        <v>0</v>
      </c>
      <c r="Q343" s="232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2">
        <f t="shared" si="10"/>
        <v>0</v>
      </c>
      <c r="Q344" s="232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2">
        <f t="shared" si="10"/>
        <v>0</v>
      </c>
      <c r="Q345" s="232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2">
        <f t="shared" si="10"/>
        <v>0</v>
      </c>
      <c r="Q346" s="232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2">
        <f t="shared" si="10"/>
        <v>0</v>
      </c>
      <c r="Q347" s="232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2">
        <f t="shared" ref="P348:P411" si="11">IF(ISNUMBER(Q348),Q348,0)</f>
        <v>0</v>
      </c>
      <c r="Q348" s="232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2">
        <f t="shared" si="11"/>
        <v>0</v>
      </c>
      <c r="Q349" s="232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2">
        <f t="shared" si="11"/>
        <v>0</v>
      </c>
      <c r="Q350" s="232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2">
        <f t="shared" si="11"/>
        <v>0</v>
      </c>
      <c r="Q351" s="232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2">
        <f t="shared" si="11"/>
        <v>0</v>
      </c>
      <c r="Q352" s="232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2">
        <f t="shared" si="11"/>
        <v>0</v>
      </c>
      <c r="Q353" s="232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2">
        <f t="shared" si="11"/>
        <v>0</v>
      </c>
      <c r="Q354" s="232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2">
        <f t="shared" si="11"/>
        <v>0</v>
      </c>
      <c r="Q355" s="232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2">
        <f t="shared" si="11"/>
        <v>0</v>
      </c>
      <c r="Q356" s="232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2">
        <f t="shared" si="11"/>
        <v>0</v>
      </c>
      <c r="Q357" s="232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2">
        <f t="shared" si="11"/>
        <v>0</v>
      </c>
      <c r="Q358" s="232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2">
        <f t="shared" si="11"/>
        <v>0</v>
      </c>
      <c r="Q359" s="232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2">
        <f t="shared" si="11"/>
        <v>0</v>
      </c>
      <c r="Q360" s="232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2">
        <f t="shared" si="11"/>
        <v>0</v>
      </c>
      <c r="Q361" s="232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2">
        <f t="shared" si="11"/>
        <v>0</v>
      </c>
      <c r="Q362" s="232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2">
        <f t="shared" si="11"/>
        <v>0</v>
      </c>
      <c r="Q363" s="232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2">
        <f t="shared" si="11"/>
        <v>0</v>
      </c>
      <c r="Q364" s="232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2">
        <f t="shared" si="11"/>
        <v>0</v>
      </c>
      <c r="Q365" s="232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2">
        <f t="shared" si="11"/>
        <v>0</v>
      </c>
      <c r="Q366" s="232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2">
        <f t="shared" si="11"/>
        <v>0</v>
      </c>
      <c r="Q367" s="232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2">
        <f t="shared" si="11"/>
        <v>0</v>
      </c>
      <c r="Q368" s="232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2">
        <f t="shared" si="11"/>
        <v>0</v>
      </c>
      <c r="Q369" s="232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2">
        <f t="shared" si="11"/>
        <v>0</v>
      </c>
      <c r="Q370" s="232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2">
        <f t="shared" si="11"/>
        <v>0</v>
      </c>
      <c r="Q371" s="232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2">
        <f t="shared" si="11"/>
        <v>0</v>
      </c>
      <c r="Q372" s="232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2">
        <f t="shared" si="11"/>
        <v>0</v>
      </c>
      <c r="Q373" s="232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2">
        <f t="shared" si="11"/>
        <v>0</v>
      </c>
      <c r="Q374" s="232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2">
        <f t="shared" si="11"/>
        <v>0</v>
      </c>
      <c r="Q375" s="232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2">
        <f t="shared" si="11"/>
        <v>0</v>
      </c>
      <c r="Q376" s="232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2">
        <f t="shared" si="11"/>
        <v>0</v>
      </c>
      <c r="Q377" s="232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2">
        <f t="shared" si="11"/>
        <v>0</v>
      </c>
      <c r="Q378" s="232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2">
        <f t="shared" si="11"/>
        <v>0</v>
      </c>
      <c r="Q379" s="232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2">
        <f t="shared" si="11"/>
        <v>0</v>
      </c>
      <c r="Q380" s="232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2">
        <f t="shared" si="11"/>
        <v>0</v>
      </c>
      <c r="Q381" s="232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2">
        <f t="shared" si="11"/>
        <v>0</v>
      </c>
      <c r="Q382" s="232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2">
        <f t="shared" si="11"/>
        <v>0</v>
      </c>
      <c r="Q383" s="232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2">
        <f t="shared" si="11"/>
        <v>0</v>
      </c>
      <c r="Q384" s="232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2">
        <f t="shared" si="11"/>
        <v>0</v>
      </c>
      <c r="Q385" s="232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2">
        <f t="shared" si="11"/>
        <v>0</v>
      </c>
      <c r="Q386" s="232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2">
        <f t="shared" si="11"/>
        <v>0</v>
      </c>
      <c r="Q387" s="232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2">
        <f t="shared" si="11"/>
        <v>0</v>
      </c>
      <c r="Q388" s="232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2">
        <f t="shared" si="11"/>
        <v>0</v>
      </c>
      <c r="Q389" s="232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2">
        <f t="shared" si="11"/>
        <v>0</v>
      </c>
      <c r="Q390" s="232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2">
        <f t="shared" si="11"/>
        <v>0</v>
      </c>
      <c r="Q391" s="232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2">
        <f t="shared" si="11"/>
        <v>0</v>
      </c>
      <c r="Q392" s="232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2">
        <f t="shared" si="11"/>
        <v>0</v>
      </c>
      <c r="Q393" s="232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2">
        <f t="shared" si="11"/>
        <v>0</v>
      </c>
      <c r="Q394" s="232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2">
        <f t="shared" si="11"/>
        <v>0</v>
      </c>
      <c r="Q395" s="232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2">
        <f t="shared" si="11"/>
        <v>0</v>
      </c>
      <c r="Q396" s="232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2">
        <f t="shared" si="11"/>
        <v>0</v>
      </c>
      <c r="Q397" s="232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2">
        <f t="shared" si="11"/>
        <v>0</v>
      </c>
      <c r="Q398" s="232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2">
        <f t="shared" si="11"/>
        <v>0</v>
      </c>
      <c r="Q399" s="232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2">
        <f t="shared" si="11"/>
        <v>0</v>
      </c>
      <c r="Q400" s="232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2">
        <f t="shared" si="11"/>
        <v>0</v>
      </c>
      <c r="Q401" s="232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2">
        <f t="shared" si="11"/>
        <v>0</v>
      </c>
      <c r="Q402" s="232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2">
        <f t="shared" si="11"/>
        <v>0</v>
      </c>
      <c r="Q403" s="232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2">
        <f t="shared" si="11"/>
        <v>0</v>
      </c>
      <c r="Q404" s="232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2">
        <f t="shared" si="11"/>
        <v>0</v>
      </c>
      <c r="Q405" s="232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2">
        <f t="shared" si="11"/>
        <v>0</v>
      </c>
      <c r="Q406" s="232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2">
        <f t="shared" si="11"/>
        <v>0</v>
      </c>
      <c r="Q407" s="232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2">
        <f t="shared" si="11"/>
        <v>0</v>
      </c>
      <c r="Q408" s="232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2">
        <f t="shared" si="11"/>
        <v>0</v>
      </c>
      <c r="Q409" s="232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2">
        <f t="shared" si="11"/>
        <v>0</v>
      </c>
      <c r="Q410" s="232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2">
        <f t="shared" si="11"/>
        <v>0</v>
      </c>
      <c r="Q411" s="232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2">
        <f t="shared" ref="P412:P475" si="12">IF(ISNUMBER(Q412),Q412,0)</f>
        <v>0</v>
      </c>
      <c r="Q412" s="232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2">
        <f t="shared" si="12"/>
        <v>0</v>
      </c>
      <c r="Q413" s="232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2">
        <f t="shared" si="12"/>
        <v>0</v>
      </c>
      <c r="Q414" s="232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2">
        <f t="shared" si="12"/>
        <v>0</v>
      </c>
      <c r="Q415" s="232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2">
        <f t="shared" si="12"/>
        <v>0</v>
      </c>
      <c r="Q416" s="232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2">
        <f t="shared" si="12"/>
        <v>0</v>
      </c>
      <c r="Q417" s="232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2">
        <f t="shared" si="12"/>
        <v>0</v>
      </c>
      <c r="Q418" s="232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2">
        <f t="shared" si="12"/>
        <v>0</v>
      </c>
      <c r="Q419" s="232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2">
        <f t="shared" si="12"/>
        <v>0</v>
      </c>
      <c r="Q420" s="232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2">
        <f t="shared" si="12"/>
        <v>0</v>
      </c>
      <c r="Q421" s="232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2">
        <f t="shared" si="12"/>
        <v>0</v>
      </c>
      <c r="Q422" s="232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2">
        <f t="shared" si="12"/>
        <v>0</v>
      </c>
      <c r="Q423" s="232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2">
        <f t="shared" si="12"/>
        <v>0</v>
      </c>
      <c r="Q424" s="232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2">
        <f t="shared" si="12"/>
        <v>0</v>
      </c>
      <c r="Q425" s="232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2">
        <f t="shared" si="12"/>
        <v>0</v>
      </c>
      <c r="Q426" s="232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2">
        <f t="shared" si="12"/>
        <v>0</v>
      </c>
      <c r="Q427" s="232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2">
        <f t="shared" si="12"/>
        <v>0</v>
      </c>
      <c r="Q428" s="232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2">
        <f t="shared" si="12"/>
        <v>0</v>
      </c>
      <c r="Q429" s="232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2">
        <f t="shared" si="12"/>
        <v>0</v>
      </c>
      <c r="Q430" s="232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2">
        <f t="shared" si="12"/>
        <v>0</v>
      </c>
      <c r="Q431" s="232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2">
        <f t="shared" si="12"/>
        <v>0</v>
      </c>
      <c r="Q432" s="232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2">
        <f t="shared" si="12"/>
        <v>0</v>
      </c>
      <c r="Q433" s="232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2">
        <f t="shared" si="12"/>
        <v>0</v>
      </c>
      <c r="Q434" s="232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2">
        <f t="shared" si="12"/>
        <v>0</v>
      </c>
      <c r="Q435" s="232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2">
        <f t="shared" si="12"/>
        <v>0</v>
      </c>
      <c r="Q436" s="232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2">
        <f t="shared" si="12"/>
        <v>0</v>
      </c>
      <c r="Q437" s="232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2">
        <f t="shared" si="12"/>
        <v>0</v>
      </c>
      <c r="Q438" s="232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2">
        <f t="shared" si="12"/>
        <v>0</v>
      </c>
      <c r="Q439" s="232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2">
        <f t="shared" si="12"/>
        <v>0</v>
      </c>
      <c r="Q440" s="232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2">
        <f t="shared" si="12"/>
        <v>0</v>
      </c>
      <c r="Q441" s="232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2">
        <f t="shared" si="12"/>
        <v>0</v>
      </c>
      <c r="Q442" s="232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2">
        <f t="shared" si="12"/>
        <v>0</v>
      </c>
      <c r="Q443" s="232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2">
        <f t="shared" si="12"/>
        <v>0</v>
      </c>
      <c r="Q444" s="232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2">
        <f t="shared" si="12"/>
        <v>0</v>
      </c>
      <c r="Q445" s="232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2">
        <f t="shared" si="12"/>
        <v>0</v>
      </c>
      <c r="Q446" s="232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2">
        <f t="shared" si="12"/>
        <v>0</v>
      </c>
      <c r="Q447" s="232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2">
        <f t="shared" si="12"/>
        <v>0</v>
      </c>
      <c r="Q448" s="232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2">
        <f t="shared" si="12"/>
        <v>0</v>
      </c>
      <c r="Q449" s="232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2">
        <f t="shared" si="12"/>
        <v>0</v>
      </c>
      <c r="Q450" s="232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2">
        <f t="shared" si="12"/>
        <v>0</v>
      </c>
      <c r="Q451" s="232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2">
        <f t="shared" si="12"/>
        <v>0</v>
      </c>
      <c r="Q452" s="232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2">
        <f t="shared" si="12"/>
        <v>0</v>
      </c>
      <c r="Q453" s="232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2">
        <f t="shared" si="12"/>
        <v>0</v>
      </c>
      <c r="Q454" s="232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2">
        <f t="shared" si="12"/>
        <v>0</v>
      </c>
      <c r="Q455" s="232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2">
        <f t="shared" si="12"/>
        <v>0</v>
      </c>
      <c r="Q456" s="232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2">
        <f t="shared" si="12"/>
        <v>0</v>
      </c>
      <c r="Q457" s="232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2">
        <f t="shared" si="12"/>
        <v>0</v>
      </c>
      <c r="Q458" s="232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2">
        <f t="shared" si="12"/>
        <v>0</v>
      </c>
      <c r="Q459" s="232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2">
        <f t="shared" si="12"/>
        <v>0</v>
      </c>
      <c r="Q460" s="232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2">
        <f t="shared" si="12"/>
        <v>0</v>
      </c>
      <c r="Q461" s="232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2">
        <f t="shared" si="12"/>
        <v>0</v>
      </c>
      <c r="Q462" s="232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2">
        <f t="shared" si="12"/>
        <v>0</v>
      </c>
      <c r="Q463" s="232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2">
        <f t="shared" si="12"/>
        <v>0</v>
      </c>
      <c r="Q464" s="232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2">
        <f t="shared" si="12"/>
        <v>0</v>
      </c>
      <c r="Q465" s="232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2">
        <f t="shared" si="12"/>
        <v>0</v>
      </c>
      <c r="Q466" s="232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2">
        <f t="shared" si="12"/>
        <v>0</v>
      </c>
      <c r="Q467" s="232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2">
        <f t="shared" si="12"/>
        <v>0</v>
      </c>
      <c r="Q468" s="232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2">
        <f t="shared" si="12"/>
        <v>0</v>
      </c>
      <c r="Q469" s="232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2">
        <f t="shared" si="12"/>
        <v>0</v>
      </c>
      <c r="Q470" s="232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2">
        <f t="shared" si="12"/>
        <v>0</v>
      </c>
      <c r="Q471" s="232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2">
        <f t="shared" si="12"/>
        <v>0</v>
      </c>
      <c r="Q472" s="232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2">
        <f t="shared" si="12"/>
        <v>0</v>
      </c>
      <c r="Q473" s="232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2">
        <f t="shared" si="12"/>
        <v>0</v>
      </c>
      <c r="Q474" s="232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2">
        <f t="shared" si="12"/>
        <v>0</v>
      </c>
      <c r="Q475" s="232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2">
        <f t="shared" ref="P476:P539" si="13">IF(ISNUMBER(Q476),Q476,0)</f>
        <v>0</v>
      </c>
      <c r="Q476" s="232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2">
        <f t="shared" si="13"/>
        <v>0</v>
      </c>
      <c r="Q477" s="232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2">
        <f t="shared" si="13"/>
        <v>0</v>
      </c>
      <c r="Q478" s="232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2">
        <f t="shared" si="13"/>
        <v>0</v>
      </c>
      <c r="Q479" s="232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2">
        <f t="shared" si="13"/>
        <v>0</v>
      </c>
      <c r="Q480" s="232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2">
        <f t="shared" si="13"/>
        <v>0</v>
      </c>
      <c r="Q481" s="232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2">
        <f t="shared" si="13"/>
        <v>0</v>
      </c>
      <c r="Q482" s="232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2">
        <f t="shared" si="13"/>
        <v>0</v>
      </c>
      <c r="Q483" s="232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2">
        <f t="shared" si="13"/>
        <v>0</v>
      </c>
      <c r="Q484" s="232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2">
        <f t="shared" si="13"/>
        <v>0</v>
      </c>
      <c r="Q485" s="232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2">
        <f t="shared" si="13"/>
        <v>0</v>
      </c>
      <c r="Q486" s="232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2">
        <f t="shared" si="13"/>
        <v>0</v>
      </c>
      <c r="Q487" s="232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2">
        <f t="shared" si="13"/>
        <v>0</v>
      </c>
      <c r="Q488" s="232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2">
        <f t="shared" si="13"/>
        <v>0</v>
      </c>
      <c r="Q489" s="232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2">
        <f t="shared" si="13"/>
        <v>0</v>
      </c>
      <c r="Q490" s="232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2">
        <f t="shared" si="13"/>
        <v>0</v>
      </c>
      <c r="Q491" s="232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2">
        <f t="shared" si="13"/>
        <v>0</v>
      </c>
      <c r="Q492" s="232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2">
        <f t="shared" si="13"/>
        <v>0</v>
      </c>
      <c r="Q493" s="232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2">
        <f t="shared" si="13"/>
        <v>0</v>
      </c>
      <c r="Q494" s="232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2">
        <f t="shared" si="13"/>
        <v>0</v>
      </c>
      <c r="Q495" s="232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2">
        <f t="shared" si="13"/>
        <v>0</v>
      </c>
      <c r="Q496" s="232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2">
        <f t="shared" si="13"/>
        <v>0</v>
      </c>
      <c r="Q497" s="232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2">
        <f t="shared" si="13"/>
        <v>0</v>
      </c>
      <c r="Q498" s="232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2">
        <f t="shared" si="13"/>
        <v>0</v>
      </c>
      <c r="Q499" s="232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2">
        <f t="shared" si="13"/>
        <v>0</v>
      </c>
      <c r="Q500" s="232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2">
        <f t="shared" si="13"/>
        <v>0</v>
      </c>
      <c r="Q501" s="232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2">
        <f t="shared" si="13"/>
        <v>0</v>
      </c>
      <c r="Q502" s="232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2">
        <f t="shared" si="13"/>
        <v>0</v>
      </c>
      <c r="Q503" s="232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2">
        <f t="shared" si="13"/>
        <v>0</v>
      </c>
      <c r="Q504" s="232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2">
        <f t="shared" si="13"/>
        <v>0</v>
      </c>
      <c r="Q505" s="232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2">
        <f t="shared" si="13"/>
        <v>0</v>
      </c>
      <c r="Q506" s="232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2">
        <f t="shared" si="13"/>
        <v>0</v>
      </c>
      <c r="Q507" s="232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2">
        <f t="shared" si="13"/>
        <v>0</v>
      </c>
      <c r="Q508" s="232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2">
        <f t="shared" si="13"/>
        <v>0</v>
      </c>
      <c r="Q509" s="232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2">
        <f t="shared" si="13"/>
        <v>0</v>
      </c>
      <c r="Q510" s="232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2">
        <f t="shared" si="13"/>
        <v>0</v>
      </c>
      <c r="Q511" s="232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2">
        <f t="shared" si="13"/>
        <v>0</v>
      </c>
      <c r="Q512" s="232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2">
        <f t="shared" si="13"/>
        <v>0</v>
      </c>
      <c r="Q513" s="232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2">
        <f t="shared" si="13"/>
        <v>0</v>
      </c>
      <c r="Q514" s="232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2">
        <f t="shared" si="13"/>
        <v>0</v>
      </c>
      <c r="Q515" s="232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2">
        <f t="shared" si="13"/>
        <v>0</v>
      </c>
      <c r="Q516" s="232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2">
        <f t="shared" si="13"/>
        <v>0</v>
      </c>
      <c r="Q517" s="232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2">
        <f t="shared" si="13"/>
        <v>0</v>
      </c>
      <c r="Q518" s="232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2">
        <f t="shared" si="13"/>
        <v>0</v>
      </c>
      <c r="Q519" s="232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2">
        <f t="shared" si="13"/>
        <v>0</v>
      </c>
      <c r="Q520" s="232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2">
        <f t="shared" si="13"/>
        <v>0</v>
      </c>
      <c r="Q521" s="232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2">
        <f t="shared" si="13"/>
        <v>0</v>
      </c>
      <c r="Q522" s="232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2">
        <f t="shared" si="13"/>
        <v>0</v>
      </c>
      <c r="Q523" s="232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2">
        <f t="shared" si="13"/>
        <v>0</v>
      </c>
      <c r="Q524" s="232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2">
        <f t="shared" si="13"/>
        <v>0</v>
      </c>
      <c r="Q525" s="232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2">
        <f t="shared" si="13"/>
        <v>0</v>
      </c>
      <c r="Q526" s="232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2">
        <f t="shared" si="13"/>
        <v>0</v>
      </c>
      <c r="Q527" s="232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2">
        <f t="shared" si="13"/>
        <v>0</v>
      </c>
      <c r="Q528" s="232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2">
        <f t="shared" si="13"/>
        <v>0</v>
      </c>
      <c r="Q529" s="232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2">
        <f t="shared" si="13"/>
        <v>0</v>
      </c>
      <c r="Q530" s="232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2">
        <f t="shared" si="13"/>
        <v>0</v>
      </c>
      <c r="Q531" s="232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2">
        <f t="shared" si="13"/>
        <v>0</v>
      </c>
      <c r="Q532" s="232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2">
        <f t="shared" si="13"/>
        <v>0</v>
      </c>
      <c r="Q533" s="232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2">
        <f t="shared" si="13"/>
        <v>0</v>
      </c>
      <c r="Q534" s="232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2">
        <f t="shared" si="13"/>
        <v>0</v>
      </c>
      <c r="Q535" s="232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2">
        <f t="shared" si="13"/>
        <v>0</v>
      </c>
      <c r="Q536" s="232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2">
        <f t="shared" si="13"/>
        <v>0</v>
      </c>
      <c r="Q537" s="232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2">
        <f t="shared" si="13"/>
        <v>0</v>
      </c>
      <c r="Q538" s="232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2">
        <f t="shared" si="13"/>
        <v>0</v>
      </c>
      <c r="Q539" s="232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2">
        <f t="shared" ref="P540:P603" si="14">IF(ISNUMBER(Q540),Q540,0)</f>
        <v>0</v>
      </c>
      <c r="Q540" s="232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2">
        <f t="shared" si="14"/>
        <v>0</v>
      </c>
      <c r="Q541" s="232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2">
        <f t="shared" si="14"/>
        <v>0</v>
      </c>
      <c r="Q542" s="232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2">
        <f t="shared" si="14"/>
        <v>0</v>
      </c>
      <c r="Q543" s="232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2">
        <f t="shared" si="14"/>
        <v>0</v>
      </c>
      <c r="Q544" s="232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2">
        <f t="shared" si="14"/>
        <v>0</v>
      </c>
      <c r="Q545" s="232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2">
        <f t="shared" si="14"/>
        <v>0</v>
      </c>
      <c r="Q546" s="232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2">
        <f t="shared" si="14"/>
        <v>0</v>
      </c>
      <c r="Q547" s="232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2">
        <f t="shared" si="14"/>
        <v>0</v>
      </c>
      <c r="Q548" s="232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2">
        <f t="shared" si="14"/>
        <v>0</v>
      </c>
      <c r="Q549" s="232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2">
        <f t="shared" si="14"/>
        <v>0</v>
      </c>
      <c r="Q550" s="232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2">
        <f t="shared" si="14"/>
        <v>0</v>
      </c>
      <c r="Q551" s="232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2">
        <f t="shared" si="14"/>
        <v>0</v>
      </c>
      <c r="Q552" s="232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2">
        <f t="shared" si="14"/>
        <v>0</v>
      </c>
      <c r="Q553" s="232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2">
        <f t="shared" si="14"/>
        <v>0</v>
      </c>
      <c r="Q554" s="232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2">
        <f t="shared" si="14"/>
        <v>0</v>
      </c>
      <c r="Q555" s="232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2">
        <f t="shared" si="14"/>
        <v>0</v>
      </c>
      <c r="Q556" s="232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2">
        <f t="shared" si="14"/>
        <v>0</v>
      </c>
      <c r="Q557" s="232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2">
        <f t="shared" si="14"/>
        <v>0</v>
      </c>
      <c r="Q558" s="232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2">
        <f t="shared" si="14"/>
        <v>0</v>
      </c>
      <c r="Q559" s="232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2">
        <f t="shared" si="14"/>
        <v>0</v>
      </c>
      <c r="Q560" s="232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2">
        <f t="shared" si="14"/>
        <v>0</v>
      </c>
      <c r="Q561" s="232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2">
        <f t="shared" si="14"/>
        <v>0</v>
      </c>
      <c r="Q562" s="232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2">
        <f t="shared" si="14"/>
        <v>0</v>
      </c>
      <c r="Q563" s="232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2">
        <f t="shared" si="14"/>
        <v>0</v>
      </c>
      <c r="Q564" s="232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2">
        <f t="shared" si="14"/>
        <v>0</v>
      </c>
      <c r="Q565" s="232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2">
        <f t="shared" si="14"/>
        <v>0</v>
      </c>
      <c r="Q566" s="232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2">
        <f t="shared" si="14"/>
        <v>0</v>
      </c>
      <c r="Q567" s="232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2">
        <f t="shared" si="14"/>
        <v>0</v>
      </c>
      <c r="Q568" s="232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2">
        <f t="shared" si="14"/>
        <v>0</v>
      </c>
      <c r="Q569" s="232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2">
        <f t="shared" si="14"/>
        <v>0</v>
      </c>
      <c r="Q570" s="232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2">
        <f t="shared" si="14"/>
        <v>0</v>
      </c>
      <c r="Q571" s="232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2">
        <f t="shared" si="14"/>
        <v>0</v>
      </c>
      <c r="Q572" s="232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2">
        <f t="shared" si="14"/>
        <v>0</v>
      </c>
      <c r="Q573" s="232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2">
        <f t="shared" si="14"/>
        <v>0</v>
      </c>
      <c r="Q574" s="232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2">
        <f t="shared" si="14"/>
        <v>0</v>
      </c>
      <c r="Q575" s="232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2">
        <f t="shared" si="14"/>
        <v>0</v>
      </c>
      <c r="Q576" s="232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2">
        <f t="shared" si="14"/>
        <v>0</v>
      </c>
      <c r="Q577" s="232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2">
        <f t="shared" si="14"/>
        <v>0</v>
      </c>
      <c r="Q578" s="232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2">
        <f t="shared" si="14"/>
        <v>0</v>
      </c>
      <c r="Q579" s="232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2">
        <f t="shared" si="14"/>
        <v>0</v>
      </c>
      <c r="Q580" s="232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2">
        <f t="shared" si="14"/>
        <v>0</v>
      </c>
      <c r="Q581" s="232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2">
        <f t="shared" si="14"/>
        <v>0</v>
      </c>
      <c r="Q582" s="232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2">
        <f t="shared" si="14"/>
        <v>0</v>
      </c>
      <c r="Q583" s="232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2">
        <f t="shared" si="14"/>
        <v>0</v>
      </c>
      <c r="Q584" s="232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2">
        <f t="shared" si="14"/>
        <v>0</v>
      </c>
      <c r="Q585" s="232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2">
        <f t="shared" si="14"/>
        <v>0</v>
      </c>
      <c r="Q586" s="232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2">
        <f t="shared" si="14"/>
        <v>0</v>
      </c>
      <c r="Q587" s="232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2">
        <f t="shared" si="14"/>
        <v>0</v>
      </c>
      <c r="Q588" s="232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2">
        <f t="shared" si="14"/>
        <v>0</v>
      </c>
      <c r="Q589" s="232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2">
        <f t="shared" si="14"/>
        <v>0</v>
      </c>
      <c r="Q590" s="232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2">
        <f t="shared" si="14"/>
        <v>0</v>
      </c>
      <c r="Q591" s="232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2">
        <f t="shared" si="14"/>
        <v>0</v>
      </c>
      <c r="Q592" s="232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2">
        <f t="shared" si="14"/>
        <v>0</v>
      </c>
      <c r="Q593" s="232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2">
        <f t="shared" si="14"/>
        <v>0</v>
      </c>
      <c r="Q594" s="232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2">
        <f t="shared" si="14"/>
        <v>0</v>
      </c>
      <c r="Q595" s="232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2">
        <f t="shared" si="14"/>
        <v>0</v>
      </c>
      <c r="Q596" s="232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2">
        <f t="shared" si="14"/>
        <v>0</v>
      </c>
      <c r="Q597" s="232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2">
        <f t="shared" si="14"/>
        <v>0</v>
      </c>
      <c r="Q598" s="232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2">
        <f t="shared" si="14"/>
        <v>0</v>
      </c>
      <c r="Q599" s="232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2">
        <f t="shared" si="14"/>
        <v>0</v>
      </c>
      <c r="Q600" s="232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2">
        <f t="shared" si="14"/>
        <v>0</v>
      </c>
      <c r="Q601" s="232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2">
        <f t="shared" si="14"/>
        <v>0</v>
      </c>
      <c r="Q602" s="232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2">
        <f t="shared" si="14"/>
        <v>0</v>
      </c>
      <c r="Q603" s="232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2">
        <f t="shared" ref="P604:P667" si="15">IF(ISNUMBER(Q604),Q604,0)</f>
        <v>0</v>
      </c>
      <c r="Q604" s="232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2">
        <f t="shared" si="15"/>
        <v>0</v>
      </c>
      <c r="Q605" s="232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2">
        <f t="shared" si="15"/>
        <v>0</v>
      </c>
      <c r="Q606" s="232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2">
        <f t="shared" si="15"/>
        <v>0</v>
      </c>
      <c r="Q607" s="232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2">
        <f t="shared" si="15"/>
        <v>0</v>
      </c>
      <c r="Q608" s="232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2">
        <f t="shared" si="15"/>
        <v>0</v>
      </c>
      <c r="Q609" s="232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2">
        <f t="shared" si="15"/>
        <v>0</v>
      </c>
      <c r="Q610" s="232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2">
        <f t="shared" si="15"/>
        <v>0</v>
      </c>
      <c r="Q611" s="232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2">
        <f t="shared" si="15"/>
        <v>0</v>
      </c>
      <c r="Q612" s="232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2">
        <f t="shared" si="15"/>
        <v>0</v>
      </c>
      <c r="Q613" s="232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2">
        <f t="shared" si="15"/>
        <v>0</v>
      </c>
      <c r="Q614" s="232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2">
        <f t="shared" si="15"/>
        <v>0</v>
      </c>
      <c r="Q615" s="232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2">
        <f t="shared" si="15"/>
        <v>0</v>
      </c>
      <c r="Q616" s="232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2">
        <f t="shared" si="15"/>
        <v>0</v>
      </c>
      <c r="Q617" s="232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2">
        <f t="shared" si="15"/>
        <v>0</v>
      </c>
      <c r="Q618" s="232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2">
        <f t="shared" si="15"/>
        <v>0</v>
      </c>
      <c r="Q619" s="232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2">
        <f t="shared" si="15"/>
        <v>0</v>
      </c>
      <c r="Q620" s="232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2">
        <f t="shared" si="15"/>
        <v>0</v>
      </c>
      <c r="Q621" s="232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2">
        <f t="shared" si="15"/>
        <v>0</v>
      </c>
      <c r="Q622" s="232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2">
        <f t="shared" si="15"/>
        <v>0</v>
      </c>
      <c r="Q623" s="232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2">
        <f t="shared" si="15"/>
        <v>0</v>
      </c>
      <c r="Q624" s="232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2">
        <f t="shared" si="15"/>
        <v>0</v>
      </c>
      <c r="Q625" s="232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2">
        <f t="shared" si="15"/>
        <v>0</v>
      </c>
      <c r="Q626" s="232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2">
        <f t="shared" si="15"/>
        <v>0</v>
      </c>
      <c r="Q627" s="232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2">
        <f t="shared" si="15"/>
        <v>0</v>
      </c>
      <c r="Q628" s="232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2">
        <f t="shared" si="15"/>
        <v>0</v>
      </c>
      <c r="Q629" s="232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2">
        <f t="shared" si="15"/>
        <v>0</v>
      </c>
      <c r="Q630" s="232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2">
        <f t="shared" si="15"/>
        <v>0</v>
      </c>
      <c r="Q631" s="232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2">
        <f t="shared" si="15"/>
        <v>0</v>
      </c>
      <c r="Q632" s="232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2">
        <f t="shared" si="15"/>
        <v>0</v>
      </c>
      <c r="Q633" s="232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2">
        <f t="shared" si="15"/>
        <v>0</v>
      </c>
      <c r="Q634" s="232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2">
        <f t="shared" si="15"/>
        <v>0</v>
      </c>
      <c r="Q635" s="232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2">
        <f t="shared" si="15"/>
        <v>0</v>
      </c>
      <c r="Q636" s="232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2">
        <f t="shared" si="15"/>
        <v>0</v>
      </c>
      <c r="Q637" s="232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2">
        <f t="shared" si="15"/>
        <v>0</v>
      </c>
      <c r="Q638" s="232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2">
        <f t="shared" si="15"/>
        <v>0</v>
      </c>
      <c r="Q639" s="232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2">
        <f t="shared" si="15"/>
        <v>0</v>
      </c>
      <c r="Q640" s="232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2">
        <f t="shared" si="15"/>
        <v>0</v>
      </c>
      <c r="Q641" s="232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2">
        <f t="shared" si="15"/>
        <v>0</v>
      </c>
      <c r="Q642" s="232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2">
        <f t="shared" si="15"/>
        <v>0</v>
      </c>
      <c r="Q643" s="232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2">
        <f t="shared" si="15"/>
        <v>0</v>
      </c>
      <c r="Q644" s="232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2">
        <f t="shared" si="15"/>
        <v>0</v>
      </c>
      <c r="Q645" s="232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2">
        <f t="shared" si="15"/>
        <v>0</v>
      </c>
      <c r="Q646" s="232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2">
        <f t="shared" si="15"/>
        <v>0</v>
      </c>
      <c r="Q647" s="232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2">
        <f t="shared" si="15"/>
        <v>0</v>
      </c>
      <c r="Q648" s="232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2">
        <f t="shared" si="15"/>
        <v>0</v>
      </c>
      <c r="Q649" s="232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2">
        <f t="shared" si="15"/>
        <v>0</v>
      </c>
      <c r="Q650" s="232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2">
        <f t="shared" si="15"/>
        <v>0</v>
      </c>
      <c r="Q651" s="232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2">
        <f t="shared" si="15"/>
        <v>0</v>
      </c>
      <c r="Q652" s="232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2">
        <f t="shared" si="15"/>
        <v>0</v>
      </c>
      <c r="Q653" s="232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2">
        <f t="shared" si="15"/>
        <v>0</v>
      </c>
      <c r="Q654" s="232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2">
        <f t="shared" si="15"/>
        <v>0</v>
      </c>
      <c r="Q655" s="232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2">
        <f t="shared" si="15"/>
        <v>0</v>
      </c>
      <c r="Q656" s="232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2">
        <f t="shared" si="15"/>
        <v>0</v>
      </c>
      <c r="Q657" s="232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2">
        <f t="shared" si="15"/>
        <v>0</v>
      </c>
      <c r="Q658" s="232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2">
        <f t="shared" si="15"/>
        <v>0</v>
      </c>
      <c r="Q659" s="232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2">
        <f t="shared" si="15"/>
        <v>0</v>
      </c>
      <c r="Q660" s="232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2">
        <f t="shared" si="15"/>
        <v>0</v>
      </c>
      <c r="Q661" s="232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2">
        <f t="shared" si="15"/>
        <v>0</v>
      </c>
      <c r="Q662" s="232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2">
        <f t="shared" si="15"/>
        <v>0</v>
      </c>
      <c r="Q663" s="232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2">
        <f t="shared" si="15"/>
        <v>0</v>
      </c>
      <c r="Q664" s="232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2">
        <f t="shared" si="15"/>
        <v>0</v>
      </c>
      <c r="Q665" s="232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2">
        <f t="shared" si="15"/>
        <v>0</v>
      </c>
      <c r="Q666" s="232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2">
        <f t="shared" si="15"/>
        <v>0</v>
      </c>
      <c r="Q667" s="232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2">
        <f t="shared" ref="P668:P731" si="16">IF(ISNUMBER(Q668),Q668,0)</f>
        <v>0</v>
      </c>
      <c r="Q668" s="232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2">
        <f t="shared" si="16"/>
        <v>0</v>
      </c>
      <c r="Q669" s="232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2">
        <f t="shared" si="16"/>
        <v>0</v>
      </c>
      <c r="Q670" s="232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2">
        <f t="shared" si="16"/>
        <v>0</v>
      </c>
      <c r="Q671" s="232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2">
        <f t="shared" si="16"/>
        <v>0</v>
      </c>
      <c r="Q672" s="232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2">
        <f t="shared" si="16"/>
        <v>0</v>
      </c>
      <c r="Q673" s="232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2">
        <f t="shared" si="16"/>
        <v>0</v>
      </c>
      <c r="Q674" s="232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2">
        <f t="shared" si="16"/>
        <v>0</v>
      </c>
      <c r="Q675" s="232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2">
        <f t="shared" si="16"/>
        <v>0</v>
      </c>
      <c r="Q676" s="232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2">
        <f t="shared" si="16"/>
        <v>0</v>
      </c>
      <c r="Q677" s="232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2">
        <f t="shared" si="16"/>
        <v>0</v>
      </c>
      <c r="Q678" s="232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2">
        <f t="shared" si="16"/>
        <v>0</v>
      </c>
      <c r="Q679" s="232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2">
        <f t="shared" si="16"/>
        <v>0</v>
      </c>
      <c r="Q680" s="232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2">
        <f t="shared" si="16"/>
        <v>0</v>
      </c>
      <c r="Q681" s="232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2">
        <f t="shared" si="16"/>
        <v>0</v>
      </c>
      <c r="Q682" s="232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2">
        <f t="shared" si="16"/>
        <v>0</v>
      </c>
      <c r="Q683" s="232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2">
        <f t="shared" si="16"/>
        <v>0</v>
      </c>
      <c r="Q684" s="232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2">
        <f t="shared" si="16"/>
        <v>0</v>
      </c>
      <c r="Q685" s="232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2">
        <f t="shared" si="16"/>
        <v>0</v>
      </c>
      <c r="Q686" s="232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2">
        <f t="shared" si="16"/>
        <v>0</v>
      </c>
      <c r="Q687" s="232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2">
        <f t="shared" si="16"/>
        <v>0</v>
      </c>
      <c r="Q688" s="232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2">
        <f t="shared" si="16"/>
        <v>0</v>
      </c>
      <c r="Q689" s="232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2">
        <f t="shared" si="16"/>
        <v>0</v>
      </c>
      <c r="Q690" s="232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2">
        <f t="shared" si="16"/>
        <v>0</v>
      </c>
      <c r="Q691" s="232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2">
        <f t="shared" si="16"/>
        <v>0</v>
      </c>
      <c r="Q692" s="232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2">
        <f t="shared" si="16"/>
        <v>0</v>
      </c>
      <c r="Q693" s="232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2">
        <f t="shared" si="16"/>
        <v>0</v>
      </c>
      <c r="Q694" s="232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2">
        <f t="shared" si="16"/>
        <v>0</v>
      </c>
      <c r="Q695" s="232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2">
        <f t="shared" si="16"/>
        <v>0</v>
      </c>
      <c r="Q696" s="232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2">
        <f t="shared" si="16"/>
        <v>0</v>
      </c>
      <c r="Q697" s="232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2">
        <f t="shared" si="16"/>
        <v>0</v>
      </c>
      <c r="Q698" s="232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2">
        <f t="shared" si="16"/>
        <v>0</v>
      </c>
      <c r="Q699" s="232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2">
        <f t="shared" si="16"/>
        <v>0</v>
      </c>
      <c r="Q700" s="232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2">
        <f t="shared" si="16"/>
        <v>0</v>
      </c>
      <c r="Q701" s="232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2">
        <f t="shared" si="16"/>
        <v>0</v>
      </c>
      <c r="Q702" s="232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2">
        <f t="shared" si="16"/>
        <v>0</v>
      </c>
      <c r="Q703" s="232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2">
        <f t="shared" si="16"/>
        <v>0</v>
      </c>
      <c r="Q704" s="232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2">
        <f t="shared" si="16"/>
        <v>0</v>
      </c>
      <c r="Q705" s="232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2">
        <f t="shared" si="16"/>
        <v>0</v>
      </c>
      <c r="Q706" s="232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2">
        <f t="shared" si="16"/>
        <v>0</v>
      </c>
      <c r="Q707" s="232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2">
        <f t="shared" si="16"/>
        <v>0</v>
      </c>
      <c r="Q708" s="232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2">
        <f t="shared" si="16"/>
        <v>0</v>
      </c>
      <c r="Q709" s="232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2">
        <f t="shared" si="16"/>
        <v>0</v>
      </c>
      <c r="Q710" s="232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2">
        <f t="shared" si="16"/>
        <v>0</v>
      </c>
      <c r="Q711" s="232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2">
        <f t="shared" si="16"/>
        <v>0</v>
      </c>
      <c r="Q712" s="232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2">
        <f t="shared" si="16"/>
        <v>0</v>
      </c>
      <c r="Q713" s="232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2">
        <f t="shared" si="16"/>
        <v>0</v>
      </c>
      <c r="Q714" s="232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2">
        <f t="shared" si="16"/>
        <v>0</v>
      </c>
      <c r="Q715" s="232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2">
        <f t="shared" si="16"/>
        <v>0</v>
      </c>
      <c r="Q716" s="232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2">
        <f t="shared" si="16"/>
        <v>0</v>
      </c>
      <c r="Q717" s="232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2">
        <f t="shared" si="16"/>
        <v>0</v>
      </c>
      <c r="Q718" s="232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2">
        <f t="shared" si="16"/>
        <v>0</v>
      </c>
      <c r="Q719" s="232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2">
        <f t="shared" si="16"/>
        <v>0</v>
      </c>
      <c r="Q720" s="232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2">
        <f t="shared" si="16"/>
        <v>0</v>
      </c>
      <c r="Q721" s="232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2">
        <f t="shared" si="16"/>
        <v>0</v>
      </c>
      <c r="Q722" s="232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2">
        <f t="shared" si="16"/>
        <v>0</v>
      </c>
      <c r="Q723" s="232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2">
        <f t="shared" si="16"/>
        <v>0</v>
      </c>
      <c r="Q724" s="232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2">
        <f t="shared" si="16"/>
        <v>0</v>
      </c>
      <c r="Q725" s="232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2">
        <f t="shared" si="16"/>
        <v>0</v>
      </c>
      <c r="Q726" s="232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2">
        <f t="shared" si="16"/>
        <v>0</v>
      </c>
      <c r="Q727" s="232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2">
        <f t="shared" si="16"/>
        <v>0</v>
      </c>
      <c r="Q728" s="232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2">
        <f t="shared" si="16"/>
        <v>0</v>
      </c>
      <c r="Q729" s="232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2">
        <f t="shared" si="16"/>
        <v>0</v>
      </c>
      <c r="Q730" s="232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2">
        <f t="shared" si="16"/>
        <v>0</v>
      </c>
      <c r="Q731" s="232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2">
        <f t="shared" ref="P732:P795" si="17">IF(ISNUMBER(Q732),Q732,0)</f>
        <v>0</v>
      </c>
      <c r="Q732" s="232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2">
        <f t="shared" si="17"/>
        <v>0</v>
      </c>
      <c r="Q733" s="232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2">
        <f t="shared" si="17"/>
        <v>0</v>
      </c>
      <c r="Q734" s="232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2">
        <f t="shared" si="17"/>
        <v>0</v>
      </c>
      <c r="Q735" s="232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2">
        <f t="shared" si="17"/>
        <v>0</v>
      </c>
      <c r="Q736" s="232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2">
        <f t="shared" si="17"/>
        <v>0</v>
      </c>
      <c r="Q737" s="232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2">
        <f t="shared" si="17"/>
        <v>0</v>
      </c>
      <c r="Q738" s="232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2">
        <f t="shared" si="17"/>
        <v>0</v>
      </c>
      <c r="Q739" s="232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2">
        <f t="shared" si="17"/>
        <v>0</v>
      </c>
      <c r="Q740" s="232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2">
        <f t="shared" si="17"/>
        <v>0</v>
      </c>
      <c r="Q741" s="232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2">
        <f t="shared" si="17"/>
        <v>0</v>
      </c>
      <c r="Q742" s="232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2">
        <f t="shared" si="17"/>
        <v>0</v>
      </c>
      <c r="Q743" s="232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2">
        <f t="shared" si="17"/>
        <v>0</v>
      </c>
      <c r="Q744" s="232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2">
        <f t="shared" si="17"/>
        <v>0</v>
      </c>
      <c r="Q745" s="232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2">
        <f t="shared" si="17"/>
        <v>0</v>
      </c>
      <c r="Q746" s="232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2">
        <f t="shared" si="17"/>
        <v>0</v>
      </c>
      <c r="Q747" s="232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2">
        <f t="shared" si="17"/>
        <v>0</v>
      </c>
      <c r="Q748" s="232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2">
        <f t="shared" si="17"/>
        <v>0</v>
      </c>
      <c r="Q749" s="232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2">
        <f t="shared" si="17"/>
        <v>0</v>
      </c>
      <c r="Q750" s="232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2">
        <f t="shared" si="17"/>
        <v>0</v>
      </c>
      <c r="Q751" s="232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2">
        <f t="shared" si="17"/>
        <v>0</v>
      </c>
      <c r="Q752" s="232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2">
        <f t="shared" si="17"/>
        <v>0</v>
      </c>
      <c r="Q753" s="232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2">
        <f t="shared" si="17"/>
        <v>0</v>
      </c>
      <c r="Q754" s="232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2">
        <f t="shared" si="17"/>
        <v>0</v>
      </c>
      <c r="Q755" s="232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2">
        <f t="shared" si="17"/>
        <v>0</v>
      </c>
      <c r="Q756" s="232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2">
        <f t="shared" si="17"/>
        <v>0</v>
      </c>
      <c r="Q757" s="232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2">
        <f t="shared" si="17"/>
        <v>0</v>
      </c>
      <c r="Q758" s="232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2">
        <f t="shared" si="17"/>
        <v>0</v>
      </c>
      <c r="Q759" s="232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2">
        <f t="shared" si="17"/>
        <v>0</v>
      </c>
      <c r="Q760" s="232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2">
        <f t="shared" si="17"/>
        <v>0</v>
      </c>
      <c r="Q761" s="232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2">
        <f t="shared" si="17"/>
        <v>0</v>
      </c>
      <c r="Q762" s="232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2">
        <f t="shared" si="17"/>
        <v>0</v>
      </c>
      <c r="Q763" s="232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2">
        <f t="shared" si="17"/>
        <v>0</v>
      </c>
      <c r="Q764" s="232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2">
        <f t="shared" si="17"/>
        <v>0</v>
      </c>
      <c r="Q765" s="232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2">
        <f t="shared" si="17"/>
        <v>0</v>
      </c>
      <c r="Q766" s="232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2">
        <f t="shared" si="17"/>
        <v>0</v>
      </c>
      <c r="Q767" s="232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2">
        <f t="shared" si="17"/>
        <v>0</v>
      </c>
      <c r="Q768" s="232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2">
        <f t="shared" si="17"/>
        <v>0</v>
      </c>
      <c r="Q769" s="232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2">
        <f t="shared" si="17"/>
        <v>0</v>
      </c>
      <c r="Q770" s="232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2">
        <f t="shared" si="17"/>
        <v>0</v>
      </c>
      <c r="Q771" s="232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2">
        <f t="shared" si="17"/>
        <v>0</v>
      </c>
      <c r="Q772" s="232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2">
        <f t="shared" si="17"/>
        <v>0</v>
      </c>
      <c r="Q773" s="232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2">
        <f t="shared" si="17"/>
        <v>0</v>
      </c>
      <c r="Q774" s="232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2">
        <f t="shared" si="17"/>
        <v>0</v>
      </c>
      <c r="Q775" s="232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2">
        <f t="shared" si="17"/>
        <v>0</v>
      </c>
      <c r="Q776" s="232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2">
        <f t="shared" si="17"/>
        <v>0</v>
      </c>
      <c r="Q777" s="232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2">
        <f t="shared" si="17"/>
        <v>0</v>
      </c>
      <c r="Q778" s="232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2">
        <f t="shared" si="17"/>
        <v>0</v>
      </c>
      <c r="Q779" s="232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2">
        <f t="shared" si="17"/>
        <v>0</v>
      </c>
      <c r="Q780" s="232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2">
        <f t="shared" si="17"/>
        <v>0</v>
      </c>
      <c r="Q781" s="232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2">
        <f t="shared" si="17"/>
        <v>0</v>
      </c>
      <c r="Q782" s="232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2">
        <f t="shared" si="17"/>
        <v>0</v>
      </c>
      <c r="Q783" s="232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2">
        <f t="shared" si="17"/>
        <v>0</v>
      </c>
      <c r="Q784" s="232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2">
        <f t="shared" si="17"/>
        <v>0</v>
      </c>
      <c r="Q785" s="232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2">
        <f t="shared" si="17"/>
        <v>0</v>
      </c>
      <c r="Q786" s="232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2">
        <f t="shared" si="17"/>
        <v>0</v>
      </c>
      <c r="Q787" s="232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2">
        <f t="shared" si="17"/>
        <v>0</v>
      </c>
      <c r="Q788" s="232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2">
        <f t="shared" si="17"/>
        <v>0</v>
      </c>
      <c r="Q789" s="232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2">
        <f t="shared" si="17"/>
        <v>0</v>
      </c>
      <c r="Q790" s="232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2">
        <f t="shared" si="17"/>
        <v>0</v>
      </c>
      <c r="Q791" s="232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2">
        <f t="shared" si="17"/>
        <v>0</v>
      </c>
      <c r="Q792" s="232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2">
        <f t="shared" si="17"/>
        <v>0</v>
      </c>
      <c r="Q793" s="232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2">
        <f t="shared" si="17"/>
        <v>0</v>
      </c>
      <c r="Q794" s="232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2">
        <f t="shared" si="17"/>
        <v>0</v>
      </c>
      <c r="Q795" s="232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2">
        <f t="shared" ref="P796:P859" si="18">IF(ISNUMBER(Q796),Q796,0)</f>
        <v>0</v>
      </c>
      <c r="Q796" s="232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2">
        <f t="shared" si="18"/>
        <v>0</v>
      </c>
      <c r="Q797" s="232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2">
        <f t="shared" si="18"/>
        <v>0</v>
      </c>
      <c r="Q798" s="232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2">
        <f t="shared" si="18"/>
        <v>0</v>
      </c>
      <c r="Q799" s="232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2">
        <f t="shared" si="18"/>
        <v>0</v>
      </c>
      <c r="Q800" s="232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2">
        <f t="shared" si="18"/>
        <v>0</v>
      </c>
      <c r="Q801" s="232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2">
        <f t="shared" si="18"/>
        <v>0</v>
      </c>
      <c r="Q802" s="232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2">
        <f t="shared" si="18"/>
        <v>0</v>
      </c>
      <c r="Q803" s="232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2">
        <f t="shared" si="18"/>
        <v>0</v>
      </c>
      <c r="Q804" s="232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2">
        <f t="shared" si="18"/>
        <v>0</v>
      </c>
      <c r="Q805" s="232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2">
        <f t="shared" si="18"/>
        <v>0</v>
      </c>
      <c r="Q806" s="232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2">
        <f t="shared" si="18"/>
        <v>0</v>
      </c>
      <c r="Q807" s="232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2">
        <f t="shared" si="18"/>
        <v>0</v>
      </c>
      <c r="Q808" s="232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2">
        <f t="shared" si="18"/>
        <v>0</v>
      </c>
      <c r="Q809" s="232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2">
        <f t="shared" si="18"/>
        <v>0</v>
      </c>
      <c r="Q810" s="232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2">
        <f t="shared" si="18"/>
        <v>0</v>
      </c>
      <c r="Q811" s="232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2">
        <f t="shared" si="18"/>
        <v>0</v>
      </c>
      <c r="Q812" s="232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2">
        <f t="shared" si="18"/>
        <v>0</v>
      </c>
      <c r="Q813" s="232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2">
        <f t="shared" si="18"/>
        <v>0</v>
      </c>
      <c r="Q814" s="232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2">
        <f t="shared" si="18"/>
        <v>0</v>
      </c>
      <c r="Q815" s="232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2">
        <f t="shared" si="18"/>
        <v>0</v>
      </c>
      <c r="Q816" s="232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2">
        <f t="shared" si="18"/>
        <v>0</v>
      </c>
      <c r="Q817" s="232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2">
        <f t="shared" si="18"/>
        <v>0</v>
      </c>
      <c r="Q818" s="232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2">
        <f t="shared" si="18"/>
        <v>0</v>
      </c>
      <c r="Q819" s="232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2">
        <f t="shared" si="18"/>
        <v>0</v>
      </c>
      <c r="Q820" s="232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2">
        <f t="shared" si="18"/>
        <v>0</v>
      </c>
      <c r="Q821" s="232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2">
        <f t="shared" si="18"/>
        <v>0</v>
      </c>
      <c r="Q822" s="232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2">
        <f t="shared" si="18"/>
        <v>0</v>
      </c>
      <c r="Q823" s="232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2">
        <f t="shared" si="18"/>
        <v>0</v>
      </c>
      <c r="Q824" s="232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2">
        <f t="shared" si="18"/>
        <v>0</v>
      </c>
      <c r="Q825" s="232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2">
        <f t="shared" si="18"/>
        <v>0</v>
      </c>
      <c r="Q826" s="232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2">
        <f t="shared" si="18"/>
        <v>0</v>
      </c>
      <c r="Q827" s="232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2">
        <f t="shared" si="18"/>
        <v>0</v>
      </c>
      <c r="Q828" s="232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2">
        <f t="shared" si="18"/>
        <v>0</v>
      </c>
      <c r="Q829" s="232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2">
        <f t="shared" si="18"/>
        <v>0</v>
      </c>
      <c r="Q830" s="232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2">
        <f t="shared" si="18"/>
        <v>0</v>
      </c>
      <c r="Q831" s="232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2">
        <f t="shared" si="18"/>
        <v>0</v>
      </c>
      <c r="Q832" s="232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2">
        <f t="shared" si="18"/>
        <v>0</v>
      </c>
      <c r="Q833" s="232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2">
        <f t="shared" si="18"/>
        <v>0</v>
      </c>
      <c r="Q834" s="232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2">
        <f t="shared" si="18"/>
        <v>0</v>
      </c>
      <c r="Q835" s="232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2">
        <f t="shared" si="18"/>
        <v>0</v>
      </c>
      <c r="Q836" s="232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2">
        <f t="shared" si="18"/>
        <v>0</v>
      </c>
      <c r="Q837" s="232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2">
        <f t="shared" si="18"/>
        <v>0</v>
      </c>
      <c r="Q838" s="232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2">
        <f t="shared" si="18"/>
        <v>0</v>
      </c>
      <c r="Q839" s="232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2">
        <f t="shared" si="18"/>
        <v>0</v>
      </c>
      <c r="Q840" s="232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2">
        <f t="shared" si="18"/>
        <v>0</v>
      </c>
      <c r="Q841" s="232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2">
        <f t="shared" si="18"/>
        <v>0</v>
      </c>
      <c r="Q842" s="232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2">
        <f t="shared" si="18"/>
        <v>0</v>
      </c>
      <c r="Q843" s="232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2">
        <f t="shared" si="18"/>
        <v>0</v>
      </c>
      <c r="Q844" s="232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2">
        <f t="shared" si="18"/>
        <v>0</v>
      </c>
      <c r="Q845" s="232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2">
        <f t="shared" si="18"/>
        <v>0</v>
      </c>
      <c r="Q846" s="232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2">
        <f t="shared" si="18"/>
        <v>0</v>
      </c>
      <c r="Q847" s="232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2">
        <f t="shared" si="18"/>
        <v>0</v>
      </c>
      <c r="Q848" s="232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2">
        <f t="shared" si="18"/>
        <v>0</v>
      </c>
      <c r="Q849" s="232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2">
        <f t="shared" si="18"/>
        <v>0</v>
      </c>
      <c r="Q850" s="232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2">
        <f t="shared" si="18"/>
        <v>0</v>
      </c>
      <c r="Q851" s="232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2">
        <f t="shared" si="18"/>
        <v>0</v>
      </c>
      <c r="Q852" s="232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2">
        <f t="shared" si="18"/>
        <v>0</v>
      </c>
      <c r="Q853" s="232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2">
        <f t="shared" si="18"/>
        <v>0</v>
      </c>
      <c r="Q854" s="232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2">
        <f t="shared" si="18"/>
        <v>0</v>
      </c>
      <c r="Q855" s="232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2">
        <f t="shared" si="18"/>
        <v>0</v>
      </c>
      <c r="Q856" s="232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2">
        <f t="shared" si="18"/>
        <v>0</v>
      </c>
      <c r="Q857" s="232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2">
        <f t="shared" si="18"/>
        <v>0</v>
      </c>
      <c r="Q858" s="232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2">
        <f t="shared" si="18"/>
        <v>0</v>
      </c>
      <c r="Q859" s="232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2">
        <f t="shared" ref="P860:P923" si="19">IF(ISNUMBER(Q860),Q860,0)</f>
        <v>0</v>
      </c>
      <c r="Q860" s="232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2">
        <f t="shared" si="19"/>
        <v>0</v>
      </c>
      <c r="Q861" s="232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2">
        <f t="shared" si="19"/>
        <v>0</v>
      </c>
      <c r="Q862" s="232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2">
        <f t="shared" si="19"/>
        <v>0</v>
      </c>
      <c r="Q863" s="232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2">
        <f t="shared" si="19"/>
        <v>0</v>
      </c>
      <c r="Q864" s="232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2">
        <f t="shared" si="19"/>
        <v>0</v>
      </c>
      <c r="Q865" s="232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2">
        <f t="shared" si="19"/>
        <v>0</v>
      </c>
      <c r="Q866" s="232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2">
        <f t="shared" si="19"/>
        <v>0</v>
      </c>
      <c r="Q867" s="232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2">
        <f t="shared" si="19"/>
        <v>0</v>
      </c>
      <c r="Q868" s="232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2">
        <f t="shared" si="19"/>
        <v>0</v>
      </c>
      <c r="Q869" s="232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2">
        <f t="shared" si="19"/>
        <v>0</v>
      </c>
      <c r="Q870" s="232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2">
        <f t="shared" si="19"/>
        <v>0</v>
      </c>
      <c r="Q871" s="232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2">
        <f t="shared" si="19"/>
        <v>0</v>
      </c>
      <c r="Q872" s="232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2">
        <f t="shared" si="19"/>
        <v>0</v>
      </c>
      <c r="Q873" s="232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2">
        <f t="shared" si="19"/>
        <v>0</v>
      </c>
      <c r="Q874" s="232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2">
        <f t="shared" si="19"/>
        <v>0</v>
      </c>
      <c r="Q875" s="232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2">
        <f t="shared" si="19"/>
        <v>0</v>
      </c>
      <c r="Q876" s="232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2">
        <f t="shared" si="19"/>
        <v>0</v>
      </c>
      <c r="Q877" s="232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2">
        <f t="shared" si="19"/>
        <v>0</v>
      </c>
      <c r="Q878" s="232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2">
        <f t="shared" si="19"/>
        <v>0</v>
      </c>
      <c r="Q879" s="232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2">
        <f t="shared" si="19"/>
        <v>0</v>
      </c>
      <c r="Q880" s="232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2">
        <f t="shared" si="19"/>
        <v>0</v>
      </c>
      <c r="Q881" s="232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2">
        <f t="shared" si="19"/>
        <v>0</v>
      </c>
      <c r="Q882" s="232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2">
        <f t="shared" si="19"/>
        <v>0</v>
      </c>
      <c r="Q883" s="232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2">
        <f t="shared" si="19"/>
        <v>0</v>
      </c>
      <c r="Q884" s="232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2">
        <f t="shared" si="19"/>
        <v>0</v>
      </c>
      <c r="Q885" s="232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2">
        <f t="shared" si="19"/>
        <v>0</v>
      </c>
      <c r="Q886" s="232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2">
        <f t="shared" si="19"/>
        <v>0</v>
      </c>
      <c r="Q887" s="232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2">
        <f t="shared" si="19"/>
        <v>0</v>
      </c>
      <c r="Q888" s="232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2">
        <f t="shared" si="19"/>
        <v>0</v>
      </c>
      <c r="Q889" s="232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2">
        <f t="shared" si="19"/>
        <v>0</v>
      </c>
      <c r="Q890" s="232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2">
        <f t="shared" si="19"/>
        <v>0</v>
      </c>
      <c r="Q891" s="232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2">
        <f t="shared" si="19"/>
        <v>0</v>
      </c>
      <c r="Q892" s="232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2">
        <f t="shared" si="19"/>
        <v>0</v>
      </c>
      <c r="Q893" s="232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2">
        <f t="shared" si="19"/>
        <v>0</v>
      </c>
      <c r="Q894" s="232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2">
        <f t="shared" si="19"/>
        <v>0</v>
      </c>
      <c r="Q895" s="232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2">
        <f t="shared" si="19"/>
        <v>0</v>
      </c>
      <c r="Q896" s="232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2">
        <f t="shared" si="19"/>
        <v>0</v>
      </c>
      <c r="Q897" s="232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2">
        <f t="shared" si="19"/>
        <v>0</v>
      </c>
      <c r="Q898" s="232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2">
        <f t="shared" si="19"/>
        <v>0</v>
      </c>
      <c r="Q899" s="232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2">
        <f t="shared" si="19"/>
        <v>0</v>
      </c>
      <c r="Q900" s="232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2">
        <f t="shared" si="19"/>
        <v>0</v>
      </c>
      <c r="Q901" s="232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2">
        <f t="shared" si="19"/>
        <v>0</v>
      </c>
      <c r="Q902" s="232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2">
        <f t="shared" si="19"/>
        <v>0</v>
      </c>
      <c r="Q903" s="232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2">
        <f t="shared" si="19"/>
        <v>0</v>
      </c>
      <c r="Q904" s="232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2">
        <f t="shared" si="19"/>
        <v>0</v>
      </c>
      <c r="Q905" s="232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2">
        <f t="shared" si="19"/>
        <v>0</v>
      </c>
      <c r="Q906" s="232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2">
        <f t="shared" si="19"/>
        <v>0</v>
      </c>
      <c r="Q907" s="232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2">
        <f t="shared" si="19"/>
        <v>0</v>
      </c>
      <c r="Q908" s="232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2">
        <f t="shared" si="19"/>
        <v>0</v>
      </c>
      <c r="Q909" s="232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2">
        <f t="shared" si="19"/>
        <v>0</v>
      </c>
      <c r="Q910" s="232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2">
        <f t="shared" si="19"/>
        <v>0</v>
      </c>
      <c r="Q911" s="232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2">
        <f t="shared" si="19"/>
        <v>0</v>
      </c>
      <c r="Q912" s="232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2">
        <f t="shared" si="19"/>
        <v>0</v>
      </c>
      <c r="Q913" s="232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2">
        <f t="shared" si="19"/>
        <v>0</v>
      </c>
      <c r="Q914" s="232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2">
        <f t="shared" si="19"/>
        <v>0</v>
      </c>
      <c r="Q915" s="232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2">
        <f t="shared" si="19"/>
        <v>0</v>
      </c>
      <c r="Q916" s="232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2">
        <f t="shared" si="19"/>
        <v>0</v>
      </c>
      <c r="Q917" s="232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2">
        <f t="shared" si="19"/>
        <v>0</v>
      </c>
      <c r="Q918" s="232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2">
        <f t="shared" si="19"/>
        <v>0</v>
      </c>
      <c r="Q919" s="232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2">
        <f t="shared" si="19"/>
        <v>0</v>
      </c>
      <c r="Q920" s="232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2">
        <f t="shared" si="19"/>
        <v>0</v>
      </c>
      <c r="Q921" s="232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2">
        <f t="shared" si="19"/>
        <v>0</v>
      </c>
      <c r="Q922" s="232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2">
        <f t="shared" si="19"/>
        <v>0</v>
      </c>
      <c r="Q923" s="232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2">
        <f t="shared" ref="P924:P987" si="20">IF(ISNUMBER(Q924),Q924,0)</f>
        <v>0</v>
      </c>
      <c r="Q924" s="232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2">
        <f t="shared" si="20"/>
        <v>0</v>
      </c>
      <c r="Q925" s="232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2">
        <f t="shared" si="20"/>
        <v>0</v>
      </c>
      <c r="Q926" s="232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2">
        <f t="shared" si="20"/>
        <v>0</v>
      </c>
      <c r="Q927" s="232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2">
        <f t="shared" si="20"/>
        <v>0</v>
      </c>
      <c r="Q928" s="232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2">
        <f t="shared" si="20"/>
        <v>0</v>
      </c>
      <c r="Q929" s="232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2">
        <f t="shared" si="20"/>
        <v>0</v>
      </c>
      <c r="Q930" s="232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2">
        <f t="shared" si="20"/>
        <v>0</v>
      </c>
      <c r="Q931" s="232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2">
        <f t="shared" si="20"/>
        <v>0</v>
      </c>
      <c r="Q932" s="232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2">
        <f t="shared" si="20"/>
        <v>0</v>
      </c>
      <c r="Q933" s="232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2">
        <f t="shared" si="20"/>
        <v>0</v>
      </c>
      <c r="Q934" s="232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2">
        <f t="shared" si="20"/>
        <v>0</v>
      </c>
      <c r="Q935" s="232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2">
        <f t="shared" si="20"/>
        <v>0</v>
      </c>
      <c r="Q936" s="232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2">
        <f t="shared" si="20"/>
        <v>0</v>
      </c>
      <c r="Q937" s="232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2">
        <f t="shared" si="20"/>
        <v>0</v>
      </c>
      <c r="Q938" s="232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2">
        <f t="shared" si="20"/>
        <v>0</v>
      </c>
      <c r="Q939" s="232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2">
        <f t="shared" si="20"/>
        <v>0</v>
      </c>
      <c r="Q940" s="232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2">
        <f t="shared" si="20"/>
        <v>0</v>
      </c>
      <c r="Q941" s="232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2">
        <f t="shared" si="20"/>
        <v>0</v>
      </c>
      <c r="Q942" s="232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2">
        <f t="shared" si="20"/>
        <v>0</v>
      </c>
      <c r="Q943" s="232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2">
        <f t="shared" si="20"/>
        <v>0</v>
      </c>
      <c r="Q944" s="232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2">
        <f t="shared" si="20"/>
        <v>0</v>
      </c>
      <c r="Q945" s="232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2">
        <f t="shared" si="20"/>
        <v>0</v>
      </c>
      <c r="Q946" s="232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2">
        <f t="shared" si="20"/>
        <v>0</v>
      </c>
      <c r="Q947" s="232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2">
        <f t="shared" si="20"/>
        <v>0</v>
      </c>
      <c r="Q948" s="232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2">
        <f t="shared" si="20"/>
        <v>0</v>
      </c>
      <c r="Q949" s="232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2">
        <f t="shared" si="20"/>
        <v>0</v>
      </c>
      <c r="Q950" s="232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2">
        <f t="shared" si="20"/>
        <v>0</v>
      </c>
      <c r="Q951" s="232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2">
        <f t="shared" si="20"/>
        <v>0</v>
      </c>
      <c r="Q952" s="232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2">
        <f t="shared" si="20"/>
        <v>0</v>
      </c>
      <c r="Q953" s="232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2">
        <f t="shared" si="20"/>
        <v>0</v>
      </c>
      <c r="Q954" s="232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2">
        <f t="shared" si="20"/>
        <v>0</v>
      </c>
      <c r="Q955" s="232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2">
        <f t="shared" si="20"/>
        <v>0</v>
      </c>
      <c r="Q956" s="232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2">
        <f t="shared" si="20"/>
        <v>0</v>
      </c>
      <c r="Q957" s="232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2">
        <f t="shared" si="20"/>
        <v>0</v>
      </c>
      <c r="Q958" s="232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2">
        <f t="shared" si="20"/>
        <v>0</v>
      </c>
      <c r="Q959" s="232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2">
        <f t="shared" si="20"/>
        <v>0</v>
      </c>
      <c r="Q960" s="232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2">
        <f t="shared" si="20"/>
        <v>0</v>
      </c>
      <c r="Q961" s="232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2">
        <f t="shared" si="20"/>
        <v>0</v>
      </c>
      <c r="Q962" s="232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2">
        <f t="shared" si="20"/>
        <v>0</v>
      </c>
      <c r="Q963" s="232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2">
        <f t="shared" si="20"/>
        <v>0</v>
      </c>
      <c r="Q964" s="232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2">
        <f t="shared" si="20"/>
        <v>0</v>
      </c>
      <c r="Q965" s="232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2">
        <f t="shared" si="20"/>
        <v>0</v>
      </c>
      <c r="Q966" s="232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2">
        <f t="shared" si="20"/>
        <v>0</v>
      </c>
      <c r="Q967" s="232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2">
        <f t="shared" si="20"/>
        <v>0</v>
      </c>
      <c r="Q968" s="232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2">
        <f t="shared" si="20"/>
        <v>0</v>
      </c>
      <c r="Q969" s="232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2">
        <f t="shared" si="20"/>
        <v>0</v>
      </c>
      <c r="Q970" s="232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2">
        <f t="shared" si="20"/>
        <v>0</v>
      </c>
      <c r="Q971" s="232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2">
        <f t="shared" si="20"/>
        <v>0</v>
      </c>
      <c r="Q972" s="232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2">
        <f t="shared" si="20"/>
        <v>0</v>
      </c>
      <c r="Q973" s="232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2">
        <f t="shared" si="20"/>
        <v>0</v>
      </c>
      <c r="Q974" s="232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2">
        <f t="shared" si="20"/>
        <v>0</v>
      </c>
      <c r="Q975" s="232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2">
        <f t="shared" si="20"/>
        <v>0</v>
      </c>
      <c r="Q976" s="232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2">
        <f t="shared" si="20"/>
        <v>0</v>
      </c>
      <c r="Q977" s="232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2">
        <f t="shared" si="20"/>
        <v>0</v>
      </c>
      <c r="Q978" s="232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2">
        <f t="shared" si="20"/>
        <v>0</v>
      </c>
      <c r="Q979" s="232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2">
        <f t="shared" si="20"/>
        <v>0</v>
      </c>
      <c r="Q980" s="232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2">
        <f t="shared" si="20"/>
        <v>0</v>
      </c>
      <c r="Q981" s="232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2">
        <f t="shared" si="20"/>
        <v>0</v>
      </c>
      <c r="Q982" s="232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2">
        <f t="shared" si="20"/>
        <v>0</v>
      </c>
      <c r="Q983" s="232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2">
        <f t="shared" si="20"/>
        <v>0</v>
      </c>
      <c r="Q984" s="232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2">
        <f t="shared" si="20"/>
        <v>0</v>
      </c>
      <c r="Q985" s="232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2">
        <f t="shared" si="20"/>
        <v>0</v>
      </c>
      <c r="Q986" s="232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2">
        <f t="shared" si="20"/>
        <v>0</v>
      </c>
      <c r="Q987" s="232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2">
        <f t="shared" ref="P988:P1051" si="21">IF(ISNUMBER(Q988),Q988,0)</f>
        <v>0</v>
      </c>
      <c r="Q988" s="232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2">
        <f t="shared" si="21"/>
        <v>0</v>
      </c>
      <c r="Q989" s="232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2">
        <f t="shared" si="21"/>
        <v>0</v>
      </c>
      <c r="Q990" s="232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2">
        <f t="shared" si="21"/>
        <v>0</v>
      </c>
      <c r="Q991" s="232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2">
        <f t="shared" si="21"/>
        <v>0</v>
      </c>
      <c r="Q992" s="232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2">
        <f t="shared" si="21"/>
        <v>0</v>
      </c>
      <c r="Q993" s="232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2">
        <f t="shared" si="21"/>
        <v>0</v>
      </c>
      <c r="Q994" s="232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2">
        <f t="shared" si="21"/>
        <v>0</v>
      </c>
      <c r="Q995" s="232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2">
        <f t="shared" si="21"/>
        <v>0</v>
      </c>
      <c r="Q996" s="232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2">
        <f t="shared" si="21"/>
        <v>0</v>
      </c>
      <c r="Q997" s="232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2">
        <f t="shared" si="21"/>
        <v>0</v>
      </c>
      <c r="Q998" s="232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2">
        <f t="shared" si="21"/>
        <v>0</v>
      </c>
      <c r="Q999" s="232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2">
        <f t="shared" si="21"/>
        <v>0</v>
      </c>
      <c r="Q1000" s="232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2">
        <f t="shared" si="21"/>
        <v>0</v>
      </c>
      <c r="Q1001" s="232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2">
        <f t="shared" si="21"/>
        <v>0</v>
      </c>
      <c r="Q1002" s="232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2">
        <f t="shared" si="21"/>
        <v>0</v>
      </c>
      <c r="Q1003" s="232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2">
        <f t="shared" si="21"/>
        <v>0</v>
      </c>
      <c r="Q1004" s="232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2">
        <f t="shared" si="21"/>
        <v>0</v>
      </c>
      <c r="Q1005" s="232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2">
        <f t="shared" si="21"/>
        <v>0</v>
      </c>
      <c r="Q1006" s="232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2">
        <f t="shared" si="21"/>
        <v>0</v>
      </c>
      <c r="Q1007" s="232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2">
        <f t="shared" si="21"/>
        <v>0</v>
      </c>
      <c r="Q1008" s="232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2">
        <f t="shared" si="21"/>
        <v>0</v>
      </c>
      <c r="Q1009" s="232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2">
        <f t="shared" si="21"/>
        <v>0</v>
      </c>
      <c r="Q1010" s="232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2">
        <f t="shared" si="21"/>
        <v>0</v>
      </c>
      <c r="Q1011" s="232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2">
        <f t="shared" si="21"/>
        <v>0</v>
      </c>
      <c r="Q1012" s="232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2">
        <f t="shared" si="21"/>
        <v>0</v>
      </c>
      <c r="Q1013" s="232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2">
        <f t="shared" si="21"/>
        <v>0</v>
      </c>
      <c r="Q1014" s="232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2">
        <f t="shared" si="21"/>
        <v>0</v>
      </c>
      <c r="Q1015" s="232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2">
        <f t="shared" si="21"/>
        <v>0</v>
      </c>
      <c r="Q1016" s="232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2">
        <f t="shared" si="21"/>
        <v>0</v>
      </c>
      <c r="Q1017" s="232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2">
        <f t="shared" si="21"/>
        <v>0</v>
      </c>
      <c r="Q1018" s="232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2">
        <f t="shared" si="21"/>
        <v>0</v>
      </c>
      <c r="Q1019" s="232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2">
        <f t="shared" si="21"/>
        <v>0</v>
      </c>
      <c r="Q1020" s="232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2">
        <f t="shared" si="21"/>
        <v>0</v>
      </c>
      <c r="Q1021" s="232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2">
        <f t="shared" si="21"/>
        <v>0</v>
      </c>
      <c r="Q1022" s="232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2">
        <f t="shared" si="21"/>
        <v>0</v>
      </c>
      <c r="Q1023" s="232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2">
        <f t="shared" si="21"/>
        <v>0</v>
      </c>
      <c r="Q1024" s="232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2">
        <f t="shared" si="21"/>
        <v>0</v>
      </c>
      <c r="Q1025" s="232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2">
        <f t="shared" si="21"/>
        <v>0</v>
      </c>
      <c r="Q1026" s="232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2">
        <f t="shared" si="21"/>
        <v>0</v>
      </c>
      <c r="Q1027" s="232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2">
        <f t="shared" si="21"/>
        <v>0</v>
      </c>
      <c r="Q1028" s="232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2">
        <f t="shared" si="21"/>
        <v>0</v>
      </c>
      <c r="Q1029" s="232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2">
        <f t="shared" si="21"/>
        <v>0</v>
      </c>
      <c r="Q1030" s="232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2">
        <f t="shared" si="21"/>
        <v>0</v>
      </c>
      <c r="Q1031" s="232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2">
        <f t="shared" si="21"/>
        <v>0</v>
      </c>
      <c r="Q1032" s="232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2">
        <f t="shared" si="21"/>
        <v>0</v>
      </c>
      <c r="Q1033" s="232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2">
        <f t="shared" si="21"/>
        <v>0</v>
      </c>
      <c r="Q1034" s="232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2">
        <f t="shared" si="21"/>
        <v>0</v>
      </c>
      <c r="Q1035" s="232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2">
        <f t="shared" si="21"/>
        <v>0</v>
      </c>
      <c r="Q1036" s="232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2">
        <f t="shared" si="21"/>
        <v>0</v>
      </c>
      <c r="Q1037" s="232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2">
        <f t="shared" si="21"/>
        <v>0</v>
      </c>
      <c r="Q1038" s="232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2">
        <f t="shared" si="21"/>
        <v>0</v>
      </c>
      <c r="Q1039" s="232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2">
        <f t="shared" si="21"/>
        <v>0</v>
      </c>
      <c r="Q1040" s="232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2">
        <f t="shared" si="21"/>
        <v>0</v>
      </c>
      <c r="Q1041" s="232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2">
        <f t="shared" si="21"/>
        <v>0</v>
      </c>
      <c r="Q1042" s="232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2">
        <f t="shared" si="21"/>
        <v>0</v>
      </c>
      <c r="Q1043" s="232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2">
        <f t="shared" si="21"/>
        <v>0</v>
      </c>
      <c r="Q1044" s="232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2">
        <f t="shared" si="21"/>
        <v>0</v>
      </c>
      <c r="Q1045" s="232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2">
        <f t="shared" si="21"/>
        <v>0</v>
      </c>
      <c r="Q1046" s="232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2">
        <f t="shared" si="21"/>
        <v>0</v>
      </c>
      <c r="Q1047" s="232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2">
        <f t="shared" si="21"/>
        <v>0</v>
      </c>
      <c r="Q1048" s="232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2">
        <f t="shared" si="21"/>
        <v>0</v>
      </c>
      <c r="Q1049" s="232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2">
        <f t="shared" si="21"/>
        <v>0</v>
      </c>
      <c r="Q1050" s="232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2">
        <f t="shared" si="21"/>
        <v>0</v>
      </c>
      <c r="Q1051" s="232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2">
        <f t="shared" ref="P1052:P1115" si="22">IF(ISNUMBER(Q1052),Q1052,0)</f>
        <v>0</v>
      </c>
      <c r="Q1052" s="232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2">
        <f t="shared" si="22"/>
        <v>0</v>
      </c>
      <c r="Q1053" s="232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2">
        <f t="shared" si="22"/>
        <v>0</v>
      </c>
      <c r="Q1054" s="232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2">
        <f t="shared" si="22"/>
        <v>0</v>
      </c>
      <c r="Q1055" s="232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2">
        <f t="shared" si="22"/>
        <v>0</v>
      </c>
      <c r="Q1056" s="232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2">
        <f t="shared" si="22"/>
        <v>0</v>
      </c>
      <c r="Q1057" s="232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2">
        <f t="shared" si="22"/>
        <v>0</v>
      </c>
      <c r="Q1058" s="232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2">
        <f t="shared" si="22"/>
        <v>0</v>
      </c>
      <c r="Q1059" s="232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2">
        <f t="shared" si="22"/>
        <v>0</v>
      </c>
      <c r="Q1060" s="232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2">
        <f t="shared" si="22"/>
        <v>0</v>
      </c>
      <c r="Q1061" s="232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2">
        <f t="shared" si="22"/>
        <v>0</v>
      </c>
      <c r="Q1062" s="232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2">
        <f t="shared" si="22"/>
        <v>0</v>
      </c>
      <c r="Q1063" s="232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2">
        <f t="shared" si="22"/>
        <v>0</v>
      </c>
      <c r="Q1064" s="232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2">
        <f t="shared" si="22"/>
        <v>0</v>
      </c>
      <c r="Q1065" s="232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2">
        <f t="shared" si="22"/>
        <v>0</v>
      </c>
      <c r="Q1066" s="232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2">
        <f t="shared" si="22"/>
        <v>0</v>
      </c>
      <c r="Q1067" s="232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2">
        <f t="shared" si="22"/>
        <v>0</v>
      </c>
      <c r="Q1068" s="232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2">
        <f t="shared" si="22"/>
        <v>0</v>
      </c>
      <c r="Q1069" s="232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2">
        <f t="shared" si="22"/>
        <v>0</v>
      </c>
      <c r="Q1070" s="232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2">
        <f t="shared" si="22"/>
        <v>0</v>
      </c>
      <c r="Q1071" s="232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2">
        <f t="shared" si="22"/>
        <v>0</v>
      </c>
      <c r="Q1072" s="232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2">
        <f t="shared" si="22"/>
        <v>0</v>
      </c>
      <c r="Q1073" s="232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2">
        <f t="shared" si="22"/>
        <v>0</v>
      </c>
      <c r="Q1074" s="232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2">
        <f t="shared" si="22"/>
        <v>0</v>
      </c>
      <c r="Q1075" s="232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2">
        <f t="shared" si="22"/>
        <v>0</v>
      </c>
      <c r="Q1076" s="232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2">
        <f t="shared" si="22"/>
        <v>0</v>
      </c>
      <c r="Q1077" s="232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2">
        <f t="shared" si="22"/>
        <v>0</v>
      </c>
      <c r="Q1078" s="232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2">
        <f t="shared" si="22"/>
        <v>0</v>
      </c>
      <c r="Q1079" s="232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2">
        <f t="shared" si="22"/>
        <v>0</v>
      </c>
      <c r="Q1080" s="232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2">
        <f t="shared" si="22"/>
        <v>0</v>
      </c>
      <c r="Q1081" s="232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2">
        <f t="shared" si="22"/>
        <v>0</v>
      </c>
      <c r="Q1082" s="232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2">
        <f t="shared" si="22"/>
        <v>0</v>
      </c>
      <c r="Q1083" s="232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2">
        <f t="shared" si="22"/>
        <v>0</v>
      </c>
      <c r="Q1084" s="232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2">
        <f t="shared" si="22"/>
        <v>0</v>
      </c>
      <c r="Q1085" s="232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2">
        <f t="shared" si="22"/>
        <v>0</v>
      </c>
      <c r="Q1086" s="232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2">
        <f t="shared" si="22"/>
        <v>0</v>
      </c>
      <c r="Q1087" s="232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2">
        <f t="shared" si="22"/>
        <v>0</v>
      </c>
      <c r="Q1088" s="232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2">
        <f t="shared" si="22"/>
        <v>0</v>
      </c>
      <c r="Q1089" s="232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2">
        <f t="shared" si="22"/>
        <v>0</v>
      </c>
      <c r="Q1090" s="232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2">
        <f t="shared" si="22"/>
        <v>0</v>
      </c>
      <c r="Q1091" s="232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2">
        <f t="shared" si="22"/>
        <v>0</v>
      </c>
      <c r="Q1092" s="232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2">
        <f t="shared" si="22"/>
        <v>0</v>
      </c>
      <c r="Q1093" s="232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2">
        <f t="shared" si="22"/>
        <v>0</v>
      </c>
      <c r="Q1094" s="232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2">
        <f t="shared" si="22"/>
        <v>0</v>
      </c>
      <c r="Q1095" s="232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2">
        <f t="shared" si="22"/>
        <v>0</v>
      </c>
      <c r="Q1096" s="232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2">
        <f t="shared" si="22"/>
        <v>0</v>
      </c>
      <c r="Q1097" s="232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2">
        <f t="shared" si="22"/>
        <v>0</v>
      </c>
      <c r="Q1098" s="232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2">
        <f t="shared" si="22"/>
        <v>0</v>
      </c>
      <c r="Q1099" s="232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2">
        <f t="shared" si="22"/>
        <v>0</v>
      </c>
      <c r="Q1100" s="232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2">
        <f t="shared" si="22"/>
        <v>0</v>
      </c>
      <c r="Q1101" s="232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2">
        <f t="shared" si="22"/>
        <v>0</v>
      </c>
      <c r="Q1102" s="232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2">
        <f t="shared" si="22"/>
        <v>0</v>
      </c>
      <c r="Q1103" s="232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2">
        <f t="shared" si="22"/>
        <v>0</v>
      </c>
      <c r="Q1104" s="232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2">
        <f t="shared" si="22"/>
        <v>0</v>
      </c>
      <c r="Q1105" s="232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2">
        <f t="shared" si="22"/>
        <v>0</v>
      </c>
      <c r="Q1106" s="232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2">
        <f t="shared" si="22"/>
        <v>0</v>
      </c>
      <c r="Q1107" s="232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2">
        <f t="shared" si="22"/>
        <v>0</v>
      </c>
      <c r="Q1108" s="232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2">
        <f t="shared" si="22"/>
        <v>0</v>
      </c>
      <c r="Q1109" s="232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2">
        <f t="shared" si="22"/>
        <v>0</v>
      </c>
      <c r="Q1110" s="232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2">
        <f t="shared" si="22"/>
        <v>0</v>
      </c>
      <c r="Q1111" s="232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2">
        <f t="shared" si="22"/>
        <v>0</v>
      </c>
      <c r="Q1112" s="232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2">
        <f t="shared" si="22"/>
        <v>0</v>
      </c>
      <c r="Q1113" s="232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2">
        <f t="shared" si="22"/>
        <v>0</v>
      </c>
      <c r="Q1114" s="232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2">
        <f t="shared" si="22"/>
        <v>0</v>
      </c>
      <c r="Q1115" s="232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2">
        <f t="shared" ref="P1116:P1179" si="23">IF(ISNUMBER(Q1116),Q1116,0)</f>
        <v>0</v>
      </c>
      <c r="Q1116" s="232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2">
        <f t="shared" si="23"/>
        <v>0</v>
      </c>
      <c r="Q1117" s="232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2">
        <f t="shared" si="23"/>
        <v>0</v>
      </c>
      <c r="Q1118" s="232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2">
        <f t="shared" si="23"/>
        <v>0</v>
      </c>
      <c r="Q1119" s="232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2">
        <f t="shared" si="23"/>
        <v>0</v>
      </c>
      <c r="Q1120" s="232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2">
        <f t="shared" si="23"/>
        <v>0</v>
      </c>
      <c r="Q1121" s="232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2">
        <f t="shared" si="23"/>
        <v>0</v>
      </c>
      <c r="Q1122" s="232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2">
        <f t="shared" si="23"/>
        <v>0</v>
      </c>
      <c r="Q1123" s="232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2">
        <f t="shared" si="23"/>
        <v>0</v>
      </c>
      <c r="Q1124" s="232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2">
        <f t="shared" si="23"/>
        <v>0</v>
      </c>
      <c r="Q1125" s="232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2">
        <f t="shared" si="23"/>
        <v>0</v>
      </c>
      <c r="Q1126" s="232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2">
        <f t="shared" si="23"/>
        <v>0</v>
      </c>
      <c r="Q1127" s="232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2">
        <f t="shared" si="23"/>
        <v>0</v>
      </c>
      <c r="Q1128" s="232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2">
        <f t="shared" si="23"/>
        <v>0</v>
      </c>
      <c r="Q1129" s="232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2">
        <f t="shared" si="23"/>
        <v>0</v>
      </c>
      <c r="Q1130" s="232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2">
        <f t="shared" si="23"/>
        <v>0</v>
      </c>
      <c r="Q1131" s="232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2">
        <f t="shared" si="23"/>
        <v>0</v>
      </c>
      <c r="Q1132" s="232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2">
        <f t="shared" si="23"/>
        <v>0</v>
      </c>
      <c r="Q1133" s="232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2">
        <f t="shared" si="23"/>
        <v>0</v>
      </c>
      <c r="Q1134" s="232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2">
        <f t="shared" si="23"/>
        <v>0</v>
      </c>
      <c r="Q1135" s="232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2">
        <f t="shared" si="23"/>
        <v>0</v>
      </c>
      <c r="Q1136" s="232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2">
        <f t="shared" si="23"/>
        <v>0</v>
      </c>
      <c r="Q1137" s="232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2">
        <f t="shared" si="23"/>
        <v>0</v>
      </c>
      <c r="Q1138" s="232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2">
        <f t="shared" si="23"/>
        <v>0</v>
      </c>
      <c r="Q1139" s="232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2">
        <f t="shared" si="23"/>
        <v>0</v>
      </c>
      <c r="Q1140" s="232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2">
        <f t="shared" si="23"/>
        <v>0</v>
      </c>
      <c r="Q1141" s="232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2">
        <f t="shared" si="23"/>
        <v>0</v>
      </c>
      <c r="Q1142" s="232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2">
        <f t="shared" si="23"/>
        <v>0</v>
      </c>
      <c r="Q1143" s="232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2">
        <f t="shared" si="23"/>
        <v>0</v>
      </c>
      <c r="Q1144" s="232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2">
        <f t="shared" si="23"/>
        <v>0</v>
      </c>
      <c r="Q1145" s="232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2">
        <f t="shared" si="23"/>
        <v>0</v>
      </c>
      <c r="Q1146" s="232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2">
        <f t="shared" si="23"/>
        <v>0</v>
      </c>
      <c r="Q1147" s="232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2">
        <f t="shared" si="23"/>
        <v>0</v>
      </c>
      <c r="Q1148" s="232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2">
        <f t="shared" si="23"/>
        <v>0</v>
      </c>
      <c r="Q1149" s="232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2">
        <f t="shared" si="23"/>
        <v>0</v>
      </c>
      <c r="Q1150" s="232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2">
        <f t="shared" si="23"/>
        <v>0</v>
      </c>
      <c r="Q1151" s="232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2">
        <f t="shared" si="23"/>
        <v>0</v>
      </c>
      <c r="Q1152" s="232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2">
        <f t="shared" si="23"/>
        <v>0</v>
      </c>
      <c r="Q1153" s="232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2">
        <f t="shared" si="23"/>
        <v>0</v>
      </c>
      <c r="Q1154" s="232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2">
        <f t="shared" si="23"/>
        <v>0</v>
      </c>
      <c r="Q1155" s="232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2">
        <f t="shared" si="23"/>
        <v>0</v>
      </c>
      <c r="Q1156" s="232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2">
        <f t="shared" si="23"/>
        <v>0</v>
      </c>
      <c r="Q1157" s="232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2">
        <f t="shared" si="23"/>
        <v>0</v>
      </c>
      <c r="Q1158" s="232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2">
        <f t="shared" si="23"/>
        <v>0</v>
      </c>
      <c r="Q1159" s="232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2">
        <f t="shared" si="23"/>
        <v>0</v>
      </c>
      <c r="Q1160" s="232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2">
        <f t="shared" si="23"/>
        <v>0</v>
      </c>
      <c r="Q1161" s="232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2">
        <f t="shared" si="23"/>
        <v>0</v>
      </c>
      <c r="Q1162" s="232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2">
        <f t="shared" si="23"/>
        <v>0</v>
      </c>
      <c r="Q1163" s="232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2">
        <f t="shared" si="23"/>
        <v>0</v>
      </c>
      <c r="Q1164" s="232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2">
        <f t="shared" si="23"/>
        <v>0</v>
      </c>
      <c r="Q1165" s="232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2">
        <f t="shared" si="23"/>
        <v>0</v>
      </c>
      <c r="Q1166" s="232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2">
        <f t="shared" si="23"/>
        <v>0</v>
      </c>
      <c r="Q1167" s="232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2">
        <f t="shared" si="23"/>
        <v>0</v>
      </c>
      <c r="Q1168" s="232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2">
        <f t="shared" si="23"/>
        <v>0</v>
      </c>
      <c r="Q1169" s="232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2">
        <f t="shared" si="23"/>
        <v>0</v>
      </c>
      <c r="Q1170" s="232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2">
        <f t="shared" si="23"/>
        <v>0</v>
      </c>
      <c r="Q1171" s="232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2">
        <f t="shared" si="23"/>
        <v>0</v>
      </c>
      <c r="Q1172" s="232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2">
        <f t="shared" si="23"/>
        <v>0</v>
      </c>
      <c r="Q1173" s="232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2">
        <f t="shared" si="23"/>
        <v>0</v>
      </c>
      <c r="Q1174" s="232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2">
        <f t="shared" si="23"/>
        <v>0</v>
      </c>
      <c r="Q1175" s="232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2">
        <f t="shared" si="23"/>
        <v>0</v>
      </c>
      <c r="Q1176" s="232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2">
        <f t="shared" si="23"/>
        <v>0</v>
      </c>
      <c r="Q1177" s="232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2">
        <f t="shared" si="23"/>
        <v>0</v>
      </c>
      <c r="Q1178" s="232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2">
        <f t="shared" si="23"/>
        <v>0</v>
      </c>
      <c r="Q1179" s="232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2">
        <f t="shared" ref="P1180:P1243" si="24">IF(ISNUMBER(Q1180),Q1180,0)</f>
        <v>0</v>
      </c>
      <c r="Q1180" s="232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2">
        <f t="shared" si="24"/>
        <v>0</v>
      </c>
      <c r="Q1181" s="232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2">
        <f t="shared" si="24"/>
        <v>0</v>
      </c>
      <c r="Q1182" s="232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2">
        <f t="shared" si="24"/>
        <v>0</v>
      </c>
      <c r="Q1183" s="232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2">
        <f t="shared" si="24"/>
        <v>0</v>
      </c>
      <c r="Q1184" s="232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2">
        <f t="shared" si="24"/>
        <v>0</v>
      </c>
      <c r="Q1185" s="232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2">
        <f t="shared" si="24"/>
        <v>0</v>
      </c>
      <c r="Q1186" s="232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2">
        <f t="shared" si="24"/>
        <v>0</v>
      </c>
      <c r="Q1187" s="232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2">
        <f t="shared" si="24"/>
        <v>0</v>
      </c>
      <c r="Q1188" s="232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2">
        <f t="shared" si="24"/>
        <v>0</v>
      </c>
      <c r="Q1189" s="232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2">
        <f t="shared" si="24"/>
        <v>0</v>
      </c>
      <c r="Q1190" s="232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2">
        <f t="shared" si="24"/>
        <v>0</v>
      </c>
      <c r="Q1191" s="232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2">
        <f t="shared" si="24"/>
        <v>0</v>
      </c>
      <c r="Q1192" s="232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2">
        <f t="shared" si="24"/>
        <v>0</v>
      </c>
      <c r="Q1193" s="232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2">
        <f t="shared" si="24"/>
        <v>0</v>
      </c>
      <c r="Q1194" s="232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2">
        <f t="shared" si="24"/>
        <v>0</v>
      </c>
      <c r="Q1195" s="232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2">
        <f t="shared" si="24"/>
        <v>0</v>
      </c>
      <c r="Q1196" s="232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2">
        <f t="shared" si="24"/>
        <v>0</v>
      </c>
      <c r="Q1197" s="232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2">
        <f t="shared" si="24"/>
        <v>0</v>
      </c>
      <c r="Q1198" s="232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2">
        <f t="shared" si="24"/>
        <v>0</v>
      </c>
      <c r="Q1199" s="232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2">
        <f t="shared" si="24"/>
        <v>0</v>
      </c>
      <c r="Q1200" s="232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2">
        <f t="shared" si="24"/>
        <v>0</v>
      </c>
      <c r="Q1201" s="232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2">
        <f t="shared" si="24"/>
        <v>0</v>
      </c>
      <c r="Q1202" s="232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2">
        <f t="shared" si="24"/>
        <v>0</v>
      </c>
      <c r="Q1203" s="232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2">
        <f t="shared" si="24"/>
        <v>0</v>
      </c>
      <c r="Q1204" s="232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2">
        <f t="shared" si="24"/>
        <v>0</v>
      </c>
      <c r="Q1205" s="232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2">
        <f t="shared" si="24"/>
        <v>0</v>
      </c>
      <c r="Q1206" s="232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2">
        <f t="shared" si="24"/>
        <v>0</v>
      </c>
      <c r="Q1207" s="232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2">
        <f t="shared" si="24"/>
        <v>0</v>
      </c>
      <c r="Q1208" s="232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2">
        <f t="shared" si="24"/>
        <v>0</v>
      </c>
      <c r="Q1209" s="232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2">
        <f t="shared" si="24"/>
        <v>0</v>
      </c>
      <c r="Q1210" s="232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2">
        <f t="shared" si="24"/>
        <v>0</v>
      </c>
      <c r="Q1211" s="232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2">
        <f t="shared" si="24"/>
        <v>0</v>
      </c>
      <c r="Q1212" s="232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2">
        <f t="shared" si="24"/>
        <v>0</v>
      </c>
      <c r="Q1213" s="232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2">
        <f t="shared" si="24"/>
        <v>0</v>
      </c>
      <c r="Q1214" s="232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2">
        <f t="shared" si="24"/>
        <v>0</v>
      </c>
      <c r="Q1215" s="232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2">
        <f t="shared" si="24"/>
        <v>0</v>
      </c>
      <c r="Q1216" s="232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2">
        <f t="shared" si="24"/>
        <v>0</v>
      </c>
      <c r="Q1217" s="232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2">
        <f t="shared" si="24"/>
        <v>0</v>
      </c>
      <c r="Q1218" s="232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2">
        <f t="shared" si="24"/>
        <v>0</v>
      </c>
      <c r="Q1219" s="232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2">
        <f t="shared" si="24"/>
        <v>0</v>
      </c>
      <c r="Q1220" s="232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2">
        <f t="shared" si="24"/>
        <v>0</v>
      </c>
      <c r="Q1221" s="232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2">
        <f t="shared" si="24"/>
        <v>0</v>
      </c>
      <c r="Q1222" s="232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2">
        <f t="shared" si="24"/>
        <v>0</v>
      </c>
      <c r="Q1223" s="232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2">
        <f t="shared" si="24"/>
        <v>0</v>
      </c>
      <c r="Q1224" s="232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2">
        <f t="shared" si="24"/>
        <v>0</v>
      </c>
      <c r="Q1225" s="232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2">
        <f t="shared" si="24"/>
        <v>0</v>
      </c>
      <c r="Q1226" s="232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2">
        <f t="shared" si="24"/>
        <v>0</v>
      </c>
      <c r="Q1227" s="232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2">
        <f t="shared" si="24"/>
        <v>0</v>
      </c>
      <c r="Q1228" s="232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2">
        <f t="shared" si="24"/>
        <v>0</v>
      </c>
      <c r="Q1229" s="232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2">
        <f t="shared" si="24"/>
        <v>0</v>
      </c>
      <c r="Q1230" s="232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2">
        <f t="shared" si="24"/>
        <v>0</v>
      </c>
      <c r="Q1231" s="232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2">
        <f t="shared" si="24"/>
        <v>0</v>
      </c>
      <c r="Q1232" s="232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2">
        <f t="shared" si="24"/>
        <v>0</v>
      </c>
      <c r="Q1233" s="232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2">
        <f t="shared" si="24"/>
        <v>0</v>
      </c>
      <c r="Q1234" s="232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2">
        <f t="shared" si="24"/>
        <v>0</v>
      </c>
      <c r="Q1235" s="232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2">
        <f t="shared" si="24"/>
        <v>0</v>
      </c>
      <c r="Q1236" s="232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2">
        <f t="shared" si="24"/>
        <v>0</v>
      </c>
      <c r="Q1237" s="232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2">
        <f t="shared" si="24"/>
        <v>0</v>
      </c>
      <c r="Q1238" s="232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2">
        <f t="shared" si="24"/>
        <v>0</v>
      </c>
      <c r="Q1239" s="232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2">
        <f t="shared" si="24"/>
        <v>0</v>
      </c>
      <c r="Q1240" s="232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2">
        <f t="shared" si="24"/>
        <v>0</v>
      </c>
      <c r="Q1241" s="232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2">
        <f t="shared" si="24"/>
        <v>0</v>
      </c>
      <c r="Q1242" s="232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2">
        <f t="shared" si="24"/>
        <v>0</v>
      </c>
      <c r="Q1243" s="232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2">
        <f t="shared" ref="P1244:P1307" si="25">IF(ISNUMBER(Q1244),Q1244,0)</f>
        <v>0</v>
      </c>
      <c r="Q1244" s="232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2">
        <f t="shared" si="25"/>
        <v>0</v>
      </c>
      <c r="Q1245" s="232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2">
        <f t="shared" si="25"/>
        <v>0</v>
      </c>
      <c r="Q1246" s="232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2">
        <f t="shared" si="25"/>
        <v>0</v>
      </c>
      <c r="Q1247" s="232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2">
        <f t="shared" si="25"/>
        <v>0</v>
      </c>
      <c r="Q1248" s="232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2">
        <f t="shared" si="25"/>
        <v>0</v>
      </c>
      <c r="Q1249" s="232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2">
        <f t="shared" si="25"/>
        <v>0</v>
      </c>
      <c r="Q1250" s="232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2">
        <f t="shared" si="25"/>
        <v>0</v>
      </c>
      <c r="Q1251" s="232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2">
        <f t="shared" si="25"/>
        <v>0</v>
      </c>
      <c r="Q1252" s="232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2">
        <f t="shared" si="25"/>
        <v>0</v>
      </c>
      <c r="Q1253" s="232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2">
        <f t="shared" si="25"/>
        <v>0</v>
      </c>
      <c r="Q1254" s="232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2">
        <f t="shared" si="25"/>
        <v>0</v>
      </c>
      <c r="Q1255" s="232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2">
        <f t="shared" si="25"/>
        <v>0</v>
      </c>
      <c r="Q1256" s="232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2">
        <f t="shared" si="25"/>
        <v>0</v>
      </c>
      <c r="Q1257" s="232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2">
        <f t="shared" si="25"/>
        <v>0</v>
      </c>
      <c r="Q1258" s="232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2">
        <f t="shared" si="25"/>
        <v>0</v>
      </c>
      <c r="Q1259" s="232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2">
        <f t="shared" si="25"/>
        <v>0</v>
      </c>
      <c r="Q1260" s="232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2">
        <f t="shared" si="25"/>
        <v>0</v>
      </c>
      <c r="Q1261" s="232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2">
        <f t="shared" si="25"/>
        <v>0</v>
      </c>
      <c r="Q1262" s="232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2">
        <f t="shared" si="25"/>
        <v>0</v>
      </c>
      <c r="Q1263" s="232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2">
        <f t="shared" si="25"/>
        <v>0</v>
      </c>
      <c r="Q1264" s="232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2">
        <f t="shared" si="25"/>
        <v>0</v>
      </c>
      <c r="Q1265" s="232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2">
        <f t="shared" si="25"/>
        <v>0</v>
      </c>
      <c r="Q1266" s="232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2">
        <f t="shared" si="25"/>
        <v>0</v>
      </c>
      <c r="Q1267" s="232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2">
        <f t="shared" si="25"/>
        <v>0</v>
      </c>
      <c r="Q1268" s="232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2">
        <f t="shared" si="25"/>
        <v>0</v>
      </c>
      <c r="Q1269" s="232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2">
        <f t="shared" si="25"/>
        <v>0</v>
      </c>
      <c r="Q1270" s="232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2">
        <f t="shared" si="25"/>
        <v>0</v>
      </c>
      <c r="Q1271" s="232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2">
        <f t="shared" si="25"/>
        <v>0</v>
      </c>
      <c r="Q1272" s="232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2">
        <f t="shared" si="25"/>
        <v>0</v>
      </c>
      <c r="Q1273" s="232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2">
        <f t="shared" si="25"/>
        <v>0</v>
      </c>
      <c r="Q1274" s="232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2">
        <f t="shared" si="25"/>
        <v>0</v>
      </c>
      <c r="Q1275" s="232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2">
        <f t="shared" si="25"/>
        <v>0</v>
      </c>
      <c r="Q1276" s="232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2">
        <f t="shared" si="25"/>
        <v>0</v>
      </c>
      <c r="Q1277" s="232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2">
        <f t="shared" si="25"/>
        <v>0</v>
      </c>
      <c r="Q1278" s="232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2">
        <f t="shared" si="25"/>
        <v>0</v>
      </c>
      <c r="Q1279" s="232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2">
        <f t="shared" si="25"/>
        <v>0</v>
      </c>
      <c r="Q1280" s="232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2">
        <f t="shared" si="25"/>
        <v>0</v>
      </c>
      <c r="Q1281" s="232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2">
        <f t="shared" si="25"/>
        <v>0</v>
      </c>
      <c r="Q1282" s="232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2">
        <f t="shared" si="25"/>
        <v>0</v>
      </c>
      <c r="Q1283" s="232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2">
        <f t="shared" si="25"/>
        <v>0</v>
      </c>
      <c r="Q1284" s="232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2">
        <f t="shared" si="25"/>
        <v>0</v>
      </c>
      <c r="Q1285" s="232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2">
        <f t="shared" si="25"/>
        <v>0</v>
      </c>
      <c r="Q1286" s="232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2">
        <f t="shared" si="25"/>
        <v>0</v>
      </c>
      <c r="Q1287" s="232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2">
        <f t="shared" si="25"/>
        <v>0</v>
      </c>
      <c r="Q1288" s="232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2">
        <f t="shared" si="25"/>
        <v>0</v>
      </c>
      <c r="Q1289" s="232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2">
        <f t="shared" si="25"/>
        <v>0</v>
      </c>
      <c r="Q1290" s="232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2">
        <f t="shared" si="25"/>
        <v>0</v>
      </c>
      <c r="Q1291" s="232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2">
        <f t="shared" si="25"/>
        <v>0</v>
      </c>
      <c r="Q1292" s="232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2">
        <f t="shared" si="25"/>
        <v>0</v>
      </c>
      <c r="Q1293" s="232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2">
        <f t="shared" si="25"/>
        <v>0</v>
      </c>
      <c r="Q1294" s="232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2">
        <f t="shared" si="25"/>
        <v>0</v>
      </c>
      <c r="Q1295" s="232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2">
        <f t="shared" si="25"/>
        <v>0</v>
      </c>
      <c r="Q1296" s="232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2">
        <f t="shared" si="25"/>
        <v>0</v>
      </c>
      <c r="Q1297" s="232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2">
        <f t="shared" si="25"/>
        <v>0</v>
      </c>
      <c r="Q1298" s="232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2">
        <f t="shared" si="25"/>
        <v>0</v>
      </c>
      <c r="Q1299" s="232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2">
        <f t="shared" si="25"/>
        <v>0</v>
      </c>
      <c r="Q1300" s="232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2">
        <f t="shared" si="25"/>
        <v>0</v>
      </c>
      <c r="Q1301" s="232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2">
        <f t="shared" si="25"/>
        <v>0</v>
      </c>
      <c r="Q1302" s="232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2">
        <f t="shared" si="25"/>
        <v>0</v>
      </c>
      <c r="Q1303" s="232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2">
        <f t="shared" si="25"/>
        <v>0</v>
      </c>
      <c r="Q1304" s="232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2">
        <f t="shared" si="25"/>
        <v>0</v>
      </c>
      <c r="Q1305" s="232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2">
        <f t="shared" si="25"/>
        <v>0</v>
      </c>
      <c r="Q1306" s="232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2">
        <f t="shared" si="25"/>
        <v>0</v>
      </c>
      <c r="Q1307" s="232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2">
        <f t="shared" ref="P1308:P1371" si="26">IF(ISNUMBER(Q1308),Q1308,0)</f>
        <v>0</v>
      </c>
      <c r="Q1308" s="232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2">
        <f t="shared" si="26"/>
        <v>0</v>
      </c>
      <c r="Q1309" s="232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2">
        <f t="shared" si="26"/>
        <v>0</v>
      </c>
      <c r="Q1310" s="232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2">
        <f t="shared" si="26"/>
        <v>0</v>
      </c>
      <c r="Q1311" s="232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2">
        <f t="shared" si="26"/>
        <v>0</v>
      </c>
      <c r="Q1312" s="232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2">
        <f t="shared" si="26"/>
        <v>0</v>
      </c>
      <c r="Q1313" s="232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2">
        <f t="shared" si="26"/>
        <v>0</v>
      </c>
      <c r="Q1314" s="232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2">
        <f t="shared" si="26"/>
        <v>0</v>
      </c>
      <c r="Q1315" s="232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2">
        <f t="shared" si="26"/>
        <v>0</v>
      </c>
      <c r="Q1316" s="232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2">
        <f t="shared" si="26"/>
        <v>0</v>
      </c>
      <c r="Q1317" s="232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2">
        <f t="shared" si="26"/>
        <v>0</v>
      </c>
      <c r="Q1318" s="232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2">
        <f t="shared" si="26"/>
        <v>0</v>
      </c>
      <c r="Q1319" s="232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2">
        <f t="shared" si="26"/>
        <v>0</v>
      </c>
      <c r="Q1320" s="232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2">
        <f t="shared" si="26"/>
        <v>0</v>
      </c>
      <c r="Q1321" s="232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2">
        <f t="shared" si="26"/>
        <v>0</v>
      </c>
      <c r="Q1322" s="232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2">
        <f t="shared" si="26"/>
        <v>0</v>
      </c>
      <c r="Q1323" s="232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2">
        <f t="shared" si="26"/>
        <v>0</v>
      </c>
      <c r="Q1324" s="232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2">
        <f t="shared" si="26"/>
        <v>0</v>
      </c>
      <c r="Q1325" s="232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2">
        <f t="shared" si="26"/>
        <v>0</v>
      </c>
      <c r="Q1326" s="232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2">
        <f t="shared" si="26"/>
        <v>0</v>
      </c>
      <c r="Q1327" s="232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2">
        <f t="shared" si="26"/>
        <v>0</v>
      </c>
      <c r="Q1328" s="232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2">
        <f t="shared" si="26"/>
        <v>0</v>
      </c>
      <c r="Q1329" s="232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2">
        <f t="shared" si="26"/>
        <v>0</v>
      </c>
      <c r="Q1330" s="232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2">
        <f t="shared" si="26"/>
        <v>0</v>
      </c>
      <c r="Q1331" s="232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2">
        <f t="shared" si="26"/>
        <v>0</v>
      </c>
      <c r="Q1332" s="232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2">
        <f t="shared" si="26"/>
        <v>0</v>
      </c>
      <c r="Q1333" s="232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2">
        <f t="shared" si="26"/>
        <v>0</v>
      </c>
      <c r="Q1334" s="232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2">
        <f t="shared" si="26"/>
        <v>0</v>
      </c>
      <c r="Q1335" s="232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2">
        <f t="shared" si="26"/>
        <v>0</v>
      </c>
      <c r="Q1336" s="232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2">
        <f t="shared" si="26"/>
        <v>0</v>
      </c>
      <c r="Q1337" s="232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2">
        <f t="shared" si="26"/>
        <v>0</v>
      </c>
      <c r="Q1338" s="232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2">
        <f t="shared" si="26"/>
        <v>0</v>
      </c>
      <c r="Q1339" s="232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2">
        <f t="shared" si="26"/>
        <v>0</v>
      </c>
      <c r="Q1340" s="232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2">
        <f t="shared" si="26"/>
        <v>0</v>
      </c>
      <c r="Q1341" s="232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2">
        <f t="shared" si="26"/>
        <v>0</v>
      </c>
      <c r="Q1342" s="232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2">
        <f t="shared" si="26"/>
        <v>0</v>
      </c>
      <c r="Q1343" s="232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2">
        <f t="shared" si="26"/>
        <v>0</v>
      </c>
      <c r="Q1344" s="232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2">
        <f t="shared" si="26"/>
        <v>0</v>
      </c>
      <c r="Q1345" s="232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2">
        <f t="shared" si="26"/>
        <v>0</v>
      </c>
      <c r="Q1346" s="232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2">
        <f t="shared" si="26"/>
        <v>0</v>
      </c>
      <c r="Q1347" s="232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2">
        <f t="shared" si="26"/>
        <v>0</v>
      </c>
      <c r="Q1348" s="232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2">
        <f t="shared" si="26"/>
        <v>0</v>
      </c>
      <c r="Q1349" s="232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2">
        <f t="shared" si="26"/>
        <v>0</v>
      </c>
      <c r="Q1350" s="232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2">
        <f t="shared" si="26"/>
        <v>0</v>
      </c>
      <c r="Q1351" s="232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2">
        <f t="shared" si="26"/>
        <v>0</v>
      </c>
      <c r="Q1352" s="232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2">
        <f t="shared" si="26"/>
        <v>0</v>
      </c>
      <c r="Q1353" s="232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2">
        <f t="shared" si="26"/>
        <v>0</v>
      </c>
      <c r="Q1354" s="232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2">
        <f t="shared" si="26"/>
        <v>0</v>
      </c>
      <c r="Q1355" s="232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2">
        <f t="shared" si="26"/>
        <v>0</v>
      </c>
      <c r="Q1356" s="232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2">
        <f t="shared" si="26"/>
        <v>0</v>
      </c>
      <c r="Q1357" s="232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2">
        <f t="shared" si="26"/>
        <v>0</v>
      </c>
      <c r="Q1358" s="232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2">
        <f t="shared" si="26"/>
        <v>0</v>
      </c>
      <c r="Q1359" s="232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2">
        <f t="shared" si="26"/>
        <v>0</v>
      </c>
      <c r="Q1360" s="232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2">
        <f t="shared" si="26"/>
        <v>0</v>
      </c>
      <c r="Q1361" s="232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2">
        <f t="shared" si="26"/>
        <v>0</v>
      </c>
      <c r="Q1362" s="232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2">
        <f t="shared" si="26"/>
        <v>0</v>
      </c>
      <c r="Q1363" s="232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2">
        <f t="shared" si="26"/>
        <v>0</v>
      </c>
      <c r="Q1364" s="232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2">
        <f t="shared" si="26"/>
        <v>0</v>
      </c>
      <c r="Q1365" s="232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2">
        <f t="shared" si="26"/>
        <v>0</v>
      </c>
      <c r="Q1366" s="232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2">
        <f t="shared" si="26"/>
        <v>0</v>
      </c>
      <c r="Q1367" s="232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2">
        <f t="shared" si="26"/>
        <v>0</v>
      </c>
      <c r="Q1368" s="232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2">
        <f t="shared" si="26"/>
        <v>0</v>
      </c>
      <c r="Q1369" s="232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2">
        <f t="shared" si="26"/>
        <v>0</v>
      </c>
      <c r="Q1370" s="232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2">
        <f t="shared" si="26"/>
        <v>0</v>
      </c>
      <c r="Q1371" s="232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2">
        <f t="shared" ref="P1372:P1435" si="27">IF(ISNUMBER(Q1372),Q1372,0)</f>
        <v>0</v>
      </c>
      <c r="Q1372" s="232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2">
        <f t="shared" si="27"/>
        <v>0</v>
      </c>
      <c r="Q1373" s="232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2">
        <f t="shared" si="27"/>
        <v>0</v>
      </c>
      <c r="Q1374" s="232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2">
        <f t="shared" si="27"/>
        <v>0</v>
      </c>
      <c r="Q1375" s="232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2">
        <f t="shared" si="27"/>
        <v>0</v>
      </c>
      <c r="Q1376" s="232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2">
        <f t="shared" si="27"/>
        <v>0</v>
      </c>
      <c r="Q1377" s="232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2">
        <f t="shared" si="27"/>
        <v>0</v>
      </c>
      <c r="Q1378" s="232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2">
        <f t="shared" si="27"/>
        <v>0</v>
      </c>
      <c r="Q1379" s="232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2">
        <f t="shared" si="27"/>
        <v>0</v>
      </c>
      <c r="Q1380" s="232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2">
        <f t="shared" si="27"/>
        <v>0</v>
      </c>
      <c r="Q1381" s="232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2">
        <f t="shared" si="27"/>
        <v>0</v>
      </c>
      <c r="Q1382" s="232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2">
        <f t="shared" si="27"/>
        <v>0</v>
      </c>
      <c r="Q1383" s="232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2">
        <f t="shared" si="27"/>
        <v>0</v>
      </c>
      <c r="Q1384" s="232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2">
        <f t="shared" si="27"/>
        <v>0</v>
      </c>
      <c r="Q1385" s="232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2">
        <f t="shared" si="27"/>
        <v>0</v>
      </c>
      <c r="Q1386" s="232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2">
        <f t="shared" si="27"/>
        <v>0</v>
      </c>
      <c r="Q1387" s="232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2">
        <f t="shared" si="27"/>
        <v>0</v>
      </c>
      <c r="Q1388" s="232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2">
        <f t="shared" si="27"/>
        <v>0</v>
      </c>
      <c r="Q1389" s="232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2">
        <f t="shared" si="27"/>
        <v>0</v>
      </c>
      <c r="Q1390" s="232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2">
        <f t="shared" si="27"/>
        <v>0</v>
      </c>
      <c r="Q1391" s="232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2">
        <f t="shared" si="27"/>
        <v>0</v>
      </c>
      <c r="Q1392" s="232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2">
        <f t="shared" si="27"/>
        <v>0</v>
      </c>
      <c r="Q1393" s="232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2">
        <f t="shared" si="27"/>
        <v>0</v>
      </c>
      <c r="Q1394" s="232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2">
        <f t="shared" si="27"/>
        <v>0</v>
      </c>
      <c r="Q1395" s="232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2">
        <f t="shared" si="27"/>
        <v>0</v>
      </c>
      <c r="Q1396" s="232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2">
        <f t="shared" si="27"/>
        <v>0</v>
      </c>
      <c r="Q1397" s="232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2">
        <f t="shared" si="27"/>
        <v>0</v>
      </c>
      <c r="Q1398" s="232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2">
        <f t="shared" si="27"/>
        <v>0</v>
      </c>
      <c r="Q1399" s="232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2">
        <f t="shared" si="27"/>
        <v>0</v>
      </c>
      <c r="Q1400" s="232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2">
        <f t="shared" si="27"/>
        <v>0</v>
      </c>
      <c r="Q1401" s="232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2">
        <f t="shared" si="27"/>
        <v>0</v>
      </c>
      <c r="Q1402" s="232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2">
        <f t="shared" si="27"/>
        <v>0</v>
      </c>
      <c r="Q1403" s="232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2">
        <f t="shared" si="27"/>
        <v>0</v>
      </c>
      <c r="Q1404" s="232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2">
        <f t="shared" si="27"/>
        <v>0</v>
      </c>
      <c r="Q1405" s="232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2">
        <f t="shared" si="27"/>
        <v>0</v>
      </c>
      <c r="Q1406" s="232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2">
        <f t="shared" si="27"/>
        <v>0</v>
      </c>
      <c r="Q1407" s="232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2">
        <f t="shared" si="27"/>
        <v>0</v>
      </c>
      <c r="Q1408" s="232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2">
        <f t="shared" si="27"/>
        <v>0</v>
      </c>
      <c r="Q1409" s="232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2">
        <f t="shared" si="27"/>
        <v>0</v>
      </c>
      <c r="Q1410" s="232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2">
        <f t="shared" si="27"/>
        <v>0</v>
      </c>
      <c r="Q1411" s="232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2">
        <f t="shared" si="27"/>
        <v>0</v>
      </c>
      <c r="Q1412" s="232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2">
        <f t="shared" si="27"/>
        <v>0</v>
      </c>
      <c r="Q1413" s="232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2">
        <f t="shared" si="27"/>
        <v>0</v>
      </c>
      <c r="Q1414" s="232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2">
        <f t="shared" si="27"/>
        <v>0</v>
      </c>
      <c r="Q1415" s="232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2">
        <f t="shared" si="27"/>
        <v>0</v>
      </c>
      <c r="Q1416" s="232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2">
        <f t="shared" si="27"/>
        <v>0</v>
      </c>
      <c r="Q1417" s="232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2">
        <f t="shared" si="27"/>
        <v>0</v>
      </c>
      <c r="Q1418" s="232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2">
        <f t="shared" si="27"/>
        <v>0</v>
      </c>
      <c r="Q1419" s="232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2">
        <f t="shared" si="27"/>
        <v>0</v>
      </c>
      <c r="Q1420" s="232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2">
        <f t="shared" si="27"/>
        <v>0</v>
      </c>
      <c r="Q1421" s="232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2">
        <f t="shared" si="27"/>
        <v>0</v>
      </c>
      <c r="Q1422" s="232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2">
        <f t="shared" si="27"/>
        <v>0</v>
      </c>
      <c r="Q1423" s="232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2">
        <f t="shared" si="27"/>
        <v>0</v>
      </c>
      <c r="Q1424" s="232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2">
        <f t="shared" si="27"/>
        <v>0</v>
      </c>
      <c r="Q1425" s="232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2">
        <f t="shared" si="27"/>
        <v>0</v>
      </c>
      <c r="Q1426" s="232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2">
        <f t="shared" si="27"/>
        <v>0</v>
      </c>
      <c r="Q1427" s="232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2">
        <f t="shared" si="27"/>
        <v>0</v>
      </c>
      <c r="Q1428" s="232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2">
        <f t="shared" si="27"/>
        <v>0</v>
      </c>
      <c r="Q1429" s="232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2">
        <f t="shared" si="27"/>
        <v>0</v>
      </c>
      <c r="Q1430" s="232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2">
        <f t="shared" si="27"/>
        <v>0</v>
      </c>
      <c r="Q1431" s="232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2">
        <f t="shared" si="27"/>
        <v>0</v>
      </c>
      <c r="Q1432" s="232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2">
        <f t="shared" si="27"/>
        <v>0</v>
      </c>
      <c r="Q1433" s="232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2">
        <f t="shared" si="27"/>
        <v>0</v>
      </c>
      <c r="Q1434" s="232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2">
        <f t="shared" si="27"/>
        <v>0</v>
      </c>
      <c r="Q1435" s="232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2">
        <f t="shared" ref="P1436:P1499" si="28">IF(ISNUMBER(Q1436),Q1436,0)</f>
        <v>0</v>
      </c>
      <c r="Q1436" s="232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2">
        <f t="shared" si="28"/>
        <v>0</v>
      </c>
      <c r="Q1437" s="232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2">
        <f t="shared" si="28"/>
        <v>0</v>
      </c>
      <c r="Q1438" s="232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2">
        <f t="shared" si="28"/>
        <v>0</v>
      </c>
      <c r="Q1439" s="232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2">
        <f t="shared" si="28"/>
        <v>0</v>
      </c>
      <c r="Q1440" s="232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2">
        <f t="shared" si="28"/>
        <v>0</v>
      </c>
      <c r="Q1441" s="232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2">
        <f t="shared" si="28"/>
        <v>0</v>
      </c>
      <c r="Q1442" s="232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2">
        <f t="shared" si="28"/>
        <v>0</v>
      </c>
      <c r="Q1443" s="232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2">
        <f t="shared" si="28"/>
        <v>0</v>
      </c>
      <c r="Q1444" s="232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2">
        <f t="shared" si="28"/>
        <v>0</v>
      </c>
      <c r="Q1445" s="232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2">
        <f t="shared" si="28"/>
        <v>0</v>
      </c>
      <c r="Q1446" s="232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2">
        <f t="shared" si="28"/>
        <v>0</v>
      </c>
      <c r="Q1447" s="232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2">
        <f t="shared" si="28"/>
        <v>0</v>
      </c>
      <c r="Q1448" s="232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2">
        <f t="shared" si="28"/>
        <v>0</v>
      </c>
      <c r="Q1449" s="232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2">
        <f t="shared" si="28"/>
        <v>0</v>
      </c>
      <c r="Q1450" s="232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2">
        <f t="shared" si="28"/>
        <v>0</v>
      </c>
      <c r="Q1451" s="232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2">
        <f t="shared" si="28"/>
        <v>0</v>
      </c>
      <c r="Q1452" s="232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2">
        <f t="shared" si="28"/>
        <v>0</v>
      </c>
      <c r="Q1453" s="232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2">
        <f t="shared" si="28"/>
        <v>0</v>
      </c>
      <c r="Q1454" s="232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2">
        <f t="shared" si="28"/>
        <v>0</v>
      </c>
      <c r="Q1455" s="232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2">
        <f t="shared" si="28"/>
        <v>0</v>
      </c>
      <c r="Q1456" s="232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2">
        <f t="shared" si="28"/>
        <v>0</v>
      </c>
      <c r="Q1457" s="232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2">
        <f t="shared" si="28"/>
        <v>0</v>
      </c>
      <c r="Q1458" s="232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2">
        <f t="shared" si="28"/>
        <v>0</v>
      </c>
      <c r="Q1459" s="232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2">
        <f t="shared" si="28"/>
        <v>0</v>
      </c>
      <c r="Q1460" s="232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2">
        <f t="shared" si="28"/>
        <v>0</v>
      </c>
      <c r="Q1461" s="232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2">
        <f t="shared" si="28"/>
        <v>0</v>
      </c>
      <c r="Q1462" s="232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2">
        <f t="shared" si="28"/>
        <v>0</v>
      </c>
      <c r="Q1463" s="232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2">
        <f t="shared" si="28"/>
        <v>0</v>
      </c>
      <c r="Q1464" s="232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2">
        <f t="shared" si="28"/>
        <v>0</v>
      </c>
      <c r="Q1465" s="232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2">
        <f t="shared" si="28"/>
        <v>0</v>
      </c>
      <c r="Q1466" s="232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2">
        <f t="shared" si="28"/>
        <v>0</v>
      </c>
      <c r="Q1467" s="232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2">
        <f t="shared" si="28"/>
        <v>0</v>
      </c>
      <c r="Q1468" s="232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2">
        <f t="shared" si="28"/>
        <v>0</v>
      </c>
      <c r="Q1469" s="232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2">
        <f t="shared" si="28"/>
        <v>0</v>
      </c>
      <c r="Q1470" s="232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2">
        <f t="shared" si="28"/>
        <v>0</v>
      </c>
      <c r="Q1471" s="232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2">
        <f t="shared" si="28"/>
        <v>0</v>
      </c>
      <c r="Q1472" s="232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2">
        <f t="shared" si="28"/>
        <v>0</v>
      </c>
      <c r="Q1473" s="232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2">
        <f t="shared" si="28"/>
        <v>0</v>
      </c>
      <c r="Q1474" s="232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2">
        <f t="shared" si="28"/>
        <v>0</v>
      </c>
      <c r="Q1475" s="232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2">
        <f t="shared" si="28"/>
        <v>0</v>
      </c>
      <c r="Q1476" s="232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2">
        <f t="shared" si="28"/>
        <v>0</v>
      </c>
      <c r="Q1477" s="232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2">
        <f t="shared" si="28"/>
        <v>0</v>
      </c>
      <c r="Q1478" s="232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2">
        <f t="shared" si="28"/>
        <v>0</v>
      </c>
      <c r="Q1479" s="232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2">
        <f t="shared" si="28"/>
        <v>0</v>
      </c>
      <c r="Q1480" s="232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2">
        <f t="shared" si="28"/>
        <v>0</v>
      </c>
      <c r="Q1481" s="232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2">
        <f t="shared" si="28"/>
        <v>0</v>
      </c>
      <c r="Q1482" s="232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2">
        <f t="shared" si="28"/>
        <v>0</v>
      </c>
      <c r="Q1483" s="232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2">
        <f t="shared" si="28"/>
        <v>0</v>
      </c>
      <c r="Q1484" s="232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2">
        <f t="shared" si="28"/>
        <v>0</v>
      </c>
      <c r="Q1485" s="232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2">
        <f t="shared" si="28"/>
        <v>0</v>
      </c>
      <c r="Q1486" s="232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2">
        <f t="shared" si="28"/>
        <v>0</v>
      </c>
      <c r="Q1487" s="232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2">
        <f t="shared" si="28"/>
        <v>0</v>
      </c>
      <c r="Q1488" s="232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2">
        <f t="shared" si="28"/>
        <v>0</v>
      </c>
      <c r="Q1489" s="232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2">
        <f t="shared" si="28"/>
        <v>0</v>
      </c>
      <c r="Q1490" s="232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2">
        <f t="shared" si="28"/>
        <v>0</v>
      </c>
      <c r="Q1491" s="232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2">
        <f t="shared" si="28"/>
        <v>0</v>
      </c>
      <c r="Q1492" s="232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2">
        <f t="shared" si="28"/>
        <v>0</v>
      </c>
      <c r="Q1493" s="232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2">
        <f t="shared" si="28"/>
        <v>0</v>
      </c>
      <c r="Q1494" s="232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2">
        <f t="shared" si="28"/>
        <v>0</v>
      </c>
      <c r="Q1495" s="232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2">
        <f t="shared" si="28"/>
        <v>0</v>
      </c>
      <c r="Q1496" s="232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2">
        <f t="shared" si="28"/>
        <v>0</v>
      </c>
      <c r="Q1497" s="232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2">
        <f t="shared" si="28"/>
        <v>0</v>
      </c>
      <c r="Q1498" s="232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2">
        <f t="shared" si="28"/>
        <v>0</v>
      </c>
      <c r="Q1499" s="232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2">
        <f t="shared" ref="P1500:P1563" si="29">IF(ISNUMBER(Q1500),Q1500,0)</f>
        <v>0</v>
      </c>
      <c r="Q1500" s="232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2">
        <f t="shared" si="29"/>
        <v>0</v>
      </c>
      <c r="Q1501" s="232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2">
        <f t="shared" si="29"/>
        <v>0</v>
      </c>
      <c r="Q1502" s="232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2">
        <f t="shared" si="29"/>
        <v>0</v>
      </c>
      <c r="Q1503" s="232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2">
        <f t="shared" si="29"/>
        <v>0</v>
      </c>
      <c r="Q1504" s="232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2">
        <f t="shared" si="29"/>
        <v>0</v>
      </c>
      <c r="Q1505" s="232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2">
        <f t="shared" si="29"/>
        <v>0</v>
      </c>
      <c r="Q1506" s="232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2">
        <f t="shared" si="29"/>
        <v>0</v>
      </c>
      <c r="Q1507" s="232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2">
        <f t="shared" si="29"/>
        <v>0</v>
      </c>
      <c r="Q1508" s="232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2">
        <f t="shared" si="29"/>
        <v>0</v>
      </c>
      <c r="Q1509" s="232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2">
        <f t="shared" si="29"/>
        <v>0</v>
      </c>
      <c r="Q1510" s="232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2">
        <f t="shared" si="29"/>
        <v>0</v>
      </c>
      <c r="Q1511" s="232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2">
        <f t="shared" si="29"/>
        <v>0</v>
      </c>
      <c r="Q1512" s="232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2">
        <f t="shared" si="29"/>
        <v>0</v>
      </c>
      <c r="Q1513" s="232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2">
        <f t="shared" si="29"/>
        <v>0</v>
      </c>
      <c r="Q1514" s="232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2">
        <f t="shared" si="29"/>
        <v>0</v>
      </c>
      <c r="Q1515" s="232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2">
        <f t="shared" si="29"/>
        <v>0</v>
      </c>
      <c r="Q1516" s="232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2">
        <f t="shared" si="29"/>
        <v>0</v>
      </c>
      <c r="Q1517" s="232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2">
        <f t="shared" si="29"/>
        <v>0</v>
      </c>
      <c r="Q1518" s="232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2">
        <f t="shared" si="29"/>
        <v>0</v>
      </c>
      <c r="Q1519" s="232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2">
        <f t="shared" si="29"/>
        <v>0</v>
      </c>
      <c r="Q1520" s="232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2">
        <f t="shared" si="29"/>
        <v>0</v>
      </c>
      <c r="Q1521" s="232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2">
        <f t="shared" si="29"/>
        <v>0</v>
      </c>
      <c r="Q1522" s="232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2">
        <f t="shared" si="29"/>
        <v>0</v>
      </c>
      <c r="Q1523" s="232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2">
        <f t="shared" si="29"/>
        <v>0</v>
      </c>
      <c r="Q1524" s="232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2">
        <f t="shared" si="29"/>
        <v>0</v>
      </c>
      <c r="Q1525" s="232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2">
        <f t="shared" si="29"/>
        <v>0</v>
      </c>
      <c r="Q1526" s="232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2">
        <f t="shared" si="29"/>
        <v>0</v>
      </c>
      <c r="Q1527" s="232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2">
        <f t="shared" si="29"/>
        <v>0</v>
      </c>
      <c r="Q1528" s="232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2">
        <f t="shared" si="29"/>
        <v>0</v>
      </c>
      <c r="Q1529" s="232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2">
        <f t="shared" si="29"/>
        <v>0</v>
      </c>
      <c r="Q1530" s="232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2">
        <f t="shared" si="29"/>
        <v>0</v>
      </c>
      <c r="Q1531" s="232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2">
        <f t="shared" si="29"/>
        <v>0</v>
      </c>
      <c r="Q1532" s="232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2">
        <f t="shared" si="29"/>
        <v>0</v>
      </c>
      <c r="Q1533" s="232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2">
        <f t="shared" si="29"/>
        <v>0</v>
      </c>
      <c r="Q1534" s="232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2">
        <f t="shared" si="29"/>
        <v>0</v>
      </c>
      <c r="Q1535" s="232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2">
        <f t="shared" si="29"/>
        <v>0</v>
      </c>
      <c r="Q1536" s="232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2">
        <f t="shared" si="29"/>
        <v>0</v>
      </c>
      <c r="Q1537" s="232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2">
        <f t="shared" si="29"/>
        <v>0</v>
      </c>
      <c r="Q1538" s="232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2">
        <f t="shared" si="29"/>
        <v>0</v>
      </c>
      <c r="Q1539" s="232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2">
        <f t="shared" si="29"/>
        <v>0</v>
      </c>
      <c r="Q1540" s="232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2">
        <f t="shared" si="29"/>
        <v>0</v>
      </c>
      <c r="Q1541" s="232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2">
        <f t="shared" si="29"/>
        <v>0</v>
      </c>
      <c r="Q1542" s="232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2">
        <f t="shared" si="29"/>
        <v>0</v>
      </c>
      <c r="Q1543" s="232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2">
        <f t="shared" si="29"/>
        <v>0</v>
      </c>
      <c r="Q1544" s="232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2">
        <f t="shared" si="29"/>
        <v>0</v>
      </c>
      <c r="Q1545" s="232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2">
        <f t="shared" si="29"/>
        <v>0</v>
      </c>
      <c r="Q1546" s="232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2">
        <f t="shared" si="29"/>
        <v>0</v>
      </c>
      <c r="Q1547" s="232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2">
        <f t="shared" si="29"/>
        <v>0</v>
      </c>
      <c r="Q1548" s="232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2">
        <f t="shared" si="29"/>
        <v>0</v>
      </c>
      <c r="Q1549" s="232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2">
        <f t="shared" si="29"/>
        <v>0</v>
      </c>
      <c r="Q1550" s="232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2">
        <f t="shared" si="29"/>
        <v>0</v>
      </c>
      <c r="Q1551" s="232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2">
        <f t="shared" si="29"/>
        <v>0</v>
      </c>
      <c r="Q1552" s="232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2">
        <f t="shared" si="29"/>
        <v>0</v>
      </c>
      <c r="Q1553" s="232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2">
        <f t="shared" si="29"/>
        <v>0</v>
      </c>
      <c r="Q1554" s="232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2">
        <f t="shared" si="29"/>
        <v>0</v>
      </c>
      <c r="Q1555" s="232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2">
        <f t="shared" si="29"/>
        <v>0</v>
      </c>
      <c r="Q1556" s="232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2">
        <f t="shared" si="29"/>
        <v>0</v>
      </c>
      <c r="Q1557" s="232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2">
        <f t="shared" si="29"/>
        <v>0</v>
      </c>
      <c r="Q1558" s="232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2">
        <f t="shared" si="29"/>
        <v>0</v>
      </c>
      <c r="Q1559" s="232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2">
        <f t="shared" si="29"/>
        <v>0</v>
      </c>
      <c r="Q1560" s="232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2">
        <f t="shared" si="29"/>
        <v>0</v>
      </c>
      <c r="Q1561" s="232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2">
        <f t="shared" si="29"/>
        <v>0</v>
      </c>
      <c r="Q1562" s="232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2">
        <f t="shared" si="29"/>
        <v>0</v>
      </c>
      <c r="Q1563" s="232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2">
        <f t="shared" ref="P1564:P1627" si="30">IF(ISNUMBER(Q1564),Q1564,0)</f>
        <v>0</v>
      </c>
      <c r="Q1564" s="232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2">
        <f t="shared" si="30"/>
        <v>0</v>
      </c>
      <c r="Q1565" s="232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2">
        <f t="shared" si="30"/>
        <v>0</v>
      </c>
      <c r="Q1566" s="232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2">
        <f t="shared" si="30"/>
        <v>0</v>
      </c>
      <c r="Q1567" s="232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2">
        <f t="shared" si="30"/>
        <v>0</v>
      </c>
      <c r="Q1568" s="232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2">
        <f t="shared" si="30"/>
        <v>0</v>
      </c>
      <c r="Q1569" s="232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2">
        <f t="shared" si="30"/>
        <v>0</v>
      </c>
      <c r="Q1570" s="232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2">
        <f t="shared" si="30"/>
        <v>0</v>
      </c>
      <c r="Q1571" s="232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2">
        <f t="shared" si="30"/>
        <v>0</v>
      </c>
      <c r="Q1572" s="232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2">
        <f t="shared" si="30"/>
        <v>0</v>
      </c>
      <c r="Q1573" s="232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2">
        <f t="shared" si="30"/>
        <v>0</v>
      </c>
      <c r="Q1574" s="232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2">
        <f t="shared" si="30"/>
        <v>0</v>
      </c>
      <c r="Q1575" s="232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2">
        <f t="shared" si="30"/>
        <v>0</v>
      </c>
      <c r="Q1576" s="232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2">
        <f t="shared" si="30"/>
        <v>0</v>
      </c>
      <c r="Q1577" s="232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2">
        <f t="shared" si="30"/>
        <v>0</v>
      </c>
      <c r="Q1578" s="232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2">
        <f t="shared" si="30"/>
        <v>0</v>
      </c>
      <c r="Q1579" s="232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2">
        <f t="shared" si="30"/>
        <v>0</v>
      </c>
      <c r="Q1580" s="232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2">
        <f t="shared" si="30"/>
        <v>0</v>
      </c>
      <c r="Q1581" s="232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2">
        <f t="shared" si="30"/>
        <v>0</v>
      </c>
      <c r="Q1582" s="232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2">
        <f t="shared" si="30"/>
        <v>0</v>
      </c>
      <c r="Q1583" s="232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2">
        <f t="shared" si="30"/>
        <v>0</v>
      </c>
      <c r="Q1584" s="232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2">
        <f t="shared" si="30"/>
        <v>0</v>
      </c>
      <c r="Q1585" s="232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2">
        <f t="shared" si="30"/>
        <v>0</v>
      </c>
      <c r="Q1586" s="232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2">
        <f t="shared" si="30"/>
        <v>0</v>
      </c>
      <c r="Q1587" s="232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2">
        <f t="shared" si="30"/>
        <v>0</v>
      </c>
      <c r="Q1588" s="232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2">
        <f t="shared" si="30"/>
        <v>0</v>
      </c>
      <c r="Q1589" s="232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2">
        <f t="shared" si="30"/>
        <v>0</v>
      </c>
      <c r="Q1590" s="232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2">
        <f t="shared" si="30"/>
        <v>0</v>
      </c>
      <c r="Q1591" s="232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2">
        <f t="shared" si="30"/>
        <v>0</v>
      </c>
      <c r="Q1592" s="232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2">
        <f t="shared" si="30"/>
        <v>0</v>
      </c>
      <c r="Q1593" s="232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2">
        <f t="shared" si="30"/>
        <v>0</v>
      </c>
      <c r="Q1594" s="232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2">
        <f t="shared" si="30"/>
        <v>0</v>
      </c>
      <c r="Q1595" s="232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2">
        <f t="shared" si="30"/>
        <v>0</v>
      </c>
      <c r="Q1596" s="232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2">
        <f t="shared" si="30"/>
        <v>0</v>
      </c>
      <c r="Q1597" s="232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2">
        <f t="shared" si="30"/>
        <v>0</v>
      </c>
      <c r="Q1598" s="232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2">
        <f t="shared" si="30"/>
        <v>0</v>
      </c>
      <c r="Q1599" s="232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2">
        <f t="shared" si="30"/>
        <v>0</v>
      </c>
      <c r="Q1600" s="232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2">
        <f t="shared" si="30"/>
        <v>0</v>
      </c>
      <c r="Q1601" s="232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2">
        <f t="shared" si="30"/>
        <v>0</v>
      </c>
      <c r="Q1602" s="232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2">
        <f t="shared" si="30"/>
        <v>0</v>
      </c>
      <c r="Q1603" s="232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2">
        <f t="shared" si="30"/>
        <v>0</v>
      </c>
      <c r="Q1604" s="232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2">
        <f t="shared" si="30"/>
        <v>0</v>
      </c>
      <c r="Q1605" s="232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2">
        <f t="shared" si="30"/>
        <v>0</v>
      </c>
      <c r="Q1606" s="232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2">
        <f t="shared" si="30"/>
        <v>0</v>
      </c>
      <c r="Q1607" s="232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2">
        <f t="shared" si="30"/>
        <v>0</v>
      </c>
      <c r="Q1608" s="232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2">
        <f t="shared" si="30"/>
        <v>0</v>
      </c>
      <c r="Q1609" s="232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2">
        <f t="shared" si="30"/>
        <v>0</v>
      </c>
      <c r="Q1610" s="232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2">
        <f t="shared" si="30"/>
        <v>0</v>
      </c>
      <c r="Q1611" s="232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2">
        <f t="shared" si="30"/>
        <v>0</v>
      </c>
      <c r="Q1612" s="232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2">
        <f t="shared" si="30"/>
        <v>0</v>
      </c>
      <c r="Q1613" s="232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2">
        <f t="shared" si="30"/>
        <v>0</v>
      </c>
      <c r="Q1614" s="232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2">
        <f t="shared" si="30"/>
        <v>0</v>
      </c>
      <c r="Q1615" s="232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2">
        <f t="shared" si="30"/>
        <v>0</v>
      </c>
      <c r="Q1616" s="232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2">
        <f t="shared" si="30"/>
        <v>0</v>
      </c>
      <c r="Q1617" s="232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2">
        <f t="shared" si="30"/>
        <v>0</v>
      </c>
      <c r="Q1618" s="232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2">
        <f t="shared" si="30"/>
        <v>0</v>
      </c>
      <c r="Q1619" s="232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2">
        <f t="shared" si="30"/>
        <v>0</v>
      </c>
      <c r="Q1620" s="232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2">
        <f t="shared" si="30"/>
        <v>0</v>
      </c>
      <c r="Q1621" s="232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2">
        <f t="shared" si="30"/>
        <v>0</v>
      </c>
      <c r="Q1622" s="232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2">
        <f t="shared" si="30"/>
        <v>0</v>
      </c>
      <c r="Q1623" s="232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2">
        <f t="shared" si="30"/>
        <v>0</v>
      </c>
      <c r="Q1624" s="232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2">
        <f t="shared" si="30"/>
        <v>0</v>
      </c>
      <c r="Q1625" s="232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2">
        <f t="shared" si="30"/>
        <v>0</v>
      </c>
      <c r="Q1626" s="232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2">
        <f t="shared" si="30"/>
        <v>0</v>
      </c>
      <c r="Q1627" s="232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2">
        <f t="shared" ref="P1628:P1682" si="31">IF(ISNUMBER(Q1628),Q1628,0)</f>
        <v>0</v>
      </c>
      <c r="Q1628" s="232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2">
        <f t="shared" si="31"/>
        <v>0</v>
      </c>
      <c r="Q1629" s="232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2">
        <f t="shared" si="31"/>
        <v>0</v>
      </c>
      <c r="Q1630" s="232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2">
        <f t="shared" si="31"/>
        <v>0</v>
      </c>
      <c r="Q1631" s="232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2">
        <f t="shared" si="31"/>
        <v>0</v>
      </c>
      <c r="Q1632" s="232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2">
        <f t="shared" si="31"/>
        <v>0</v>
      </c>
      <c r="Q1633" s="232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2">
        <f t="shared" si="31"/>
        <v>0</v>
      </c>
      <c r="Q1634" s="232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2">
        <f t="shared" si="31"/>
        <v>0</v>
      </c>
      <c r="Q1635" s="232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2">
        <f t="shared" si="31"/>
        <v>0</v>
      </c>
      <c r="Q1636" s="232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2">
        <f t="shared" si="31"/>
        <v>0</v>
      </c>
      <c r="Q1637" s="232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2">
        <f t="shared" si="31"/>
        <v>0</v>
      </c>
      <c r="Q1638" s="232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2">
        <f t="shared" si="31"/>
        <v>0</v>
      </c>
      <c r="Q1639" s="232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2">
        <f t="shared" si="31"/>
        <v>0</v>
      </c>
      <c r="Q1640" s="232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2">
        <f t="shared" si="31"/>
        <v>0</v>
      </c>
      <c r="Q1641" s="232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2">
        <f t="shared" si="31"/>
        <v>0</v>
      </c>
      <c r="Q1642" s="232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2">
        <f t="shared" si="31"/>
        <v>0</v>
      </c>
      <c r="Q1643" s="232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2">
        <f t="shared" si="31"/>
        <v>0</v>
      </c>
      <c r="Q1644" s="232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2">
        <f t="shared" si="31"/>
        <v>0</v>
      </c>
      <c r="Q1645" s="232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2">
        <f t="shared" si="31"/>
        <v>0</v>
      </c>
      <c r="Q1646" s="232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2">
        <f t="shared" si="31"/>
        <v>0</v>
      </c>
      <c r="Q1647" s="232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2">
        <f t="shared" si="31"/>
        <v>0</v>
      </c>
      <c r="Q1648" s="232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2">
        <f t="shared" si="31"/>
        <v>0</v>
      </c>
      <c r="Q1649" s="232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2">
        <f t="shared" si="31"/>
        <v>0</v>
      </c>
      <c r="Q1650" s="232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2">
        <f t="shared" si="31"/>
        <v>0</v>
      </c>
      <c r="Q1651" s="232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2">
        <f t="shared" si="31"/>
        <v>0</v>
      </c>
      <c r="Q1652" s="232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2">
        <f t="shared" si="31"/>
        <v>0</v>
      </c>
      <c r="Q1653" s="232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2">
        <f t="shared" si="31"/>
        <v>0</v>
      </c>
      <c r="Q1654" s="232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2">
        <f t="shared" si="31"/>
        <v>0</v>
      </c>
      <c r="Q1655" s="232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2">
        <f t="shared" si="31"/>
        <v>0</v>
      </c>
      <c r="Q1656" s="232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2">
        <f t="shared" si="31"/>
        <v>0</v>
      </c>
      <c r="Q1657" s="232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2">
        <f t="shared" si="31"/>
        <v>0</v>
      </c>
      <c r="Q1658" s="232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2">
        <f t="shared" si="31"/>
        <v>0</v>
      </c>
      <c r="Q1659" s="232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2">
        <f t="shared" si="31"/>
        <v>0</v>
      </c>
      <c r="Q1660" s="232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2">
        <f t="shared" si="31"/>
        <v>0</v>
      </c>
      <c r="Q1661" s="232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2">
        <f t="shared" si="31"/>
        <v>0</v>
      </c>
      <c r="Q1662" s="232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2">
        <f t="shared" si="31"/>
        <v>0</v>
      </c>
      <c r="Q1663" s="232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2">
        <f t="shared" si="31"/>
        <v>0</v>
      </c>
      <c r="Q1664" s="232"/>
    </row>
    <row r="1665" spans="1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2">
        <f t="shared" si="31"/>
        <v>0</v>
      </c>
      <c r="Q1665" s="232"/>
    </row>
    <row r="1666" spans="1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2">
        <f t="shared" si="31"/>
        <v>0</v>
      </c>
      <c r="Q1666" s="232"/>
    </row>
    <row r="1667" spans="1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2">
        <f t="shared" si="31"/>
        <v>0</v>
      </c>
      <c r="Q1667" s="232"/>
    </row>
    <row r="1668" spans="1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2">
        <f t="shared" si="31"/>
        <v>0</v>
      </c>
      <c r="Q1668" s="232"/>
    </row>
    <row r="1669" spans="1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2">
        <f t="shared" si="31"/>
        <v>0</v>
      </c>
      <c r="Q1669" s="232"/>
    </row>
    <row r="1670" spans="1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2">
        <f t="shared" si="31"/>
        <v>0</v>
      </c>
      <c r="Q1670" s="232"/>
    </row>
    <row r="1671" spans="1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2">
        <f t="shared" si="31"/>
        <v>0</v>
      </c>
      <c r="Q1671" s="232"/>
    </row>
    <row r="1672" spans="1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2">
        <f t="shared" si="31"/>
        <v>0</v>
      </c>
      <c r="Q1672" s="232"/>
    </row>
    <row r="1673" spans="1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2">
        <f t="shared" si="31"/>
        <v>0</v>
      </c>
      <c r="Q1673" s="232"/>
    </row>
    <row r="1674" spans="1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2">
        <f t="shared" si="31"/>
        <v>0</v>
      </c>
      <c r="Q1674" s="232"/>
    </row>
    <row r="1675" spans="1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2">
        <f t="shared" si="31"/>
        <v>0</v>
      </c>
      <c r="Q1675" s="232"/>
    </row>
    <row r="1676" spans="1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2">
        <f t="shared" si="31"/>
        <v>0</v>
      </c>
      <c r="Q1676" s="246"/>
    </row>
    <row r="1677" spans="1:17">
      <c r="A1677" s="9" t="s">
        <v>696</v>
      </c>
      <c r="B1677" t="s">
        <v>717</v>
      </c>
      <c r="C1677" s="9" t="s">
        <v>1509</v>
      </c>
      <c r="D1677">
        <v>1</v>
      </c>
      <c r="E1677">
        <v>1</v>
      </c>
      <c r="F1677">
        <v>35</v>
      </c>
      <c r="G1677">
        <v>999</v>
      </c>
      <c r="H1677">
        <v>999</v>
      </c>
      <c r="I1677">
        <v>1</v>
      </c>
      <c r="J1677">
        <v>1</v>
      </c>
      <c r="K1677">
        <v>9</v>
      </c>
      <c r="L1677">
        <v>99</v>
      </c>
      <c r="M1677">
        <v>1</v>
      </c>
      <c r="N1677">
        <v>3</v>
      </c>
      <c r="O1677" s="14">
        <v>99999</v>
      </c>
      <c r="P1677" s="232">
        <f t="shared" si="31"/>
        <v>0</v>
      </c>
      <c r="Q1677" s="232">
        <f>'Rede Básica + Ajuste'!D9</f>
        <v>0</v>
      </c>
    </row>
    <row r="1678" spans="1:17">
      <c r="A1678" s="9" t="s">
        <v>696</v>
      </c>
      <c r="B1678" t="s">
        <v>717</v>
      </c>
      <c r="C1678" s="9" t="s">
        <v>1510</v>
      </c>
      <c r="D1678">
        <v>1</v>
      </c>
      <c r="E1678">
        <v>1</v>
      </c>
      <c r="F1678">
        <v>35</v>
      </c>
      <c r="G1678">
        <v>999</v>
      </c>
      <c r="H1678">
        <v>999</v>
      </c>
      <c r="I1678">
        <v>1</v>
      </c>
      <c r="J1678">
        <v>1</v>
      </c>
      <c r="K1678">
        <v>9</v>
      </c>
      <c r="L1678">
        <v>99</v>
      </c>
      <c r="M1678">
        <v>3</v>
      </c>
      <c r="N1678">
        <v>3</v>
      </c>
      <c r="O1678" s="14">
        <v>99999</v>
      </c>
      <c r="P1678" s="232">
        <f t="shared" si="31"/>
        <v>0</v>
      </c>
      <c r="Q1678" s="232">
        <f>'Rede Básica + Ajuste'!D10</f>
        <v>0</v>
      </c>
    </row>
    <row r="1679" spans="1:17">
      <c r="A1679" s="9" t="s">
        <v>696</v>
      </c>
      <c r="B1679" t="s">
        <v>717</v>
      </c>
      <c r="C1679" s="9" t="s">
        <v>1511</v>
      </c>
      <c r="D1679">
        <v>1</v>
      </c>
      <c r="E1679">
        <v>1</v>
      </c>
      <c r="F1679">
        <v>35</v>
      </c>
      <c r="G1679">
        <v>999</v>
      </c>
      <c r="H1679">
        <v>999</v>
      </c>
      <c r="I1679">
        <v>1</v>
      </c>
      <c r="J1679">
        <v>2</v>
      </c>
      <c r="K1679">
        <v>9</v>
      </c>
      <c r="L1679">
        <v>99</v>
      </c>
      <c r="M1679">
        <v>1</v>
      </c>
      <c r="N1679">
        <v>3</v>
      </c>
      <c r="O1679" s="14">
        <v>99999</v>
      </c>
      <c r="P1679" s="232">
        <f t="shared" si="31"/>
        <v>0</v>
      </c>
      <c r="Q1679" s="232">
        <f>'Rede Básica + Ajuste'!E9</f>
        <v>0</v>
      </c>
    </row>
    <row r="1680" spans="1:17">
      <c r="A1680" s="9" t="s">
        <v>696</v>
      </c>
      <c r="B1680" t="s">
        <v>717</v>
      </c>
      <c r="C1680" s="9" t="s">
        <v>1512</v>
      </c>
      <c r="D1680">
        <v>1</v>
      </c>
      <c r="E1680">
        <v>1</v>
      </c>
      <c r="F1680">
        <v>35</v>
      </c>
      <c r="G1680">
        <v>999</v>
      </c>
      <c r="H1680">
        <v>999</v>
      </c>
      <c r="I1680">
        <v>1</v>
      </c>
      <c r="J1680">
        <v>2</v>
      </c>
      <c r="K1680">
        <v>9</v>
      </c>
      <c r="L1680">
        <v>99</v>
      </c>
      <c r="M1680">
        <v>3</v>
      </c>
      <c r="N1680">
        <v>3</v>
      </c>
      <c r="O1680" s="14">
        <v>99999</v>
      </c>
      <c r="P1680" s="232">
        <f t="shared" si="31"/>
        <v>0</v>
      </c>
      <c r="Q1680" s="232">
        <f>'Rede Básica + Ajuste'!E10</f>
        <v>0</v>
      </c>
    </row>
    <row r="1681" spans="1:17">
      <c r="A1681" s="9" t="s">
        <v>696</v>
      </c>
      <c r="B1681" t="s">
        <v>717</v>
      </c>
      <c r="C1681" s="9" t="s">
        <v>1513</v>
      </c>
      <c r="D1681">
        <v>1</v>
      </c>
      <c r="E1681">
        <v>1</v>
      </c>
      <c r="F1681">
        <v>35</v>
      </c>
      <c r="G1681">
        <v>999</v>
      </c>
      <c r="H1681">
        <v>999</v>
      </c>
      <c r="I1681">
        <v>1</v>
      </c>
      <c r="J1681">
        <v>1</v>
      </c>
      <c r="K1681">
        <v>9</v>
      </c>
      <c r="L1681">
        <v>99</v>
      </c>
      <c r="M1681">
        <v>1</v>
      </c>
      <c r="N1681">
        <v>1</v>
      </c>
      <c r="O1681" s="14">
        <v>99999</v>
      </c>
      <c r="P1681" s="232">
        <f t="shared" si="31"/>
        <v>0</v>
      </c>
      <c r="Q1681" s="232">
        <f>'Rede Básica + Ajuste'!C9</f>
        <v>0</v>
      </c>
    </row>
    <row r="1682" spans="1:17">
      <c r="A1682" s="9" t="s">
        <v>696</v>
      </c>
      <c r="B1682" t="s">
        <v>717</v>
      </c>
      <c r="C1682" s="9" t="s">
        <v>1514</v>
      </c>
      <c r="D1682">
        <v>1</v>
      </c>
      <c r="E1682">
        <v>1</v>
      </c>
      <c r="F1682">
        <v>35</v>
      </c>
      <c r="G1682">
        <v>999</v>
      </c>
      <c r="H1682">
        <v>999</v>
      </c>
      <c r="I1682">
        <v>1</v>
      </c>
      <c r="J1682">
        <v>1</v>
      </c>
      <c r="K1682">
        <v>9</v>
      </c>
      <c r="L1682">
        <v>99</v>
      </c>
      <c r="M1682">
        <v>3</v>
      </c>
      <c r="N1682">
        <v>1</v>
      </c>
      <c r="O1682" s="14">
        <v>99999</v>
      </c>
      <c r="P1682" s="232">
        <f t="shared" si="31"/>
        <v>0</v>
      </c>
      <c r="Q1682" s="232">
        <f>'Rede Básica + Ajuste'!C10</f>
        <v>0</v>
      </c>
    </row>
    <row r="1683" spans="1:17" ht="15.75">
      <c r="D1683"/>
      <c r="E1683"/>
      <c r="F1683"/>
      <c r="G1683"/>
      <c r="H1683"/>
      <c r="I1683"/>
      <c r="J1683"/>
      <c r="K1683"/>
      <c r="L1683"/>
      <c r="M1683"/>
      <c r="N1683"/>
      <c r="O1683"/>
    </row>
    <row r="1684" spans="1:17" ht="15.75">
      <c r="D1684"/>
      <c r="E1684"/>
      <c r="F1684"/>
      <c r="G1684"/>
      <c r="H1684"/>
      <c r="I1684"/>
      <c r="J1684"/>
      <c r="K1684"/>
      <c r="L1684"/>
      <c r="M1684"/>
      <c r="N1684"/>
      <c r="O1684"/>
    </row>
    <row r="1685" spans="1:17" ht="15.75">
      <c r="D1685"/>
      <c r="E1685"/>
      <c r="F1685"/>
      <c r="G1685"/>
      <c r="H1685"/>
      <c r="I1685"/>
      <c r="J1685"/>
      <c r="K1685"/>
      <c r="L1685"/>
      <c r="M1685"/>
      <c r="N1685"/>
      <c r="O1685"/>
    </row>
    <row r="1686" spans="1:17" ht="15.75">
      <c r="D1686"/>
      <c r="E1686"/>
      <c r="F1686"/>
      <c r="G1686"/>
      <c r="H1686"/>
      <c r="I1686"/>
      <c r="J1686"/>
      <c r="K1686"/>
      <c r="L1686"/>
      <c r="M1686"/>
      <c r="N1686"/>
      <c r="O1686"/>
    </row>
    <row r="1687" spans="1:17" ht="15.75">
      <c r="D1687"/>
      <c r="E1687"/>
      <c r="F1687"/>
      <c r="G1687"/>
      <c r="H1687"/>
      <c r="I1687"/>
      <c r="J1687"/>
      <c r="K1687"/>
      <c r="L1687"/>
      <c r="M1687"/>
      <c r="N1687"/>
      <c r="O1687"/>
    </row>
    <row r="1688" spans="1:17" ht="15.75">
      <c r="D1688"/>
      <c r="E1688"/>
      <c r="F1688"/>
      <c r="G1688"/>
      <c r="H1688"/>
      <c r="I1688"/>
      <c r="J1688"/>
      <c r="K1688"/>
      <c r="L1688"/>
      <c r="M1688"/>
      <c r="N1688"/>
      <c r="O1688"/>
    </row>
    <row r="1689" spans="1:17" ht="15.75">
      <c r="D1689"/>
      <c r="E1689"/>
      <c r="F1689"/>
      <c r="G1689"/>
      <c r="H1689"/>
      <c r="I1689"/>
      <c r="J1689"/>
      <c r="K1689"/>
      <c r="L1689"/>
      <c r="M1689"/>
      <c r="N1689"/>
      <c r="O1689"/>
    </row>
    <row r="1690" spans="1:17" ht="15.75">
      <c r="D1690"/>
      <c r="E1690"/>
      <c r="F1690"/>
      <c r="G1690"/>
      <c r="H1690"/>
      <c r="I1690"/>
      <c r="J1690"/>
      <c r="K1690"/>
      <c r="L1690"/>
      <c r="M1690"/>
      <c r="N1690"/>
      <c r="O1690"/>
    </row>
    <row r="1691" spans="1:17" ht="15.75">
      <c r="D1691"/>
      <c r="E1691"/>
      <c r="F1691"/>
      <c r="G1691"/>
      <c r="H1691"/>
      <c r="I1691"/>
      <c r="J1691"/>
      <c r="K1691"/>
      <c r="L1691"/>
      <c r="M1691"/>
      <c r="N1691"/>
      <c r="O1691"/>
    </row>
    <row r="1692" spans="1:17" ht="15.75">
      <c r="D1692"/>
      <c r="E1692"/>
      <c r="F1692"/>
      <c r="G1692"/>
      <c r="H1692"/>
      <c r="I1692"/>
      <c r="J1692"/>
      <c r="K1692"/>
      <c r="L1692"/>
      <c r="M1692"/>
      <c r="N1692"/>
      <c r="O1692"/>
    </row>
    <row r="1693" spans="1:17" ht="15.75">
      <c r="D1693"/>
      <c r="E1693"/>
      <c r="F1693"/>
      <c r="G1693"/>
      <c r="H1693"/>
      <c r="I1693"/>
      <c r="J1693"/>
      <c r="K1693"/>
      <c r="L1693"/>
      <c r="M1693"/>
      <c r="N1693"/>
      <c r="O1693"/>
    </row>
    <row r="1694" spans="1:17" ht="15.75">
      <c r="D1694"/>
      <c r="E1694"/>
      <c r="F1694"/>
      <c r="G1694"/>
      <c r="H1694"/>
      <c r="I1694"/>
      <c r="J1694"/>
      <c r="K1694"/>
      <c r="L1694"/>
      <c r="M1694"/>
      <c r="N1694"/>
      <c r="O1694"/>
    </row>
    <row r="1695" spans="1:17" ht="15.75">
      <c r="D1695"/>
      <c r="E1695"/>
      <c r="F1695"/>
      <c r="G1695"/>
      <c r="H1695"/>
      <c r="I1695"/>
      <c r="J1695"/>
      <c r="K1695"/>
      <c r="L1695"/>
      <c r="M1695"/>
      <c r="N1695"/>
      <c r="O1695"/>
    </row>
    <row r="1696" spans="1:17" ht="15.75">
      <c r="D1696"/>
      <c r="E1696"/>
      <c r="F1696"/>
      <c r="G1696"/>
      <c r="H1696"/>
      <c r="I1696"/>
      <c r="J1696"/>
      <c r="K1696"/>
      <c r="L1696"/>
      <c r="M1696"/>
      <c r="N1696"/>
      <c r="O1696"/>
    </row>
    <row r="1697" customFormat="1" ht="15.75"/>
    <row r="1698" customFormat="1" ht="15.75"/>
    <row r="1699" customFormat="1" ht="15.75"/>
    <row r="1700" customFormat="1" ht="15.75"/>
    <row r="1701" customFormat="1" ht="15.75"/>
    <row r="1702" customFormat="1" ht="15.75"/>
    <row r="1703" customFormat="1" ht="15.75"/>
    <row r="1704" customFormat="1" ht="15.75"/>
    <row r="1705" customFormat="1" ht="15.75"/>
    <row r="1706" customFormat="1" ht="15.75"/>
    <row r="1707" customFormat="1" ht="15.75"/>
    <row r="1708" customFormat="1" ht="15.75"/>
    <row r="1709" customFormat="1" ht="15.75"/>
    <row r="1710" customFormat="1" ht="15.75"/>
    <row r="1711" customFormat="1" ht="15.75"/>
    <row r="1712" customFormat="1" ht="15.75"/>
    <row r="1713" customFormat="1" ht="15.75"/>
    <row r="1714" customFormat="1" ht="15.75"/>
    <row r="1715" customFormat="1" ht="15.75"/>
    <row r="1716" customFormat="1" ht="15.75"/>
    <row r="1717" customFormat="1" ht="15.75"/>
    <row r="1718" customFormat="1" ht="15.75"/>
    <row r="1719" customFormat="1" ht="15.75"/>
    <row r="1720" customFormat="1" ht="15.75"/>
    <row r="1721" customFormat="1" ht="15.75"/>
    <row r="1722" customFormat="1" ht="15.75"/>
    <row r="1723" customFormat="1" ht="15.75"/>
    <row r="1724" customFormat="1" ht="15.75"/>
    <row r="1725" customFormat="1" ht="15.75"/>
    <row r="1726" customFormat="1" ht="15.75"/>
    <row r="1727" customFormat="1" ht="15.75"/>
    <row r="1728" customFormat="1" ht="15.75"/>
    <row r="1729" customFormat="1" ht="15.75"/>
    <row r="1730" customFormat="1" ht="15.75"/>
    <row r="1731" customFormat="1" ht="15.75"/>
    <row r="1732" customFormat="1" ht="15.75"/>
    <row r="1733" customFormat="1" ht="15.75"/>
    <row r="1734" customFormat="1" ht="15.75"/>
    <row r="1735" customFormat="1" ht="15.75"/>
    <row r="1736" customFormat="1" ht="15.75"/>
    <row r="1737" customFormat="1" ht="15.75"/>
    <row r="1738" customFormat="1" ht="15.75"/>
    <row r="1739" customFormat="1" ht="15.75"/>
    <row r="1740" customFormat="1" ht="15.75"/>
    <row r="1741" customFormat="1" ht="15.75"/>
    <row r="1742" customFormat="1" ht="15.75"/>
    <row r="1743" customFormat="1" ht="15.75"/>
    <row r="1744" customFormat="1" ht="15.75"/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493" bestFit="1" customWidth="1"/>
    <col min="2" max="2" width="12.5703125" style="493" bestFit="1" customWidth="1"/>
    <col min="3" max="3" width="10.140625" style="493" customWidth="1"/>
    <col min="4" max="4" width="50.42578125" style="493" bestFit="1" customWidth="1"/>
    <col min="5" max="5" width="41.140625" style="493" bestFit="1" customWidth="1"/>
    <col min="6" max="6" width="43.28515625" style="493" bestFit="1" customWidth="1"/>
    <col min="7" max="7" width="34.7109375" style="493" bestFit="1" customWidth="1"/>
    <col min="8" max="8" width="42.7109375" style="493" bestFit="1" customWidth="1"/>
    <col min="9" max="9" width="33.42578125" style="493" bestFit="1" customWidth="1"/>
    <col min="10" max="10" width="25.42578125" style="493" bestFit="1" customWidth="1"/>
    <col min="11" max="11" width="30.85546875" style="493" bestFit="1" customWidth="1"/>
    <col min="12" max="14" width="13" style="493" customWidth="1"/>
    <col min="15" max="15" width="12.5703125" style="493" bestFit="1" customWidth="1"/>
    <col min="16" max="16" width="12.5703125" style="493" customWidth="1"/>
    <col min="17" max="19" width="13" style="493" customWidth="1"/>
    <col min="20" max="20" width="41.140625" style="493" customWidth="1"/>
    <col min="21" max="22" width="13" style="493" customWidth="1"/>
    <col min="23" max="33" width="13" style="493" bestFit="1" customWidth="1"/>
    <col min="34" max="36" width="12.5703125" style="493" bestFit="1" customWidth="1"/>
    <col min="37" max="37" width="49.42578125" style="493" bestFit="1" customWidth="1"/>
    <col min="38" max="38" width="17.5703125" style="493" bestFit="1" customWidth="1"/>
    <col min="39" max="39" width="18" style="493" bestFit="1" customWidth="1"/>
    <col min="40" max="40" width="17.5703125" style="493" bestFit="1" customWidth="1"/>
    <col min="41" max="41" width="18" style="493" bestFit="1" customWidth="1"/>
    <col min="42" max="42" width="17" style="493" bestFit="1" customWidth="1"/>
    <col min="43" max="43" width="17.5703125" style="493" bestFit="1" customWidth="1"/>
    <col min="44" max="44" width="18" style="493" bestFit="1" customWidth="1"/>
    <col min="45" max="47" width="17.5703125" style="493" bestFit="1" customWidth="1"/>
    <col min="48" max="48" width="17" style="493" bestFit="1" customWidth="1"/>
    <col min="49" max="51" width="17.5703125" style="493" bestFit="1" customWidth="1"/>
    <col min="52" max="52" width="17" style="493" bestFit="1" customWidth="1"/>
    <col min="53" max="53" width="17.5703125" style="493" bestFit="1" customWidth="1"/>
    <col min="54" max="54" width="40.85546875" style="493" bestFit="1" customWidth="1"/>
    <col min="55" max="70" width="10.140625" style="493" bestFit="1" customWidth="1"/>
    <col min="71" max="71" width="42.7109375" style="493" bestFit="1" customWidth="1"/>
    <col min="72" max="72" width="16.5703125" style="493" bestFit="1" customWidth="1"/>
    <col min="73" max="75" width="17.5703125" style="493" bestFit="1" customWidth="1"/>
    <col min="76" max="76" width="17" style="493" bestFit="1" customWidth="1"/>
    <col min="77" max="77" width="17.5703125" style="493" bestFit="1" customWidth="1"/>
    <col min="78" max="79" width="17" style="493" bestFit="1" customWidth="1"/>
    <col min="80" max="80" width="17.5703125" style="493" bestFit="1" customWidth="1"/>
    <col min="81" max="82" width="17" style="493" bestFit="1" customWidth="1"/>
    <col min="83" max="84" width="17.5703125" style="493" bestFit="1" customWidth="1"/>
    <col min="85" max="86" width="18" style="493" bestFit="1" customWidth="1"/>
    <col min="87" max="87" width="17" style="493" bestFit="1" customWidth="1"/>
    <col min="88" max="88" width="33.42578125" style="493" bestFit="1" customWidth="1"/>
    <col min="89" max="104" width="10.140625" style="493" bestFit="1" customWidth="1"/>
    <col min="105" max="105" width="25.42578125" style="493" bestFit="1" customWidth="1"/>
    <col min="106" max="119" width="10.140625" style="493" bestFit="1" customWidth="1"/>
    <col min="120" max="120" width="11.140625" style="493" bestFit="1" customWidth="1"/>
    <col min="121" max="121" width="10.140625" style="493" bestFit="1" customWidth="1"/>
    <col min="122" max="122" width="30.85546875" style="493" bestFit="1" customWidth="1"/>
    <col min="123" max="123" width="13.42578125" style="493" bestFit="1" customWidth="1"/>
    <col min="124" max="125" width="14" style="493" bestFit="1" customWidth="1"/>
    <col min="126" max="126" width="13.42578125" style="493" bestFit="1" customWidth="1"/>
    <col min="127" max="127" width="14.42578125" style="493" bestFit="1" customWidth="1"/>
    <col min="128" max="130" width="14" style="493" bestFit="1" customWidth="1"/>
    <col min="131" max="131" width="14.42578125" style="493" bestFit="1" customWidth="1"/>
    <col min="132" max="132" width="14" style="493" bestFit="1" customWidth="1"/>
    <col min="133" max="133" width="14.42578125" style="493" bestFit="1" customWidth="1"/>
    <col min="134" max="134" width="14" style="493" bestFit="1" customWidth="1"/>
    <col min="135" max="135" width="13.42578125" style="493" bestFit="1" customWidth="1"/>
    <col min="136" max="138" width="14.42578125" style="493" bestFit="1" customWidth="1"/>
    <col min="139" max="16384" width="9.140625" style="493"/>
  </cols>
  <sheetData>
    <row r="1" spans="1:138">
      <c r="A1" s="1391" t="s">
        <v>1515</v>
      </c>
      <c r="B1" s="493">
        <f>YEAR(SAS_RA0_DataInicio)*100+MONTH(SAS_RA0_DataInicio)</f>
        <v>202109</v>
      </c>
      <c r="D1" s="1391" t="s">
        <v>1516</v>
      </c>
      <c r="E1" s="1391" t="s">
        <v>1517</v>
      </c>
      <c r="F1" s="1391" t="s">
        <v>1518</v>
      </c>
    </row>
    <row r="2" spans="1:138" ht="15.75">
      <c r="A2" s="1391" t="s">
        <v>1519</v>
      </c>
      <c r="B2" s="493">
        <f>YEAR(SAS_RA0_DataFim)*100+MONTH(SAS_RA0_DataFim)</f>
        <v>202208</v>
      </c>
      <c r="D2" s="1392" t="str">
        <f>UPPER(VLOOKUP(LnkTXTSigla,Informacoes[],9,FALSE))</f>
        <v>44834</v>
      </c>
      <c r="E2" s="493">
        <f>IF(_xlfn.MAXIFS(C:C,A:A,D2)&gt;B2,B2,_xlfn.MAXIFS(C:C,A:A,D2))</f>
        <v>0</v>
      </c>
      <c r="F2" s="495">
        <f>YEAR(SAS_RA0_DataFim)*100+MONTH(SAS_RA0_DataFim)-E2+1</f>
        <v>202209</v>
      </c>
    </row>
    <row r="3" spans="1:138" ht="15.75">
      <c r="A3" s="1393" t="s">
        <v>189</v>
      </c>
      <c r="B3" s="495">
        <f>YEAR(SAS_RA0_DataFim)*100+MONTH(SAS_RA0_DataFim)-MAX(C:C)+1</f>
        <v>202209</v>
      </c>
      <c r="D3" s="1392" t="str">
        <f>UPPER(VLOOKUP(LnkTXTSigla,Informacoes[],11,FALSE))</f>
        <v>ELEKTRO</v>
      </c>
      <c r="E3" s="493">
        <f>IF(_xlfn.MAXIFS(C:C,A:A,D3)&gt;B2,B2,_xlfn.MAXIFS(C:C,A:A,D3))</f>
        <v>0</v>
      </c>
      <c r="F3" s="495">
        <f>YEAR(SAS_RA0_DataFim)*100+MONTH(SAS_RA0_DataFim)-E3+1</f>
        <v>202209</v>
      </c>
    </row>
    <row r="4" spans="1:138" ht="15.75">
      <c r="A4" s="509" t="s">
        <v>1520</v>
      </c>
      <c r="B4" s="510" t="s">
        <v>1521</v>
      </c>
    </row>
    <row r="6" spans="1:138" ht="15.75">
      <c r="A6" s="764"/>
      <c r="B6" s="765"/>
      <c r="C6" s="765"/>
      <c r="D6" s="51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494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494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69" bestFit="1" customWidth="1"/>
    <col min="2" max="4" width="9.140625" style="469"/>
    <col min="5" max="5" width="35.7109375" style="469" customWidth="1"/>
    <col min="6" max="6" width="12.5703125" style="469" bestFit="1" customWidth="1"/>
    <col min="7" max="7" width="12.7109375" style="469" customWidth="1"/>
    <col min="8" max="8" width="10.5703125" style="469" bestFit="1" customWidth="1"/>
    <col min="9" max="9" width="10.85546875" style="469" bestFit="1" customWidth="1"/>
    <col min="10" max="10" width="10.140625" style="469" bestFit="1" customWidth="1"/>
    <col min="11" max="11" width="5" style="469" bestFit="1" customWidth="1"/>
    <col min="12" max="12" width="8.85546875" style="469" bestFit="1" customWidth="1"/>
    <col min="13" max="13" width="8.7109375" style="469" bestFit="1" customWidth="1"/>
    <col min="14" max="16384" width="9.140625" style="469"/>
  </cols>
  <sheetData>
    <row r="1" spans="1:2">
      <c r="A1" s="1394" t="s">
        <v>1522</v>
      </c>
      <c r="B1" s="1395">
        <v>0</v>
      </c>
    </row>
    <row r="2" spans="1:2">
      <c r="A2" s="1394" t="s">
        <v>1523</v>
      </c>
      <c r="B2" s="1395">
        <v>0</v>
      </c>
    </row>
    <row r="3" spans="1:2">
      <c r="A3" s="1394" t="s">
        <v>1524</v>
      </c>
      <c r="B3" s="1395">
        <v>0</v>
      </c>
    </row>
    <row r="4" spans="1:2">
      <c r="A4" s="1394" t="s">
        <v>1525</v>
      </c>
      <c r="B4" s="1395">
        <v>0</v>
      </c>
    </row>
    <row r="5" spans="1:2">
      <c r="A5" s="1394" t="s">
        <v>1526</v>
      </c>
      <c r="B5" s="1395">
        <v>0</v>
      </c>
    </row>
    <row r="6" spans="1:2">
      <c r="A6" s="1394" t="s">
        <v>1527</v>
      </c>
      <c r="B6" s="1395">
        <v>0</v>
      </c>
    </row>
    <row r="7" spans="1:2">
      <c r="A7" s="1394" t="s">
        <v>1528</v>
      </c>
      <c r="B7" s="1395">
        <v>0</v>
      </c>
    </row>
    <row r="8" spans="1:2">
      <c r="A8" s="1394" t="s">
        <v>1529</v>
      </c>
      <c r="B8" s="1395">
        <v>0</v>
      </c>
    </row>
    <row r="9" spans="1:2">
      <c r="A9" s="1394" t="s">
        <v>1530</v>
      </c>
      <c r="B9" s="1395">
        <v>0.45</v>
      </c>
    </row>
    <row r="10" spans="1:2">
      <c r="A10" s="1394" t="s">
        <v>1531</v>
      </c>
      <c r="B10" s="1395">
        <v>0.4</v>
      </c>
    </row>
    <row r="11" spans="1:2">
      <c r="A11" s="1394" t="s">
        <v>1532</v>
      </c>
      <c r="B11" s="1394">
        <v>0.65</v>
      </c>
    </row>
    <row r="12" spans="1:2">
      <c r="A12" s="1394" t="s">
        <v>1533</v>
      </c>
      <c r="B12" s="1394">
        <v>0.4</v>
      </c>
    </row>
    <row r="13" spans="1:2">
      <c r="A13" s="1394" t="s">
        <v>1534</v>
      </c>
      <c r="B13" s="1394">
        <v>0.1</v>
      </c>
    </row>
    <row r="14" spans="1:2">
      <c r="A14" s="1394" t="s">
        <v>1535</v>
      </c>
      <c r="B14" s="1394">
        <v>0</v>
      </c>
    </row>
    <row r="15" spans="1:2">
      <c r="A15" s="1394" t="s">
        <v>1536</v>
      </c>
      <c r="B15" s="1394">
        <v>0.3</v>
      </c>
    </row>
    <row r="16" spans="1:2">
      <c r="A16" s="1394" t="s">
        <v>1537</v>
      </c>
      <c r="B16" s="1394">
        <v>0.3</v>
      </c>
    </row>
    <row r="17" spans="1:13">
      <c r="A17" s="1394" t="s">
        <v>1538</v>
      </c>
      <c r="B17" s="1394">
        <v>0.4</v>
      </c>
    </row>
    <row r="20" spans="1:13" ht="15">
      <c r="D20" s="1396" t="s">
        <v>1377</v>
      </c>
      <c r="E20" s="1396" t="s">
        <v>960</v>
      </c>
      <c r="F20" s="1396" t="s">
        <v>1539</v>
      </c>
      <c r="G20" s="1396" t="s">
        <v>1540</v>
      </c>
      <c r="H20" s="1396" t="s">
        <v>1541</v>
      </c>
      <c r="I20" s="1396" t="s">
        <v>1542</v>
      </c>
      <c r="J20" s="1396" t="s">
        <v>1543</v>
      </c>
      <c r="K20" s="1396" t="s">
        <v>1544</v>
      </c>
      <c r="L20" s="1396" t="s">
        <v>1545</v>
      </c>
      <c r="M20" s="1396" t="s">
        <v>1044</v>
      </c>
    </row>
    <row r="21" spans="1:13" ht="30" hidden="1">
      <c r="D21" s="1397">
        <v>26</v>
      </c>
      <c r="E21" s="1398" t="s">
        <v>1546</v>
      </c>
      <c r="F21" s="1398" t="s">
        <v>113</v>
      </c>
      <c r="G21" s="1399">
        <v>41243</v>
      </c>
      <c r="H21" s="1400">
        <v>41243</v>
      </c>
      <c r="I21" s="1398" t="s">
        <v>963</v>
      </c>
      <c r="J21" s="1398" t="s">
        <v>114</v>
      </c>
      <c r="K21" s="1397">
        <v>1663</v>
      </c>
      <c r="L21" s="1398" t="s">
        <v>1547</v>
      </c>
      <c r="M21" s="1398" t="s">
        <v>1548</v>
      </c>
    </row>
    <row r="22" spans="1:13" ht="30" hidden="1">
      <c r="D22" s="1397">
        <v>28</v>
      </c>
      <c r="E22" s="1398" t="s">
        <v>1549</v>
      </c>
      <c r="F22" s="1398" t="s">
        <v>1550</v>
      </c>
      <c r="G22" s="1399">
        <v>41214</v>
      </c>
      <c r="H22" s="470"/>
      <c r="I22" s="1398" t="s">
        <v>963</v>
      </c>
      <c r="J22" s="1398" t="s">
        <v>114</v>
      </c>
      <c r="K22" s="1397">
        <v>1665</v>
      </c>
      <c r="L22" s="1398" t="s">
        <v>114</v>
      </c>
      <c r="M22" s="1398" t="s">
        <v>1548</v>
      </c>
    </row>
    <row r="23" spans="1:13" ht="30" hidden="1">
      <c r="D23" s="1397">
        <v>31</v>
      </c>
      <c r="E23" s="1398" t="s">
        <v>1551</v>
      </c>
      <c r="F23" s="1398" t="s">
        <v>115</v>
      </c>
      <c r="G23" s="1399">
        <v>41243</v>
      </c>
      <c r="H23" s="470"/>
      <c r="I23" s="1398" t="s">
        <v>963</v>
      </c>
      <c r="J23" s="1398" t="s">
        <v>114</v>
      </c>
      <c r="K23" s="1397">
        <v>1666</v>
      </c>
      <c r="L23" s="1398" t="s">
        <v>114</v>
      </c>
      <c r="M23" s="1398" t="s">
        <v>1548</v>
      </c>
    </row>
    <row r="24" spans="1:13" ht="30" hidden="1">
      <c r="D24" s="1397">
        <v>32</v>
      </c>
      <c r="E24" s="1398" t="s">
        <v>1552</v>
      </c>
      <c r="F24" s="1398" t="s">
        <v>116</v>
      </c>
      <c r="G24" s="1399">
        <v>41094</v>
      </c>
      <c r="H24" s="470"/>
      <c r="I24" s="1398" t="s">
        <v>963</v>
      </c>
      <c r="J24" s="1398" t="s">
        <v>114</v>
      </c>
      <c r="K24" s="1397">
        <v>1668</v>
      </c>
      <c r="L24" s="1398" t="s">
        <v>1553</v>
      </c>
      <c r="M24" s="1398" t="s">
        <v>1548</v>
      </c>
    </row>
    <row r="25" spans="1:13" ht="30" hidden="1">
      <c r="D25" s="1397">
        <v>37</v>
      </c>
      <c r="E25" s="1398" t="s">
        <v>1554</v>
      </c>
      <c r="F25" s="1398" t="s">
        <v>117</v>
      </c>
      <c r="G25" s="1399">
        <v>41149</v>
      </c>
      <c r="H25" s="470"/>
      <c r="I25" s="1398" t="s">
        <v>963</v>
      </c>
      <c r="J25" s="1398" t="s">
        <v>114</v>
      </c>
      <c r="K25" s="1397">
        <v>1669</v>
      </c>
      <c r="L25" s="1398" t="s">
        <v>1555</v>
      </c>
      <c r="M25" s="1398" t="s">
        <v>1548</v>
      </c>
    </row>
    <row r="26" spans="1:13" ht="30" hidden="1">
      <c r="D26" s="1397">
        <v>38</v>
      </c>
      <c r="E26" s="1398" t="s">
        <v>1556</v>
      </c>
      <c r="F26" s="1398" t="s">
        <v>118</v>
      </c>
      <c r="G26" s="1399">
        <v>41180</v>
      </c>
      <c r="H26" s="1400">
        <v>41149</v>
      </c>
      <c r="I26" s="1398" t="s">
        <v>963</v>
      </c>
      <c r="J26" s="1398" t="s">
        <v>114</v>
      </c>
      <c r="K26" s="1397">
        <v>1670</v>
      </c>
      <c r="L26" s="1398" t="s">
        <v>1557</v>
      </c>
      <c r="M26" s="1398" t="s">
        <v>1548</v>
      </c>
    </row>
    <row r="27" spans="1:13" ht="30" hidden="1">
      <c r="D27" s="1397">
        <v>39</v>
      </c>
      <c r="E27" s="1398" t="s">
        <v>1558</v>
      </c>
      <c r="F27" s="1398" t="s">
        <v>1559</v>
      </c>
      <c r="G27" s="1399">
        <v>41021</v>
      </c>
      <c r="H27" s="470"/>
      <c r="I27" s="1398" t="s">
        <v>963</v>
      </c>
      <c r="J27" s="1398" t="s">
        <v>114</v>
      </c>
      <c r="K27" s="1397">
        <v>1671</v>
      </c>
      <c r="L27" s="1398" t="s">
        <v>1560</v>
      </c>
      <c r="M27" s="1398" t="s">
        <v>1548</v>
      </c>
    </row>
    <row r="28" spans="1:13" ht="30" hidden="1">
      <c r="D28" s="1397">
        <v>40</v>
      </c>
      <c r="E28" s="1398" t="s">
        <v>1561</v>
      </c>
      <c r="F28" s="1398" t="s">
        <v>119</v>
      </c>
      <c r="G28" s="1399">
        <v>41021</v>
      </c>
      <c r="H28" s="470"/>
      <c r="I28" s="1398" t="s">
        <v>963</v>
      </c>
      <c r="J28" s="1398" t="s">
        <v>114</v>
      </c>
      <c r="K28" s="1397">
        <v>1672</v>
      </c>
      <c r="L28" s="1398" t="s">
        <v>1562</v>
      </c>
      <c r="M28" s="1398" t="s">
        <v>1548</v>
      </c>
    </row>
    <row r="29" spans="1:13" ht="30" hidden="1">
      <c r="D29" s="1397">
        <v>43</v>
      </c>
      <c r="E29" s="1398" t="s">
        <v>1563</v>
      </c>
      <c r="F29" s="1398" t="s">
        <v>120</v>
      </c>
      <c r="G29" s="1399">
        <v>41028</v>
      </c>
      <c r="H29" s="470"/>
      <c r="I29" s="1398" t="s">
        <v>963</v>
      </c>
      <c r="J29" s="1398" t="s">
        <v>114</v>
      </c>
      <c r="K29" s="1397">
        <v>1674</v>
      </c>
      <c r="L29" s="1398" t="s">
        <v>1564</v>
      </c>
      <c r="M29" s="1398" t="s">
        <v>1548</v>
      </c>
    </row>
    <row r="30" spans="1:13" ht="30" hidden="1">
      <c r="D30" s="1397">
        <v>44</v>
      </c>
      <c r="E30" s="1398" t="s">
        <v>1565</v>
      </c>
      <c r="F30" s="1398" t="s">
        <v>121</v>
      </c>
      <c r="G30" s="1399">
        <v>41180</v>
      </c>
      <c r="H30" s="470"/>
      <c r="I30" s="1398" t="s">
        <v>963</v>
      </c>
      <c r="J30" s="1398" t="s">
        <v>114</v>
      </c>
      <c r="K30" s="1397">
        <v>1675</v>
      </c>
      <c r="L30" s="1398" t="s">
        <v>1566</v>
      </c>
      <c r="M30" s="1398" t="s">
        <v>1548</v>
      </c>
    </row>
    <row r="31" spans="1:13" ht="30" hidden="1">
      <c r="D31" s="1397">
        <v>46</v>
      </c>
      <c r="E31" s="1398" t="s">
        <v>1567</v>
      </c>
      <c r="F31" s="1398" t="s">
        <v>122</v>
      </c>
      <c r="G31" s="1399">
        <v>41051</v>
      </c>
      <c r="H31" s="1400">
        <v>41257</v>
      </c>
      <c r="I31" s="1398" t="s">
        <v>963</v>
      </c>
      <c r="J31" s="1398" t="s">
        <v>1568</v>
      </c>
      <c r="K31" s="1397">
        <v>1676</v>
      </c>
      <c r="L31" s="1398" t="s">
        <v>1569</v>
      </c>
      <c r="M31" s="1398" t="s">
        <v>1548</v>
      </c>
    </row>
    <row r="32" spans="1:13" ht="30" hidden="1">
      <c r="D32" s="1397">
        <v>47</v>
      </c>
      <c r="E32" s="1398" t="s">
        <v>1570</v>
      </c>
      <c r="F32" s="1398" t="s">
        <v>123</v>
      </c>
      <c r="G32" s="1399">
        <v>41021</v>
      </c>
      <c r="H32" s="470"/>
      <c r="I32" s="1398" t="s">
        <v>963</v>
      </c>
      <c r="J32" s="1398" t="s">
        <v>114</v>
      </c>
      <c r="K32" s="1397">
        <v>1677</v>
      </c>
      <c r="L32" s="1398" t="s">
        <v>1571</v>
      </c>
      <c r="M32" s="1398" t="s">
        <v>1548</v>
      </c>
    </row>
    <row r="33" spans="4:13" ht="15" hidden="1">
      <c r="D33" s="1397">
        <v>51</v>
      </c>
      <c r="E33" s="1398" t="s">
        <v>1572</v>
      </c>
      <c r="F33" s="1398" t="s">
        <v>124</v>
      </c>
      <c r="G33" s="1399">
        <v>41235</v>
      </c>
      <c r="H33" s="1400">
        <v>41210</v>
      </c>
      <c r="I33" s="1398" t="s">
        <v>963</v>
      </c>
      <c r="J33" s="1398" t="s">
        <v>1568</v>
      </c>
      <c r="K33" s="1397">
        <v>1682</v>
      </c>
      <c r="L33" s="1398" t="s">
        <v>1573</v>
      </c>
      <c r="M33" s="1398" t="s">
        <v>1548</v>
      </c>
    </row>
    <row r="34" spans="4:13" ht="15" hidden="1">
      <c r="D34" s="1397">
        <v>56</v>
      </c>
      <c r="E34" s="1398" t="s">
        <v>1574</v>
      </c>
      <c r="F34" s="1398" t="s">
        <v>1575</v>
      </c>
      <c r="G34" s="470"/>
      <c r="H34" s="470"/>
      <c r="I34" s="1398" t="s">
        <v>963</v>
      </c>
      <c r="J34" s="1398" t="s">
        <v>114</v>
      </c>
      <c r="K34" s="1397">
        <v>1683</v>
      </c>
      <c r="L34" s="1398" t="s">
        <v>114</v>
      </c>
      <c r="M34" s="1398" t="s">
        <v>1548</v>
      </c>
    </row>
    <row r="35" spans="4:13" ht="30" hidden="1">
      <c r="D35" s="1397">
        <v>63</v>
      </c>
      <c r="E35" s="1398" t="s">
        <v>1576</v>
      </c>
      <c r="F35" s="1398" t="s">
        <v>125</v>
      </c>
      <c r="G35" s="1399">
        <v>41007</v>
      </c>
      <c r="H35" s="470"/>
      <c r="I35" s="1398" t="s">
        <v>963</v>
      </c>
      <c r="J35" s="1398" t="s">
        <v>114</v>
      </c>
      <c r="K35" s="1397">
        <v>1688</v>
      </c>
      <c r="L35" s="1398" t="s">
        <v>1577</v>
      </c>
      <c r="M35" s="1398" t="s">
        <v>1548</v>
      </c>
    </row>
    <row r="36" spans="4:13" ht="30" hidden="1">
      <c r="D36" s="1397">
        <v>69</v>
      </c>
      <c r="E36" s="1398" t="s">
        <v>1578</v>
      </c>
      <c r="F36" s="1398" t="s">
        <v>1579</v>
      </c>
      <c r="G36" s="1399">
        <v>40990</v>
      </c>
      <c r="H36" s="1400">
        <v>42038</v>
      </c>
      <c r="I36" s="1398" t="s">
        <v>963</v>
      </c>
      <c r="J36" s="1398" t="s">
        <v>114</v>
      </c>
      <c r="K36" s="1397">
        <v>1692</v>
      </c>
      <c r="L36" s="1398" t="s">
        <v>1580</v>
      </c>
      <c r="M36" s="1398" t="s">
        <v>1548</v>
      </c>
    </row>
    <row r="37" spans="4:13" ht="30" hidden="1">
      <c r="D37" s="1397">
        <v>70</v>
      </c>
      <c r="E37" s="1398" t="s">
        <v>1581</v>
      </c>
      <c r="F37" s="1398" t="s">
        <v>1582</v>
      </c>
      <c r="G37" s="1399">
        <v>40990</v>
      </c>
      <c r="H37" s="1400">
        <v>42038</v>
      </c>
      <c r="I37" s="1398" t="s">
        <v>963</v>
      </c>
      <c r="J37" s="1398" t="s">
        <v>114</v>
      </c>
      <c r="K37" s="1397">
        <v>1693</v>
      </c>
      <c r="L37" s="1398" t="s">
        <v>1583</v>
      </c>
      <c r="M37" s="1398" t="s">
        <v>1548</v>
      </c>
    </row>
    <row r="38" spans="4:13" ht="30" hidden="1">
      <c r="D38" s="1397">
        <v>71</v>
      </c>
      <c r="E38" s="1398" t="s">
        <v>1584</v>
      </c>
      <c r="F38" s="1398" t="s">
        <v>1585</v>
      </c>
      <c r="G38" s="1399">
        <v>40990</v>
      </c>
      <c r="H38" s="1400">
        <v>42038</v>
      </c>
      <c r="I38" s="1398" t="s">
        <v>963</v>
      </c>
      <c r="J38" s="1398" t="s">
        <v>114</v>
      </c>
      <c r="K38" s="1397">
        <v>1694</v>
      </c>
      <c r="L38" s="1398" t="s">
        <v>1586</v>
      </c>
      <c r="M38" s="1398" t="s">
        <v>1548</v>
      </c>
    </row>
    <row r="39" spans="4:13" ht="30" hidden="1">
      <c r="D39" s="1397">
        <v>72</v>
      </c>
      <c r="E39" s="1398" t="s">
        <v>1587</v>
      </c>
      <c r="F39" s="1398" t="s">
        <v>166</v>
      </c>
      <c r="G39" s="1399">
        <v>40990</v>
      </c>
      <c r="H39" s="1400">
        <v>42038</v>
      </c>
      <c r="I39" s="1398" t="s">
        <v>963</v>
      </c>
      <c r="J39" s="1398" t="s">
        <v>114</v>
      </c>
      <c r="K39" s="1397">
        <v>1695</v>
      </c>
      <c r="L39" s="1398" t="s">
        <v>1588</v>
      </c>
      <c r="M39" s="1398" t="s">
        <v>1548</v>
      </c>
    </row>
    <row r="40" spans="4:13" ht="30" hidden="1">
      <c r="D40" s="1397">
        <v>73</v>
      </c>
      <c r="E40" s="1398" t="s">
        <v>1589</v>
      </c>
      <c r="F40" s="1398" t="s">
        <v>1590</v>
      </c>
      <c r="G40" s="1399">
        <v>40990</v>
      </c>
      <c r="H40" s="1400">
        <v>42038</v>
      </c>
      <c r="I40" s="1398" t="s">
        <v>963</v>
      </c>
      <c r="J40" s="1398" t="s">
        <v>1568</v>
      </c>
      <c r="K40" s="1397">
        <v>1696</v>
      </c>
      <c r="L40" s="1398" t="s">
        <v>1591</v>
      </c>
      <c r="M40" s="1398" t="s">
        <v>1548</v>
      </c>
    </row>
    <row r="41" spans="4:13" ht="30" hidden="1">
      <c r="D41" s="1397">
        <v>75</v>
      </c>
      <c r="E41" s="1398" t="s">
        <v>1592</v>
      </c>
      <c r="F41" s="1398" t="s">
        <v>1593</v>
      </c>
      <c r="G41" s="1399">
        <v>41039</v>
      </c>
      <c r="H41" s="470"/>
      <c r="I41" s="1398" t="s">
        <v>963</v>
      </c>
      <c r="J41" s="1398" t="s">
        <v>114</v>
      </c>
      <c r="K41" s="1397">
        <v>1697</v>
      </c>
      <c r="L41" s="1398" t="s">
        <v>1594</v>
      </c>
      <c r="M41" s="1398" t="s">
        <v>1548</v>
      </c>
    </row>
    <row r="42" spans="4:13" ht="30" hidden="1">
      <c r="D42" s="1397">
        <v>82</v>
      </c>
      <c r="E42" s="1398" t="s">
        <v>1595</v>
      </c>
      <c r="F42" s="1398" t="s">
        <v>126</v>
      </c>
      <c r="G42" s="1399">
        <v>41089</v>
      </c>
      <c r="H42" s="1400">
        <v>41084</v>
      </c>
      <c r="I42" s="1398" t="s">
        <v>963</v>
      </c>
      <c r="J42" s="1398" t="s">
        <v>1568</v>
      </c>
      <c r="K42" s="1397">
        <v>1701</v>
      </c>
      <c r="L42" s="1398" t="s">
        <v>1596</v>
      </c>
      <c r="M42" s="1398" t="s">
        <v>1548</v>
      </c>
    </row>
    <row r="43" spans="4:13" ht="30" hidden="1">
      <c r="D43" s="1397">
        <v>83</v>
      </c>
      <c r="E43" s="1398" t="s">
        <v>1597</v>
      </c>
      <c r="F43" s="1398" t="s">
        <v>168</v>
      </c>
      <c r="G43" s="1399">
        <v>41147</v>
      </c>
      <c r="H43" s="470"/>
      <c r="I43" s="1398" t="s">
        <v>963</v>
      </c>
      <c r="J43" s="1398" t="s">
        <v>1568</v>
      </c>
      <c r="K43" s="1397">
        <v>1702</v>
      </c>
      <c r="L43" s="1398" t="s">
        <v>1598</v>
      </c>
      <c r="M43" s="1398" t="s">
        <v>1548</v>
      </c>
    </row>
    <row r="44" spans="4:13" ht="30" hidden="1">
      <c r="D44" s="1397">
        <v>84</v>
      </c>
      <c r="E44" s="1398" t="s">
        <v>1599</v>
      </c>
      <c r="F44" s="1398" t="s">
        <v>1600</v>
      </c>
      <c r="G44" s="1399">
        <v>41089</v>
      </c>
      <c r="H44" s="470"/>
      <c r="I44" s="1398" t="s">
        <v>963</v>
      </c>
      <c r="J44" s="1398" t="s">
        <v>1568</v>
      </c>
      <c r="K44" s="1397">
        <v>1703</v>
      </c>
      <c r="L44" s="1398" t="s">
        <v>1601</v>
      </c>
      <c r="M44" s="1398" t="s">
        <v>1548</v>
      </c>
    </row>
    <row r="45" spans="4:13" ht="30" hidden="1">
      <c r="D45" s="1397">
        <v>86</v>
      </c>
      <c r="E45" s="1398" t="s">
        <v>1602</v>
      </c>
      <c r="F45" s="1398" t="s">
        <v>127</v>
      </c>
      <c r="G45" s="1399">
        <v>41150</v>
      </c>
      <c r="H45" s="1400">
        <v>41865</v>
      </c>
      <c r="I45" s="1398" t="s">
        <v>963</v>
      </c>
      <c r="J45" s="1398" t="s">
        <v>1568</v>
      </c>
      <c r="K45" s="1397">
        <v>1704</v>
      </c>
      <c r="L45" s="1398" t="s">
        <v>1603</v>
      </c>
      <c r="M45" s="1398" t="s">
        <v>1548</v>
      </c>
    </row>
    <row r="46" spans="4:13" ht="30" hidden="1">
      <c r="D46" s="1397">
        <v>87</v>
      </c>
      <c r="E46" s="1398" t="s">
        <v>1604</v>
      </c>
      <c r="F46" s="1398" t="s">
        <v>128</v>
      </c>
      <c r="G46" s="1399">
        <v>41150</v>
      </c>
      <c r="H46" s="1400">
        <v>41128</v>
      </c>
      <c r="I46" s="1398" t="s">
        <v>963</v>
      </c>
      <c r="J46" s="1398" t="s">
        <v>1568</v>
      </c>
      <c r="K46" s="1397">
        <v>1705</v>
      </c>
      <c r="L46" s="1398" t="s">
        <v>1605</v>
      </c>
      <c r="M46" s="1398" t="s">
        <v>1548</v>
      </c>
    </row>
    <row r="47" spans="4:13" ht="30" hidden="1">
      <c r="D47" s="1397">
        <v>88</v>
      </c>
      <c r="E47" s="1398" t="s">
        <v>1606</v>
      </c>
      <c r="F47" s="1398" t="s">
        <v>1607</v>
      </c>
      <c r="G47" s="1399">
        <v>41150</v>
      </c>
      <c r="H47" s="1400">
        <v>41865</v>
      </c>
      <c r="I47" s="1398" t="s">
        <v>963</v>
      </c>
      <c r="J47" s="1398" t="s">
        <v>1568</v>
      </c>
      <c r="K47" s="1397">
        <v>1706</v>
      </c>
      <c r="L47" s="1398" t="s">
        <v>1608</v>
      </c>
      <c r="M47" s="1398" t="s">
        <v>1548</v>
      </c>
    </row>
    <row r="48" spans="4:13" ht="15" hidden="1">
      <c r="D48" s="1397">
        <v>95</v>
      </c>
      <c r="E48" s="1398" t="s">
        <v>1609</v>
      </c>
      <c r="F48" s="1398" t="s">
        <v>129</v>
      </c>
      <c r="G48" s="1399">
        <v>41112</v>
      </c>
      <c r="H48" s="1400">
        <v>41089</v>
      </c>
      <c r="I48" s="1398" t="s">
        <v>963</v>
      </c>
      <c r="J48" s="1398" t="s">
        <v>1568</v>
      </c>
      <c r="K48" s="1397">
        <v>1708</v>
      </c>
      <c r="L48" s="1398" t="s">
        <v>1610</v>
      </c>
      <c r="M48" s="1398" t="s">
        <v>1548</v>
      </c>
    </row>
    <row r="49" spans="4:13" ht="30" hidden="1">
      <c r="D49" s="1397">
        <v>103</v>
      </c>
      <c r="E49" s="1398" t="s">
        <v>1611</v>
      </c>
      <c r="F49" s="1398" t="s">
        <v>130</v>
      </c>
      <c r="G49" s="1399">
        <v>41235</v>
      </c>
      <c r="H49" s="1400">
        <v>41164</v>
      </c>
      <c r="I49" s="1398" t="s">
        <v>963</v>
      </c>
      <c r="J49" s="1398" t="s">
        <v>1568</v>
      </c>
      <c r="K49" s="1397">
        <v>1710</v>
      </c>
      <c r="L49" s="1398" t="s">
        <v>1612</v>
      </c>
      <c r="M49" s="1398" t="s">
        <v>1548</v>
      </c>
    </row>
    <row r="50" spans="4:13" ht="30">
      <c r="D50" s="1397">
        <v>213</v>
      </c>
      <c r="E50" s="1398" t="s">
        <v>1613</v>
      </c>
      <c r="F50" s="1398" t="s">
        <v>1614</v>
      </c>
      <c r="G50" s="470"/>
      <c r="H50" s="470"/>
      <c r="I50" s="1398" t="s">
        <v>963</v>
      </c>
      <c r="J50" s="1398" t="s">
        <v>114</v>
      </c>
      <c r="K50" s="1397">
        <v>1757</v>
      </c>
      <c r="L50" s="1398" t="s">
        <v>114</v>
      </c>
      <c r="M50" s="1398" t="s">
        <v>1174</v>
      </c>
    </row>
    <row r="51" spans="4:13" ht="30" hidden="1">
      <c r="D51" s="1397">
        <v>369</v>
      </c>
      <c r="E51" s="1398" t="s">
        <v>1615</v>
      </c>
      <c r="F51" s="1398" t="s">
        <v>131</v>
      </c>
      <c r="G51" s="1399">
        <v>41243</v>
      </c>
      <c r="H51" s="1400">
        <v>41243</v>
      </c>
      <c r="I51" s="1398" t="s">
        <v>963</v>
      </c>
      <c r="J51" s="1398" t="s">
        <v>114</v>
      </c>
      <c r="K51" s="1397">
        <v>1770</v>
      </c>
      <c r="L51" s="1398" t="s">
        <v>1616</v>
      </c>
      <c r="M51" s="1398" t="s">
        <v>1548</v>
      </c>
    </row>
    <row r="52" spans="4:13" ht="15" hidden="1">
      <c r="D52" s="1397">
        <v>370</v>
      </c>
      <c r="E52" s="1398" t="s">
        <v>1617</v>
      </c>
      <c r="F52" s="1398" t="s">
        <v>1618</v>
      </c>
      <c r="G52" s="1399">
        <v>41214</v>
      </c>
      <c r="H52" s="1400">
        <v>41214</v>
      </c>
      <c r="I52" s="1398" t="s">
        <v>963</v>
      </c>
      <c r="J52" s="1398" t="s">
        <v>114</v>
      </c>
      <c r="K52" s="1397">
        <v>1771</v>
      </c>
      <c r="L52" s="1398" t="s">
        <v>1619</v>
      </c>
      <c r="M52" s="1398" t="s">
        <v>1548</v>
      </c>
    </row>
    <row r="53" spans="4:13" ht="30" hidden="1">
      <c r="D53" s="1397">
        <v>371</v>
      </c>
      <c r="E53" s="1398" t="s">
        <v>1620</v>
      </c>
      <c r="F53" s="1398" t="s">
        <v>132</v>
      </c>
      <c r="G53" s="1399">
        <v>40762</v>
      </c>
      <c r="H53" s="470"/>
      <c r="I53" s="1398" t="s">
        <v>963</v>
      </c>
      <c r="J53" s="1398" t="s">
        <v>114</v>
      </c>
      <c r="K53" s="1397">
        <v>1772</v>
      </c>
      <c r="L53" s="1398" t="s">
        <v>1621</v>
      </c>
      <c r="M53" s="1398" t="s">
        <v>1548</v>
      </c>
    </row>
    <row r="54" spans="4:13" ht="30" hidden="1">
      <c r="D54" s="1397">
        <v>380</v>
      </c>
      <c r="E54" s="1398" t="s">
        <v>1622</v>
      </c>
      <c r="F54" s="1398" t="s">
        <v>1623</v>
      </c>
      <c r="G54" s="1399">
        <v>41128</v>
      </c>
      <c r="H54" s="470"/>
      <c r="I54" s="1398" t="s">
        <v>963</v>
      </c>
      <c r="J54" s="1398" t="s">
        <v>114</v>
      </c>
      <c r="K54" s="1397">
        <v>1777</v>
      </c>
      <c r="L54" s="1398" t="s">
        <v>1624</v>
      </c>
      <c r="M54" s="1398" t="s">
        <v>1548</v>
      </c>
    </row>
    <row r="55" spans="4:13" ht="30" hidden="1">
      <c r="D55" s="1397">
        <v>381</v>
      </c>
      <c r="E55" s="1398" t="s">
        <v>1625</v>
      </c>
      <c r="F55" s="1398" t="s">
        <v>133</v>
      </c>
      <c r="G55" s="1399">
        <v>41143</v>
      </c>
      <c r="H55" s="1400">
        <v>41136</v>
      </c>
      <c r="I55" s="1398" t="s">
        <v>963</v>
      </c>
      <c r="J55" s="1398" t="s">
        <v>114</v>
      </c>
      <c r="K55" s="1397">
        <v>1778</v>
      </c>
      <c r="L55" s="1398" t="s">
        <v>1626</v>
      </c>
      <c r="M55" s="1398" t="s">
        <v>1548</v>
      </c>
    </row>
    <row r="56" spans="4:13" ht="30" hidden="1">
      <c r="D56" s="1397">
        <v>382</v>
      </c>
      <c r="E56" s="1398" t="s">
        <v>1627</v>
      </c>
      <c r="F56" s="1398" t="s">
        <v>134</v>
      </c>
      <c r="G56" s="1399">
        <v>40983</v>
      </c>
      <c r="H56" s="1400">
        <v>41220</v>
      </c>
      <c r="I56" s="1398" t="s">
        <v>963</v>
      </c>
      <c r="J56" s="1398" t="s">
        <v>114</v>
      </c>
      <c r="K56" s="1397">
        <v>1779</v>
      </c>
      <c r="L56" s="1398" t="s">
        <v>1628</v>
      </c>
      <c r="M56" s="1398" t="s">
        <v>1548</v>
      </c>
    </row>
    <row r="57" spans="4:13" ht="30" hidden="1">
      <c r="D57" s="1397">
        <v>383</v>
      </c>
      <c r="E57" s="1398" t="s">
        <v>1629</v>
      </c>
      <c r="F57" s="1398" t="s">
        <v>429</v>
      </c>
      <c r="G57" s="1399">
        <v>40983</v>
      </c>
      <c r="H57" s="470"/>
      <c r="I57" s="1398" t="s">
        <v>963</v>
      </c>
      <c r="J57" s="1398" t="s">
        <v>114</v>
      </c>
      <c r="K57" s="1397">
        <v>1780</v>
      </c>
      <c r="L57" s="1398" t="s">
        <v>1630</v>
      </c>
      <c r="M57" s="1398" t="s">
        <v>1548</v>
      </c>
    </row>
    <row r="58" spans="4:13" ht="30" hidden="1">
      <c r="D58" s="1397">
        <v>385</v>
      </c>
      <c r="E58" s="1398" t="s">
        <v>1631</v>
      </c>
      <c r="F58" s="1398" t="s">
        <v>136</v>
      </c>
      <c r="G58" s="1399">
        <v>41148</v>
      </c>
      <c r="H58" s="470"/>
      <c r="I58" s="1398" t="s">
        <v>963</v>
      </c>
      <c r="J58" s="1398" t="s">
        <v>114</v>
      </c>
      <c r="K58" s="1397">
        <v>1782</v>
      </c>
      <c r="L58" s="1398" t="s">
        <v>1632</v>
      </c>
      <c r="M58" s="1398" t="s">
        <v>1548</v>
      </c>
    </row>
    <row r="59" spans="4:13" ht="30" hidden="1">
      <c r="D59" s="1397">
        <v>386</v>
      </c>
      <c r="E59" s="1398" t="s">
        <v>1633</v>
      </c>
      <c r="F59" s="1398" t="s">
        <v>1634</v>
      </c>
      <c r="G59" s="1399">
        <v>41039</v>
      </c>
      <c r="H59" s="470"/>
      <c r="I59" s="1398" t="s">
        <v>963</v>
      </c>
      <c r="J59" s="1398" t="s">
        <v>114</v>
      </c>
      <c r="K59" s="1397">
        <v>1783</v>
      </c>
      <c r="L59" s="1398" t="s">
        <v>1635</v>
      </c>
      <c r="M59" s="1398" t="s">
        <v>1548</v>
      </c>
    </row>
    <row r="60" spans="4:13" ht="45" hidden="1">
      <c r="D60" s="1397">
        <v>390</v>
      </c>
      <c r="E60" s="1398" t="s">
        <v>1636</v>
      </c>
      <c r="F60" s="1398" t="s">
        <v>250</v>
      </c>
      <c r="G60" s="1399">
        <v>41094</v>
      </c>
      <c r="H60" s="470"/>
      <c r="I60" s="1398" t="s">
        <v>963</v>
      </c>
      <c r="J60" s="1398" t="s">
        <v>114</v>
      </c>
      <c r="K60" s="1397">
        <v>1787</v>
      </c>
      <c r="L60" s="1398" t="s">
        <v>1637</v>
      </c>
      <c r="M60" s="1398" t="s">
        <v>1548</v>
      </c>
    </row>
    <row r="61" spans="4:13" ht="30" hidden="1">
      <c r="D61" s="1397">
        <v>391</v>
      </c>
      <c r="E61" s="1398" t="s">
        <v>1638</v>
      </c>
      <c r="F61" s="1398" t="s">
        <v>228</v>
      </c>
      <c r="G61" s="1399">
        <v>41205</v>
      </c>
      <c r="H61" s="470"/>
      <c r="I61" s="1398" t="s">
        <v>963</v>
      </c>
      <c r="J61" s="1398" t="s">
        <v>114</v>
      </c>
      <c r="K61" s="1397">
        <v>1788</v>
      </c>
      <c r="L61" s="1398" t="s">
        <v>1639</v>
      </c>
      <c r="M61" s="1398" t="s">
        <v>1548</v>
      </c>
    </row>
    <row r="62" spans="4:13" ht="30" hidden="1">
      <c r="D62" s="1397">
        <v>396</v>
      </c>
      <c r="E62" s="1398" t="s">
        <v>1640</v>
      </c>
      <c r="F62" s="1398" t="s">
        <v>1641</v>
      </c>
      <c r="G62" s="1399">
        <v>41018</v>
      </c>
      <c r="H62" s="470"/>
      <c r="I62" s="1398" t="s">
        <v>963</v>
      </c>
      <c r="J62" s="1398" t="s">
        <v>114</v>
      </c>
      <c r="K62" s="1397">
        <v>1792</v>
      </c>
      <c r="L62" s="1398" t="s">
        <v>1642</v>
      </c>
      <c r="M62" s="1398" t="s">
        <v>1548</v>
      </c>
    </row>
    <row r="63" spans="4:13" ht="15" hidden="1">
      <c r="D63" s="1397">
        <v>397</v>
      </c>
      <c r="E63" s="1398" t="s">
        <v>1643</v>
      </c>
      <c r="F63" s="1398" t="s">
        <v>167</v>
      </c>
      <c r="G63" s="1399">
        <v>41079</v>
      </c>
      <c r="H63" s="1400">
        <v>39922</v>
      </c>
      <c r="I63" s="1398" t="s">
        <v>963</v>
      </c>
      <c r="J63" s="1398" t="s">
        <v>114</v>
      </c>
      <c r="K63" s="1397">
        <v>1793</v>
      </c>
      <c r="L63" s="1398" t="s">
        <v>1644</v>
      </c>
      <c r="M63" s="1398" t="s">
        <v>1548</v>
      </c>
    </row>
    <row r="64" spans="4:13" ht="30" hidden="1">
      <c r="D64" s="1397">
        <v>398</v>
      </c>
      <c r="E64" s="1398" t="s">
        <v>1645</v>
      </c>
      <c r="F64" s="1398" t="s">
        <v>137</v>
      </c>
      <c r="G64" s="1399">
        <v>41112</v>
      </c>
      <c r="H64" s="1400">
        <v>41089</v>
      </c>
      <c r="I64" s="1398" t="s">
        <v>963</v>
      </c>
      <c r="J64" s="1398" t="s">
        <v>1568</v>
      </c>
      <c r="K64" s="1397">
        <v>1794</v>
      </c>
      <c r="L64" s="1398" t="s">
        <v>1646</v>
      </c>
      <c r="M64" s="1398" t="s">
        <v>1548</v>
      </c>
    </row>
    <row r="65" spans="4:13" ht="30" hidden="1">
      <c r="D65" s="1397">
        <v>399</v>
      </c>
      <c r="E65" s="1398" t="s">
        <v>1647</v>
      </c>
      <c r="F65" s="1398" t="s">
        <v>138</v>
      </c>
      <c r="G65" s="1399">
        <v>41112</v>
      </c>
      <c r="H65" s="1400">
        <v>41089</v>
      </c>
      <c r="I65" s="1398" t="s">
        <v>963</v>
      </c>
      <c r="J65" s="1398" t="s">
        <v>1568</v>
      </c>
      <c r="K65" s="1397">
        <v>1795</v>
      </c>
      <c r="L65" s="1398" t="s">
        <v>1648</v>
      </c>
      <c r="M65" s="1398" t="s">
        <v>1548</v>
      </c>
    </row>
    <row r="66" spans="4:13" ht="30" hidden="1">
      <c r="D66" s="1397">
        <v>400</v>
      </c>
      <c r="E66" s="1398" t="s">
        <v>1649</v>
      </c>
      <c r="F66" s="1398" t="s">
        <v>139</v>
      </c>
      <c r="G66" s="1399">
        <v>41051</v>
      </c>
      <c r="H66" s="1400">
        <v>41018</v>
      </c>
      <c r="I66" s="1398" t="s">
        <v>963</v>
      </c>
      <c r="J66" s="1398" t="s">
        <v>1568</v>
      </c>
      <c r="K66" s="1397">
        <v>1796</v>
      </c>
      <c r="L66" s="1398" t="s">
        <v>1650</v>
      </c>
      <c r="M66" s="1398" t="s">
        <v>1548</v>
      </c>
    </row>
    <row r="67" spans="4:13" ht="30" hidden="1">
      <c r="D67" s="1397">
        <v>401</v>
      </c>
      <c r="E67" s="1398" t="s">
        <v>1651</v>
      </c>
      <c r="F67" s="1398" t="s">
        <v>140</v>
      </c>
      <c r="G67" s="1399">
        <v>41112</v>
      </c>
      <c r="H67" s="1400">
        <v>41089</v>
      </c>
      <c r="I67" s="1398" t="s">
        <v>963</v>
      </c>
      <c r="J67" s="1398" t="s">
        <v>1568</v>
      </c>
      <c r="K67" s="1397">
        <v>1797</v>
      </c>
      <c r="L67" s="1398" t="s">
        <v>1652</v>
      </c>
      <c r="M67" s="1398" t="s">
        <v>1548</v>
      </c>
    </row>
    <row r="68" spans="4:13" ht="30" hidden="1">
      <c r="D68" s="1397">
        <v>404</v>
      </c>
      <c r="E68" s="1398" t="s">
        <v>1653</v>
      </c>
      <c r="F68" s="1398" t="s">
        <v>141</v>
      </c>
      <c r="G68" s="1399">
        <v>41007</v>
      </c>
      <c r="H68" s="470"/>
      <c r="I68" s="1398" t="s">
        <v>963</v>
      </c>
      <c r="J68" s="1398" t="s">
        <v>114</v>
      </c>
      <c r="K68" s="1397">
        <v>1800</v>
      </c>
      <c r="L68" s="1398" t="s">
        <v>1654</v>
      </c>
      <c r="M68" s="1398" t="s">
        <v>1548</v>
      </c>
    </row>
    <row r="69" spans="4:13" ht="30" hidden="1">
      <c r="D69" s="1397">
        <v>405</v>
      </c>
      <c r="E69" s="1398" t="s">
        <v>1655</v>
      </c>
      <c r="F69" s="1398" t="s">
        <v>142</v>
      </c>
      <c r="G69" s="1399">
        <v>41007</v>
      </c>
      <c r="H69" s="470"/>
      <c r="I69" s="1398" t="s">
        <v>963</v>
      </c>
      <c r="J69" s="1398" t="s">
        <v>114</v>
      </c>
      <c r="K69" s="1397">
        <v>1802</v>
      </c>
      <c r="L69" s="1398" t="s">
        <v>1656</v>
      </c>
      <c r="M69" s="1398" t="s">
        <v>1548</v>
      </c>
    </row>
    <row r="70" spans="4:13" ht="30">
      <c r="D70" s="1397">
        <v>598</v>
      </c>
      <c r="E70" s="1398" t="s">
        <v>1657</v>
      </c>
      <c r="F70" s="1398" t="s">
        <v>1658</v>
      </c>
      <c r="G70" s="1399">
        <v>41485</v>
      </c>
      <c r="H70" s="470"/>
      <c r="I70" s="1398" t="s">
        <v>963</v>
      </c>
      <c r="J70" s="1398" t="s">
        <v>1568</v>
      </c>
      <c r="K70" s="1397">
        <v>1855</v>
      </c>
      <c r="L70" s="1398" t="s">
        <v>1659</v>
      </c>
      <c r="M70" s="1398" t="s">
        <v>1174</v>
      </c>
    </row>
    <row r="71" spans="4:13" ht="30">
      <c r="D71" s="1397">
        <v>2351</v>
      </c>
      <c r="E71" s="1398" t="s">
        <v>1660</v>
      </c>
      <c r="F71" s="1398" t="s">
        <v>403</v>
      </c>
      <c r="G71" s="1399">
        <v>41485</v>
      </c>
      <c r="H71" s="470"/>
      <c r="I71" s="1398" t="s">
        <v>963</v>
      </c>
      <c r="J71" s="1398" t="s">
        <v>1568</v>
      </c>
      <c r="K71" s="1397">
        <v>2062</v>
      </c>
      <c r="L71" s="1398" t="s">
        <v>1661</v>
      </c>
      <c r="M71" s="1398" t="s">
        <v>1174</v>
      </c>
    </row>
    <row r="72" spans="4:13" ht="45">
      <c r="D72" s="1397">
        <v>2381</v>
      </c>
      <c r="E72" s="1398" t="s">
        <v>1662</v>
      </c>
      <c r="F72" s="1398" t="s">
        <v>375</v>
      </c>
      <c r="G72" s="1399">
        <v>41485</v>
      </c>
      <c r="H72" s="470"/>
      <c r="I72" s="1398" t="s">
        <v>963</v>
      </c>
      <c r="J72" s="1398" t="s">
        <v>1568</v>
      </c>
      <c r="K72" s="1397">
        <v>2066</v>
      </c>
      <c r="L72" s="1398" t="s">
        <v>1663</v>
      </c>
      <c r="M72" s="1398" t="s">
        <v>1174</v>
      </c>
    </row>
    <row r="73" spans="4:13" ht="30" hidden="1">
      <c r="D73" s="1397">
        <v>2513</v>
      </c>
      <c r="E73" s="1398" t="s">
        <v>1664</v>
      </c>
      <c r="F73" s="1398" t="s">
        <v>1665</v>
      </c>
      <c r="G73" s="1399">
        <v>40909</v>
      </c>
      <c r="H73" s="470"/>
      <c r="I73" s="1398" t="s">
        <v>963</v>
      </c>
      <c r="J73" s="1398" t="s">
        <v>114</v>
      </c>
      <c r="K73" s="1397">
        <v>2076</v>
      </c>
      <c r="L73" s="1398" t="s">
        <v>114</v>
      </c>
      <c r="M73" s="1398" t="s">
        <v>114</v>
      </c>
    </row>
    <row r="74" spans="4:13" ht="45">
      <c r="D74" s="1397">
        <v>2763</v>
      </c>
      <c r="E74" s="1398" t="s">
        <v>1666</v>
      </c>
      <c r="F74" s="1398" t="s">
        <v>144</v>
      </c>
      <c r="G74" s="1399">
        <v>41485</v>
      </c>
      <c r="H74" s="470"/>
      <c r="I74" s="1398" t="s">
        <v>963</v>
      </c>
      <c r="J74" s="1398" t="s">
        <v>1568</v>
      </c>
      <c r="K74" s="1397">
        <v>2111</v>
      </c>
      <c r="L74" s="1398" t="s">
        <v>1667</v>
      </c>
      <c r="M74" s="1398" t="s">
        <v>1174</v>
      </c>
    </row>
    <row r="75" spans="4:13" ht="45">
      <c r="D75" s="1397">
        <v>2783</v>
      </c>
      <c r="E75" s="1398" t="s">
        <v>1668</v>
      </c>
      <c r="F75" s="1398" t="s">
        <v>414</v>
      </c>
      <c r="G75" s="1399">
        <v>41485</v>
      </c>
      <c r="H75" s="470"/>
      <c r="I75" s="1398" t="s">
        <v>963</v>
      </c>
      <c r="J75" s="1398" t="s">
        <v>1568</v>
      </c>
      <c r="K75" s="1397">
        <v>2114</v>
      </c>
      <c r="L75" s="1398" t="s">
        <v>1669</v>
      </c>
      <c r="M75" s="1398" t="s">
        <v>1174</v>
      </c>
    </row>
    <row r="76" spans="4:13" ht="15" hidden="1">
      <c r="D76" s="1397">
        <v>2866</v>
      </c>
      <c r="E76" s="1398" t="s">
        <v>1670</v>
      </c>
      <c r="F76" s="1398" t="s">
        <v>145</v>
      </c>
      <c r="G76" s="1399">
        <v>41084</v>
      </c>
      <c r="H76" s="470"/>
      <c r="I76" s="1398" t="s">
        <v>963</v>
      </c>
      <c r="J76" s="1398" t="s">
        <v>114</v>
      </c>
      <c r="K76" s="1397">
        <v>2126</v>
      </c>
      <c r="L76" s="1398" t="s">
        <v>1671</v>
      </c>
      <c r="M76" s="1398" t="s">
        <v>1548</v>
      </c>
    </row>
    <row r="77" spans="4:13" ht="30" hidden="1">
      <c r="D77" s="1397">
        <v>2904</v>
      </c>
      <c r="E77" s="1398" t="s">
        <v>1672</v>
      </c>
      <c r="F77" s="1398" t="s">
        <v>1673</v>
      </c>
      <c r="G77" s="1399">
        <v>41150</v>
      </c>
      <c r="H77" s="1400">
        <v>41135</v>
      </c>
      <c r="I77" s="1398" t="s">
        <v>963</v>
      </c>
      <c r="J77" s="1398" t="s">
        <v>1568</v>
      </c>
      <c r="K77" s="1397">
        <v>2134</v>
      </c>
      <c r="L77" s="1398" t="s">
        <v>1674</v>
      </c>
      <c r="M77" s="1398" t="s">
        <v>1548</v>
      </c>
    </row>
    <row r="78" spans="4:13" ht="30" hidden="1">
      <c r="D78" s="1397">
        <v>2937</v>
      </c>
      <c r="E78" s="1398" t="s">
        <v>1675</v>
      </c>
      <c r="F78" s="1398" t="s">
        <v>146</v>
      </c>
      <c r="G78" s="1399">
        <v>41205</v>
      </c>
      <c r="H78" s="470"/>
      <c r="I78" s="1398" t="s">
        <v>963</v>
      </c>
      <c r="J78" s="1398" t="s">
        <v>114</v>
      </c>
      <c r="K78" s="1397">
        <v>2141</v>
      </c>
      <c r="L78" s="1398" t="s">
        <v>1676</v>
      </c>
      <c r="M78" s="1398" t="s">
        <v>1548</v>
      </c>
    </row>
    <row r="79" spans="4:13" ht="30">
      <c r="D79" s="1397">
        <v>3223</v>
      </c>
      <c r="E79" s="1398" t="s">
        <v>1677</v>
      </c>
      <c r="F79" s="1398" t="s">
        <v>387</v>
      </c>
      <c r="G79" s="1399">
        <v>41423</v>
      </c>
      <c r="H79" s="470"/>
      <c r="I79" s="1398" t="s">
        <v>963</v>
      </c>
      <c r="J79" s="1398" t="s">
        <v>1568</v>
      </c>
      <c r="K79" s="1397">
        <v>2193</v>
      </c>
      <c r="L79" s="1398" t="s">
        <v>1678</v>
      </c>
      <c r="M79" s="1398" t="s">
        <v>1174</v>
      </c>
    </row>
    <row r="80" spans="4:13" ht="45">
      <c r="D80" s="1397">
        <v>3627</v>
      </c>
      <c r="E80" s="1398" t="s">
        <v>1679</v>
      </c>
      <c r="F80" s="1398" t="s">
        <v>398</v>
      </c>
      <c r="G80" s="1399">
        <v>41485</v>
      </c>
      <c r="H80" s="470"/>
      <c r="I80" s="1398" t="s">
        <v>963</v>
      </c>
      <c r="J80" s="1398" t="s">
        <v>1568</v>
      </c>
      <c r="K80" s="1397">
        <v>2215</v>
      </c>
      <c r="L80" s="1398" t="s">
        <v>1680</v>
      </c>
      <c r="M80" s="1398" t="s">
        <v>1174</v>
      </c>
    </row>
    <row r="81" spans="4:13" ht="45">
      <c r="D81" s="1397">
        <v>4248</v>
      </c>
      <c r="E81" s="1398" t="s">
        <v>1681</v>
      </c>
      <c r="F81" s="1398" t="s">
        <v>1682</v>
      </c>
      <c r="G81" s="1399">
        <v>41485</v>
      </c>
      <c r="H81" s="470"/>
      <c r="I81" s="1398" t="s">
        <v>963</v>
      </c>
      <c r="J81" s="1398" t="s">
        <v>1568</v>
      </c>
      <c r="K81" s="1397">
        <v>2245</v>
      </c>
      <c r="L81" s="1398" t="s">
        <v>1683</v>
      </c>
      <c r="M81" s="1398" t="s">
        <v>1174</v>
      </c>
    </row>
    <row r="82" spans="4:13" ht="105" hidden="1">
      <c r="D82" s="1397">
        <v>4950</v>
      </c>
      <c r="E82" s="1398" t="s">
        <v>1684</v>
      </c>
      <c r="F82" s="1398" t="s">
        <v>147</v>
      </c>
      <c r="G82" s="1399">
        <v>41057</v>
      </c>
      <c r="H82" s="1400">
        <v>41007</v>
      </c>
      <c r="I82" s="1398" t="s">
        <v>963</v>
      </c>
      <c r="J82" s="1398" t="s">
        <v>114</v>
      </c>
      <c r="K82" s="1397">
        <v>2285</v>
      </c>
      <c r="L82" s="1398" t="s">
        <v>1685</v>
      </c>
      <c r="M82" s="1398" t="s">
        <v>1548</v>
      </c>
    </row>
    <row r="83" spans="4:13" ht="15" hidden="1">
      <c r="D83" s="1397">
        <v>5160</v>
      </c>
      <c r="E83" s="1398" t="s">
        <v>1686</v>
      </c>
      <c r="F83" s="1398" t="s">
        <v>148</v>
      </c>
      <c r="G83" s="1399">
        <v>41204</v>
      </c>
      <c r="H83" s="1400">
        <v>41147</v>
      </c>
      <c r="I83" s="1398" t="s">
        <v>963</v>
      </c>
      <c r="J83" s="1398" t="s">
        <v>114</v>
      </c>
      <c r="K83" s="1397">
        <v>2313</v>
      </c>
      <c r="L83" s="1398" t="s">
        <v>1687</v>
      </c>
      <c r="M83" s="1398" t="s">
        <v>1548</v>
      </c>
    </row>
    <row r="84" spans="4:13" ht="30" hidden="1">
      <c r="D84" s="1397">
        <v>5216</v>
      </c>
      <c r="E84" s="1398" t="s">
        <v>1688</v>
      </c>
      <c r="F84" s="1398" t="s">
        <v>1689</v>
      </c>
      <c r="G84" s="1399">
        <v>41039</v>
      </c>
      <c r="H84" s="470"/>
      <c r="I84" s="1398" t="s">
        <v>963</v>
      </c>
      <c r="J84" s="1398" t="s">
        <v>114</v>
      </c>
      <c r="K84" s="1397">
        <v>2330</v>
      </c>
      <c r="L84" s="1398" t="s">
        <v>1690</v>
      </c>
      <c r="M84" s="1398" t="s">
        <v>1548</v>
      </c>
    </row>
    <row r="85" spans="4:13" ht="30" hidden="1">
      <c r="D85" s="1397">
        <v>5217</v>
      </c>
      <c r="E85" s="1398" t="s">
        <v>1691</v>
      </c>
      <c r="F85" s="1398" t="s">
        <v>1692</v>
      </c>
      <c r="G85" s="1399">
        <v>41039</v>
      </c>
      <c r="H85" s="470"/>
      <c r="I85" s="1398" t="s">
        <v>963</v>
      </c>
      <c r="J85" s="1398" t="s">
        <v>114</v>
      </c>
      <c r="K85" s="1397">
        <v>2331</v>
      </c>
      <c r="L85" s="1398" t="s">
        <v>1693</v>
      </c>
      <c r="M85" s="1398" t="s">
        <v>1548</v>
      </c>
    </row>
    <row r="86" spans="4:13" ht="45">
      <c r="D86" s="1397">
        <v>5274</v>
      </c>
      <c r="E86" s="1398" t="s">
        <v>1694</v>
      </c>
      <c r="F86" s="1398" t="s">
        <v>149</v>
      </c>
      <c r="G86" s="1399">
        <v>41393</v>
      </c>
      <c r="H86" s="470"/>
      <c r="I86" s="1398" t="s">
        <v>963</v>
      </c>
      <c r="J86" s="1398" t="s">
        <v>1568</v>
      </c>
      <c r="K86" s="1397">
        <v>2339</v>
      </c>
      <c r="L86" s="1398" t="s">
        <v>1695</v>
      </c>
      <c r="M86" s="1398" t="s">
        <v>1174</v>
      </c>
    </row>
    <row r="87" spans="4:13" ht="45">
      <c r="D87" s="1397">
        <v>5351</v>
      </c>
      <c r="E87" s="1398" t="s">
        <v>1696</v>
      </c>
      <c r="F87" s="1398" t="s">
        <v>150</v>
      </c>
      <c r="G87" s="1399">
        <v>41212</v>
      </c>
      <c r="H87" s="470"/>
      <c r="I87" s="1398" t="s">
        <v>963</v>
      </c>
      <c r="J87" s="1398" t="s">
        <v>1568</v>
      </c>
      <c r="K87" s="1397">
        <v>2340</v>
      </c>
      <c r="L87" s="1398" t="s">
        <v>1697</v>
      </c>
      <c r="M87" s="1398" t="s">
        <v>1174</v>
      </c>
    </row>
    <row r="88" spans="4:13" ht="60">
      <c r="D88" s="1397">
        <v>5352</v>
      </c>
      <c r="E88" s="1398" t="s">
        <v>1698</v>
      </c>
      <c r="F88" s="1398" t="s">
        <v>310</v>
      </c>
      <c r="G88" s="1399">
        <v>41182</v>
      </c>
      <c r="H88" s="470"/>
      <c r="I88" s="1398" t="s">
        <v>963</v>
      </c>
      <c r="J88" s="1398" t="s">
        <v>1568</v>
      </c>
      <c r="K88" s="1397">
        <v>2341</v>
      </c>
      <c r="L88" s="1398" t="s">
        <v>1699</v>
      </c>
      <c r="M88" s="1398" t="s">
        <v>1174</v>
      </c>
    </row>
    <row r="89" spans="4:13" ht="45">
      <c r="D89" s="1397">
        <v>5353</v>
      </c>
      <c r="E89" s="1398" t="s">
        <v>1700</v>
      </c>
      <c r="F89" s="1398" t="s">
        <v>151</v>
      </c>
      <c r="G89" s="1399">
        <v>41182</v>
      </c>
      <c r="H89" s="470"/>
      <c r="I89" s="1398" t="s">
        <v>963</v>
      </c>
      <c r="J89" s="1398" t="s">
        <v>1568</v>
      </c>
      <c r="K89" s="1397">
        <v>2342</v>
      </c>
      <c r="L89" s="1398" t="s">
        <v>1701</v>
      </c>
      <c r="M89" s="1398" t="s">
        <v>1174</v>
      </c>
    </row>
    <row r="90" spans="4:13" ht="30">
      <c r="D90" s="1397">
        <v>5355</v>
      </c>
      <c r="E90" s="1398" t="s">
        <v>1702</v>
      </c>
      <c r="F90" s="1398" t="s">
        <v>321</v>
      </c>
      <c r="G90" s="1399">
        <v>41182</v>
      </c>
      <c r="H90" s="470"/>
      <c r="I90" s="1398" t="s">
        <v>963</v>
      </c>
      <c r="J90" s="1398" t="s">
        <v>1568</v>
      </c>
      <c r="K90" s="1397">
        <v>2343</v>
      </c>
      <c r="L90" s="1398" t="s">
        <v>1703</v>
      </c>
      <c r="M90" s="1398" t="s">
        <v>1174</v>
      </c>
    </row>
    <row r="91" spans="4:13" ht="30">
      <c r="D91" s="1397">
        <v>5363</v>
      </c>
      <c r="E91" s="1398" t="s">
        <v>1704</v>
      </c>
      <c r="F91" s="1398" t="s">
        <v>328</v>
      </c>
      <c r="G91" s="1399">
        <v>41182</v>
      </c>
      <c r="H91" s="470"/>
      <c r="I91" s="1398" t="s">
        <v>963</v>
      </c>
      <c r="J91" s="1398" t="s">
        <v>1568</v>
      </c>
      <c r="K91" s="1397">
        <v>2344</v>
      </c>
      <c r="L91" s="1398" t="s">
        <v>1705</v>
      </c>
      <c r="M91" s="1398" t="s">
        <v>1174</v>
      </c>
    </row>
    <row r="92" spans="4:13" ht="30">
      <c r="D92" s="1397">
        <v>5364</v>
      </c>
      <c r="E92" s="1398" t="s">
        <v>1706</v>
      </c>
      <c r="F92" s="1398" t="s">
        <v>333</v>
      </c>
      <c r="G92" s="1399">
        <v>41182</v>
      </c>
      <c r="H92" s="470"/>
      <c r="I92" s="1398" t="s">
        <v>963</v>
      </c>
      <c r="J92" s="1398" t="s">
        <v>1568</v>
      </c>
      <c r="K92" s="1397">
        <v>2345</v>
      </c>
      <c r="L92" s="1398" t="s">
        <v>1707</v>
      </c>
      <c r="M92" s="1398" t="s">
        <v>1174</v>
      </c>
    </row>
    <row r="93" spans="4:13" ht="30">
      <c r="D93" s="1397">
        <v>5365</v>
      </c>
      <c r="E93" s="1398" t="s">
        <v>1708</v>
      </c>
      <c r="F93" s="1398" t="s">
        <v>339</v>
      </c>
      <c r="G93" s="1399">
        <v>41182</v>
      </c>
      <c r="H93" s="470"/>
      <c r="I93" s="1398" t="s">
        <v>963</v>
      </c>
      <c r="J93" s="1398" t="s">
        <v>1568</v>
      </c>
      <c r="K93" s="1397">
        <v>2346</v>
      </c>
      <c r="L93" s="1398" t="s">
        <v>1709</v>
      </c>
      <c r="M93" s="1398" t="s">
        <v>1174</v>
      </c>
    </row>
    <row r="94" spans="4:13" ht="45">
      <c r="D94" s="1397">
        <v>5366</v>
      </c>
      <c r="E94" s="1398" t="s">
        <v>1710</v>
      </c>
      <c r="F94" s="1398" t="s">
        <v>153</v>
      </c>
      <c r="G94" s="1399">
        <v>41182</v>
      </c>
      <c r="H94" s="470"/>
      <c r="I94" s="1398" t="s">
        <v>963</v>
      </c>
      <c r="J94" s="1398" t="s">
        <v>1568</v>
      </c>
      <c r="K94" s="1397">
        <v>2347</v>
      </c>
      <c r="L94" s="1398" t="s">
        <v>1711</v>
      </c>
      <c r="M94" s="1398" t="s">
        <v>1174</v>
      </c>
    </row>
    <row r="95" spans="4:13" ht="30">
      <c r="D95" s="1397">
        <v>5367</v>
      </c>
      <c r="E95" s="1398" t="s">
        <v>1712</v>
      </c>
      <c r="F95" s="1398" t="s">
        <v>9</v>
      </c>
      <c r="G95" s="1399">
        <v>40899</v>
      </c>
      <c r="H95" s="470"/>
      <c r="I95" s="1398" t="s">
        <v>963</v>
      </c>
      <c r="J95" s="1398" t="s">
        <v>1568</v>
      </c>
      <c r="K95" s="1397">
        <v>2348</v>
      </c>
      <c r="L95" s="1398" t="s">
        <v>1713</v>
      </c>
      <c r="M95" s="1398" t="s">
        <v>1174</v>
      </c>
    </row>
    <row r="96" spans="4:13" ht="30">
      <c r="D96" s="1397">
        <v>5368</v>
      </c>
      <c r="E96" s="1398" t="s">
        <v>1714</v>
      </c>
      <c r="F96" s="1398" t="s">
        <v>344</v>
      </c>
      <c r="G96" s="1399">
        <v>41182</v>
      </c>
      <c r="H96" s="470"/>
      <c r="I96" s="1398" t="s">
        <v>963</v>
      </c>
      <c r="J96" s="1398" t="s">
        <v>1568</v>
      </c>
      <c r="K96" s="1397">
        <v>2349</v>
      </c>
      <c r="L96" s="1398" t="s">
        <v>1715</v>
      </c>
      <c r="M96" s="1398" t="s">
        <v>1174</v>
      </c>
    </row>
    <row r="97" spans="4:13" ht="30">
      <c r="D97" s="1397">
        <v>5369</v>
      </c>
      <c r="E97" s="1398" t="s">
        <v>1716</v>
      </c>
      <c r="F97" s="1398" t="s">
        <v>349</v>
      </c>
      <c r="G97" s="1399">
        <v>41182</v>
      </c>
      <c r="H97" s="470"/>
      <c r="I97" s="1398" t="s">
        <v>963</v>
      </c>
      <c r="J97" s="1398" t="s">
        <v>1568</v>
      </c>
      <c r="K97" s="1397">
        <v>2350</v>
      </c>
      <c r="L97" s="1398" t="s">
        <v>1717</v>
      </c>
      <c r="M97" s="1398" t="s">
        <v>1174</v>
      </c>
    </row>
    <row r="98" spans="4:13" ht="30">
      <c r="D98" s="1397">
        <v>5370</v>
      </c>
      <c r="E98" s="1398" t="s">
        <v>1718</v>
      </c>
      <c r="F98" s="1398" t="s">
        <v>154</v>
      </c>
      <c r="G98" s="1399">
        <v>41182</v>
      </c>
      <c r="H98" s="470"/>
      <c r="I98" s="1398" t="s">
        <v>963</v>
      </c>
      <c r="J98" s="1398" t="s">
        <v>1568</v>
      </c>
      <c r="K98" s="1397">
        <v>2351</v>
      </c>
      <c r="L98" s="1398" t="s">
        <v>1719</v>
      </c>
      <c r="M98" s="1398" t="s">
        <v>1174</v>
      </c>
    </row>
    <row r="99" spans="4:13" ht="30">
      <c r="D99" s="1397">
        <v>5371</v>
      </c>
      <c r="E99" s="1398" t="s">
        <v>1720</v>
      </c>
      <c r="F99" s="1398" t="s">
        <v>358</v>
      </c>
      <c r="G99" s="1399">
        <v>41182</v>
      </c>
      <c r="H99" s="470"/>
      <c r="I99" s="1398" t="s">
        <v>963</v>
      </c>
      <c r="J99" s="1398" t="s">
        <v>1568</v>
      </c>
      <c r="K99" s="1397">
        <v>2352</v>
      </c>
      <c r="L99" s="1398" t="s">
        <v>1721</v>
      </c>
      <c r="M99" s="1398" t="s">
        <v>1174</v>
      </c>
    </row>
    <row r="100" spans="4:13" ht="30">
      <c r="D100" s="1397">
        <v>5373</v>
      </c>
      <c r="E100" s="1398" t="s">
        <v>1722</v>
      </c>
      <c r="F100" s="1398" t="s">
        <v>365</v>
      </c>
      <c r="G100" s="1399">
        <v>41182</v>
      </c>
      <c r="H100" s="470"/>
      <c r="I100" s="1398" t="s">
        <v>963</v>
      </c>
      <c r="J100" s="1398" t="s">
        <v>1568</v>
      </c>
      <c r="K100" s="1397">
        <v>2353</v>
      </c>
      <c r="L100" s="1398" t="s">
        <v>1723</v>
      </c>
      <c r="M100" s="1398" t="s">
        <v>1174</v>
      </c>
    </row>
    <row r="101" spans="4:13" ht="45">
      <c r="D101" s="1397">
        <v>5377</v>
      </c>
      <c r="E101" s="1398" t="s">
        <v>1724</v>
      </c>
      <c r="F101" s="1398" t="s">
        <v>309</v>
      </c>
      <c r="G101" s="1399">
        <v>41393</v>
      </c>
      <c r="H101" s="470"/>
      <c r="I101" s="1398" t="s">
        <v>963</v>
      </c>
      <c r="J101" s="1398" t="s">
        <v>1568</v>
      </c>
      <c r="K101" s="1397">
        <v>2355</v>
      </c>
      <c r="L101" s="1398" t="s">
        <v>1725</v>
      </c>
      <c r="M101" s="1398" t="s">
        <v>1174</v>
      </c>
    </row>
    <row r="102" spans="4:13" ht="45">
      <c r="D102" s="1397">
        <v>5378</v>
      </c>
      <c r="E102" s="1398" t="s">
        <v>1726</v>
      </c>
      <c r="F102" s="1398" t="s">
        <v>241</v>
      </c>
      <c r="G102" s="1399">
        <v>41393</v>
      </c>
      <c r="H102" s="470"/>
      <c r="I102" s="1398" t="s">
        <v>963</v>
      </c>
      <c r="J102" s="1398" t="s">
        <v>1568</v>
      </c>
      <c r="K102" s="1397">
        <v>2356</v>
      </c>
      <c r="L102" s="1398" t="s">
        <v>1727</v>
      </c>
      <c r="M102" s="1398" t="s">
        <v>1174</v>
      </c>
    </row>
    <row r="103" spans="4:13" ht="45">
      <c r="D103" s="1397">
        <v>5379</v>
      </c>
      <c r="E103" s="1398" t="s">
        <v>1728</v>
      </c>
      <c r="F103" s="1398" t="s">
        <v>277</v>
      </c>
      <c r="G103" s="1399">
        <v>41212</v>
      </c>
      <c r="H103" s="470"/>
      <c r="I103" s="1398" t="s">
        <v>963</v>
      </c>
      <c r="J103" s="1398" t="s">
        <v>1568</v>
      </c>
      <c r="K103" s="1397">
        <v>2357</v>
      </c>
      <c r="L103" s="1398" t="s">
        <v>1729</v>
      </c>
      <c r="M103" s="1398" t="s">
        <v>1174</v>
      </c>
    </row>
    <row r="104" spans="4:13" ht="45">
      <c r="D104" s="1397">
        <v>5381</v>
      </c>
      <c r="E104" s="1398" t="s">
        <v>1730</v>
      </c>
      <c r="F104" s="1398" t="s">
        <v>220</v>
      </c>
      <c r="G104" s="1399">
        <v>41152</v>
      </c>
      <c r="H104" s="470"/>
      <c r="I104" s="1398" t="s">
        <v>963</v>
      </c>
      <c r="J104" s="1398" t="s">
        <v>1568</v>
      </c>
      <c r="K104" s="1397">
        <v>2358</v>
      </c>
      <c r="L104" s="1398" t="s">
        <v>1731</v>
      </c>
      <c r="M104" s="1398" t="s">
        <v>1174</v>
      </c>
    </row>
    <row r="105" spans="4:13" ht="45">
      <c r="D105" s="1397">
        <v>5382</v>
      </c>
      <c r="E105" s="1398" t="s">
        <v>1732</v>
      </c>
      <c r="F105" s="1398" t="s">
        <v>246</v>
      </c>
      <c r="G105" s="1399">
        <v>41101</v>
      </c>
      <c r="H105" s="470"/>
      <c r="I105" s="1398" t="s">
        <v>963</v>
      </c>
      <c r="J105" s="1398" t="s">
        <v>1568</v>
      </c>
      <c r="K105" s="1397">
        <v>2359</v>
      </c>
      <c r="L105" s="1398" t="s">
        <v>1733</v>
      </c>
      <c r="M105" s="1398" t="s">
        <v>1174</v>
      </c>
    </row>
    <row r="106" spans="4:13" ht="45">
      <c r="D106" s="1397">
        <v>5384</v>
      </c>
      <c r="E106" s="1398" t="s">
        <v>1734</v>
      </c>
      <c r="F106" s="1398" t="s">
        <v>266</v>
      </c>
      <c r="G106" s="1399">
        <v>41423</v>
      </c>
      <c r="H106" s="470"/>
      <c r="I106" s="1398" t="s">
        <v>963</v>
      </c>
      <c r="J106" s="1398" t="s">
        <v>1568</v>
      </c>
      <c r="K106" s="1397">
        <v>2360</v>
      </c>
      <c r="L106" s="1398" t="s">
        <v>1735</v>
      </c>
      <c r="M106" s="1398" t="s">
        <v>1174</v>
      </c>
    </row>
    <row r="107" spans="4:13" ht="45">
      <c r="D107" s="1397">
        <v>5385</v>
      </c>
      <c r="E107" s="1398" t="s">
        <v>1736</v>
      </c>
      <c r="F107" s="1398" t="s">
        <v>271</v>
      </c>
      <c r="G107" s="1399">
        <v>41379</v>
      </c>
      <c r="H107" s="470"/>
      <c r="I107" s="1398" t="s">
        <v>963</v>
      </c>
      <c r="J107" s="1398" t="s">
        <v>1568</v>
      </c>
      <c r="K107" s="1397">
        <v>2361</v>
      </c>
      <c r="L107" s="1398" t="s">
        <v>1737</v>
      </c>
      <c r="M107" s="1398" t="s">
        <v>1174</v>
      </c>
    </row>
    <row r="108" spans="4:13" ht="45">
      <c r="D108" s="1397">
        <v>5386</v>
      </c>
      <c r="E108" s="1398" t="s">
        <v>1738</v>
      </c>
      <c r="F108" s="1398" t="s">
        <v>236</v>
      </c>
      <c r="G108" s="1399">
        <v>41212</v>
      </c>
      <c r="H108" s="470"/>
      <c r="I108" s="1398" t="s">
        <v>963</v>
      </c>
      <c r="J108" s="1398" t="s">
        <v>1568</v>
      </c>
      <c r="K108" s="1397">
        <v>2362</v>
      </c>
      <c r="L108" s="1398" t="s">
        <v>1739</v>
      </c>
      <c r="M108" s="1398" t="s">
        <v>1174</v>
      </c>
    </row>
    <row r="109" spans="4:13" ht="15" hidden="1">
      <c r="D109" s="1397">
        <v>5697</v>
      </c>
      <c r="E109" s="1398" t="s">
        <v>1740</v>
      </c>
      <c r="F109" s="1398" t="s">
        <v>156</v>
      </c>
      <c r="G109" s="1399">
        <v>41143</v>
      </c>
      <c r="H109" s="1400">
        <v>41128</v>
      </c>
      <c r="I109" s="1398" t="s">
        <v>963</v>
      </c>
      <c r="J109" s="1398" t="s">
        <v>114</v>
      </c>
      <c r="K109" s="1397">
        <v>2382</v>
      </c>
      <c r="L109" s="1398" t="s">
        <v>1741</v>
      </c>
      <c r="M109" s="1398" t="s">
        <v>1548</v>
      </c>
    </row>
    <row r="110" spans="4:13" ht="30" hidden="1">
      <c r="D110" s="1397">
        <v>5707</v>
      </c>
      <c r="E110" s="1398" t="s">
        <v>1742</v>
      </c>
      <c r="F110" s="1398" t="s">
        <v>157</v>
      </c>
      <c r="G110" s="1399">
        <v>41235</v>
      </c>
      <c r="H110" s="1400">
        <v>41207</v>
      </c>
      <c r="I110" s="1398" t="s">
        <v>963</v>
      </c>
      <c r="J110" s="1398" t="s">
        <v>114</v>
      </c>
      <c r="K110" s="1397">
        <v>2386</v>
      </c>
      <c r="L110" s="1398" t="s">
        <v>1743</v>
      </c>
      <c r="M110" s="1398" t="s">
        <v>1548</v>
      </c>
    </row>
    <row r="111" spans="4:13" ht="15" hidden="1">
      <c r="D111" s="1397">
        <v>6072</v>
      </c>
      <c r="E111" s="1398" t="s">
        <v>1744</v>
      </c>
      <c r="F111" s="1398" t="s">
        <v>1745</v>
      </c>
      <c r="G111" s="1399">
        <v>41204</v>
      </c>
      <c r="H111" s="1400">
        <v>41164</v>
      </c>
      <c r="I111" s="1398" t="s">
        <v>963</v>
      </c>
      <c r="J111" s="1398" t="s">
        <v>114</v>
      </c>
      <c r="K111" s="1397">
        <v>2407</v>
      </c>
      <c r="L111" s="1398" t="s">
        <v>1746</v>
      </c>
      <c r="M111" s="1398" t="s">
        <v>1548</v>
      </c>
    </row>
    <row r="112" spans="4:13" ht="30" hidden="1">
      <c r="D112" s="1397">
        <v>6585</v>
      </c>
      <c r="E112" s="1398" t="s">
        <v>1747</v>
      </c>
      <c r="F112" s="1398" t="s">
        <v>158</v>
      </c>
      <c r="G112" s="1399">
        <v>41082</v>
      </c>
      <c r="H112" s="1400">
        <v>41078</v>
      </c>
      <c r="I112" s="1398" t="s">
        <v>963</v>
      </c>
      <c r="J112" s="1398" t="s">
        <v>114</v>
      </c>
      <c r="K112" s="1397">
        <v>2444</v>
      </c>
      <c r="L112" s="1398" t="s">
        <v>1748</v>
      </c>
      <c r="M112" s="1398" t="s">
        <v>1548</v>
      </c>
    </row>
    <row r="113" spans="4:13" ht="30" hidden="1">
      <c r="D113" s="1397">
        <v>6587</v>
      </c>
      <c r="E113" s="1398" t="s">
        <v>1749</v>
      </c>
      <c r="F113" s="1398" t="s">
        <v>159</v>
      </c>
      <c r="G113" s="1399">
        <v>41021</v>
      </c>
      <c r="H113" s="470"/>
      <c r="I113" s="1398" t="s">
        <v>963</v>
      </c>
      <c r="J113" s="1398" t="s">
        <v>114</v>
      </c>
      <c r="K113" s="1397">
        <v>2445</v>
      </c>
      <c r="L113" s="1398" t="s">
        <v>1750</v>
      </c>
      <c r="M113" s="1398" t="s">
        <v>1548</v>
      </c>
    </row>
    <row r="114" spans="4:13" ht="30" hidden="1">
      <c r="D114" s="1397">
        <v>6600</v>
      </c>
      <c r="E114" s="1398" t="s">
        <v>1751</v>
      </c>
      <c r="F114" s="1398" t="s">
        <v>160</v>
      </c>
      <c r="G114" s="1399">
        <v>41149</v>
      </c>
      <c r="H114" s="470"/>
      <c r="I114" s="1398" t="s">
        <v>963</v>
      </c>
      <c r="J114" s="1398" t="s">
        <v>114</v>
      </c>
      <c r="K114" s="1397">
        <v>2452</v>
      </c>
      <c r="L114" s="1398" t="s">
        <v>1752</v>
      </c>
      <c r="M114" s="1398" t="s">
        <v>1548</v>
      </c>
    </row>
    <row r="115" spans="4:13" ht="60">
      <c r="D115" s="1397">
        <v>6609</v>
      </c>
      <c r="E115" s="1398" t="s">
        <v>1753</v>
      </c>
      <c r="F115" s="1398" t="s">
        <v>259</v>
      </c>
      <c r="G115" s="1399">
        <v>41411</v>
      </c>
      <c r="H115" s="470"/>
      <c r="I115" s="1398" t="s">
        <v>963</v>
      </c>
      <c r="J115" s="1398" t="s">
        <v>1568</v>
      </c>
      <c r="K115" s="1397">
        <v>2455</v>
      </c>
      <c r="L115" s="1398" t="s">
        <v>1754</v>
      </c>
      <c r="M115" s="1398" t="s">
        <v>1174</v>
      </c>
    </row>
    <row r="116" spans="4:13" ht="45">
      <c r="D116" s="1397">
        <v>6610</v>
      </c>
      <c r="E116" s="1398" t="s">
        <v>1755</v>
      </c>
      <c r="F116" s="1398" t="s">
        <v>253</v>
      </c>
      <c r="G116" s="1399">
        <v>41243</v>
      </c>
      <c r="H116" s="470"/>
      <c r="I116" s="1398" t="s">
        <v>963</v>
      </c>
      <c r="J116" s="1398" t="s">
        <v>1568</v>
      </c>
      <c r="K116" s="1397">
        <v>2456</v>
      </c>
      <c r="L116" s="1398" t="s">
        <v>1756</v>
      </c>
      <c r="M116" s="1398" t="s">
        <v>1174</v>
      </c>
    </row>
    <row r="117" spans="4:13" ht="30" hidden="1">
      <c r="D117" s="1397">
        <v>6611</v>
      </c>
      <c r="E117" s="1398" t="s">
        <v>1757</v>
      </c>
      <c r="F117" s="1398" t="s">
        <v>162</v>
      </c>
      <c r="G117" s="1399">
        <v>40943</v>
      </c>
      <c r="H117" s="470"/>
      <c r="I117" s="1398" t="s">
        <v>963</v>
      </c>
      <c r="J117" s="1398" t="s">
        <v>114</v>
      </c>
      <c r="K117" s="1397">
        <v>2457</v>
      </c>
      <c r="L117" s="1398" t="s">
        <v>1758</v>
      </c>
      <c r="M117" s="1398" t="s">
        <v>1548</v>
      </c>
    </row>
    <row r="118" spans="4:13" ht="30" hidden="1">
      <c r="D118" s="1397">
        <v>6612</v>
      </c>
      <c r="E118" s="1398" t="s">
        <v>1759</v>
      </c>
      <c r="F118" s="1398" t="s">
        <v>163</v>
      </c>
      <c r="G118" s="1399">
        <v>41082</v>
      </c>
      <c r="H118" s="1400">
        <v>41078</v>
      </c>
      <c r="I118" s="1398" t="s">
        <v>963</v>
      </c>
      <c r="J118" s="1398" t="s">
        <v>1568</v>
      </c>
      <c r="K118" s="1397">
        <v>2458</v>
      </c>
      <c r="L118" s="1398" t="s">
        <v>1760</v>
      </c>
      <c r="M118" s="1398" t="s">
        <v>1548</v>
      </c>
    </row>
    <row r="119" spans="4:13" ht="30">
      <c r="D119" s="1397">
        <v>6896</v>
      </c>
      <c r="E119" s="1398" t="s">
        <v>1761</v>
      </c>
      <c r="F119" s="1398" t="s">
        <v>252</v>
      </c>
      <c r="G119" s="1399">
        <v>41182</v>
      </c>
      <c r="H119" s="470"/>
      <c r="I119" s="1398" t="s">
        <v>963</v>
      </c>
      <c r="J119" s="1398" t="s">
        <v>1568</v>
      </c>
      <c r="K119" s="1397">
        <v>2479</v>
      </c>
      <c r="L119" s="1398" t="s">
        <v>1762</v>
      </c>
      <c r="M119" s="1398" t="s">
        <v>1174</v>
      </c>
    </row>
    <row r="120" spans="4:13" ht="45">
      <c r="D120" s="1397">
        <v>6897</v>
      </c>
      <c r="E120" s="1398" t="s">
        <v>1763</v>
      </c>
      <c r="F120" s="1398" t="s">
        <v>1764</v>
      </c>
      <c r="G120" s="1399">
        <v>41182</v>
      </c>
      <c r="H120" s="470"/>
      <c r="I120" s="1398" t="s">
        <v>963</v>
      </c>
      <c r="J120" s="1398" t="s">
        <v>1568</v>
      </c>
      <c r="K120" s="1397">
        <v>2480</v>
      </c>
      <c r="L120" s="1398" t="s">
        <v>1765</v>
      </c>
      <c r="M120" s="1398" t="s">
        <v>1174</v>
      </c>
    </row>
    <row r="121" spans="4:13" ht="30">
      <c r="D121" s="1397">
        <v>6898</v>
      </c>
      <c r="E121" s="1398" t="s">
        <v>1766</v>
      </c>
      <c r="F121" s="1398" t="s">
        <v>299</v>
      </c>
      <c r="G121" s="1399">
        <v>41182</v>
      </c>
      <c r="H121" s="470"/>
      <c r="I121" s="1398" t="s">
        <v>963</v>
      </c>
      <c r="J121" s="1398" t="s">
        <v>1568</v>
      </c>
      <c r="K121" s="1397">
        <v>2481</v>
      </c>
      <c r="L121" s="1398" t="s">
        <v>1767</v>
      </c>
      <c r="M121" s="1398" t="s">
        <v>1174</v>
      </c>
    </row>
    <row r="122" spans="4:13" ht="30">
      <c r="D122" s="1397">
        <v>7016</v>
      </c>
      <c r="E122" s="1398" t="s">
        <v>1768</v>
      </c>
      <c r="F122" s="1398" t="s">
        <v>370</v>
      </c>
      <c r="G122" s="1399">
        <v>41182</v>
      </c>
      <c r="H122" s="470"/>
      <c r="I122" s="1398" t="s">
        <v>963</v>
      </c>
      <c r="J122" s="1398" t="s">
        <v>1568</v>
      </c>
      <c r="K122" s="1397">
        <v>2496</v>
      </c>
      <c r="L122" s="1398" t="s">
        <v>1769</v>
      </c>
      <c r="M122" s="1398" t="s">
        <v>1174</v>
      </c>
    </row>
    <row r="123" spans="4:13" ht="30" hidden="1">
      <c r="D123" s="1397">
        <v>7019</v>
      </c>
      <c r="E123" s="1398" t="s">
        <v>1770</v>
      </c>
      <c r="F123" s="1398" t="s">
        <v>164</v>
      </c>
      <c r="G123" s="1399">
        <v>41214</v>
      </c>
      <c r="H123" s="1400">
        <v>41214</v>
      </c>
      <c r="I123" s="1398" t="s">
        <v>963</v>
      </c>
      <c r="J123" s="1398" t="s">
        <v>114</v>
      </c>
      <c r="K123" s="1397">
        <v>2497</v>
      </c>
      <c r="L123" s="1398" t="s">
        <v>1771</v>
      </c>
      <c r="M123" s="1398" t="s">
        <v>1548</v>
      </c>
    </row>
    <row r="124" spans="4:13" ht="30">
      <c r="D124" s="1397">
        <v>7371</v>
      </c>
      <c r="E124" s="1398" t="s">
        <v>1772</v>
      </c>
      <c r="F124" s="1398" t="s">
        <v>165</v>
      </c>
      <c r="G124" s="1399">
        <v>41485</v>
      </c>
      <c r="H124" s="470"/>
      <c r="I124" s="1398" t="s">
        <v>963</v>
      </c>
      <c r="J124" s="1398" t="s">
        <v>1568</v>
      </c>
      <c r="K124" s="1397">
        <v>2527</v>
      </c>
      <c r="L124" s="1398" t="s">
        <v>1773</v>
      </c>
      <c r="M124" s="1398" t="s">
        <v>1174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23" customWidth="1"/>
    <col min="2" max="2" width="47.140625" style="423" bestFit="1" customWidth="1"/>
    <col min="3" max="3" width="27" style="423" customWidth="1"/>
    <col min="4" max="4" width="34.7109375" style="423" bestFit="1" customWidth="1"/>
    <col min="5" max="5" width="15" style="423" bestFit="1" customWidth="1"/>
    <col min="6" max="6" width="43.28515625" style="423" bestFit="1" customWidth="1"/>
    <col min="7" max="7" width="15.140625" style="423" bestFit="1" customWidth="1"/>
    <col min="8" max="16384" width="9.140625" style="423"/>
  </cols>
  <sheetData>
    <row r="1" spans="2:7">
      <c r="C1" s="424"/>
      <c r="D1" s="425"/>
    </row>
    <row r="3" spans="2:7">
      <c r="B3" s="426" t="s">
        <v>1774</v>
      </c>
      <c r="G3" s="424" t="s">
        <v>1775</v>
      </c>
    </row>
    <row r="4" spans="2:7">
      <c r="B4" s="435" t="s">
        <v>1776</v>
      </c>
      <c r="C4" s="435" t="s">
        <v>1777</v>
      </c>
      <c r="D4" s="435" t="s">
        <v>856</v>
      </c>
      <c r="E4" s="424"/>
      <c r="F4" s="1401" t="s">
        <v>1778</v>
      </c>
      <c r="G4" s="1402" t="e">
        <f>(C10*G7)/G5</f>
        <v>#REF!</v>
      </c>
    </row>
    <row r="5" spans="2:7">
      <c r="B5" s="1403" t="s">
        <v>1779</v>
      </c>
      <c r="C5" s="1404"/>
      <c r="D5" s="1405"/>
      <c r="F5" s="1401" t="s">
        <v>1780</v>
      </c>
      <c r="G5" s="1406" t="e">
        <f>(((1+C7)^G6)*C7)/(((1+C7)^G6)-1)</f>
        <v>#REF!</v>
      </c>
    </row>
    <row r="6" spans="2:7">
      <c r="B6" s="1403" t="s">
        <v>1781</v>
      </c>
      <c r="C6" s="1404"/>
      <c r="D6" s="1405"/>
      <c r="F6" s="1401" t="s">
        <v>1782</v>
      </c>
      <c r="G6" s="1407" t="e">
        <f>G7/(C8*C9)</f>
        <v>#REF!</v>
      </c>
    </row>
    <row r="7" spans="2:7">
      <c r="B7" s="1403" t="s">
        <v>1783</v>
      </c>
      <c r="C7" s="1408">
        <f>'BD-NET'!Q114</f>
        <v>8.1942000000000001E-2</v>
      </c>
      <c r="D7" s="1405"/>
      <c r="F7" s="1401" t="s">
        <v>1784</v>
      </c>
      <c r="G7" s="1409">
        <f>12*(20000*C6+10000*C5)</f>
        <v>0</v>
      </c>
    </row>
    <row r="8" spans="2:7">
      <c r="B8" s="1403" t="s">
        <v>1785</v>
      </c>
      <c r="C8" s="1410" t="e">
        <f>C24</f>
        <v>#REF!</v>
      </c>
      <c r="D8" s="1411" t="s">
        <v>1786</v>
      </c>
    </row>
    <row r="9" spans="2:7">
      <c r="B9" s="1403" t="s">
        <v>1787</v>
      </c>
      <c r="C9" s="1412"/>
      <c r="D9" s="1405"/>
    </row>
    <row r="10" spans="2:7">
      <c r="B10" s="1403" t="s">
        <v>1788</v>
      </c>
      <c r="C10" s="1413" t="e">
        <f>F14</f>
        <v>#REF!</v>
      </c>
      <c r="D10" s="1405"/>
    </row>
    <row r="12" spans="2:7">
      <c r="B12" s="435" t="s">
        <v>1789</v>
      </c>
      <c r="C12" s="435" t="s">
        <v>725</v>
      </c>
      <c r="D12" s="435" t="s">
        <v>1790</v>
      </c>
      <c r="E12" s="435" t="s">
        <v>1791</v>
      </c>
      <c r="F12" s="435" t="s">
        <v>1792</v>
      </c>
    </row>
    <row r="13" spans="2:7" ht="13.5" thickBot="1">
      <c r="B13" s="1403" t="s">
        <v>1793</v>
      </c>
      <c r="C13" s="1414" t="e">
        <f>C38</f>
        <v>#REF!</v>
      </c>
      <c r="D13" s="1403"/>
      <c r="E13" s="1403"/>
      <c r="F13" s="1415"/>
    </row>
    <row r="14" spans="2:7" ht="13.5" thickBot="1">
      <c r="B14" s="1403" t="s">
        <v>1794</v>
      </c>
      <c r="C14" s="1414" t="e">
        <f>(C32+E55)*($C$38/$C$35)</f>
        <v>#REF!</v>
      </c>
      <c r="D14" s="1416" t="e">
        <f>$C$17*(C14/($C$14+$C$15+$C$16))</f>
        <v>#REF!</v>
      </c>
      <c r="E14" s="1417" t="e">
        <f>C14-D14</f>
        <v>#REF!</v>
      </c>
      <c r="F14" s="458" t="e">
        <f>E14/$C$13</f>
        <v>#REF!</v>
      </c>
      <c r="G14" s="459" t="s">
        <v>1795</v>
      </c>
    </row>
    <row r="15" spans="2:7">
      <c r="B15" s="1403" t="s">
        <v>1796</v>
      </c>
      <c r="C15" s="1414" t="e">
        <f>C27*($C$38/$C$35)</f>
        <v>#REF!</v>
      </c>
      <c r="D15" s="1416" t="e">
        <f>$C$17*(C15/($C$14+$C$15+$C$16))</f>
        <v>#REF!</v>
      </c>
      <c r="E15" s="1416" t="e">
        <f>C15-D15</f>
        <v>#REF!</v>
      </c>
      <c r="F15" s="1418" t="e">
        <f>E15/$C$13</f>
        <v>#REF!</v>
      </c>
    </row>
    <row r="16" spans="2:7">
      <c r="B16" s="1403" t="s">
        <v>1797</v>
      </c>
      <c r="C16" s="1414" t="e">
        <f>(C33+D54)*($C$38/$C$35)</f>
        <v>#REF!</v>
      </c>
      <c r="D16" s="1416" t="e">
        <f>$C$17*(C16/($C$14+$C$15+$C$16))</f>
        <v>#REF!</v>
      </c>
      <c r="E16" s="1416" t="e">
        <f>C16-D16</f>
        <v>#REF!</v>
      </c>
      <c r="F16" s="1419" t="e">
        <f>E16/$C$13</f>
        <v>#REF!</v>
      </c>
    </row>
    <row r="17" spans="2:6">
      <c r="B17" s="1403" t="s">
        <v>1798</v>
      </c>
      <c r="C17" s="1414" t="e">
        <f>C39</f>
        <v>#REF!</v>
      </c>
      <c r="D17" s="1403"/>
      <c r="E17" s="1403"/>
      <c r="F17" s="1420" t="e">
        <f>C17/C13</f>
        <v>#REF!</v>
      </c>
    </row>
    <row r="18" spans="2:6">
      <c r="D18" s="440" t="e">
        <f>SUM(D14:D17)</f>
        <v>#REF!</v>
      </c>
      <c r="F18" s="1421" t="e">
        <f>SUM(F14:F17)</f>
        <v>#REF!</v>
      </c>
    </row>
    <row r="19" spans="2:6">
      <c r="B19" s="431" t="s">
        <v>1799</v>
      </c>
    </row>
    <row r="20" spans="2:6">
      <c r="B20" s="431"/>
    </row>
    <row r="21" spans="2:6">
      <c r="B21" s="1422" t="s">
        <v>1800</v>
      </c>
      <c r="C21" s="1423" t="e">
        <f>LnkTxtPBCAOMCAA</f>
        <v>#NAME?</v>
      </c>
    </row>
    <row r="22" spans="2:6">
      <c r="B22" s="432" t="s">
        <v>1801</v>
      </c>
      <c r="C22" s="433">
        <v>1.15E-2</v>
      </c>
    </row>
    <row r="23" spans="2:6">
      <c r="B23" s="432" t="s">
        <v>1802</v>
      </c>
      <c r="C23" s="433">
        <v>0</v>
      </c>
    </row>
    <row r="24" spans="2:6">
      <c r="B24" s="1422" t="s">
        <v>1803</v>
      </c>
      <c r="C24" s="1423" t="e">
        <f>#REF!+#REF!</f>
        <v>#REF!</v>
      </c>
    </row>
    <row r="27" spans="2:6">
      <c r="B27" s="1422" t="s">
        <v>1804</v>
      </c>
      <c r="C27" s="1423" t="e">
        <f>#REF!</f>
        <v>#REF!</v>
      </c>
    </row>
    <row r="28" spans="2:6">
      <c r="B28" s="432" t="s">
        <v>1805</v>
      </c>
      <c r="C28" s="438" t="e">
        <f>#REF!</f>
        <v>#REF!</v>
      </c>
    </row>
    <row r="29" spans="2:6">
      <c r="B29" s="432" t="s">
        <v>1806</v>
      </c>
      <c r="C29" s="438"/>
    </row>
    <row r="30" spans="2:6">
      <c r="B30" s="432" t="s">
        <v>1807</v>
      </c>
      <c r="C30" s="438" t="e">
        <f>#REF!</f>
        <v>#REF!</v>
      </c>
    </row>
    <row r="31" spans="2:6">
      <c r="B31" s="1422" t="s">
        <v>1808</v>
      </c>
      <c r="C31" s="1423" t="e">
        <f>#REF!</f>
        <v>#REF!</v>
      </c>
    </row>
    <row r="32" spans="2:6">
      <c r="B32" s="432" t="s">
        <v>1809</v>
      </c>
      <c r="C32" s="438" t="e">
        <f>#REF!</f>
        <v>#REF!</v>
      </c>
    </row>
    <row r="33" spans="2:4">
      <c r="B33" s="432" t="s">
        <v>1810</v>
      </c>
      <c r="C33" s="438" t="e">
        <f>#REF!</f>
        <v>#REF!</v>
      </c>
    </row>
    <row r="34" spans="2:4">
      <c r="B34" s="432" t="s">
        <v>1811</v>
      </c>
      <c r="C34" s="438" t="e">
        <f>#REF!</f>
        <v>#REF!</v>
      </c>
    </row>
    <row r="35" spans="2:4">
      <c r="B35" s="1422" t="s">
        <v>1800</v>
      </c>
      <c r="C35" s="1423" t="e">
        <f>C21</f>
        <v>#NAME?</v>
      </c>
    </row>
    <row r="36" spans="2:4">
      <c r="B36" s="432" t="s">
        <v>1801</v>
      </c>
      <c r="C36" s="433">
        <f>C22</f>
        <v>1.15E-2</v>
      </c>
    </row>
    <row r="37" spans="2:4">
      <c r="B37" s="432" t="s">
        <v>1802</v>
      </c>
      <c r="C37" s="433">
        <f>C23</f>
        <v>0</v>
      </c>
    </row>
    <row r="38" spans="2:4">
      <c r="B38" s="1422" t="s">
        <v>1803</v>
      </c>
      <c r="C38" s="1423" t="e">
        <f>C24</f>
        <v>#REF!</v>
      </c>
    </row>
    <row r="39" spans="2:4">
      <c r="B39" s="432" t="s">
        <v>1812</v>
      </c>
      <c r="C39" s="438" t="e">
        <f>#REF!</f>
        <v>#REF!</v>
      </c>
    </row>
    <row r="40" spans="2:4">
      <c r="B40" s="1424" t="s">
        <v>1813</v>
      </c>
      <c r="C40" s="1425" t="e">
        <f>#REF!</f>
        <v>#REF!</v>
      </c>
    </row>
    <row r="42" spans="2:4" ht="15" customHeight="1"/>
    <row r="43" spans="2:4">
      <c r="B43" s="431"/>
    </row>
    <row r="45" spans="2:4">
      <c r="B45" s="449"/>
      <c r="C45" s="449"/>
      <c r="D45" s="452"/>
    </row>
    <row r="46" spans="2:4">
      <c r="B46" s="450"/>
      <c r="C46" s="450"/>
    </row>
    <row r="47" spans="2:4">
      <c r="B47" s="65"/>
      <c r="C47" s="451"/>
      <c r="D47" s="453"/>
    </row>
    <row r="48" spans="2:4">
      <c r="B48" s="65"/>
      <c r="C48" s="451"/>
      <c r="D48" s="453"/>
    </row>
    <row r="49" spans="2:6">
      <c r="B49" s="65"/>
      <c r="C49" s="451"/>
      <c r="D49" s="453"/>
    </row>
    <row r="50" spans="2:6">
      <c r="B50" s="65"/>
      <c r="C50" s="451"/>
      <c r="D50" s="442"/>
    </row>
    <row r="51" spans="2:6">
      <c r="B51" s="65"/>
      <c r="C51" s="451"/>
      <c r="D51" s="454"/>
      <c r="E51" s="442"/>
    </row>
    <row r="52" spans="2:6">
      <c r="B52" s="65"/>
      <c r="C52" s="451"/>
      <c r="D52" s="454"/>
      <c r="E52" s="443"/>
      <c r="F52" s="444"/>
    </row>
    <row r="53" spans="2:6">
      <c r="B53" s="65"/>
      <c r="C53" s="451"/>
      <c r="D53" s="454"/>
      <c r="E53" s="443"/>
      <c r="F53" s="441"/>
    </row>
    <row r="54" spans="2:6">
      <c r="B54" s="455"/>
      <c r="C54" s="456"/>
      <c r="D54" s="457"/>
      <c r="E54" s="443"/>
      <c r="F54" s="441"/>
    </row>
    <row r="55" spans="2:6">
      <c r="E55" s="445"/>
      <c r="F55" s="44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23" customWidth="1"/>
    <col min="2" max="2" width="33.28515625" style="423" customWidth="1"/>
    <col min="3" max="3" width="21" style="423" customWidth="1"/>
    <col min="4" max="4" width="31.7109375" style="423" bestFit="1" customWidth="1"/>
    <col min="5" max="5" width="48.140625" style="423" customWidth="1"/>
    <col min="6" max="6" width="45.5703125" style="423" customWidth="1"/>
    <col min="7" max="7" width="7.7109375" style="423" customWidth="1"/>
    <col min="8" max="8" width="30.42578125" style="423" bestFit="1" customWidth="1"/>
    <col min="9" max="10" width="9.140625" style="423"/>
    <col min="11" max="11" width="11.140625" style="423" customWidth="1"/>
    <col min="12" max="16384" width="9.140625" style="423"/>
  </cols>
  <sheetData>
    <row r="1" spans="2:17">
      <c r="C1" s="424"/>
      <c r="D1" s="425"/>
    </row>
    <row r="2" spans="2:17">
      <c r="B2" s="426" t="s">
        <v>1814</v>
      </c>
      <c r="C2" s="427"/>
      <c r="H2" s="428" t="s">
        <v>1815</v>
      </c>
    </row>
    <row r="3" spans="2:17">
      <c r="B3" s="1426" t="s">
        <v>1776</v>
      </c>
      <c r="C3" s="1426" t="s">
        <v>1777</v>
      </c>
      <c r="D3" s="1427" t="s">
        <v>856</v>
      </c>
      <c r="E3" s="1427" t="s">
        <v>1816</v>
      </c>
      <c r="F3" s="1427" t="s">
        <v>1817</v>
      </c>
      <c r="H3" s="428" t="s">
        <v>1818</v>
      </c>
      <c r="M3" s="423" t="s">
        <v>1819</v>
      </c>
      <c r="O3" s="423" t="s">
        <v>1819</v>
      </c>
      <c r="P3" s="423" t="s">
        <v>1819</v>
      </c>
    </row>
    <row r="4" spans="2:17">
      <c r="B4" s="1428" t="s">
        <v>1820</v>
      </c>
      <c r="C4" s="1429" t="e">
        <f>12*C5*(1-$E$13)*1/$E$16</f>
        <v>#DIV/0!</v>
      </c>
      <c r="D4" s="1405" t="s">
        <v>1821</v>
      </c>
      <c r="E4" s="1405"/>
      <c r="F4" s="1405"/>
      <c r="H4" s="1426" t="s">
        <v>1822</v>
      </c>
      <c r="I4" s="1426" t="s">
        <v>1823</v>
      </c>
      <c r="J4" s="1426" t="s">
        <v>1824</v>
      </c>
      <c r="K4" s="1426" t="s">
        <v>1825</v>
      </c>
      <c r="L4" s="1426" t="s">
        <v>1826</v>
      </c>
      <c r="M4" s="1426" t="s">
        <v>897</v>
      </c>
      <c r="N4" s="1426" t="s">
        <v>533</v>
      </c>
      <c r="O4" s="1426" t="s">
        <v>537</v>
      </c>
      <c r="P4" s="1426" t="s">
        <v>535</v>
      </c>
      <c r="Q4" s="1426" t="s">
        <v>538</v>
      </c>
    </row>
    <row r="5" spans="2:17">
      <c r="B5" s="1428" t="s">
        <v>1781</v>
      </c>
      <c r="C5" s="1430"/>
      <c r="D5" s="1405"/>
      <c r="E5" s="1405"/>
      <c r="F5" s="1405" t="s">
        <v>1827</v>
      </c>
      <c r="H5" s="1428" t="s">
        <v>1820</v>
      </c>
      <c r="I5" s="1429" t="e">
        <f t="shared" ref="I5:Q5" si="0">12*I6*(1-$E$13)*1/$E$16</f>
        <v>#DIV/0!</v>
      </c>
      <c r="J5" s="1429" t="e">
        <f t="shared" si="0"/>
        <v>#DIV/0!</v>
      </c>
      <c r="K5" s="1429" t="e">
        <f t="shared" si="0"/>
        <v>#DIV/0!</v>
      </c>
      <c r="L5" s="1429" t="e">
        <f t="shared" si="0"/>
        <v>#DIV/0!</v>
      </c>
      <c r="M5" s="1429" t="e">
        <f t="shared" si="0"/>
        <v>#DIV/0!</v>
      </c>
      <c r="N5" s="1429" t="e">
        <f t="shared" si="0"/>
        <v>#DIV/0!</v>
      </c>
      <c r="O5" s="1429" t="e">
        <f t="shared" si="0"/>
        <v>#DIV/0!</v>
      </c>
      <c r="P5" s="1429" t="e">
        <f t="shared" si="0"/>
        <v>#DIV/0!</v>
      </c>
      <c r="Q5" s="1429" t="e">
        <f t="shared" si="0"/>
        <v>#DIV/0!</v>
      </c>
    </row>
    <row r="6" spans="2:17">
      <c r="B6" s="1428" t="s">
        <v>1828</v>
      </c>
      <c r="C6" s="1431"/>
      <c r="D6" s="1405" t="s">
        <v>1829</v>
      </c>
      <c r="E6" s="1405"/>
      <c r="F6" s="1432"/>
      <c r="H6" s="1428" t="s">
        <v>1781</v>
      </c>
      <c r="I6" s="1433"/>
      <c r="J6" s="1433"/>
      <c r="K6" s="1433"/>
      <c r="L6" s="1433"/>
      <c r="M6" s="1404"/>
      <c r="N6" s="1434"/>
      <c r="O6" s="1404"/>
      <c r="P6" s="1404"/>
      <c r="Q6" s="1404"/>
    </row>
    <row r="7" spans="2:17">
      <c r="B7" s="1428" t="s">
        <v>1830</v>
      </c>
      <c r="C7" s="1431"/>
      <c r="D7" s="1405" t="s">
        <v>1831</v>
      </c>
      <c r="E7" s="1405"/>
      <c r="F7" s="1432"/>
      <c r="H7" s="1428" t="s">
        <v>1828</v>
      </c>
      <c r="I7" s="1869">
        <f>C6</f>
        <v>0</v>
      </c>
      <c r="J7" s="1870"/>
      <c r="K7" s="1870"/>
      <c r="L7" s="1870"/>
      <c r="M7" s="1870"/>
      <c r="N7" s="1870"/>
      <c r="O7" s="1870"/>
      <c r="P7" s="1870"/>
      <c r="Q7" s="1871"/>
    </row>
    <row r="8" spans="2:17">
      <c r="B8" s="1428" t="s">
        <v>1832</v>
      </c>
      <c r="C8" s="1435"/>
      <c r="D8" s="1405" t="s">
        <v>1833</v>
      </c>
      <c r="E8" s="1405" t="s">
        <v>1834</v>
      </c>
      <c r="F8" s="1436"/>
      <c r="G8" s="429"/>
      <c r="H8" s="1428" t="s">
        <v>1832</v>
      </c>
      <c r="I8" s="1872">
        <f>C8</f>
        <v>0</v>
      </c>
      <c r="J8" s="1873"/>
      <c r="K8" s="1873"/>
      <c r="L8" s="1873"/>
      <c r="M8" s="1873"/>
      <c r="N8" s="1873"/>
      <c r="O8" s="1873"/>
      <c r="P8" s="1873"/>
      <c r="Q8" s="1874"/>
    </row>
    <row r="9" spans="2:17">
      <c r="B9" s="1428" t="s">
        <v>1835</v>
      </c>
      <c r="C9" s="1431"/>
      <c r="D9" s="1405" t="s">
        <v>1836</v>
      </c>
      <c r="E9" s="1405"/>
      <c r="F9" s="1436"/>
      <c r="H9" s="1428" t="s">
        <v>1835</v>
      </c>
      <c r="I9" s="1869">
        <f>C9</f>
        <v>0</v>
      </c>
      <c r="J9" s="1870"/>
      <c r="K9" s="1870"/>
      <c r="L9" s="1870"/>
      <c r="M9" s="1870"/>
      <c r="N9" s="1870"/>
      <c r="O9" s="1870"/>
      <c r="P9" s="1870"/>
      <c r="Q9" s="1871"/>
    </row>
    <row r="10" spans="2:17">
      <c r="B10" s="1428" t="s">
        <v>1837</v>
      </c>
      <c r="C10" s="1435"/>
      <c r="D10" s="1405" t="s">
        <v>1838</v>
      </c>
      <c r="E10" s="1405" t="s">
        <v>1839</v>
      </c>
      <c r="F10" s="1436"/>
      <c r="G10" s="429"/>
      <c r="H10" s="1428" t="s">
        <v>1837</v>
      </c>
      <c r="I10" s="1875">
        <f>C10</f>
        <v>0</v>
      </c>
      <c r="J10" s="1876"/>
      <c r="K10" s="1876"/>
      <c r="L10" s="1876"/>
      <c r="M10" s="1876"/>
      <c r="N10" s="1876"/>
      <c r="O10" s="1876"/>
      <c r="P10" s="1876"/>
      <c r="Q10" s="1877"/>
    </row>
    <row r="12" spans="2:17">
      <c r="D12" s="426" t="s">
        <v>1840</v>
      </c>
    </row>
    <row r="13" spans="2:17">
      <c r="D13" s="1401" t="s">
        <v>1841</v>
      </c>
      <c r="E13" s="1437" t="e">
        <f>C10/C8</f>
        <v>#DIV/0!</v>
      </c>
      <c r="H13" s="428" t="s">
        <v>1842</v>
      </c>
      <c r="M13" s="430">
        <v>4.2321999999999997</v>
      </c>
    </row>
    <row r="14" spans="2:17">
      <c r="D14" s="1401" t="s">
        <v>1843</v>
      </c>
      <c r="E14" s="1438" t="e">
        <f>1/C9</f>
        <v>#DIV/0!</v>
      </c>
      <c r="H14" s="428" t="s">
        <v>1844</v>
      </c>
      <c r="M14" s="423">
        <v>1.01916916988504</v>
      </c>
    </row>
    <row r="15" spans="2:17">
      <c r="D15" s="1401" t="s">
        <v>1845</v>
      </c>
      <c r="E15" s="1439">
        <f>ROUND(C6/(1-C7),4)</f>
        <v>0</v>
      </c>
      <c r="H15" s="428" t="s">
        <v>1846</v>
      </c>
      <c r="M15" s="423">
        <f>M13*M14</f>
        <v>4.313327760787466</v>
      </c>
    </row>
    <row r="16" spans="2:17">
      <c r="D16" s="1401" t="s">
        <v>1780</v>
      </c>
      <c r="E16" s="1440" t="e">
        <f>(((1+E15)^E14)*E15)/((1+E15)^E14-1)</f>
        <v>#DIV/0!</v>
      </c>
      <c r="H16" s="428" t="s">
        <v>1847</v>
      </c>
      <c r="M16" s="423">
        <v>0.3</v>
      </c>
    </row>
    <row r="17" spans="2:13">
      <c r="H17" s="428" t="s">
        <v>1848</v>
      </c>
      <c r="M17" s="423">
        <v>0.4</v>
      </c>
    </row>
    <row r="18" spans="2:13">
      <c r="H18" s="428" t="s">
        <v>1849</v>
      </c>
      <c r="M18" s="423">
        <v>0</v>
      </c>
    </row>
    <row r="20" spans="2:13">
      <c r="B20" s="1422" t="s">
        <v>1800</v>
      </c>
      <c r="C20" s="1423" t="e">
        <f>'REN 473'!C21</f>
        <v>#NAME?</v>
      </c>
      <c r="E20" s="431" t="s">
        <v>1850</v>
      </c>
      <c r="F20" s="431"/>
    </row>
    <row r="21" spans="2:13">
      <c r="B21" s="432" t="s">
        <v>1801</v>
      </c>
      <c r="C21" s="433">
        <f>'REN 473'!C22</f>
        <v>1.15E-2</v>
      </c>
      <c r="E21" s="434" t="s">
        <v>778</v>
      </c>
      <c r="F21" s="435" t="s">
        <v>37</v>
      </c>
    </row>
    <row r="22" spans="2:13">
      <c r="B22" s="432" t="s">
        <v>1802</v>
      </c>
      <c r="C22" s="433">
        <f>'REN 473'!C23</f>
        <v>0</v>
      </c>
      <c r="E22" s="436" t="s">
        <v>1851</v>
      </c>
      <c r="F22" s="437"/>
    </row>
    <row r="23" spans="2:13">
      <c r="B23" s="1422" t="s">
        <v>1803</v>
      </c>
      <c r="C23" s="1423" t="e">
        <f>'REN 473'!C24</f>
        <v>#REF!</v>
      </c>
      <c r="E23" s="436" t="s">
        <v>1852</v>
      </c>
      <c r="F23" s="437"/>
    </row>
    <row r="24" spans="2:13">
      <c r="E24" s="436" t="s">
        <v>1853</v>
      </c>
      <c r="F24" s="437"/>
    </row>
    <row r="25" spans="2:13">
      <c r="B25" s="1422" t="s">
        <v>1804</v>
      </c>
      <c r="C25" s="1441"/>
      <c r="E25" s="436" t="s">
        <v>1854</v>
      </c>
      <c r="F25" s="437"/>
    </row>
    <row r="26" spans="2:13">
      <c r="B26" s="432" t="s">
        <v>1805</v>
      </c>
      <c r="C26" s="460"/>
      <c r="E26" s="1442" t="s">
        <v>1855</v>
      </c>
      <c r="F26" s="1443"/>
    </row>
    <row r="27" spans="2:13">
      <c r="B27" s="432" t="s">
        <v>1806</v>
      </c>
      <c r="C27" s="460"/>
      <c r="E27" s="436" t="s">
        <v>1856</v>
      </c>
      <c r="F27" s="439"/>
    </row>
    <row r="28" spans="2:13">
      <c r="B28" s="1424" t="s">
        <v>1807</v>
      </c>
      <c r="C28" s="1444"/>
      <c r="E28" s="1442" t="s">
        <v>1857</v>
      </c>
      <c r="F28" s="1443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1858</v>
      </c>
      <c r="C2" s="9" t="s">
        <v>37</v>
      </c>
    </row>
    <row r="3" spans="2:3">
      <c r="B3" s="64" t="s">
        <v>1859</v>
      </c>
      <c r="C3" t="e">
        <f t="shared" ref="C3:C66" ca="1" si="0">INDIRECT(B3)</f>
        <v>#REF!</v>
      </c>
    </row>
    <row r="4" spans="2:3">
      <c r="B4" s="64" t="s">
        <v>1860</v>
      </c>
      <c r="C4" t="e">
        <f t="shared" ca="1" si="0"/>
        <v>#REF!</v>
      </c>
    </row>
    <row r="5" spans="2:3">
      <c r="B5" s="64" t="s">
        <v>1861</v>
      </c>
      <c r="C5" t="e">
        <f t="shared" ca="1" si="0"/>
        <v>#REF!</v>
      </c>
    </row>
    <row r="6" spans="2:3">
      <c r="B6" s="64" t="s">
        <v>1862</v>
      </c>
      <c r="C6" t="e">
        <f t="shared" ca="1" si="0"/>
        <v>#REF!</v>
      </c>
    </row>
    <row r="7" spans="2:3">
      <c r="B7" s="64" t="s">
        <v>1863</v>
      </c>
      <c r="C7" t="e">
        <f t="shared" ca="1" si="0"/>
        <v>#REF!</v>
      </c>
    </row>
    <row r="8" spans="2:3">
      <c r="B8" s="64" t="s">
        <v>1864</v>
      </c>
      <c r="C8" t="e">
        <f t="shared" ca="1" si="0"/>
        <v>#REF!</v>
      </c>
    </row>
    <row r="9" spans="2:3">
      <c r="B9" s="64" t="s">
        <v>1865</v>
      </c>
      <c r="C9" t="e">
        <f t="shared" ca="1" si="0"/>
        <v>#REF!</v>
      </c>
    </row>
    <row r="10" spans="2:3">
      <c r="B10" s="64" t="s">
        <v>1866</v>
      </c>
      <c r="C10" t="e">
        <f t="shared" ca="1" si="0"/>
        <v>#REF!</v>
      </c>
    </row>
    <row r="11" spans="2:3">
      <c r="B11" s="64" t="s">
        <v>1867</v>
      </c>
      <c r="C11" t="e">
        <f t="shared" ca="1" si="0"/>
        <v>#REF!</v>
      </c>
    </row>
    <row r="12" spans="2:3">
      <c r="B12" s="63" t="s">
        <v>1868</v>
      </c>
      <c r="C12" t="e">
        <f t="shared" ca="1" si="0"/>
        <v>#REF!</v>
      </c>
    </row>
    <row r="13" spans="2:3">
      <c r="B13" s="63" t="s">
        <v>1869</v>
      </c>
      <c r="C13" t="e">
        <f t="shared" ca="1" si="0"/>
        <v>#REF!</v>
      </c>
    </row>
    <row r="14" spans="2:3">
      <c r="B14" s="63" t="s">
        <v>1870</v>
      </c>
      <c r="C14">
        <f t="shared" ca="1" si="0"/>
        <v>2022</v>
      </c>
    </row>
    <row r="15" spans="2:3">
      <c r="B15" s="63" t="s">
        <v>1871</v>
      </c>
      <c r="C15">
        <f t="shared" ca="1" si="0"/>
        <v>2022</v>
      </c>
    </row>
    <row r="16" spans="2:3">
      <c r="B16" s="63" t="s">
        <v>1872</v>
      </c>
      <c r="C16">
        <f t="shared" ca="1" si="0"/>
        <v>44834</v>
      </c>
    </row>
    <row r="17" spans="2:3">
      <c r="B17" s="63" t="s">
        <v>1873</v>
      </c>
      <c r="C17">
        <f t="shared" ca="1" si="0"/>
        <v>11101.367000000004</v>
      </c>
    </row>
    <row r="18" spans="2:3">
      <c r="B18" s="63" t="s">
        <v>1874</v>
      </c>
      <c r="C18">
        <f t="shared" ca="1" si="0"/>
        <v>0</v>
      </c>
    </row>
    <row r="19" spans="2:3">
      <c r="B19" s="63" t="s">
        <v>1875</v>
      </c>
      <c r="C19">
        <f t="shared" ca="1" si="0"/>
        <v>8123.6500000000042</v>
      </c>
    </row>
    <row r="20" spans="2:3">
      <c r="B20" s="63" t="s">
        <v>1876</v>
      </c>
      <c r="C20" t="e">
        <f t="shared" ca="1" si="0"/>
        <v>#VALUE!</v>
      </c>
    </row>
    <row r="21" spans="2:3">
      <c r="B21" s="63" t="s">
        <v>1877</v>
      </c>
      <c r="C21">
        <f t="shared" ca="1" si="0"/>
        <v>5366</v>
      </c>
    </row>
    <row r="22" spans="2:3">
      <c r="B22" s="63" t="s">
        <v>1066</v>
      </c>
      <c r="C22">
        <f t="shared" ca="1" si="0"/>
        <v>202</v>
      </c>
    </row>
    <row r="23" spans="2:3">
      <c r="B23" s="63" t="s">
        <v>1878</v>
      </c>
      <c r="C23">
        <f t="shared" ca="1" si="0"/>
        <v>0.1188</v>
      </c>
    </row>
    <row r="24" spans="2:3">
      <c r="B24" s="63" t="s">
        <v>1879</v>
      </c>
      <c r="C24" t="e">
        <f t="shared" ca="1" si="0"/>
        <v>#REF!</v>
      </c>
    </row>
    <row r="25" spans="2:3">
      <c r="B25" s="63" t="s">
        <v>1880</v>
      </c>
      <c r="C25">
        <f t="shared" ca="1" si="0"/>
        <v>10902.100999999999</v>
      </c>
    </row>
    <row r="26" spans="2:3">
      <c r="B26" s="63" t="s">
        <v>1881</v>
      </c>
      <c r="C26">
        <f t="shared" ca="1" si="0"/>
        <v>0</v>
      </c>
    </row>
    <row r="27" spans="2:3">
      <c r="B27" s="63" t="s">
        <v>1882</v>
      </c>
      <c r="C27" t="e">
        <f t="shared" ca="1" si="0"/>
        <v>#REF!</v>
      </c>
    </row>
    <row r="28" spans="2:3">
      <c r="B28" s="63" t="s">
        <v>1883</v>
      </c>
      <c r="C28" t="e">
        <f t="shared" ca="1" si="0"/>
        <v>#REF!</v>
      </c>
    </row>
    <row r="29" spans="2:3">
      <c r="B29" s="63" t="s">
        <v>1884</v>
      </c>
      <c r="C29">
        <f t="shared" ca="1" si="0"/>
        <v>0</v>
      </c>
    </row>
    <row r="30" spans="2:3">
      <c r="B30" s="63" t="s">
        <v>1885</v>
      </c>
      <c r="C30">
        <f t="shared" ca="1" si="0"/>
        <v>3908</v>
      </c>
    </row>
    <row r="31" spans="2:3">
      <c r="B31" s="63" t="s">
        <v>1886</v>
      </c>
      <c r="C31">
        <f t="shared" ca="1" si="0"/>
        <v>44834</v>
      </c>
    </row>
    <row r="32" spans="2:3">
      <c r="B32" s="63" t="s">
        <v>1887</v>
      </c>
      <c r="C32" t="e">
        <f t="shared" ca="1" si="0"/>
        <v>#REF!</v>
      </c>
    </row>
    <row r="33" spans="2:3">
      <c r="B33" s="63" t="s">
        <v>1888</v>
      </c>
      <c r="C33">
        <f t="shared" ca="1" si="0"/>
        <v>0.22257571377324095</v>
      </c>
    </row>
    <row r="34" spans="2:3">
      <c r="B34" s="63" t="s">
        <v>1889</v>
      </c>
      <c r="C34" t="e">
        <f t="shared" ca="1" si="0"/>
        <v>#REF!</v>
      </c>
    </row>
    <row r="35" spans="2:3">
      <c r="B35" s="63" t="s">
        <v>1890</v>
      </c>
      <c r="C35">
        <f t="shared" ca="1" si="0"/>
        <v>0</v>
      </c>
    </row>
    <row r="36" spans="2:3">
      <c r="B36" s="63" t="s">
        <v>1891</v>
      </c>
      <c r="C36" t="e">
        <f t="shared" ca="1" si="0"/>
        <v>#REF!</v>
      </c>
    </row>
    <row r="37" spans="2:3">
      <c r="B37" s="63" t="s">
        <v>1892</v>
      </c>
      <c r="C37" t="e">
        <f t="shared" ca="1" si="0"/>
        <v>#REF!</v>
      </c>
    </row>
    <row r="38" spans="2:3">
      <c r="B38" s="64" t="s">
        <v>1893</v>
      </c>
      <c r="C38" t="e">
        <f t="shared" ca="1" si="0"/>
        <v>#REF!</v>
      </c>
    </row>
    <row r="39" spans="2:3">
      <c r="B39" s="63" t="s">
        <v>1894</v>
      </c>
      <c r="C39" t="e">
        <f t="shared" ca="1" si="0"/>
        <v>#REF!</v>
      </c>
    </row>
    <row r="40" spans="2:3">
      <c r="B40" s="63" t="s">
        <v>1895</v>
      </c>
      <c r="C40" t="e">
        <f t="shared" ca="1" si="0"/>
        <v>#REF!</v>
      </c>
    </row>
    <row r="41" spans="2:3">
      <c r="B41" s="63" t="s">
        <v>1896</v>
      </c>
      <c r="C41">
        <f t="shared" ca="1" si="0"/>
        <v>0.13960279381483365</v>
      </c>
    </row>
    <row r="42" spans="2:3">
      <c r="B42" s="63" t="s">
        <v>1897</v>
      </c>
      <c r="C42">
        <f t="shared" ca="1" si="0"/>
        <v>0.16443514661160497</v>
      </c>
    </row>
    <row r="43" spans="2:3">
      <c r="B43" s="63" t="s">
        <v>1898</v>
      </c>
      <c r="C43">
        <f t="shared" ca="1" si="0"/>
        <v>0.11593202695126559</v>
      </c>
    </row>
    <row r="44" spans="2:3">
      <c r="B44" s="63" t="s">
        <v>1899</v>
      </c>
      <c r="C44" t="e">
        <f t="shared" ca="1" si="0"/>
        <v>#REF!</v>
      </c>
    </row>
    <row r="45" spans="2:3">
      <c r="B45" s="63" t="s">
        <v>1900</v>
      </c>
      <c r="C45" t="e">
        <f t="shared" ca="1" si="0"/>
        <v>#REF!</v>
      </c>
    </row>
    <row r="46" spans="2:3">
      <c r="B46" s="63" t="s">
        <v>1901</v>
      </c>
      <c r="C46" t="e">
        <f t="shared" ca="1" si="0"/>
        <v>#REF!</v>
      </c>
    </row>
    <row r="47" spans="2:3">
      <c r="B47" s="63" t="s">
        <v>1902</v>
      </c>
      <c r="C47">
        <f t="shared" ca="1" si="0"/>
        <v>0.13960279381483365</v>
      </c>
    </row>
    <row r="48" spans="2:3">
      <c r="B48" s="63" t="s">
        <v>1903</v>
      </c>
      <c r="C48">
        <f t="shared" ca="1" si="0"/>
        <v>0</v>
      </c>
    </row>
    <row r="49" spans="2:3">
      <c r="B49" s="63" t="s">
        <v>1904</v>
      </c>
      <c r="C49">
        <f t="shared" ca="1" si="0"/>
        <v>12598.010667271907</v>
      </c>
    </row>
    <row r="50" spans="2:3">
      <c r="B50" s="63" t="s">
        <v>1905</v>
      </c>
      <c r="C50">
        <f t="shared" ca="1" si="0"/>
        <v>0.28010000000000002</v>
      </c>
    </row>
    <row r="51" spans="2:3">
      <c r="B51" s="63" t="s">
        <v>1906</v>
      </c>
      <c r="C51">
        <f t="shared" ca="1" si="0"/>
        <v>11101.367000000004</v>
      </c>
    </row>
    <row r="52" spans="2:3">
      <c r="B52" s="63" t="s">
        <v>1907</v>
      </c>
      <c r="C52">
        <f t="shared" ca="1" si="0"/>
        <v>11101.367000000004</v>
      </c>
    </row>
    <row r="53" spans="2:3">
      <c r="B53" s="63" t="s">
        <v>1908</v>
      </c>
      <c r="C53">
        <f t="shared" ca="1" si="0"/>
        <v>0</v>
      </c>
    </row>
    <row r="54" spans="2:3">
      <c r="B54" s="63" t="s">
        <v>1909</v>
      </c>
      <c r="C54">
        <f t="shared" ca="1" si="0"/>
        <v>0.28629889458884245</v>
      </c>
    </row>
    <row r="55" spans="2:3">
      <c r="B55" s="63" t="s">
        <v>1910</v>
      </c>
      <c r="C55">
        <f t="shared" ca="1" si="0"/>
        <v>0</v>
      </c>
    </row>
    <row r="56" spans="2:3">
      <c r="B56" s="63" t="s">
        <v>1911</v>
      </c>
      <c r="C56">
        <f t="shared" ca="1" si="0"/>
        <v>0</v>
      </c>
    </row>
    <row r="57" spans="2:3">
      <c r="B57" s="63" t="s">
        <v>1912</v>
      </c>
      <c r="C57">
        <f t="shared" ca="1" si="0"/>
        <v>0.20355729250022073</v>
      </c>
    </row>
    <row r="58" spans="2:3">
      <c r="B58" s="63" t="s">
        <v>1913</v>
      </c>
      <c r="C58">
        <f t="shared" ca="1" si="0"/>
        <v>8.727291292620043E-2</v>
      </c>
    </row>
    <row r="59" spans="2:3">
      <c r="B59" s="63" t="s">
        <v>1914</v>
      </c>
      <c r="C59">
        <f t="shared" ca="1" si="0"/>
        <v>0</v>
      </c>
    </row>
    <row r="60" spans="2:3">
      <c r="B60" s="63" t="s">
        <v>1915</v>
      </c>
      <c r="C60" t="e">
        <f t="shared" ca="1" si="0"/>
        <v>#REF!</v>
      </c>
    </row>
    <row r="61" spans="2:3">
      <c r="B61" s="63" t="s">
        <v>1916</v>
      </c>
      <c r="C61">
        <f t="shared" ca="1" si="0"/>
        <v>-1.0157883947431879E-2</v>
      </c>
    </row>
    <row r="62" spans="2:3">
      <c r="B62" s="63" t="s">
        <v>1917</v>
      </c>
      <c r="C62">
        <f t="shared" ca="1" si="0"/>
        <v>6.4000000000000001E-2</v>
      </c>
    </row>
    <row r="63" spans="2:3">
      <c r="B63" s="63" t="s">
        <v>1918</v>
      </c>
      <c r="C63">
        <f t="shared" ca="1" si="0"/>
        <v>4.3823894184132697E-2</v>
      </c>
    </row>
    <row r="64" spans="2:3">
      <c r="B64" s="63" t="s">
        <v>1919</v>
      </c>
      <c r="C64" t="e">
        <f t="shared" ca="1" si="0"/>
        <v>#REF!</v>
      </c>
    </row>
    <row r="65" spans="2:3">
      <c r="B65" s="63" t="s">
        <v>1920</v>
      </c>
      <c r="C65">
        <f t="shared" ca="1" si="0"/>
        <v>6.2654760328751405E-2</v>
      </c>
    </row>
    <row r="66" spans="2:3">
      <c r="B66" s="63" t="s">
        <v>1921</v>
      </c>
      <c r="C66">
        <f t="shared" ca="1" si="0"/>
        <v>1.3173818078231817E-3</v>
      </c>
    </row>
    <row r="67" spans="2:3">
      <c r="B67" s="63" t="s">
        <v>1922</v>
      </c>
      <c r="C67">
        <f t="shared" ref="C67:C130" ca="1" si="1">INDIRECT(B67)</f>
        <v>2.8988750092050576E-2</v>
      </c>
    </row>
    <row r="68" spans="2:3">
      <c r="B68" s="63" t="s">
        <v>1923</v>
      </c>
      <c r="C68">
        <f t="shared" ca="1" si="1"/>
        <v>-0.14050000000000001</v>
      </c>
    </row>
    <row r="69" spans="2:3">
      <c r="B69" s="63" t="s">
        <v>1924</v>
      </c>
      <c r="C69">
        <f t="shared" ca="1" si="1"/>
        <v>-9003.4518624144839</v>
      </c>
    </row>
    <row r="70" spans="2:3">
      <c r="B70" s="63" t="s">
        <v>1925</v>
      </c>
      <c r="C70" t="str">
        <f t="shared" ca="1" si="1"/>
        <v>Cooperativa de Energização e Desenvolvimento Rural do Vale do Itariri</v>
      </c>
    </row>
    <row r="71" spans="2:3">
      <c r="B71" s="63" t="s">
        <v>1926</v>
      </c>
      <c r="C71" t="e">
        <f t="shared" ca="1" si="1"/>
        <v>#REF!</v>
      </c>
    </row>
    <row r="72" spans="2:3">
      <c r="B72" s="63" t="s">
        <v>1927</v>
      </c>
      <c r="C72" t="str">
        <f t="shared" ca="1" si="1"/>
        <v>02/2008</v>
      </c>
    </row>
    <row r="73" spans="2:3">
      <c r="B73" s="63" t="s">
        <v>1928</v>
      </c>
      <c r="C73">
        <f t="shared" ca="1" si="1"/>
        <v>0</v>
      </c>
    </row>
    <row r="74" spans="2:3">
      <c r="B74" s="63" t="s">
        <v>1929</v>
      </c>
      <c r="C74">
        <f t="shared" ca="1" si="1"/>
        <v>0.54091029917104949</v>
      </c>
    </row>
    <row r="75" spans="2:3">
      <c r="B75" s="63" t="s">
        <v>1930</v>
      </c>
      <c r="C75">
        <f t="shared" ca="1" si="1"/>
        <v>0.45908970082895056</v>
      </c>
    </row>
    <row r="76" spans="2:3">
      <c r="B76" s="63" t="s">
        <v>1931</v>
      </c>
      <c r="C76">
        <f t="shared" ca="1" si="1"/>
        <v>0.1188</v>
      </c>
    </row>
    <row r="77" spans="2:3">
      <c r="B77" s="63" t="s">
        <v>1932</v>
      </c>
      <c r="C77">
        <f t="shared" ca="1" si="1"/>
        <v>1.9018421273020236E-2</v>
      </c>
    </row>
    <row r="78" spans="2:3">
      <c r="B78" s="63" t="s">
        <v>1933</v>
      </c>
      <c r="C78">
        <f t="shared" ca="1" si="1"/>
        <v>1496.6436672719026</v>
      </c>
    </row>
    <row r="79" spans="2:3">
      <c r="B79" s="63" t="s">
        <v>1934</v>
      </c>
      <c r="C79">
        <f t="shared" ca="1" si="1"/>
        <v>0</v>
      </c>
    </row>
    <row r="80" spans="2:3">
      <c r="B80" s="63" t="s">
        <v>1935</v>
      </c>
      <c r="C80">
        <f t="shared" ca="1" si="1"/>
        <v>275245.34535703011</v>
      </c>
    </row>
    <row r="81" spans="2:3">
      <c r="B81" s="63" t="s">
        <v>1936</v>
      </c>
      <c r="C81" t="e">
        <f t="shared" ca="1" si="1"/>
        <v>#REF!</v>
      </c>
    </row>
    <row r="82" spans="2:3">
      <c r="B82" s="64" t="s">
        <v>1937</v>
      </c>
      <c r="C82">
        <f t="shared" ca="1" si="1"/>
        <v>372.66056208124905</v>
      </c>
    </row>
    <row r="83" spans="2:3">
      <c r="B83" s="63" t="s">
        <v>1938</v>
      </c>
      <c r="C83">
        <f t="shared" ca="1" si="1"/>
        <v>14778260.972920001</v>
      </c>
    </row>
    <row r="84" spans="2:3">
      <c r="B84" s="63" t="s">
        <v>1939</v>
      </c>
      <c r="C84">
        <f t="shared" ca="1" si="1"/>
        <v>0</v>
      </c>
    </row>
    <row r="85" spans="2:3">
      <c r="B85" s="63" t="s">
        <v>1940</v>
      </c>
      <c r="C85">
        <f t="shared" ca="1" si="1"/>
        <v>0</v>
      </c>
    </row>
    <row r="86" spans="2:3">
      <c r="B86" s="63" t="s">
        <v>1941</v>
      </c>
      <c r="C86" t="str">
        <f t="shared" ca="1" si="1"/>
        <v>setembro de 2021 a agosto de 2022</v>
      </c>
    </row>
    <row r="87" spans="2:3">
      <c r="B87" s="63" t="s">
        <v>1942</v>
      </c>
      <c r="C87">
        <f t="shared" ca="1" si="1"/>
        <v>0</v>
      </c>
    </row>
    <row r="88" spans="2:3">
      <c r="B88" s="63" t="s">
        <v>1943</v>
      </c>
      <c r="C88" t="str">
        <f t="shared" ca="1" si="1"/>
        <v>Cedri</v>
      </c>
    </row>
    <row r="89" spans="2:3">
      <c r="B89" s="63" t="s">
        <v>1944</v>
      </c>
      <c r="C89">
        <f t="shared" ca="1" si="1"/>
        <v>0</v>
      </c>
    </row>
    <row r="90" spans="2:3">
      <c r="B90" s="63" t="s">
        <v>1945</v>
      </c>
      <c r="C90" t="e">
        <f t="shared" ca="1" si="1"/>
        <v>#REF!</v>
      </c>
    </row>
    <row r="91" spans="2:3">
      <c r="B91" s="64" t="s">
        <v>1946</v>
      </c>
      <c r="C91">
        <f t="shared" ca="1" si="1"/>
        <v>2472691.1461900002</v>
      </c>
    </row>
    <row r="92" spans="2:3">
      <c r="B92" s="64" t="s">
        <v>1947</v>
      </c>
      <c r="C92">
        <f t="shared" ca="1" si="1"/>
        <v>-4.24E-2</v>
      </c>
    </row>
    <row r="93" spans="2:3">
      <c r="B93" s="64" t="s">
        <v>1948</v>
      </c>
      <c r="C93">
        <f t="shared" ca="1" si="1"/>
        <v>0.3241</v>
      </c>
    </row>
    <row r="94" spans="2:3">
      <c r="B94" s="64" t="s">
        <v>1949</v>
      </c>
      <c r="C94">
        <f t="shared" ca="1" si="1"/>
        <v>0.20960000000000001</v>
      </c>
    </row>
    <row r="95" spans="2:3">
      <c r="B95" s="64" t="s">
        <v>1950</v>
      </c>
      <c r="C95" t="e">
        <f t="shared" ca="1" si="1"/>
        <v>#VALUE!</v>
      </c>
    </row>
    <row r="96" spans="2:3">
      <c r="B96" s="64" t="s">
        <v>1951</v>
      </c>
      <c r="C96" t="e">
        <f t="shared" ca="1" si="1"/>
        <v>#VALUE!</v>
      </c>
    </row>
    <row r="97" spans="2:3">
      <c r="B97" s="64" t="s">
        <v>1952</v>
      </c>
      <c r="C97" t="e">
        <f t="shared" ca="1" si="1"/>
        <v>#VALUE!</v>
      </c>
    </row>
    <row r="98" spans="2:3">
      <c r="B98" s="64" t="s">
        <v>1953</v>
      </c>
      <c r="C98" t="e">
        <f t="shared" ca="1" si="1"/>
        <v>#VALUE!</v>
      </c>
    </row>
    <row r="99" spans="2:3">
      <c r="B99" s="63" t="s">
        <v>1954</v>
      </c>
      <c r="C99" t="e">
        <f t="shared" ca="1" si="1"/>
        <v>#VALUE!</v>
      </c>
    </row>
    <row r="100" spans="2:3">
      <c r="B100" s="64" t="s">
        <v>1955</v>
      </c>
      <c r="C100" t="e">
        <f t="shared" ca="1" si="1"/>
        <v>#VALUE!</v>
      </c>
    </row>
    <row r="101" spans="2:3">
      <c r="B101" s="63" t="s">
        <v>1956</v>
      </c>
      <c r="C101" t="e">
        <f t="shared" ca="1" si="1"/>
        <v>#VALUE!</v>
      </c>
    </row>
    <row r="102" spans="2:3">
      <c r="B102" s="63" t="s">
        <v>1957</v>
      </c>
      <c r="C102" t="e">
        <f t="shared" ca="1" si="1"/>
        <v>#VALUE!</v>
      </c>
    </row>
    <row r="103" spans="2:3">
      <c r="B103" s="63" t="s">
        <v>1958</v>
      </c>
      <c r="C103" t="e">
        <f t="shared" ca="1" si="1"/>
        <v>#VALUE!</v>
      </c>
    </row>
    <row r="104" spans="2:3">
      <c r="B104" s="63" t="s">
        <v>1959</v>
      </c>
      <c r="C104" t="e">
        <f t="shared" ca="1" si="1"/>
        <v>#VALUE!</v>
      </c>
    </row>
    <row r="105" spans="2:3">
      <c r="B105" s="63" t="s">
        <v>1960</v>
      </c>
      <c r="C105" t="e">
        <f t="shared" ca="1" si="1"/>
        <v>#VALUE!</v>
      </c>
    </row>
    <row r="106" spans="2:3">
      <c r="B106" s="63" t="s">
        <v>1961</v>
      </c>
      <c r="C106" t="e">
        <f t="shared" ca="1" si="1"/>
        <v>#VALUE!</v>
      </c>
    </row>
    <row r="107" spans="2:3">
      <c r="B107" s="63" t="s">
        <v>1962</v>
      </c>
      <c r="C107" t="e">
        <f t="shared" ca="1" si="1"/>
        <v>#VALUE!</v>
      </c>
    </row>
    <row r="108" spans="2:3">
      <c r="B108" s="63" t="s">
        <v>1963</v>
      </c>
      <c r="C108" t="e">
        <f t="shared" ca="1" si="1"/>
        <v>#REF!</v>
      </c>
    </row>
    <row r="109" spans="2:3">
      <c r="B109" s="63" t="s">
        <v>1964</v>
      </c>
      <c r="C109" t="e">
        <f t="shared" ca="1" si="1"/>
        <v>#REF!</v>
      </c>
    </row>
    <row r="110" spans="2:3">
      <c r="B110" s="63" t="s">
        <v>1965</v>
      </c>
      <c r="C110" t="e">
        <f t="shared" ca="1" si="1"/>
        <v>#REF!</v>
      </c>
    </row>
    <row r="111" spans="2:3">
      <c r="B111" s="63" t="s">
        <v>1966</v>
      </c>
      <c r="C111" t="e">
        <f t="shared" ca="1" si="1"/>
        <v>#REF!</v>
      </c>
    </row>
    <row r="112" spans="2:3">
      <c r="B112" s="63" t="s">
        <v>1967</v>
      </c>
      <c r="C112" t="e">
        <f t="shared" ca="1" si="1"/>
        <v>#REF!</v>
      </c>
    </row>
    <row r="113" spans="2:3">
      <c r="B113" s="63" t="s">
        <v>1968</v>
      </c>
      <c r="C113" t="e">
        <f t="shared" ca="1" si="1"/>
        <v>#REF!</v>
      </c>
    </row>
    <row r="114" spans="2:3">
      <c r="B114" s="63" t="s">
        <v>1969</v>
      </c>
      <c r="C114" t="e">
        <f t="shared" ca="1" si="1"/>
        <v>#REF!</v>
      </c>
    </row>
    <row r="115" spans="2:3">
      <c r="B115" s="63" t="s">
        <v>1970</v>
      </c>
      <c r="C115">
        <f t="shared" ca="1" si="1"/>
        <v>0</v>
      </c>
    </row>
    <row r="116" spans="2:3">
      <c r="B116" s="64" t="s">
        <v>1971</v>
      </c>
      <c r="C116">
        <f t="shared" ca="1" si="1"/>
        <v>1198296.1259205663</v>
      </c>
    </row>
    <row r="117" spans="2:3">
      <c r="B117" s="63" t="s">
        <v>1972</v>
      </c>
      <c r="C117">
        <f t="shared" ca="1" si="1"/>
        <v>0</v>
      </c>
    </row>
    <row r="118" spans="2:3">
      <c r="B118" s="63" t="s">
        <v>1973</v>
      </c>
      <c r="C118">
        <f t="shared" ca="1" si="1"/>
        <v>0</v>
      </c>
    </row>
    <row r="119" spans="2:3">
      <c r="B119" s="64" t="s">
        <v>1974</v>
      </c>
      <c r="C119">
        <f t="shared" ca="1" si="1"/>
        <v>0</v>
      </c>
    </row>
    <row r="120" spans="2:3">
      <c r="B120" s="63" t="s">
        <v>1975</v>
      </c>
      <c r="C120">
        <f t="shared" ca="1" si="1"/>
        <v>0</v>
      </c>
    </row>
    <row r="121" spans="2:3">
      <c r="B121" s="63" t="s">
        <v>1976</v>
      </c>
      <c r="C121">
        <f t="shared" ca="1" si="1"/>
        <v>0</v>
      </c>
    </row>
    <row r="122" spans="2:3">
      <c r="B122" s="64" t="s">
        <v>1977</v>
      </c>
      <c r="C122">
        <f t="shared" ca="1" si="1"/>
        <v>0</v>
      </c>
    </row>
    <row r="123" spans="2:3">
      <c r="B123" s="63" t="s">
        <v>1978</v>
      </c>
      <c r="C123">
        <f t="shared" ca="1" si="1"/>
        <v>0</v>
      </c>
    </row>
    <row r="124" spans="2:3">
      <c r="B124" s="63" t="s">
        <v>1979</v>
      </c>
      <c r="C124">
        <f t="shared" ca="1" si="1"/>
        <v>0</v>
      </c>
    </row>
    <row r="125" spans="2:3">
      <c r="B125" s="64" t="s">
        <v>1980</v>
      </c>
      <c r="C125">
        <f t="shared" ca="1" si="1"/>
        <v>0</v>
      </c>
    </row>
    <row r="126" spans="2:3">
      <c r="B126" s="63" t="s">
        <v>1981</v>
      </c>
      <c r="C126">
        <f t="shared" ca="1" si="1"/>
        <v>202163.69935839661</v>
      </c>
    </row>
    <row r="127" spans="2:3">
      <c r="B127" s="63" t="s">
        <v>1982</v>
      </c>
      <c r="C127">
        <f t="shared" ca="1" si="1"/>
        <v>0</v>
      </c>
    </row>
    <row r="128" spans="2:3">
      <c r="B128" s="64" t="s">
        <v>1983</v>
      </c>
      <c r="C128">
        <f t="shared" ca="1" si="1"/>
        <v>32470.265140638967</v>
      </c>
    </row>
    <row r="129" spans="2:3">
      <c r="B129" s="63" t="s">
        <v>1984</v>
      </c>
      <c r="C129">
        <f t="shared" ca="1" si="1"/>
        <v>22003.468000000001</v>
      </c>
    </row>
    <row r="130" spans="2:3">
      <c r="B130" s="63" t="s">
        <v>1985</v>
      </c>
      <c r="C130">
        <f t="shared" ca="1" si="1"/>
        <v>14778260.972920001</v>
      </c>
    </row>
    <row r="131" spans="2:3">
      <c r="B131" s="64" t="s">
        <v>1986</v>
      </c>
      <c r="C131" t="str">
        <f t="shared" ref="C131:C194" ca="1" si="2">INDIRECT(B131)</f>
        <v>Branca</v>
      </c>
    </row>
    <row r="132" spans="2:3">
      <c r="B132" s="63" t="s">
        <v>1987</v>
      </c>
      <c r="C132" t="e">
        <f t="shared" ca="1" si="2"/>
        <v>#VALUE!</v>
      </c>
    </row>
    <row r="133" spans="2:3">
      <c r="B133" s="64" t="s">
        <v>1988</v>
      </c>
      <c r="C133" t="e">
        <f t="shared" ca="1" si="2"/>
        <v>#REF!</v>
      </c>
    </row>
    <row r="134" spans="2:3">
      <c r="B134" s="63" t="s">
        <v>1989</v>
      </c>
      <c r="C134" t="e">
        <f t="shared" ca="1" si="2"/>
        <v>#REF!</v>
      </c>
    </row>
    <row r="135" spans="2:3">
      <c r="B135" s="63" t="s">
        <v>1990</v>
      </c>
      <c r="C135">
        <f t="shared" ca="1" si="2"/>
        <v>44774</v>
      </c>
    </row>
    <row r="136" spans="2:3">
      <c r="B136" s="63" t="s">
        <v>1991</v>
      </c>
      <c r="C136">
        <f t="shared" ca="1" si="2"/>
        <v>44440</v>
      </c>
    </row>
    <row r="137" spans="2:3">
      <c r="B137" s="63" t="s">
        <v>1992</v>
      </c>
      <c r="C137" t="e">
        <f t="shared" ca="1" si="2"/>
        <v>#REF!</v>
      </c>
    </row>
    <row r="138" spans="2:3">
      <c r="B138" s="63" t="s">
        <v>1993</v>
      </c>
      <c r="C138" t="e">
        <f t="shared" ca="1" si="2"/>
        <v>#REF!</v>
      </c>
    </row>
    <row r="139" spans="2:3">
      <c r="B139" s="63" t="s">
        <v>1994</v>
      </c>
      <c r="C139" t="e">
        <f t="shared" ca="1" si="2"/>
        <v>#REF!</v>
      </c>
    </row>
    <row r="140" spans="2:3">
      <c r="B140" s="63" t="s">
        <v>1995</v>
      </c>
      <c r="C140">
        <f t="shared" ca="1" si="2"/>
        <v>0</v>
      </c>
    </row>
    <row r="141" spans="2:3">
      <c r="B141" s="63" t="s">
        <v>1996</v>
      </c>
      <c r="C141" t="e">
        <f t="shared" ca="1" si="2"/>
        <v>#VALUE!</v>
      </c>
    </row>
    <row r="142" spans="2:3">
      <c r="B142" s="63" t="s">
        <v>1997</v>
      </c>
      <c r="C142" t="e">
        <f t="shared" ca="1" si="2"/>
        <v>#VALUE!</v>
      </c>
    </row>
    <row r="143" spans="2:3">
      <c r="B143" s="63" t="s">
        <v>1998</v>
      </c>
      <c r="C143" t="e">
        <f t="shared" ca="1" si="2"/>
        <v>#VALUE!</v>
      </c>
    </row>
    <row r="144" spans="2:3">
      <c r="B144" s="63" t="s">
        <v>1999</v>
      </c>
      <c r="C144" t="e">
        <f t="shared" ca="1" si="2"/>
        <v>#VALUE!</v>
      </c>
    </row>
    <row r="145" spans="2:3">
      <c r="B145" s="63" t="s">
        <v>2000</v>
      </c>
      <c r="C145" t="e">
        <f t="shared" ca="1" si="2"/>
        <v>#VALUE!</v>
      </c>
    </row>
    <row r="146" spans="2:3">
      <c r="B146" s="64" t="s">
        <v>2001</v>
      </c>
      <c r="C146" t="e">
        <f t="shared" ca="1" si="2"/>
        <v>#REF!</v>
      </c>
    </row>
    <row r="147" spans="2:3">
      <c r="B147" s="64" t="s">
        <v>2002</v>
      </c>
      <c r="C147" t="e">
        <f t="shared" ca="1" si="2"/>
        <v>#REF!</v>
      </c>
    </row>
    <row r="148" spans="2:3">
      <c r="B148" s="64" t="s">
        <v>2003</v>
      </c>
      <c r="C148" t="e">
        <f t="shared" ca="1" si="2"/>
        <v>#REF!</v>
      </c>
    </row>
    <row r="149" spans="2:3">
      <c r="B149" s="64" t="s">
        <v>2004</v>
      </c>
      <c r="C149" t="e">
        <f t="shared" ca="1" si="2"/>
        <v>#REF!</v>
      </c>
    </row>
    <row r="150" spans="2:3">
      <c r="B150" s="64" t="s">
        <v>2005</v>
      </c>
      <c r="C150" t="e">
        <f t="shared" ca="1" si="2"/>
        <v>#REF!</v>
      </c>
    </row>
    <row r="151" spans="2:3">
      <c r="B151" s="64" t="s">
        <v>2006</v>
      </c>
      <c r="C151" t="e">
        <f t="shared" ca="1" si="2"/>
        <v>#REF!</v>
      </c>
    </row>
    <row r="152" spans="2:3">
      <c r="B152" s="64" t="s">
        <v>2007</v>
      </c>
      <c r="C152" t="e">
        <f t="shared" ca="1" si="2"/>
        <v>#REF!</v>
      </c>
    </row>
    <row r="153" spans="2:3">
      <c r="B153" s="64" t="s">
        <v>2008</v>
      </c>
      <c r="C153" t="e">
        <f t="shared" ca="1" si="2"/>
        <v>#REF!</v>
      </c>
    </row>
    <row r="154" spans="2:3">
      <c r="B154" s="63" t="s">
        <v>2009</v>
      </c>
      <c r="C154" t="e">
        <f t="shared" ca="1" si="2"/>
        <v>#VALUE!</v>
      </c>
    </row>
    <row r="155" spans="2:3">
      <c r="B155" s="63" t="s">
        <v>2010</v>
      </c>
      <c r="C155" t="e">
        <f t="shared" ca="1" si="2"/>
        <v>#VALUE!</v>
      </c>
    </row>
    <row r="156" spans="2:3">
      <c r="B156" s="63" t="s">
        <v>2011</v>
      </c>
      <c r="C156" t="e">
        <f t="shared" ca="1" si="2"/>
        <v>#VALUE!</v>
      </c>
    </row>
    <row r="157" spans="2:3">
      <c r="B157" s="63" t="s">
        <v>2012</v>
      </c>
      <c r="C157" t="e">
        <f t="shared" ca="1" si="2"/>
        <v>#VALUE!</v>
      </c>
    </row>
    <row r="158" spans="2:3">
      <c r="B158" s="63" t="s">
        <v>2013</v>
      </c>
      <c r="C158" t="e">
        <f t="shared" ca="1" si="2"/>
        <v>#REF!</v>
      </c>
    </row>
    <row r="159" spans="2:3">
      <c r="B159" s="63" t="s">
        <v>2014</v>
      </c>
      <c r="C159" t="e">
        <f t="shared" ca="1" si="2"/>
        <v>#VALUE!</v>
      </c>
    </row>
    <row r="160" spans="2:3">
      <c r="B160" s="63" t="s">
        <v>2015</v>
      </c>
      <c r="C160" t="e">
        <f t="shared" ca="1" si="2"/>
        <v>#VALUE!</v>
      </c>
    </row>
    <row r="161" spans="2:3">
      <c r="B161" s="63" t="s">
        <v>2016</v>
      </c>
      <c r="C161" t="e">
        <f t="shared" ca="1" si="2"/>
        <v>#VALUE!</v>
      </c>
    </row>
    <row r="162" spans="2:3">
      <c r="B162" s="63" t="s">
        <v>2017</v>
      </c>
      <c r="C162" t="e">
        <f t="shared" ca="1" si="2"/>
        <v>#VALUE!</v>
      </c>
    </row>
    <row r="163" spans="2:3">
      <c r="B163" s="63" t="s">
        <v>2018</v>
      </c>
      <c r="C163" t="e">
        <f t="shared" ca="1" si="2"/>
        <v>#VALUE!</v>
      </c>
    </row>
    <row r="164" spans="2:3">
      <c r="B164" s="63" t="s">
        <v>2019</v>
      </c>
      <c r="C164" t="e">
        <f t="shared" ca="1" si="2"/>
        <v>#VALUE!</v>
      </c>
    </row>
    <row r="165" spans="2:3">
      <c r="B165" s="63" t="s">
        <v>2020</v>
      </c>
      <c r="C165" t="e">
        <f t="shared" ca="1" si="2"/>
        <v>#VALUE!</v>
      </c>
    </row>
    <row r="166" spans="2:3">
      <c r="B166" s="63" t="s">
        <v>2021</v>
      </c>
      <c r="C166" t="e">
        <f t="shared" ca="1" si="2"/>
        <v>#VALUE!</v>
      </c>
    </row>
    <row r="167" spans="2:3">
      <c r="B167" s="63" t="s">
        <v>2022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Props1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35</vt:i4>
      </vt:variant>
      <vt:variant>
        <vt:lpstr>Intervalos Nomeados</vt:lpstr>
      </vt:variant>
      <vt:variant>
        <vt:i4>192</vt:i4>
      </vt:variant>
    </vt:vector>
  </HeadingPairs>
  <TitlesOfParts>
    <vt:vector size="227" baseType="lpstr">
      <vt:lpstr>Subsidio</vt:lpstr>
      <vt:lpstr>BD</vt:lpstr>
      <vt:lpstr>RBBD</vt:lpstr>
      <vt:lpstr>FaturasT</vt:lpstr>
      <vt:lpstr>Faturas</vt:lpstr>
      <vt:lpstr>Informações Gerais</vt:lpstr>
      <vt:lpstr>CAPA</vt:lpstr>
      <vt:lpstr>Resultado</vt:lpstr>
      <vt:lpstr>Calc_Mercado</vt:lpstr>
      <vt:lpstr>BD MERCADO</vt:lpstr>
      <vt:lpstr>Energia</vt:lpstr>
      <vt:lpstr>Perdas de Energia</vt:lpstr>
      <vt:lpstr>CUSD</vt:lpstr>
      <vt:lpstr>Rede Básica + Ajuste</vt:lpstr>
      <vt:lpstr>Conexão </vt:lpstr>
      <vt:lpstr>Encargos</vt:lpstr>
      <vt:lpstr>Tabelas e Gráficos</vt:lpstr>
      <vt:lpstr>Financeiros</vt:lpstr>
      <vt:lpstr>Tributos suprimento</vt:lpstr>
      <vt:lpstr>PIS_COFINS</vt:lpstr>
      <vt:lpstr>Financeiros Mitigação</vt:lpstr>
      <vt:lpstr>CVE</vt:lpstr>
      <vt:lpstr>Aj.Subsídio</vt:lpstr>
      <vt:lpstr>Indexador</vt:lpstr>
      <vt:lpstr>BD SUPRIMENTO</vt:lpstr>
      <vt:lpstr>RA0BD</vt:lpstr>
      <vt:lpstr>SimuBD</vt:lpstr>
      <vt:lpstr>Índices</vt:lpstr>
      <vt:lpstr>Custos-PCAT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AnoRevRea</vt:lpstr>
      <vt:lpstr>Faturas!Area_de_extracao</vt:lpstr>
      <vt:lpstr>Faturas!Criterios</vt:lpstr>
      <vt:lpstr>DataRevRea</vt:lpstr>
      <vt:lpstr>FornecimentoE</vt:lpstr>
      <vt:lpstr>FornecimentoE_A1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LivreE</vt:lpstr>
      <vt:lpstr>LivreE_A1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LnkTXTER</vt:lpstr>
      <vt:lpstr>LnkTXTERFIN</vt:lpstr>
      <vt:lpstr>LnkTXTEV</vt:lpstr>
      <vt:lpstr>LnkTXTF</vt:lpstr>
      <vt:lpstr>LnkTXTFatorX</vt:lpstr>
      <vt:lpstr>LnkTXTfora</vt:lpstr>
      <vt:lpstr>LnkTXTGPCU</vt:lpstr>
      <vt:lpstr>LnkTXTGPM</vt:lpstr>
      <vt:lpstr>LnkTXTICMS</vt:lpstr>
      <vt:lpstr>LnkTXTIGPM</vt:lpstr>
      <vt:lpstr>LnkTXTIParcelaBcomSub</vt:lpstr>
      <vt:lpstr>LnkTXTIParcelaBsemSub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lnktxtpartCDEuso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LnkTXTPerdas</vt:lpstr>
      <vt:lpstr>LnkTXTPerdasDist</vt:lpstr>
      <vt:lpstr>LnkTXTPerdasDist.</vt:lpstr>
      <vt:lpstr>LnkTXTPIS_COFINS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LnkTXTSigla</vt:lpstr>
      <vt:lpstr>LnkTXTSubdesc</vt:lpstr>
      <vt:lpstr>LnkTxTSubvencaoCDE</vt:lpstr>
      <vt:lpstr>LnkTXTSupri1</vt:lpstr>
      <vt:lpstr>LnkTXTSupri2</vt:lpstr>
      <vt:lpstr>LnkTXTSuprid1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Mercado_Faturado_Encargo_CDE_BRUTO</vt:lpstr>
      <vt:lpstr>Mercado_Faturado_Encargo_CFURH</vt:lpstr>
      <vt:lpstr>Mercado_Faturado_Encargo_CFURH_BRUTO</vt:lpstr>
      <vt:lpstr>Mercado_Faturado_Encargo_ESSERR</vt:lpstr>
      <vt:lpstr>Mercado_Faturado_Encargo_ESSERR_BRUTO</vt:lpstr>
      <vt:lpstr>Mercado_Faturado_Encargo_ONS</vt:lpstr>
      <vt:lpstr>Mercado_Faturado_Encargo_ONS_BRUTO</vt:lpstr>
      <vt:lpstr>Mercado_Faturado_Encargo_PeD</vt:lpstr>
      <vt:lpstr>Mercado_Faturado_Encargo_PeD_BRUTO</vt:lpstr>
      <vt:lpstr>Mercado_Faturado_Encargo_PROINFA</vt:lpstr>
      <vt:lpstr>Mercado_Faturado_Encargo_PROINFA_BRUTO</vt:lpstr>
      <vt:lpstr>Mercado_Faturado_Encargo_TFSEE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Mercado_RA0_MWh</vt:lpstr>
      <vt:lpstr>Mercado_RA0_Reais</vt:lpstr>
      <vt:lpstr>MercadoBase</vt:lpstr>
      <vt:lpstr>MercadoBase1</vt:lpstr>
      <vt:lpstr>QuadroMercado</vt:lpstr>
      <vt:lpstr>SAS_RA0_DataFim</vt:lpstr>
      <vt:lpstr>SAS_RA0_DataInicio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2022-09-27T18:09:14Z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